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5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14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7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55" windowHeight="8192" windowWidth="16384" xWindow="0" yWindow="0"/>
  </bookViews>
  <sheets>
    <sheet name="Description" sheetId="1" state="visible" r:id="rId2"/>
    <sheet name="NaI" sheetId="2" state="visible" r:id="rId3"/>
    <sheet name="MgI" sheetId="3" state="visible" r:id="rId4"/>
    <sheet name="MgII" sheetId="4" state="visible" r:id="rId5"/>
    <sheet name="AlII" sheetId="5" state="visible" r:id="rId6"/>
    <sheet name="AlIII" sheetId="6" state="visible" r:id="rId7"/>
    <sheet name="SiII" sheetId="7" state="visible" r:id="rId8"/>
    <sheet name="SiIV" sheetId="8" state="visible" r:id="rId9"/>
    <sheet name="CaII" sheetId="9" state="visible" r:id="rId10"/>
    <sheet name="TiII" sheetId="10" state="visible" r:id="rId11"/>
    <sheet name="CrII" sheetId="11" state="visible" r:id="rId12"/>
    <sheet name="MnII" sheetId="12" state="visible" r:id="rId13"/>
    <sheet name="FeII" sheetId="13" state="visible" r:id="rId14"/>
    <sheet name="NiII" sheetId="14" state="visible" r:id="rId15"/>
    <sheet name="ZnII" sheetId="15" state="visible" r:id="rId16"/>
    <sheet name="6JSymbols" sheetId="16" state="visible" r:id="rId17"/>
  </sheets>
  <calcPr iterateCount="100" refMode="A1" iterate="false" iterateDelta="0.001"/>
</workbook>
</file>

<file path=xl/sharedStrings.xml><?xml version="1.0" encoding="utf-8"?>
<sst xmlns="http://schemas.openxmlformats.org/spreadsheetml/2006/main" count="1621" uniqueCount="471">
  <si>
    <t>Laboratory atomic transition data for precise optical quasar absorption line spectroscopy</t>
  </si>
  <si>
    <t>Version</t>
  </si>
  <si>
    <t>Description</t>
  </si>
  <si>
    <t>This spreadsheet provides an updated version of the laboratory atomic transition data presented in Murphy:2014 and provides all details of the calculations involved in a transparent and reproducible way.</t>
  </si>
  <si>
    <t>Each of the sheets provides the data, references and calculations for transitions of the relevant ion which are important for 'varying-alpha' analyses.</t>
  </si>
  <si>
    <t>Each sheet has a summary of the results, i.e. the most relevant, up-to-date data, plus further sections showing the calculations so that addition of new data in future can be seamlessly incorporated to form a new dataset.</t>
  </si>
  <si>
    <t>See Murphy:2014 for a detailed description of the summary table in each sheet. As a guide, the column labelled “X” is a flag to indicate the origin of each transition frequency provided.</t>
  </si>
  <si>
    <t>The key for the values of X is as follows:</t>
  </si>
  <si>
    <t>X</t>
  </si>
  <si>
    <t>Measured frequency;</t>
  </si>
  <si>
    <t>Inferred from component frequencies;</t>
  </si>
  <si>
    <t>Inferred from measured composite frequency and measured component splitting;</t>
  </si>
  <si>
    <t>Inferred from measured composite frequency and calculated component splitting;</t>
  </si>
  <si>
    <t>Inferred from measured component frequency and measured component splitting;</t>
  </si>
  <si>
    <t>Inferred from measured component frequency and calculated component splitting;</t>
  </si>
  <si>
    <t>References are provided in each sheet for the frequencies listed.</t>
  </si>
  <si>
    <r>
      <t xml:space="preserve">The oscillator strengths (f) a</t>
    </r>
    <r>
      <rPr>
        <rFont val="Arial Unicode MS"/>
        <family val="2"/>
        <sz val="10"/>
      </rPr>
      <t xml:space="preserve">nd the damping constants (Gamma) are all taken from Morton:2003:205.</t>
    </r>
  </si>
  <si>
    <t>The q coefficients and their expected uncertainty ranges (not statistical uncertainties), dq, are taken from Berengut:2011:9, or Berengut:2006:PhD for FeII2260,2249,2367, or Murphy:2014 for SiII and TiII.</t>
  </si>
  <si>
    <t>References</t>
  </si>
  <si>
    <t>Berengut:2006:PhD</t>
  </si>
  <si>
    <t>http://handle.unsw.edu.au/1959.4/23900</t>
  </si>
  <si>
    <t>Berengut:2011:9</t>
  </si>
  <si>
    <t>http://adsabs.harvard.edu/abs/2011fvcf.book....9B</t>
  </si>
  <si>
    <t>Morton:2003:205</t>
  </si>
  <si>
    <t>http://adsabs.harvard.edu/abs/2003ApJS..149..205M</t>
  </si>
  <si>
    <t>Murphy:2014</t>
  </si>
  <si>
    <t>In preparation</t>
  </si>
  <si>
    <t>Versions and changes</t>
  </si>
  <si>
    <t>Changes</t>
  </si>
  <si>
    <t>Adding CaII and NaI. Modifications to the hyperfine structures of 25MgII, and 67ZnII to include proper transition probabilities using 6J symbols.</t>
  </si>
  <si>
    <t>First complete version with transitions of MgI/II, AlII, AlIII, SiII/IV, TiII, CrII, MnII, FeII, NiII, ZnII</t>
  </si>
  <si>
    <t>Updated</t>
  </si>
  <si>
    <t>16/10/2013</t>
  </si>
  <si>
    <t>Summary</t>
  </si>
  <si>
    <t>Ion</t>
  </si>
  <si>
    <t>Tran.</t>
  </si>
  <si>
    <t>Type</t>
  </si>
  <si>
    <t>A</t>
  </si>
  <si>
    <t>w [/cm]</t>
  </si>
  <si>
    <t>dw [/cm]</t>
  </si>
  <si>
    <t>Ref.</t>
  </si>
  <si>
    <t>l [Angstroms]</t>
  </si>
  <si>
    <t>dl [Angstroms]</t>
  </si>
  <si>
    <t>dv [m/s]</t>
  </si>
  <si>
    <t>Lower state</t>
  </si>
  <si>
    <t>Upper state</t>
  </si>
  <si>
    <t>ID</t>
  </si>
  <si>
    <t>IP- [eV]</t>
  </si>
  <si>
    <t>IP+ [eV]</t>
  </si>
  <si>
    <t>f or %</t>
  </si>
  <si>
    <t>Gamma [/s]</t>
  </si>
  <si>
    <t>q [/cm]</t>
  </si>
  <si>
    <t>dq [/cm]</t>
  </si>
  <si>
    <t>NaI</t>
  </si>
  <si>
    <t>CMP</t>
  </si>
  <si>
    <t>3\rm{s}~^2\rm{S}_{1/2}</t>
  </si>
  <si>
    <t>3\rm{p}~^2\rm{P}_{3/2}</t>
  </si>
  <si>
    <t>a_1</t>
  </si>
  <si>
    <t>ISO+HYP</t>
  </si>
  <si>
    <t>23; 22.9897692809</t>
  </si>
  <si>
    <t>Beckmann:1974:173,Juncar:1981:77,Yei:1993:1909</t>
  </si>
  <si>
    <t>F=1</t>
  </si>
  <si>
    <t>F=0,1,2</t>
  </si>
  <si>
    <t>F=2</t>
  </si>
  <si>
    <t>F=1,2,3</t>
  </si>
  <si>
    <t>3\rm{p}~^2\rm{P}_{1/2}</t>
  </si>
  <si>
    <t>a_2</t>
  </si>
  <si>
    <t>Juncar:1981:77,Wijngaarden:1994:67,Yei:1993:1909</t>
  </si>
  <si>
    <t>F=1,2</t>
  </si>
  <si>
    <t>END</t>
  </si>
  <si>
    <t>Measurements</t>
  </si>
  <si>
    <t>Iodine transition found nearby the 'cross-over line' of hyperfine Na components by Juncar:1981:77</t>
  </si>
  <si>
    <t>Frequency of NaI 'cross-over line' (i.e. average frequency) near iodine line [Juncar:1981:77]</t>
  </si>
  <si>
    <t>w [cm-1]</t>
  </si>
  <si>
    <t>ew [cm-1]</t>
  </si>
  <si>
    <t>l [Ang]</t>
  </si>
  <si>
    <t>el [Ang]</t>
  </si>
  <si>
    <t>Transition</t>
  </si>
  <si>
    <t>I2 transition</t>
  </si>
  <si>
    <t>l [Ang.]</t>
  </si>
  <si>
    <t>dl [Ang.]</t>
  </si>
  <si>
    <t>Cross-over trans.</t>
  </si>
  <si>
    <t>nu [MHz]</t>
  </si>
  <si>
    <t>dnu [MHz]</t>
  </si>
  <si>
    <r>
      <t xml:space="preserve">“n” of </t>
    </r>
    <r>
      <rPr>
        <rFont val="Arial"/>
        <family val="2"/>
        <color rgb="00000000"/>
        <sz val="10"/>
      </rPr>
      <t xml:space="preserve">P 38 (15–2)</t>
    </r>
  </si>
  <si>
    <t>F=2–2 &amp; F=1–2</t>
  </si>
  <si>
    <r>
      <t xml:space="preserve">“o” of </t>
    </r>
    <r>
      <rPr>
        <rFont val="Arial"/>
        <family val="2"/>
        <color rgb="00000000"/>
        <sz val="10"/>
      </rPr>
      <t xml:space="preserve">P 114 (14–1)</t>
    </r>
  </si>
  <si>
    <t>F=2–1 &amp; F=2–2</t>
  </si>
  <si>
    <t>Hyperfine structure</t>
  </si>
  <si>
    <t>Hyperfine constants</t>
  </si>
  <si>
    <t>Level</t>
  </si>
  <si>
    <t>Constant [MHz]</t>
  </si>
  <si>
    <t>Uncertainty</t>
  </si>
  <si>
    <t>Reference/note</t>
  </si>
  <si>
    <t>2s1/2</t>
  </si>
  <si>
    <t>Magnetic dipole (A), experiment – Beckmann:1974:173</t>
  </si>
  <si>
    <t>2p1/2</t>
  </si>
  <si>
    <t>A, experiment – Wijngaarden:1994:67.</t>
  </si>
  <si>
    <t>2p3/2</t>
  </si>
  <si>
    <t>A, experiment – Yei:1993:1909.</t>
  </si>
  <si>
    <t>Electric quadrupole (B), experiment – Yei:1993:1909.</t>
  </si>
  <si>
    <t>Energy levels</t>
  </si>
  <si>
    <t>J</t>
  </si>
  <si>
    <t>F</t>
  </si>
  <si>
    <t>I</t>
  </si>
  <si>
    <t>K</t>
  </si>
  <si>
    <t>C</t>
  </si>
  <si>
    <t>DE_M1 [MHz]</t>
  </si>
  <si>
    <t>eDE_M1 [MHz]</t>
  </si>
  <si>
    <t>DE_E2 [MHz]</t>
  </si>
  <si>
    <t>eDE_E2 [MHz]</t>
  </si>
  <si>
    <t>DE [MHz]</t>
  </si>
  <si>
    <t>eDE [MHz]</t>
  </si>
  <si>
    <t>23NaI5891 hyperfine structure</t>
  </si>
  <si>
    <t>F_low</t>
  </si>
  <si>
    <t>F_up</t>
  </si>
  <si>
    <t>enu [MHz]</t>
  </si>
  <si>
    <t>ew cm-1]</t>
  </si>
  <si>
    <t>Comment</t>
  </si>
  <si>
    <t>6JSymbol^2</t>
  </si>
  <si>
    <t>(2F_low+1)(2F_hi+1)*6JSymbol^2</t>
  </si>
  <si>
    <t>Relative intensity</t>
  </si>
  <si>
    <t>nu(F=1–2) – nu(F=2–2)</t>
  </si>
  <si>
    <t>Forbidden</t>
  </si>
  <si>
    <t>23NaI5897 hyperfine structure</t>
  </si>
  <si>
    <t>nu(F=2–2) – nu(F=2–1)</t>
  </si>
  <si>
    <t>Transition/isotope</t>
  </si>
  <si>
    <t>Relative intensity [%]</t>
  </si>
  <si>
    <t>wl [Ang.]</t>
  </si>
  <si>
    <t>ewl [Ang.]</t>
  </si>
  <si>
    <t>Composite</t>
  </si>
  <si>
    <t>Beckmann:1974:173</t>
  </si>
  <si>
    <t>http://adsabs.harvard.edu/abs/1974ZPhy..270..173B</t>
  </si>
  <si>
    <t>Juncar:1981:77</t>
  </si>
  <si>
    <t>http://adsabs.harvard.edu/abs/1981Metro..17...77J</t>
  </si>
  <si>
    <t>Wijngaarden:1994:67</t>
  </si>
  <si>
    <t>http://adsabs.harvard.edu/abs/1994ZPhyD..32...67W</t>
  </si>
  <si>
    <t>Yei:1993:1909</t>
  </si>
  <si>
    <t>http://adsabs.harvard.edu/abs/1993PhRvA..48.1909Y</t>
  </si>
  <si>
    <t>MgI</t>
  </si>
  <si>
    <t>3\rm{s}^2~^1\rm{S}_0</t>
  </si>
  <si>
    <t>3\rm{s}4\rm{p}~^1\rm{P}_1</t>
  </si>
  <si>
    <t>b_1</t>
  </si>
  <si>
    <t>ISO</t>
  </si>
  <si>
    <t>26; 25.982592929</t>
  </si>
  <si>
    <t>25; 24.98583692</t>
  </si>
  <si>
    <t>24; 23.985041700</t>
  </si>
  <si>
    <t>3\rm{s}3\rm{p}~^1\rm{P}_1</t>
  </si>
  <si>
    <t>b_2</t>
  </si>
  <si>
    <t>Isotope</t>
  </si>
  <si>
    <t>Reference</t>
  </si>
  <si>
    <t>Reference/Note</t>
  </si>
  <si>
    <t>Abundance-weighted mean</t>
  </si>
  <si>
    <t>Abundance [%]</t>
  </si>
  <si>
    <t>Sum</t>
  </si>
  <si>
    <t>Hannemann:2006:012505</t>
  </si>
  <si>
    <t>http://adsabs.harvard.edu/abs/2006PhRvA..74a2505H</t>
  </si>
  <si>
    <t>Rosman:1998:1275</t>
  </si>
  <si>
    <t>http://adsabs.harvard.edu/abs/1998JPCRD..27.1275R</t>
  </si>
  <si>
    <t>Salumbides:2006:L41</t>
  </si>
  <si>
    <t>http://adsabs.harvard.edu/abs/2006MNRAS.373L..41S</t>
  </si>
  <si>
    <t>MgII</t>
  </si>
  <si>
    <t>c_1</t>
  </si>
  <si>
    <t>Batteiger:2009:022503,Itano:1981:1364,Sur:2005:25</t>
  </si>
  <si>
    <t>F=3</t>
  </si>
  <si>
    <t>F=2,3,4</t>
  </si>
  <si>
    <t>c_2</t>
  </si>
  <si>
    <t>F=2,3</t>
  </si>
  <si>
    <t>dnu[MHz]</t>
  </si>
  <si>
    <t>Isotopes</t>
  </si>
  <si>
    <t>Isotopic abundance [%] [Rosman:1998:1275]</t>
  </si>
  <si>
    <t>Isotopic separation [MHz]</t>
  </si>
  <si>
    <t>Uncertainty [MHz]</t>
  </si>
  <si>
    <t>From absolute isotopic measurements above</t>
  </si>
  <si>
    <t>Calculated in Batteiger:2009:022503; consistent with shift inferred by Drullinger:1980:365 from measurements.</t>
  </si>
  <si>
    <t>Calculated in Batteiger:2009:022503</t>
  </si>
  <si>
    <t>3s1/2</t>
  </si>
  <si>
    <t>Magnetic dipole (A), experiment – Itano:1981:1364</t>
  </si>
  <si>
    <t>3p1/2</t>
  </si>
  <si>
    <t>A, calculation – Sur:2005:25. Conservative uncertainty estimated from range of calculations.</t>
  </si>
  <si>
    <t>3p3/2</t>
  </si>
  <si>
    <t>Electric quadrupole (B), calculation – Sur:2005:25. Conservative uncertainty estimated (by me) from range of calculations for A.</t>
  </si>
  <si>
    <t>Note: sign is wrong for A coefficients in Sur:2005:25 (it is internally inconsistent, too). Therefore, I'm assuming the sign for B coefficient was also wrong in Sur:2005:25 and making it negative here too; this may be incorrect.</t>
  </si>
  <si>
    <t>25MgII2796 isotopic+hyperfine structure</t>
  </si>
  <si>
    <t>25MgII2803 isotopic+hyperfine structure</t>
  </si>
  <si>
    <t>Batteiger:2009:022503</t>
  </si>
  <si>
    <t>http://adsabs.harvard.edu/abs/2009PhRvA..80b2503B</t>
  </si>
  <si>
    <t>Drullinger:1980:365</t>
  </si>
  <si>
    <t>http://adsabs.harvard.edu/abs/1980ApPhy..22..365D</t>
  </si>
  <si>
    <t>Itano:1981:1364</t>
  </si>
  <si>
    <t>http://adsabs.harvard.edu/abs/1981PhRvA..24.1364I</t>
  </si>
  <si>
    <t>Sur:2005:25</t>
  </si>
  <si>
    <t>http://adsabs.harvard.edu/abs/2005EPJD...32...25S</t>
  </si>
  <si>
    <t>13/09/2013</t>
  </si>
  <si>
    <t>AlII</t>
  </si>
  <si>
    <t>ALL</t>
  </si>
  <si>
    <t>d_1</t>
  </si>
  <si>
    <t>Griesmann:2000:L113</t>
  </si>
  <si>
    <t>http://adsabs.harvard.edu/abs/2000ApJ...536L.113G</t>
  </si>
  <si>
    <t>19/09/2013</t>
  </si>
  <si>
    <t>AlIII</t>
  </si>
  <si>
    <t>e_1</t>
  </si>
  <si>
    <t>HYP</t>
  </si>
  <si>
    <t>27; 26.981538</t>
  </si>
  <si>
    <t>e_2</t>
  </si>
  <si>
    <t>Transition/F_low</t>
  </si>
  <si>
    <t>2*F_low+1</t>
  </si>
  <si>
    <t>SiII</t>
  </si>
  <si>
    <t>3\rm{s}^23\rm{p}~^2\rm{P}_{1/2}</t>
  </si>
  <si>
    <t>3\rm{s}^24\rm{s}~^2\rm{S}_{1/2}</t>
  </si>
  <si>
    <t>f_1</t>
  </si>
  <si>
    <t>30; 29.97377017</t>
  </si>
  <si>
    <t>29; 28.976494700</t>
  </si>
  <si>
    <t>28; 27.9769265325</t>
  </si>
  <si>
    <t>3\rm{s}3\rm{p}^2~^2\rm{D}_{3/2}</t>
  </si>
  <si>
    <t>f_2</t>
  </si>
  <si>
    <t>Normal, specific and total mass shift constants, the field shift constant and deviation in mean-square nuclear radii [Murphy:2012]</t>
  </si>
  <si>
    <t>k_NMS [GHz amu]</t>
  </si>
  <si>
    <t>k_SMS [GHz amu]</t>
  </si>
  <si>
    <t>k_MS [GHz amu]</t>
  </si>
  <si>
    <t>F [MHz/fm^2]</t>
  </si>
  <si>
    <t>d&lt;r^2&gt; [fm^2]</t>
  </si>
  <si>
    <t>Murphy:2013</t>
  </si>
  <si>
    <t>SiIV</t>
  </si>
  <si>
    <t>2\rm{p}^63\rm{s}~^2\rm{S}_{1/2}</t>
  </si>
  <si>
    <t>2\rm{p}^63\rm{p}~^2\rm{P}_{3/2}</t>
  </si>
  <si>
    <t>g_1</t>
  </si>
  <si>
    <t>2\rm{p}^63\rm{p}~^2\rm{P}_{1/2}</t>
  </si>
  <si>
    <t>g_2</t>
  </si>
  <si>
    <t>Normal, specific and total mass shift constants [GHz/amu], the field shift constant and deviation in mean-square nuclear radii [Berengut:2003:022502]</t>
  </si>
  <si>
    <t>Berengut:2003:022502</t>
  </si>
  <si>
    <t>http://adsabs.harvard.edu/abs/2003PhRvA..68b2502B</t>
  </si>
  <si>
    <t>CaII</t>
  </si>
  <si>
    <t>4\rm{s}~^2\rm{S}_{1/2}</t>
  </si>
  <si>
    <t>4\rm{p}~^2\rm{P}_{3/2}</t>
  </si>
  <si>
    <t>h_1</t>
  </si>
  <si>
    <t>48; 47.952534</t>
  </si>
  <si>
    <t>Maleki:1992:524,Martensson-Pendrill:1992:467,Wolf:2009:223901</t>
  </si>
  <si>
    <t>46; 45.9536926</t>
  </si>
  <si>
    <t>44; 43.9554818</t>
  </si>
  <si>
    <t>43; 42.9587666</t>
  </si>
  <si>
    <t>Arbes:1994:27,Maleki:1992:524,Martensson-Pendrill:1992:467,Nortershauser:1998:33</t>
  </si>
  <si>
    <t>F=4</t>
  </si>
  <si>
    <t>F=3,4,5</t>
  </si>
  <si>
    <t>42; 41.95861801</t>
  </si>
  <si>
    <t>40; 39.96259098</t>
  </si>
  <si>
    <t>4\rm{p}~^2\rm{P}_{1/2}</t>
  </si>
  <si>
    <t>h_2</t>
  </si>
  <si>
    <t>Maleki:1992:524,Martensson-Pendrill:1992:467,Wolf:2008:032511</t>
  </si>
  <si>
    <t>F=3,4</t>
  </si>
  <si>
    <t>Isotopic shifts measured by Martensson-Pendrill:1992:4675. Errors include 2MHz per mass unit difference from 44Ca.</t>
  </si>
  <si>
    <t>Isotopic shifts measured by Maleki:1992:524. Values for the 3934 &amp; 3969 were averaged by Maleki:1992:524.</t>
  </si>
  <si>
    <t>err(w) [/cm]</t>
  </si>
  <si>
    <t>dnu(44) [MHz]</t>
  </si>
  <si>
    <t>err[dnu(44)] [MHz]</t>
  </si>
  <si>
    <t>dnu(40) [MHz]</t>
  </si>
  <si>
    <t>err[dnu(40)] [MHz]</t>
  </si>
  <si>
    <t>err(dw) [/cm]</t>
  </si>
  <si>
    <r>
      <t xml:space="preserve">Normal, specific and total mass shift constants and field shift constant [Berengut:2003:022502]. Uncertainties estimated as half differences between </t>
    </r>
    <r>
      <rPr>
        <rFont val="Arial Unicode MS"/>
        <family val="2"/>
        <sz val="10"/>
      </rPr>
      <t xml:space="preserve">Berengut:2003:022502 and Safronova:2001:052501.</t>
    </r>
  </si>
  <si>
    <t>Deviation in mean-square nuclear radii [Palmer:1984:2197]</t>
  </si>
  <si>
    <t>err(dnu) [MHz]</t>
  </si>
  <si>
    <t>dnu+ [MHz]</t>
  </si>
  <si>
    <t>dnu- [MHz]</t>
  </si>
  <si>
    <t>dw+ [/cm]</t>
  </si>
  <si>
    <t>dw- [/cm]</t>
  </si>
  <si>
    <t>w+ [/cm]</t>
  </si>
  <si>
    <t>w- [/cm]</t>
  </si>
  <si>
    <t>err(k_SMS) [GHz amu]</t>
  </si>
  <si>
    <t>err(F) [MHz/fm^2]</t>
  </si>
  <si>
    <t>Magnetic dipole (A), experiment – Arbes:1994:27</t>
  </si>
  <si>
    <t>A, experiment – Nortershauser:1998:33.</t>
  </si>
  <si>
    <t>Electric quadrupole (B), experiment – Nortershauser:1998:33.</t>
  </si>
  <si>
    <t>43CaII3934 isotopic+hyperfine structure</t>
  </si>
  <si>
    <t>43CaII3969 isotopic+hyperfine structure</t>
  </si>
  <si>
    <t>Arbes:1994:27</t>
  </si>
  <si>
    <t>http://adsabs.harvard.edu/abs/1994ZPhyD..31...27A</t>
  </si>
  <si>
    <t>Kurth:1995:227</t>
  </si>
  <si>
    <t>http://adsabs.harvard.edu/abs/1995ZPhyD..34..227K</t>
  </si>
  <si>
    <t>Maleki:1992:524</t>
  </si>
  <si>
    <t>http://adsabs.harvard.edu/abs/1992PhRvA..45..524M</t>
  </si>
  <si>
    <t>Martensson-Pendrill:1992:4675</t>
  </si>
  <si>
    <t>http://adsabs.harvard.edu/abs/1992PhRvA..45.4675M</t>
  </si>
  <si>
    <t>Nortershauser:1998:33</t>
  </si>
  <si>
    <t>http://adsabs.harvard.edu/abs/1998EPJD....2...33N</t>
  </si>
  <si>
    <t>Palmer:1984:2197</t>
  </si>
  <si>
    <t>http://adsabs.harvard.edu/abs/1984JPhB...17.2197P</t>
  </si>
  <si>
    <t>Safronova:2001:052501</t>
  </si>
  <si>
    <t>http://adsabs.harvard.edu/abs/2001PhRvA..64e2501S</t>
  </si>
  <si>
    <r>
      <t xml:space="preserve">Wolf:2008:</t>
    </r>
    <r>
      <rPr>
        <rFont val="Arial"/>
        <family val="2"/>
        <color rgb="00141413"/>
        <sz val="10"/>
      </rPr>
      <t xml:space="preserve">032511</t>
    </r>
  </si>
  <si>
    <t>http://adsabs.harvard.edu/abs/2008PhRvA..78c2511W</t>
  </si>
  <si>
    <t>Wolf:2009:223901</t>
  </si>
  <si>
    <t>http://adsabs.harvard.edu/abs/2009PhRvL.102v3901W</t>
  </si>
  <si>
    <t>TiII</t>
  </si>
  <si>
    <t>3\rm{d}^24\rm{s}~a^4\rm{F}_{3/2}</t>
  </si>
  <si>
    <t>3\rm{d}4\rm{s}4\rm{p}^4\rm{D}_{1/2}</t>
  </si>
  <si>
    <t>i_1</t>
  </si>
  <si>
    <t>50; 49.9447912</t>
  </si>
  <si>
    <t>49; 48.9478700</t>
  </si>
  <si>
    <t>48; 47.9479463</t>
  </si>
  <si>
    <t>47; 46.9517631</t>
  </si>
  <si>
    <t>46; 45.9526316</t>
  </si>
  <si>
    <t>3\rm{d}4\rm{s}4\rm{p}^4\rm{F}_{3/2}</t>
  </si>
  <si>
    <t>i_2</t>
  </si>
  <si>
    <t>Aldenius:2009:014008,Ruffoni:2010:424,Nave:2012:1570</t>
  </si>
  <si>
    <t>3\rm{d}^24\rm{p~z}^4\rm{D}_{3/2}</t>
  </si>
  <si>
    <t>i_3</t>
  </si>
  <si>
    <t>3\rm{d}^24\rm{p~z}^4\rm{D}_{1/2}</t>
  </si>
  <si>
    <t>i_4</t>
  </si>
  <si>
    <t>Aldenius:2009:014008,Nave:2012:1570</t>
  </si>
  <si>
    <t>3\rm{d}^24\rm{p~z}^4\rm{F}_{5/2}</t>
  </si>
  <si>
    <t>i_5</t>
  </si>
  <si>
    <t>3\rm{d}^24\rm{p~z}^4\rm{F}_{3/2}</t>
  </si>
  <si>
    <t>i_6</t>
  </si>
  <si>
    <t>3\rm{d}^24\rm{p~z}^4\rm{G}_{5/2}</t>
  </si>
  <si>
    <t>i_7</t>
  </si>
  <si>
    <t>Aldenius:2009:014008 wavenumbers increased by 3.7 parts per 10^8 – see Nave:2012:1570</t>
  </si>
  <si>
    <t>Weighted mean</t>
  </si>
  <si>
    <t>Scaled Aldenius:2009:014008 value</t>
  </si>
  <si>
    <t>Normal, specific and total mass shift constants, the field shift constant and deviation in mean-square nuclear radii [Murphy:2013]</t>
  </si>
  <si>
    <t>Separations between isotopes [MHz] from Berengut:2008:235702</t>
  </si>
  <si>
    <t>Isotopic wavenumbers [/cm]</t>
  </si>
  <si>
    <t>46,48</t>
  </si>
  <si>
    <t>47,48</t>
  </si>
  <si>
    <t>50,48</t>
  </si>
  <si>
    <t>49,48</t>
  </si>
  <si>
    <t>Aldenius:2009:014008</t>
  </si>
  <si>
    <t>http://adsabs.harvard.edu/abs/2009PhST..134a4008A</t>
  </si>
  <si>
    <t>Berengut:2008:235702</t>
  </si>
  <si>
    <t>http://adsabs.harvard.edu/abs/2008JPhB...41w5702B</t>
  </si>
  <si>
    <t>Nave:2012:1570</t>
  </si>
  <si>
    <t>http://adsabs.harvard.edu/abs/2012MNRAS.420.1570N</t>
  </si>
  <si>
    <t>Ruffoni:2010:424</t>
  </si>
  <si>
    <t>http://adsabs.harvard.edu/abs/2010ApJ...725..424R</t>
  </si>
  <si>
    <t>CrII</t>
  </si>
  <si>
    <t>Aldenius:2009:014008,Pickering:2000:163,Nave:2012:1570</t>
  </si>
  <si>
    <t>3\rm{d}^5~^6\rm{S}_{5/2}</t>
  </si>
  <si>
    <t>3\rm{d}^44\rm{p}~^6\rm{P}_{7/2}</t>
  </si>
  <si>
    <t>j_1</t>
  </si>
  <si>
    <t>54; 53.9388804</t>
  </si>
  <si>
    <t>53; 52.9406494</t>
  </si>
  <si>
    <t>52; 51.9405075</t>
  </si>
  <si>
    <t>50; 49.9460442</t>
  </si>
  <si>
    <t>3\rm{d}^44\rm{p}~^6\rm{P}_{5/2}</t>
  </si>
  <si>
    <t>j_2</t>
  </si>
  <si>
    <t>3\rm{d}^44\rm{p}~^6\rm{P}_{3/2}</t>
  </si>
  <si>
    <t>j_3</t>
  </si>
  <si>
    <t>Pickering:2000:163 wavenumbers increased by 10.6 parts per 10^8 – see Nave:2012:1570</t>
  </si>
  <si>
    <t>Isotopic separation [km/s] [Berengut:2011:052520]</t>
  </si>
  <si>
    <t>Berengut:2011:052520</t>
  </si>
  <si>
    <t>http://adsabs.harvard.edu/abs/2011PhRvA..84e2520B</t>
  </si>
  <si>
    <t>Pickering:2000:163</t>
  </si>
  <si>
    <t>http://adsabs.harvard.edu/abs/2000MNRAS.319..163P</t>
  </si>
  <si>
    <t>MnII</t>
  </si>
  <si>
    <t>Aldenius:2009:014008,Blackwell-Whitehead:2005:705,Nave:2012:1570</t>
  </si>
  <si>
    <t>3\rm{d}^54\rm{s~a}^7\rm{S}_3</t>
  </si>
  <si>
    <t>3\rm{d}^54\rm{p~z}^7\rm{P}_4</t>
  </si>
  <si>
    <t>k_1</t>
  </si>
  <si>
    <t>F=0.5,1.5</t>
  </si>
  <si>
    <t>F=1.5,2.5</t>
  </si>
  <si>
    <t>F=2.5</t>
  </si>
  <si>
    <t>F=1.5,2.5,3.5</t>
  </si>
  <si>
    <t>F=3.5</t>
  </si>
  <si>
    <t>F=2.5,3.5,4.5</t>
  </si>
  <si>
    <t>F=4.5</t>
  </si>
  <si>
    <t>F=3.5,4.5,5.5</t>
  </si>
  <si>
    <t>F=5.5</t>
  </si>
  <si>
    <t>F=4.5,5.5,6.5</t>
  </si>
  <si>
    <t>3\rm{d}^54\rm{p~z}^7\rm{P}_3</t>
  </si>
  <si>
    <t>k_2</t>
  </si>
  <si>
    <t>F=0.5,1.5,2.5</t>
  </si>
  <si>
    <t>F=4.5,5.5</t>
  </si>
  <si>
    <t>3\rm{d}^54\rm{p~z}^7\rm{P}_2</t>
  </si>
  <si>
    <t>k_3</t>
  </si>
  <si>
    <t>F=3.5,4.5</t>
  </si>
  <si>
    <t>Blackwell-Whitehead:2005:705 wavenumbers increased by 10.6 parts per 10^8, similar to those of similarly-calibrated lines from Pickering:2000:163 – see Nave:2012:1570</t>
  </si>
  <si>
    <t>Transition/Lower quantum number</t>
  </si>
  <si>
    <t>Upper quantum number</t>
  </si>
  <si>
    <t>w [/cm] [Blackwell-Whitehead:2005:705]</t>
  </si>
  <si>
    <t>Intensity [Blackwell-Whitehead:2005:705]</t>
  </si>
  <si>
    <t>w [/cm] for grouped HFS components</t>
  </si>
  <si>
    <t>Relative intensity of grouped HFS components</t>
  </si>
  <si>
    <t>w [/cm] scaled to match COG measurements</t>
  </si>
  <si>
    <t>Blackwell-Whitehead:2005:705</t>
  </si>
  <si>
    <t>http://adsabs.harvard.edu/abs/2005MNRAS.364..705B</t>
  </si>
  <si>
    <t>FeII</t>
  </si>
  <si>
    <t>3\rm{d}^64\rm{s~a}^6\rm{D}_{9/2}</t>
  </si>
  <si>
    <t>3\rm{d}^54\rm{s}4\rm{p~y}^6\rm{P}_{7/2}</t>
  </si>
  <si>
    <t>l_1</t>
  </si>
  <si>
    <t>58; 57.9332756</t>
  </si>
  <si>
    <t>57; 56.9353940</t>
  </si>
  <si>
    <t>56; 55.9349375</t>
  </si>
  <si>
    <t>54; 53.9396105</t>
  </si>
  <si>
    <t>3\rm{d}^64\rm{p~y}^4\rm{F}_{7/2}</t>
  </si>
  <si>
    <t>l_2</t>
  </si>
  <si>
    <t>3\rm{d}^64\rm{p~z}^4\rm{D}_{7/2}</t>
  </si>
  <si>
    <t>l_3</t>
  </si>
  <si>
    <r>
      <t xml:space="preserve">Aldenius:2009:014008,</t>
    </r>
    <r>
      <rPr>
        <rFont val="Arial"/>
        <family val="2"/>
        <sz val="9"/>
      </rPr>
      <t xml:space="preserve">Nave:2012:1570</t>
    </r>
  </si>
  <si>
    <t>3\rm{d}^64\rm{p~z}^4\rm{F}_{9/2}</t>
  </si>
  <si>
    <t>l_4</t>
  </si>
  <si>
    <t>3\rm{d}^64\rm{p~z}^6\rm{P}_{7/2}</t>
  </si>
  <si>
    <t>l_5</t>
  </si>
  <si>
    <t>3\rm{d}^64\rm{p~z}^6\rm{F}_{7/2}</t>
  </si>
  <si>
    <t>l_6</t>
  </si>
  <si>
    <t>3\rm{d}^64\rm{p~z}^6\rm{F}_{9/2}</t>
  </si>
  <si>
    <t>l_7</t>
  </si>
  <si>
    <t>3\rm{d}^64\rm{p~z}^6\rm{F}_{11/2}</t>
  </si>
  <si>
    <t>l_8</t>
  </si>
  <si>
    <t>3\rm{d}^64\rm{p~z}^6\rm{D}_{7/2}</t>
  </si>
  <si>
    <t>l_9</t>
  </si>
  <si>
    <t>3\rm{d}^64\rm{p~z}^6\rm{D}_{9/2}</t>
  </si>
  <si>
    <t>l_10</t>
  </si>
  <si>
    <t>Normal, specific and total mass shift constants [GHz] [Porsev:2009:032519]</t>
  </si>
  <si>
    <t>k_NMS</t>
  </si>
  <si>
    <t>k_SMS</t>
  </si>
  <si>
    <t>k_MS</t>
  </si>
  <si>
    <t>Porsev:2009:032519</t>
  </si>
  <si>
    <t>http://adsabs.harvard.edu/abs/2009PhRvA..79c2519P</t>
  </si>
  <si>
    <t>NiII</t>
  </si>
  <si>
    <t>Pickering:2000:163,Nave:2012:1570</t>
  </si>
  <si>
    <t>3\rm{d}^9~^2\rm{D}_{5/2}</t>
  </si>
  <si>
    <t>3\rm{d}^84\rm{p~z}^2\rm{F}_{5/2}</t>
  </si>
  <si>
    <t>m_1</t>
  </si>
  <si>
    <t>3\rm{d}^84\rm{p~z}^2\rm{D}_{5/2}</t>
  </si>
  <si>
    <t>m_2</t>
  </si>
  <si>
    <t>3\rm{d}^84\rm{p~z}^2\rm{F}_{7/2}</t>
  </si>
  <si>
    <t>m_3</t>
  </si>
  <si>
    <t>ZnII</t>
  </si>
  <si>
    <t>Aldenius:2009:014008,Pickering:2000:163,Ruffoni:2010:424,Nave:2012:1570</t>
  </si>
  <si>
    <t>3\rm{d}^{10}4\rm{s}~^2\rm{S}_{1/2}</t>
  </si>
  <si>
    <t>3\rm{d}^{10}4\rm{p}~^2\rm{P}_{3/2}</t>
  </si>
  <si>
    <t>n_1</t>
  </si>
  <si>
    <t>70; 69.9253193</t>
  </si>
  <si>
    <t>68; 67.9248442</t>
  </si>
  <si>
    <t>67; 66.9271273</t>
  </si>
  <si>
    <t>Campbell:1997:2351,Matsubara:2003:209,Dixit:2008:025001</t>
  </si>
  <si>
    <t>66; 65.9260334</t>
  </si>
  <si>
    <t>64; 63.9291422</t>
  </si>
  <si>
    <t>3\rm{d}^{10}4\rm{p}~^2\rm{P}_{1/2}</t>
  </si>
  <si>
    <t>n_2</t>
  </si>
  <si>
    <t>Berengut:2003:022502,Matsubara:2003:209</t>
  </si>
  <si>
    <t>Campbell:1997:2351,Berengut:2003:022502,Matsubara:2003:209,Dixit:2008:025001</t>
  </si>
  <si>
    <t>Normal, specific and total mass shift constants and the product of the field shift constant and the deviation in mean-square nuclear radii [Campbell:1997:2351,Matsubara:2003:209,Berengut:2003:022502]</t>
  </si>
  <si>
    <t>ek_SMS [GHz amu]</t>
  </si>
  <si>
    <t>F*d&lt;r^2&gt; [MHz]</t>
  </si>
  <si>
    <t>e(F*d&lt;r^2&gt;) [MHz]</t>
  </si>
  <si>
    <t>Specific mass shift constant derived from data of Matsubara:2003:209. Field shift here is that for 67-66 and is derived by scaling F*d&lt;r^2&gt; for 66-64 by the 67-66 vs. 66-64 relative d&lt;r^2&gt; value from Campbell:1997:2351. </t>
  </si>
  <si>
    <t>Specific mass shift is that calculated by Berengut:2003:022502, scaled up by the ratio of the calculated-vs.-measured specific mass shift values for the 2026 line. Field shift assumed to be the same as for 2026 line – calculations of Berengut:2003:022502 justify this.</t>
  </si>
  <si>
    <t>4s1/2</t>
  </si>
  <si>
    <t>Magnetic dipole (A), calculation – Dixit:2008:025001</t>
  </si>
  <si>
    <t>4p1/2</t>
  </si>
  <si>
    <t>A, calculation – same as above</t>
  </si>
  <si>
    <t>4p3/2</t>
  </si>
  <si>
    <t>Electric quadrupole (B), calculation – same as above</t>
  </si>
  <si>
    <t>67ZnII2026 isotopic+hyperfine structure</t>
  </si>
  <si>
    <t>dw [cm-1]</t>
  </si>
  <si>
    <t>dw (IS+HFS) [cm-1]</t>
  </si>
  <si>
    <t>edw(IS+HFS) [cm-1]</t>
  </si>
  <si>
    <t>67ZnII2062 isotopic+hyperfine structure</t>
  </si>
  <si>
    <t>2F_up+1</t>
  </si>
  <si>
    <t>2F_low+1</t>
  </si>
  <si>
    <t>Campbell:1997:2351</t>
  </si>
  <si>
    <t>http://adsabs.harvard.edu/abs/1997JPhB...30.2351C</t>
  </si>
  <si>
    <t>Dixit:2008:25001</t>
  </si>
  <si>
    <t>http://adsabs.harvard.edu/abs/2008JPhB...41b5001D</t>
  </si>
  <si>
    <t>Matsubara:2003:209</t>
  </si>
  <si>
    <t>http://adsabs.harvard.edu/abs/2003ApPhB..76..209M</t>
  </si>
  <si>
    <t>6J Symbol tabulation</t>
  </si>
  <si>
    <t>J_low</t>
  </si>
  <si>
    <t>J_high</t>
  </si>
  <si>
    <t>F_high</t>
  </si>
  <si>
    <t>6JSymbol</t>
  </si>
</sst>
</file>

<file path=xl/styles.xml><?xml version="1.0" encoding="utf-8"?>
<styleSheet xmlns="http://schemas.openxmlformats.org/spreadsheetml/2006/main">
  <numFmts count="19">
    <numFmt formatCode="GENERAL" numFmtId="164"/>
    <numFmt formatCode="DD/MM/YYYY" numFmtId="165"/>
    <numFmt formatCode="MM/DD/YY" numFmtId="166"/>
    <numFmt formatCode="0.00000000" numFmtId="167"/>
    <numFmt formatCode="0.0000" numFmtId="168"/>
    <numFmt formatCode="0.000000" numFmtId="169"/>
    <numFmt formatCode="0" numFmtId="170"/>
    <numFmt formatCode="0.00" numFmtId="171"/>
    <numFmt formatCode="0.000E+00" numFmtId="172"/>
    <numFmt formatCode="0.0%" numFmtId="173"/>
    <numFmt formatCode="0.00E+00" numFmtId="174"/>
    <numFmt formatCode="0.0000000" numFmtId="175"/>
    <numFmt formatCode="#,##0.00" numFmtId="176"/>
    <numFmt formatCode="0.00%" numFmtId="177"/>
    <numFmt formatCode="0.0" numFmtId="178"/>
    <numFmt formatCode="0.000" numFmtId="179"/>
    <numFmt formatCode="#,##0.000" numFmtId="180"/>
    <numFmt formatCode="0.00000" numFmtId="181"/>
    <numFmt formatCode="0.000%" numFmtId="182"/>
  </numFmts>
  <fonts count="12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color rgb="00000000"/>
      <sz val="12"/>
    </font>
    <font>
      <name val="Arial"/>
      <family val="2"/>
      <b val="true"/>
      <sz val="10"/>
    </font>
    <font>
      <name val="Arial"/>
      <family val="2"/>
      <color rgb="00000000"/>
      <sz val="10"/>
    </font>
    <font>
      <name val="Arial Unicode MS"/>
      <family val="2"/>
      <sz val="10"/>
    </font>
    <font>
      <name val="Arial"/>
      <family val="2"/>
      <color rgb="000000FF"/>
      <sz val="10"/>
    </font>
    <font>
      <name val="Arial"/>
      <family val="2"/>
      <color rgb="00141413"/>
      <sz val="10"/>
    </font>
    <font>
      <name val="Arial"/>
      <family val="2"/>
      <sz val="9.5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5" numFmtId="165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8" numFmtId="164" xfId="0"/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6" xfId="0">
      <alignment horizontal="right" indent="0" shrinkToFit="false" textRotation="0" vertical="bottom" wrapText="false"/>
    </xf>
    <xf applyAlignment="false" applyBorder="false" applyFont="true" applyProtection="false" borderId="0" fillId="0" fontId="0" numFmtId="167" xfId="0"/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9" xfId="0"/>
    <xf applyAlignment="false" applyBorder="false" applyFont="false" applyProtection="false" borderId="0" fillId="0" fontId="0" numFmtId="169" xfId="0"/>
    <xf applyAlignment="false" applyBorder="false" applyFont="false" applyProtection="false" borderId="0" fillId="0" fontId="0" numFmtId="170" xfId="0"/>
    <xf applyAlignment="false" applyBorder="false" applyFont="false" applyProtection="false" borderId="0" fillId="0" fontId="0" numFmtId="171" xfId="0"/>
    <xf applyAlignment="false" applyBorder="false" applyFont="false" applyProtection="false" borderId="0" fillId="0" fontId="0" numFmtId="172" xfId="0"/>
    <xf applyAlignment="false" applyBorder="false" applyFont="false" applyProtection="false" borderId="0" fillId="0" fontId="0" numFmtId="173" xfId="0"/>
    <xf applyAlignment="false" applyBorder="false" applyFont="false" applyProtection="false" borderId="0" fillId="0" fontId="0" numFmtId="174" xfId="0"/>
    <xf applyAlignment="false" applyBorder="false" applyFont="false" applyProtection="false" borderId="0" fillId="0" fontId="0" numFmtId="175" xfId="0"/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76" xfId="0"/>
    <xf applyAlignment="false" applyBorder="false" applyFont="false" applyProtection="false" borderId="0" fillId="0" fontId="0" numFmtId="177" xfId="0"/>
    <xf applyAlignment="true" applyBorder="false" applyFont="true" applyProtection="false" borderId="0" fillId="0" fontId="0" numFmtId="167" xfId="0">
      <alignment horizontal="center" indent="0" shrinkToFit="false" textRotation="0" vertical="center" wrapText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0" numFmtId="167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9" numFmtId="169" xfId="0"/>
    <xf applyAlignment="false" applyBorder="false" applyFont="false" applyProtection="false" borderId="0" fillId="0" fontId="0" numFmtId="178" xfId="0"/>
    <xf applyAlignment="false" applyBorder="false" applyFont="false" applyProtection="false" borderId="0" fillId="0" fontId="0" numFmtId="178" xfId="0"/>
    <xf applyAlignment="false" applyBorder="false" applyFont="true" applyProtection="false" borderId="0" fillId="0" fontId="0" numFmtId="169" xfId="0"/>
    <xf applyAlignment="false" applyBorder="false" applyFont="false" applyProtection="false" borderId="0" fillId="0" fontId="0" numFmtId="179" xfId="0"/>
    <xf applyAlignment="false" applyBorder="false" applyFont="false" applyProtection="false" borderId="0" fillId="0" fontId="0" numFmtId="180" xfId="0"/>
    <xf applyAlignment="false" applyBorder="false" applyFont="true" applyProtection="false" borderId="0" fillId="0" fontId="0" numFmtId="171" xfId="0"/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71" xfId="0"/>
    <xf applyAlignment="true" applyBorder="false" applyFont="false" applyProtection="false" borderId="0" fillId="0" fontId="0" numFmtId="169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69" xfId="0"/>
    <xf applyAlignment="true" applyBorder="false" applyFont="false" applyProtection="false" borderId="0" fillId="0" fontId="0" numFmtId="168" xfId="0">
      <alignment horizontal="general" indent="0" shrinkToFit="false" textRotation="0" vertical="center" wrapText="false"/>
    </xf>
    <xf applyAlignment="true" applyBorder="false" applyFont="false" applyProtection="false" borderId="0" fillId="0" fontId="0" numFmtId="181" xfId="0">
      <alignment horizontal="general" indent="0" shrinkToFit="false" textRotation="0" vertical="center" wrapText="false"/>
    </xf>
    <xf applyAlignment="true" applyBorder="false" applyFont="true" applyProtection="false" borderId="0" fillId="0" fontId="0" numFmtId="169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75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68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81" xfId="0"/>
    <xf applyAlignment="false" applyBorder="false" applyFont="false" applyProtection="false" borderId="0" fillId="0" fontId="0" numFmtId="181" xfId="0"/>
    <xf applyAlignment="true" applyBorder="false" applyFont="false" applyProtection="false" borderId="0" fillId="0" fontId="0" numFmtId="181" xfId="0">
      <alignment horizontal="general" indent="0" shrinkToFit="false" textRotation="0" vertical="bottom" wrapText="false"/>
    </xf>
    <xf applyAlignment="true" applyBorder="false" applyFont="false" applyProtection="false" borderId="0" fillId="0" fontId="0" numFmtId="169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75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81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9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9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9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73" xfId="0"/>
    <xf applyAlignment="false" applyBorder="false" applyFont="true" applyProtection="false" borderId="0" fillId="0" fontId="0" numFmtId="177" xfId="0"/>
    <xf applyAlignment="true" applyBorder="false" applyFont="true" applyProtection="false" borderId="0" fillId="0" fontId="0" numFmtId="171" xfId="0">
      <alignment horizontal="left" indent="0" shrinkToFit="false" textRotation="0" vertical="bottom" wrapText="false"/>
    </xf>
    <xf applyAlignment="true" applyBorder="false" applyFont="true" applyProtection="false" borderId="0" fillId="0" fontId="0" numFmtId="175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7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75" xfId="0"/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67" xfId="0">
      <alignment horizontal="left" indent="0" shrinkToFit="false" textRotation="0" vertical="bottom" wrapText="true"/>
    </xf>
    <xf applyAlignment="true" applyBorder="false" applyFont="true" applyProtection="false" borderId="0" fillId="0" fontId="0" numFmtId="179" xfId="0">
      <alignment horizontal="left" indent="0" shrinkToFit="false" textRotation="0" vertical="bottom" wrapText="false"/>
    </xf>
    <xf applyAlignment="true" applyBorder="false" applyFont="true" applyProtection="false" borderId="0" fillId="0" fontId="0" numFmtId="181" xfId="0">
      <alignment horizontal="left" indent="0" shrinkToFit="false" textRotation="0" vertical="bottom" wrapText="false"/>
    </xf>
    <xf applyAlignment="true" applyBorder="false" applyFont="true" applyProtection="false" borderId="0" fillId="0" fontId="0" numFmtId="170" xfId="0">
      <alignment horizontal="left" indent="0" shrinkToFit="false" textRotation="0" vertical="bottom" wrapText="false"/>
    </xf>
    <xf applyAlignment="true" applyBorder="false" applyFont="true" applyProtection="false" borderId="0" fillId="0" fontId="0" numFmtId="177" xfId="0">
      <alignment horizontal="left" indent="0" shrinkToFit="false" textRotation="0" vertical="bottom" wrapText="false"/>
    </xf>
    <xf applyAlignment="false" applyBorder="false" applyFont="true" applyProtection="false" borderId="0" fillId="0" fontId="6" numFmtId="170" xfId="0"/>
    <xf applyAlignment="true" applyBorder="false" applyFont="true" applyProtection="false" borderId="0" fillId="0" fontId="0" numFmtId="181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81" xfId="0">
      <alignment horizontal="center" indent="0" shrinkToFit="false" textRotation="0" vertical="center" wrapText="false"/>
    </xf>
    <xf applyAlignment="false" applyBorder="false" applyFont="true" applyProtection="false" borderId="0" fillId="0" fontId="0" numFmtId="179" xfId="0"/>
    <xf applyAlignment="false" applyBorder="false" applyFont="true" applyProtection="false" borderId="0" fillId="0" fontId="0" numFmtId="168" xfId="0"/>
    <xf applyAlignment="false" applyBorder="false" applyFont="false" applyProtection="false" borderId="0" fillId="0" fontId="0" numFmtId="182" xfId="0"/>
    <xf applyAlignment="false" applyBorder="false" applyFont="true" applyProtection="false" borderId="0" fillId="0" fontId="0" numFmtId="182" xfId="0"/>
    <xf applyAlignment="true" applyBorder="false" applyFont="true" applyProtection="false" borderId="0" fillId="0" fontId="0" numFmtId="182" xfId="0">
      <alignment horizontal="left" indent="0" shrinkToFit="false" textRotation="0" vertical="bottom" wrapText="false"/>
    </xf>
    <xf applyAlignment="false" applyBorder="false" applyFont="true" applyProtection="false" borderId="0" fillId="0" fontId="5" numFmtId="179" xfId="0"/>
    <xf applyAlignment="true" applyBorder="false" applyFont="true" applyProtection="false" borderId="0" fillId="0" fontId="0" numFmtId="178" xfId="0">
      <alignment horizontal="left" indent="0" shrinkToFit="false" textRotation="0" vertical="bottom" wrapText="false"/>
    </xf>
    <xf applyAlignment="true" applyBorder="false" applyFont="true" applyProtection="false" borderId="0" fillId="0" fontId="10" numFmtId="169" xfId="0">
      <alignment horizontal="left" indent="0" shrinkToFit="false" textRotation="0" vertical="bottom" wrapText="false"/>
    </xf>
    <xf applyAlignment="true" applyBorder="false" applyFont="true" applyProtection="false" borderId="0" fillId="0" fontId="8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9" numFmtId="178" xfId="0"/>
    <xf applyAlignment="false" applyBorder="false" applyFont="true" applyProtection="false" borderId="0" fillId="0" fontId="0" numFmtId="170" xfId="0"/>
    <xf applyAlignment="false" applyBorder="false" applyFont="true" applyProtection="false" borderId="0" fillId="0" fontId="0" numFmtId="178" xfId="0"/>
    <xf applyAlignment="false" applyBorder="false" applyFont="true" applyProtection="false" borderId="0" fillId="0" fontId="6" numFmtId="168" xfId="0"/>
    <xf applyAlignment="true" applyBorder="false" applyFont="true" applyProtection="false" borderId="0" fillId="0" fontId="0" numFmtId="168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74" xfId="0"/>
    <xf applyAlignment="true" applyBorder="false" applyFont="true" applyProtection="false" borderId="0" fillId="0" fontId="0" numFmtId="178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79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67" xfId="0">
      <alignment horizontal="left" indent="0" shrinkToFit="false" textRotation="0" vertical="center" wrapText="true"/>
    </xf>
    <xf applyAlignment="true" applyBorder="false" applyFont="true" applyProtection="false" borderId="0" fillId="0" fontId="6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71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81" xfId="0"/>
    <xf applyAlignment="false" applyBorder="false" applyFont="true" applyProtection="false" borderId="0" fillId="0" fontId="6" numFmtId="169" xfId="0"/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41413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handle.unsw.edu.au/1959.4/23900" TargetMode="External"/><Relationship Id="rId2" Type="http://schemas.openxmlformats.org/officeDocument/2006/relationships/hyperlink" Target="http://adsabs.harvard.edu/abs/2011fvcf.book....9B" TargetMode="External"/><Relationship Id="rId3" Type="http://schemas.openxmlformats.org/officeDocument/2006/relationships/hyperlink" Target="http://adsabs.harvard.edu/abs/2003ApJS..149..205M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08JPhB...41w5702B" TargetMode="External"/><Relationship Id="rId3" Type="http://schemas.openxmlformats.org/officeDocument/2006/relationships/hyperlink" Target="http://adsabs.harvard.edu/abs/2012MNRAS.420.1570N" TargetMode="External"/><Relationship Id="rId4" Type="http://schemas.openxmlformats.org/officeDocument/2006/relationships/hyperlink" Target="http://adsabs.harvard.edu/abs/1998JPCRD..27.1275R" TargetMode="External"/><Relationship Id="rId5" Type="http://schemas.openxmlformats.org/officeDocument/2006/relationships/hyperlink" Target="http://adsabs.harvard.edu/abs/2010ApJ...725..424R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11PhRvA..84e2520B" TargetMode="External"/><Relationship Id="rId3" Type="http://schemas.openxmlformats.org/officeDocument/2006/relationships/hyperlink" Target="http://adsabs.harvard.edu/abs/2012MNRAS.420.1570N" TargetMode="External"/><Relationship Id="rId4" Type="http://schemas.openxmlformats.org/officeDocument/2006/relationships/hyperlink" Target="http://adsabs.harvard.edu/abs/2000MNRAS.319..163P" TargetMode="External"/><Relationship Id="rId5" Type="http://schemas.openxmlformats.org/officeDocument/2006/relationships/hyperlink" Target="http://adsabs.harvard.edu/abs/1998JPCRD..27.1275R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12MNRAS.420.1570N" TargetMode="External"/><Relationship Id="rId3" Type="http://schemas.openxmlformats.org/officeDocument/2006/relationships/hyperlink" Target="http://adsabs.harvard.edu/abs/2000MNRAS.319..163P" TargetMode="External"/><Relationship Id="rId4" Type="http://schemas.openxmlformats.org/officeDocument/2006/relationships/hyperlink" Target="http://adsabs.harvard.edu/abs/2005MNRAS.364..705B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12MNRAS.420.1570N" TargetMode="External"/><Relationship Id="rId3" Type="http://schemas.openxmlformats.org/officeDocument/2006/relationships/hyperlink" Target="http://adsabs.harvard.edu/abs/2009PhRvA..79c2519P" TargetMode="External"/><Relationship Id="rId4" Type="http://schemas.openxmlformats.org/officeDocument/2006/relationships/hyperlink" Target="http://adsabs.harvard.edu/abs/1998JPCRD..27.1275R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12MNRAS.420.1570N" TargetMode="External"/><Relationship Id="rId2" Type="http://schemas.openxmlformats.org/officeDocument/2006/relationships/hyperlink" Target="http://adsabs.harvard.edu/abs/2000MNRAS.319..163P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03PhRvA..68b2502B" TargetMode="External"/><Relationship Id="rId3" Type="http://schemas.openxmlformats.org/officeDocument/2006/relationships/hyperlink" Target="http://adsabs.harvard.edu/abs/1997JPhB...30.2351C" TargetMode="External"/><Relationship Id="rId4" Type="http://schemas.openxmlformats.org/officeDocument/2006/relationships/hyperlink" Target="http://adsabs.harvard.edu/abs/2008JPhB...41b5001D" TargetMode="External"/><Relationship Id="rId5" Type="http://schemas.openxmlformats.org/officeDocument/2006/relationships/hyperlink" Target="http://adsabs.harvard.edu/abs/2012MNRAS.420.1570N" TargetMode="External"/><Relationship Id="rId6" Type="http://schemas.openxmlformats.org/officeDocument/2006/relationships/hyperlink" Target="http://adsabs.harvard.edu/abs/2000MNRAS.319..163P" TargetMode="External"/><Relationship Id="rId7" Type="http://schemas.openxmlformats.org/officeDocument/2006/relationships/hyperlink" Target="http://adsabs.harvard.edu/abs/2003ApPhB..76..209M" TargetMode="External"/><Relationship Id="rId8" Type="http://schemas.openxmlformats.org/officeDocument/2006/relationships/hyperlink" Target="http://adsabs.harvard.edu/abs/1998JPCRD..27.1275R" TargetMode="External"/><Relationship Id="rId9" Type="http://schemas.openxmlformats.org/officeDocument/2006/relationships/hyperlink" Target="http://adsabs.harvard.edu/abs/2010ApJ...725..424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1974ZPhy..270..173B" TargetMode="External"/><Relationship Id="rId2" Type="http://schemas.openxmlformats.org/officeDocument/2006/relationships/hyperlink" Target="http://adsabs.harvard.edu/abs/1981Metro..17...77J" TargetMode="External"/><Relationship Id="rId3" Type="http://schemas.openxmlformats.org/officeDocument/2006/relationships/hyperlink" Target="http://adsabs.harvard.edu/abs/1994ZPhyD..32...67W" TargetMode="External"/><Relationship Id="rId4" Type="http://schemas.openxmlformats.org/officeDocument/2006/relationships/hyperlink" Target="http://adsabs.harvard.edu/abs/1993PhRvA..48.1909Y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6PhRvA..74a2505H" TargetMode="External"/><Relationship Id="rId2" Type="http://schemas.openxmlformats.org/officeDocument/2006/relationships/hyperlink" Target="http://adsabs.harvard.edu/abs/1998JPCRD..27.1275R" TargetMode="External"/><Relationship Id="rId3" Type="http://schemas.openxmlformats.org/officeDocument/2006/relationships/hyperlink" Target="http://adsabs.harvard.edu/abs/2006MNRAS.373L..41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RvA..80b2503B" TargetMode="External"/><Relationship Id="rId2" Type="http://schemas.openxmlformats.org/officeDocument/2006/relationships/hyperlink" Target="http://adsabs.harvard.edu/abs/1980ApPhy..22..365D" TargetMode="External"/><Relationship Id="rId3" Type="http://schemas.openxmlformats.org/officeDocument/2006/relationships/hyperlink" Target="http://adsabs.harvard.edu/abs/1981PhRvA..24.1364I" TargetMode="External"/><Relationship Id="rId4" Type="http://schemas.openxmlformats.org/officeDocument/2006/relationships/hyperlink" Target="http://adsabs.harvard.edu/abs/1998JPCRD..27.1275R" TargetMode="External"/><Relationship Id="rId5" Type="http://schemas.openxmlformats.org/officeDocument/2006/relationships/hyperlink" Target="http://adsabs.harvard.edu/abs/2005EPJD...32...25S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0ApJ...536L.113G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0ApJ...536L.113G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0ApJ...536L.113G" TargetMode="External"/><Relationship Id="rId2" Type="http://schemas.openxmlformats.org/officeDocument/2006/relationships/hyperlink" Target="http://adsabs.harvard.edu/abs/1998JPCRD..27.1275R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3PhRvA..68b2502B" TargetMode="External"/><Relationship Id="rId2" Type="http://schemas.openxmlformats.org/officeDocument/2006/relationships/hyperlink" Target="http://adsabs.harvard.edu/abs/2000ApJ...536L.113G" TargetMode="External"/><Relationship Id="rId3" Type="http://schemas.openxmlformats.org/officeDocument/2006/relationships/hyperlink" Target="http://adsabs.harvard.edu/abs/1998JPCRD..27.1275R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1994ZPhyD..31...27A" TargetMode="External"/><Relationship Id="rId2" Type="http://schemas.openxmlformats.org/officeDocument/2006/relationships/hyperlink" Target="http://adsabs.harvard.edu/abs/2003PhRvA..68b2502B" TargetMode="External"/><Relationship Id="rId3" Type="http://schemas.openxmlformats.org/officeDocument/2006/relationships/hyperlink" Target="http://adsabs.harvard.edu/abs/1995ZPhyD..34..227K" TargetMode="External"/><Relationship Id="rId4" Type="http://schemas.openxmlformats.org/officeDocument/2006/relationships/hyperlink" Target="http://adsabs.harvard.edu/abs/1992PhRvA..45..524M" TargetMode="External"/><Relationship Id="rId5" Type="http://schemas.openxmlformats.org/officeDocument/2006/relationships/hyperlink" Target="http://adsabs.harvard.edu/abs/1992PhRvA..45.4675M" TargetMode="External"/><Relationship Id="rId6" Type="http://schemas.openxmlformats.org/officeDocument/2006/relationships/hyperlink" Target="http://adsabs.harvard.edu/abs/1998EPJD....2...33N" TargetMode="External"/><Relationship Id="rId7" Type="http://schemas.openxmlformats.org/officeDocument/2006/relationships/hyperlink" Target="http://adsabs.harvard.edu/abs/1984JPhB...17.2197P" TargetMode="External"/><Relationship Id="rId8" Type="http://schemas.openxmlformats.org/officeDocument/2006/relationships/hyperlink" Target="http://adsabs.harvard.edu/abs/1998JPCRD..27.1275R" TargetMode="External"/><Relationship Id="rId9" Type="http://schemas.openxmlformats.org/officeDocument/2006/relationships/hyperlink" Target="http://adsabs.harvard.edu/abs/2001PhRvA..64e2501S" TargetMode="External"/><Relationship Id="rId10" Type="http://schemas.openxmlformats.org/officeDocument/2006/relationships/hyperlink" Target="http://adsabs.harvard.edu/abs/2008PhRvA..78c2511W" TargetMode="External"/><Relationship Id="rId11" Type="http://schemas.openxmlformats.org/officeDocument/2006/relationships/hyperlink" Target="http://adsabs.harvard.edu/abs/2009PhRvL.102v3901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5" zoomScaleNormal="95" zoomScalePageLayoutView="100">
      <selection activeCell="A32" activeCellId="0" pane="topLeft" sqref="A32"/>
    </sheetView>
  </sheetViews>
  <cols>
    <col collapsed="false" hidden="false" max="1025" min="1" style="0" width="11.5764705882353"/>
  </cols>
  <sheetData>
    <row collapsed="false" customFormat="false" customHeight="false" hidden="false" ht="15.2" outlineLevel="0" r="1">
      <c r="A1" s="1" t="s">
        <v>0</v>
      </c>
      <c r="C1" s="2"/>
    </row>
    <row collapsed="false" customFormat="false" customHeight="false" hidden="false" ht="15.2" outlineLevel="0" r="2">
      <c r="A2" s="1" t="str">
        <f aca="false">A27</f>
        <v>Murphy:2014</v>
      </c>
      <c r="C2" s="2"/>
    </row>
    <row collapsed="false" customFormat="false" customHeight="false" hidden="false" ht="15.2" outlineLevel="0" r="3">
      <c r="A3" s="1"/>
      <c r="C3" s="2"/>
    </row>
    <row collapsed="false" customFormat="false" customHeight="false" hidden="false" ht="12.8" outlineLevel="0" r="4">
      <c r="A4" s="3" t="s">
        <v>1</v>
      </c>
      <c r="B4" s="4" t="n">
        <v>41565</v>
      </c>
    </row>
    <row collapsed="false" customFormat="false" customHeight="false" hidden="false" ht="12.8" outlineLevel="0" r="5">
      <c r="C5" s="2"/>
    </row>
    <row collapsed="false" customFormat="false" customHeight="false" hidden="false" ht="12.8" outlineLevel="0" r="6">
      <c r="A6" s="3" t="s">
        <v>2</v>
      </c>
      <c r="C6" s="2"/>
    </row>
    <row collapsed="false" customFormat="false" customHeight="false" hidden="false" ht="12.8" outlineLevel="0" r="7">
      <c r="A7" s="0" t="s">
        <v>3</v>
      </c>
      <c r="C7" s="2"/>
    </row>
    <row collapsed="false" customFormat="false" customHeight="false" hidden="false" ht="12.8" outlineLevel="0" r="8">
      <c r="A8" s="0" t="s">
        <v>4</v>
      </c>
      <c r="C8" s="2"/>
    </row>
    <row collapsed="false" customFormat="false" customHeight="false" hidden="false" ht="12.8" outlineLevel="0" r="9">
      <c r="A9" s="0" t="s">
        <v>5</v>
      </c>
      <c r="C9" s="2"/>
    </row>
    <row collapsed="false" customFormat="false" customHeight="false" hidden="false" ht="12.8" outlineLevel="0" r="10">
      <c r="A10" s="0" t="s">
        <v>6</v>
      </c>
      <c r="C10" s="2"/>
    </row>
    <row collapsed="false" customFormat="false" customHeight="false" hidden="false" ht="12.8" outlineLevel="0" r="11">
      <c r="A11" s="5" t="s">
        <v>7</v>
      </c>
      <c r="C11" s="2"/>
    </row>
    <row collapsed="false" customFormat="false" customHeight="false" hidden="false" ht="12.8" outlineLevel="0" r="12">
      <c r="A12" s="3" t="s">
        <v>8</v>
      </c>
      <c r="B12" s="3" t="s">
        <v>2</v>
      </c>
    </row>
    <row collapsed="false" customFormat="true" customHeight="false" hidden="false" ht="12.8" outlineLevel="0" r="13" s="5">
      <c r="A13" s="5" t="n">
        <v>0</v>
      </c>
      <c r="B13" s="5" t="s">
        <v>9</v>
      </c>
    </row>
    <row collapsed="false" customFormat="true" customHeight="false" hidden="false" ht="12.8" outlineLevel="0" r="14" s="5">
      <c r="A14" s="5" t="n">
        <v>1</v>
      </c>
      <c r="B14" s="6" t="s">
        <v>10</v>
      </c>
    </row>
    <row collapsed="false" customFormat="true" customHeight="false" hidden="false" ht="13.8" outlineLevel="0" r="15" s="5">
      <c r="A15" s="5" t="n">
        <v>2</v>
      </c>
      <c r="B15" s="6" t="s">
        <v>11</v>
      </c>
    </row>
    <row collapsed="false" customFormat="true" customHeight="false" hidden="false" ht="12.8" outlineLevel="0" r="16" s="5">
      <c r="A16" s="5" t="n">
        <v>3</v>
      </c>
      <c r="B16" s="6" t="s">
        <v>12</v>
      </c>
    </row>
    <row collapsed="false" customFormat="true" customHeight="false" hidden="false" ht="13.8" outlineLevel="0" r="17" s="5">
      <c r="A17" s="5" t="n">
        <v>4</v>
      </c>
      <c r="B17" s="6" t="s">
        <v>13</v>
      </c>
    </row>
    <row collapsed="false" customFormat="true" customHeight="false" hidden="false" ht="12.8" outlineLevel="0" r="18" s="5">
      <c r="A18" s="5" t="n">
        <v>5</v>
      </c>
      <c r="B18" s="6" t="s">
        <v>14</v>
      </c>
    </row>
    <row collapsed="false" customFormat="false" customHeight="false" hidden="false" ht="12.8" outlineLevel="0" r="19">
      <c r="A19" s="5" t="s">
        <v>15</v>
      </c>
    </row>
    <row collapsed="false" customFormat="false" customHeight="false" hidden="false" ht="15.75" outlineLevel="0" r="20">
      <c r="A20" s="0" t="s">
        <v>16</v>
      </c>
    </row>
    <row collapsed="false" customFormat="false" customHeight="false" hidden="false" ht="12.8" outlineLevel="0" r="21">
      <c r="A21" s="5" t="s">
        <v>17</v>
      </c>
    </row>
    <row collapsed="false" customFormat="false" customHeight="false" hidden="false" ht="12.8" outlineLevel="0" r="23">
      <c r="A23" s="3" t="s">
        <v>18</v>
      </c>
    </row>
    <row collapsed="false" customFormat="false" customHeight="false" hidden="false" ht="13.8" outlineLevel="0" r="24">
      <c r="A24" s="5" t="s">
        <v>19</v>
      </c>
      <c r="B24" s="7" t="s">
        <v>20</v>
      </c>
    </row>
    <row collapsed="false" customFormat="false" customHeight="false" hidden="false" ht="13.8" outlineLevel="0" r="25">
      <c r="A25" s="0" t="s">
        <v>21</v>
      </c>
      <c r="B25" s="7" t="s">
        <v>22</v>
      </c>
    </row>
    <row collapsed="false" customFormat="false" customHeight="false" hidden="false" ht="13.8" outlineLevel="0" r="26">
      <c r="A26" s="0" t="s">
        <v>23</v>
      </c>
      <c r="B26" s="7" t="s">
        <v>24</v>
      </c>
    </row>
    <row collapsed="false" customFormat="false" customHeight="false" hidden="false" ht="12.8" outlineLevel="0" r="27">
      <c r="A27" s="8" t="s">
        <v>25</v>
      </c>
      <c r="B27" s="8" t="s">
        <v>26</v>
      </c>
    </row>
    <row collapsed="false" customFormat="false" customHeight="false" hidden="false" ht="12.8" outlineLevel="0" r="29">
      <c r="A29" s="3" t="s">
        <v>27</v>
      </c>
    </row>
    <row collapsed="false" customFormat="false" customHeight="false" hidden="false" ht="12.8" outlineLevel="0" r="30">
      <c r="A30" s="0" t="s">
        <v>1</v>
      </c>
      <c r="B30" s="0" t="s">
        <v>28</v>
      </c>
    </row>
    <row collapsed="false" customFormat="false" customHeight="false" hidden="false" ht="12.8" outlineLevel="0" r="31">
      <c r="A31" s="2" t="n">
        <v>41565</v>
      </c>
      <c r="B31" s="0" t="s">
        <v>29</v>
      </c>
    </row>
    <row collapsed="false" customFormat="false" customHeight="false" hidden="false" ht="12.8" outlineLevel="0" r="32">
      <c r="A32" s="2" t="n">
        <v>41492</v>
      </c>
      <c r="B32" s="0" t="s">
        <v>30</v>
      </c>
    </row>
  </sheetData>
  <hyperlinks>
    <hyperlink display="http://handle.unsw.edu.au/1959.4/23900" ref="B24" r:id="rId1"/>
    <hyperlink display="http://adsabs.harvard.edu/abs/2011fvcf.book....9B" ref="B25" r:id="rId2"/>
    <hyperlink display="http://adsabs.harvard.edu/abs/2003ApJS..149..205M" ref="B26" r:id="rId3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B2" activeCellId="0" pane="topLeft" sqref="B2"/>
    </sheetView>
  </sheetViews>
  <cols>
    <col collapsed="false" hidden="false" max="1" min="1" style="5" width="13.2588235294118"/>
    <col collapsed="false" hidden="false" max="2" min="2" style="5" width="12.0549019607843"/>
    <col collapsed="false" hidden="false" max="3" min="3" style="5" width="12.6627450980392"/>
    <col collapsed="false" hidden="false" max="4" min="4" style="5" width="14.7411764705882"/>
    <col collapsed="false" hidden="false" max="5" min="5" style="5" width="13.9176470588235"/>
    <col collapsed="false" hidden="false" max="6" min="6" style="5" width="12.7803921568627"/>
    <col collapsed="false" hidden="false" max="7" min="7" style="5" width="8.43921568627451"/>
    <col collapsed="false" hidden="false" max="8" min="8" style="5" width="15.3137254901961"/>
    <col collapsed="false" hidden="false" max="9" min="9" style="5" width="13.3686274509804"/>
    <col collapsed="false" hidden="false" max="10" min="10" style="5" width="13.2588235294118"/>
    <col collapsed="false" hidden="false" max="11" min="11" style="5" width="15.0039215686275"/>
    <col collapsed="false" hidden="false" max="12" min="12" style="5" width="30.0549019607843"/>
    <col collapsed="false" hidden="false" max="13" min="13" style="5" width="30.5411764705882"/>
    <col collapsed="false" hidden="false" max="14" min="14" style="5" width="13.0980392156863"/>
    <col collapsed="false" hidden="false" max="15" min="15" style="5" width="12.8156862745098"/>
    <col collapsed="false" hidden="false" max="16" min="16" style="5" width="13.0980392156863"/>
    <col collapsed="false" hidden="false" max="1025" min="17" style="5" width="11.5764705882353"/>
  </cols>
  <sheetData>
    <row collapsed="false" customFormat="false" customHeight="false" hidden="false" ht="12.8" outlineLevel="0" r="1">
      <c r="A1" s="5" t="s">
        <v>31</v>
      </c>
      <c r="B1" s="59" t="s">
        <v>193</v>
      </c>
    </row>
    <row collapsed="false" customFormat="false" customHeight="false" hidden="false" ht="12.8" outlineLevel="0" r="2">
      <c r="B2" s="10"/>
    </row>
    <row collapsed="false" customFormat="false" customHeight="false" hidden="false" ht="12.8" outlineLevel="0" r="3">
      <c r="A3" s="5" t="s">
        <v>33</v>
      </c>
      <c r="B3" s="10"/>
    </row>
    <row collapsed="false" customFormat="false" customHeight="false" hidden="false" ht="13.8" outlineLevel="0" r="4">
      <c r="A4" s="0" t="s">
        <v>34</v>
      </c>
      <c r="B4" s="0" t="s">
        <v>35</v>
      </c>
      <c r="C4" s="0" t="s">
        <v>36</v>
      </c>
      <c r="D4" s="0" t="s">
        <v>37</v>
      </c>
      <c r="E4" s="0" t="s">
        <v>38</v>
      </c>
      <c r="F4" s="0" t="s">
        <v>39</v>
      </c>
      <c r="G4" s="0" t="s">
        <v>8</v>
      </c>
      <c r="H4" s="0" t="s">
        <v>40</v>
      </c>
      <c r="I4" s="0" t="s">
        <v>41</v>
      </c>
      <c r="J4" s="0" t="s">
        <v>42</v>
      </c>
      <c r="K4" s="0" t="s">
        <v>43</v>
      </c>
      <c r="L4" s="0" t="s">
        <v>44</v>
      </c>
      <c r="M4" s="0" t="s">
        <v>45</v>
      </c>
      <c r="N4" s="0" t="s">
        <v>46</v>
      </c>
      <c r="O4" s="0" t="s">
        <v>47</v>
      </c>
      <c r="P4" s="0" t="s">
        <v>48</v>
      </c>
      <c r="Q4" s="0" t="s">
        <v>49</v>
      </c>
      <c r="R4" s="0" t="s">
        <v>50</v>
      </c>
      <c r="S4" s="0" t="s">
        <v>51</v>
      </c>
      <c r="T4" s="0" t="s">
        <v>52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12.8" outlineLevel="0" r="5">
      <c r="A5" s="5" t="s">
        <v>292</v>
      </c>
      <c r="B5" s="79" t="n">
        <f aca="false">A51</f>
        <v>1910.6</v>
      </c>
      <c r="C5" s="79" t="s">
        <v>54</v>
      </c>
      <c r="D5" s="32" t="n">
        <v>47.867</v>
      </c>
      <c r="E5" s="68" t="n">
        <f aca="false">J62</f>
        <v>52339.24</v>
      </c>
      <c r="F5" s="68" t="n">
        <f aca="false">K62</f>
        <v>0.001</v>
      </c>
      <c r="G5" s="5" t="n">
        <v>0</v>
      </c>
      <c r="H5" s="5" t="n">
        <f aca="false">K51</f>
        <v>0</v>
      </c>
      <c r="I5" s="44" t="n">
        <f aca="false">L62</f>
        <v>1910.61238183818</v>
      </c>
      <c r="J5" s="44" t="n">
        <f aca="false">M62</f>
        <v>3.65043967363335E-005</v>
      </c>
      <c r="K5" s="30" t="n">
        <f aca="false">299792458*J5/I5</f>
        <v>5.72787182236502</v>
      </c>
      <c r="L5" s="5" t="s">
        <v>293</v>
      </c>
      <c r="M5" s="5" t="s">
        <v>294</v>
      </c>
      <c r="N5" s="5" t="s">
        <v>295</v>
      </c>
      <c r="O5" s="34" t="n">
        <v>6.82</v>
      </c>
      <c r="P5" s="34" t="n">
        <v>13.58</v>
      </c>
      <c r="Q5" s="5" t="n">
        <v>0.104</v>
      </c>
      <c r="R5" s="18" t="n">
        <v>417000000</v>
      </c>
      <c r="S5" s="5" t="n">
        <f aca="false">-1414</f>
        <v>-1414</v>
      </c>
      <c r="T5" s="5" t="n">
        <f aca="false">170</f>
        <v>170</v>
      </c>
    </row>
    <row collapsed="false" customFormat="false" customHeight="false" hidden="false" ht="12.8" outlineLevel="0" r="6">
      <c r="A6" s="0"/>
      <c r="B6" s="0"/>
      <c r="C6" s="0" t="s">
        <v>143</v>
      </c>
      <c r="D6" s="14" t="s">
        <v>296</v>
      </c>
      <c r="E6" s="69" t="n">
        <f aca="false">J63</f>
        <v>52339.1552150621</v>
      </c>
      <c r="F6" s="11"/>
      <c r="G6" s="14" t="n">
        <v>3</v>
      </c>
      <c r="H6" s="0" t="n">
        <f aca="false">$A$158</f>
        <v>0</v>
      </c>
      <c r="I6" s="38" t="n">
        <f aca="false">L63</f>
        <v>1910.6154768662</v>
      </c>
      <c r="J6" s="13"/>
      <c r="K6" s="30"/>
      <c r="L6" s="0"/>
      <c r="M6" s="0"/>
      <c r="N6" s="0"/>
      <c r="O6" s="15"/>
      <c r="P6" s="15"/>
      <c r="Q6" s="83" t="n">
        <f aca="false">B63</f>
        <v>0.0518</v>
      </c>
      <c r="R6" s="18"/>
      <c r="S6" s="14"/>
      <c r="T6" s="14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12.8" outlineLevel="0" r="7">
      <c r="A7" s="0"/>
      <c r="B7" s="0"/>
      <c r="C7" s="0" t="s">
        <v>143</v>
      </c>
      <c r="D7" s="14" t="s">
        <v>297</v>
      </c>
      <c r="E7" s="69" t="n">
        <f aca="false">J64</f>
        <v>52339.1942733499</v>
      </c>
      <c r="F7" s="11"/>
      <c r="G7" s="14" t="n">
        <v>3</v>
      </c>
      <c r="H7" s="0" t="n">
        <f aca="false">H6</f>
        <v>0</v>
      </c>
      <c r="I7" s="38" t="n">
        <f aca="false">L64</f>
        <v>1910.61405106341</v>
      </c>
      <c r="J7" s="13"/>
      <c r="K7" s="30"/>
      <c r="L7" s="0"/>
      <c r="M7" s="0"/>
      <c r="N7" s="0"/>
      <c r="O7" s="15"/>
      <c r="P7" s="15"/>
      <c r="Q7" s="83" t="n">
        <f aca="false">B64</f>
        <v>0.0541</v>
      </c>
      <c r="R7" s="18"/>
      <c r="S7" s="14"/>
      <c r="T7" s="14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8" outlineLevel="0" r="8">
      <c r="B8" s="10"/>
      <c r="C8" s="10" t="s">
        <v>143</v>
      </c>
      <c r="D8" s="14" t="s">
        <v>298</v>
      </c>
      <c r="E8" s="69" t="n">
        <f aca="false">J65</f>
        <v>52339.2360999084</v>
      </c>
      <c r="G8" s="5" t="n">
        <v>3</v>
      </c>
      <c r="H8" s="0" t="n">
        <f aca="false">H7</f>
        <v>0</v>
      </c>
      <c r="I8" s="38" t="n">
        <f aca="false">L65</f>
        <v>1910.61252420868</v>
      </c>
      <c r="Q8" s="83" t="n">
        <f aca="false">B65</f>
        <v>0.7372</v>
      </c>
    </row>
    <row collapsed="false" customFormat="false" customHeight="false" hidden="false" ht="12.8" outlineLevel="0" r="9">
      <c r="B9" s="10"/>
      <c r="C9" s="10" t="s">
        <v>143</v>
      </c>
      <c r="D9" s="14" t="s">
        <v>299</v>
      </c>
      <c r="E9" s="69" t="n">
        <f aca="false">J66</f>
        <v>52339.2785053442</v>
      </c>
      <c r="G9" s="5" t="n">
        <v>3</v>
      </c>
      <c r="H9" s="0" t="n">
        <f aca="false">H8</f>
        <v>0</v>
      </c>
      <c r="I9" s="38" t="n">
        <f aca="false">L66</f>
        <v>1910.61097622485</v>
      </c>
      <c r="Q9" s="83" t="n">
        <f aca="false">B66</f>
        <v>0.0744</v>
      </c>
    </row>
    <row collapsed="false" customFormat="false" customHeight="false" hidden="false" ht="12.8" outlineLevel="0" r="10">
      <c r="B10" s="10"/>
      <c r="C10" s="10" t="s">
        <v>143</v>
      </c>
      <c r="D10" s="14" t="s">
        <v>300</v>
      </c>
      <c r="E10" s="69" t="n">
        <f aca="false">J67</f>
        <v>52339.3233457152</v>
      </c>
      <c r="G10" s="5" t="n">
        <v>3</v>
      </c>
      <c r="H10" s="0" t="n">
        <f aca="false">H9</f>
        <v>0</v>
      </c>
      <c r="I10" s="38" t="n">
        <f aca="false">L67</f>
        <v>1910.60933935797</v>
      </c>
      <c r="Q10" s="83" t="n">
        <f aca="false">B67</f>
        <v>0.0825</v>
      </c>
    </row>
    <row collapsed="false" customFormat="false" customHeight="false" hidden="false" ht="12.8" outlineLevel="0" r="11">
      <c r="B11" s="79" t="n">
        <f aca="false">A52</f>
        <v>1910.9</v>
      </c>
      <c r="C11" s="79" t="s">
        <v>54</v>
      </c>
      <c r="D11" s="32" t="n">
        <f aca="false">$D$5</f>
        <v>47.867</v>
      </c>
      <c r="E11" s="68" t="n">
        <f aca="false">J68</f>
        <v>52329.889</v>
      </c>
      <c r="F11" s="68" t="n">
        <f aca="false">K68</f>
        <v>0.001</v>
      </c>
      <c r="G11" s="5" t="n">
        <v>0</v>
      </c>
      <c r="H11" s="5" t="n">
        <f aca="false">K52</f>
        <v>0</v>
      </c>
      <c r="I11" s="44" t="n">
        <f aca="false">L68</f>
        <v>1910.95379544948</v>
      </c>
      <c r="J11" s="44" t="n">
        <f aca="false">M68</f>
        <v>3.65174440834277E-005</v>
      </c>
      <c r="K11" s="30" t="n">
        <f aca="false">299792458*J11/I11</f>
        <v>5.72889535462229</v>
      </c>
      <c r="M11" s="5" t="s">
        <v>301</v>
      </c>
      <c r="N11" s="5" t="s">
        <v>302</v>
      </c>
      <c r="Q11" s="69" t="n">
        <v>0.098</v>
      </c>
      <c r="R11" s="84" t="n">
        <v>143000000</v>
      </c>
      <c r="S11" s="5" t="n">
        <f aca="false">-1689</f>
        <v>-1689</v>
      </c>
      <c r="T11" s="5" t="n">
        <f aca="false">250</f>
        <v>250</v>
      </c>
    </row>
    <row collapsed="false" customFormat="false" customHeight="false" hidden="false" ht="12.8" outlineLevel="0" r="12">
      <c r="A12" s="0"/>
      <c r="B12" s="0"/>
      <c r="C12" s="0" t="s">
        <v>143</v>
      </c>
      <c r="D12" s="14" t="n">
        <f aca="false">D6</f>
        <v>0</v>
      </c>
      <c r="E12" s="69" t="n">
        <f aca="false">J69</f>
        <v>52329.8057478654</v>
      </c>
      <c r="F12" s="11"/>
      <c r="G12" s="14" t="n">
        <v>3</v>
      </c>
      <c r="H12" s="0" t="n">
        <f aca="false">$A$158</f>
        <v>0</v>
      </c>
      <c r="I12" s="38" t="n">
        <f aca="false">L69</f>
        <v>1910.95683560949</v>
      </c>
      <c r="J12" s="13"/>
      <c r="K12" s="30"/>
      <c r="L12" s="0"/>
      <c r="M12" s="0"/>
      <c r="N12" s="0"/>
      <c r="O12" s="15"/>
      <c r="P12" s="15"/>
      <c r="Q12" s="83" t="n">
        <f aca="false">B69</f>
        <v>0.0518</v>
      </c>
      <c r="R12" s="18"/>
      <c r="S12" s="14"/>
      <c r="T12" s="14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collapsed="false" customFormat="false" customHeight="false" hidden="false" ht="12.8" outlineLevel="0" r="13">
      <c r="A13" s="0"/>
      <c r="B13" s="0"/>
      <c r="C13" s="0" t="s">
        <v>143</v>
      </c>
      <c r="D13" s="14" t="n">
        <f aca="false">D7</f>
        <v>0</v>
      </c>
      <c r="E13" s="69" t="n">
        <f aca="false">J70</f>
        <v>52329.8440659781</v>
      </c>
      <c r="F13" s="11"/>
      <c r="G13" s="14" t="n">
        <v>3</v>
      </c>
      <c r="H13" s="0" t="n">
        <f aca="false">H12</f>
        <v>0</v>
      </c>
      <c r="I13" s="38" t="n">
        <f aca="false">L70</f>
        <v>1910.95543632652</v>
      </c>
      <c r="J13" s="13"/>
      <c r="K13" s="30"/>
      <c r="L13" s="0"/>
      <c r="M13" s="0"/>
      <c r="N13" s="0"/>
      <c r="O13" s="15"/>
      <c r="P13" s="15"/>
      <c r="Q13" s="83" t="n">
        <f aca="false">B70</f>
        <v>0.0541</v>
      </c>
      <c r="R13" s="18"/>
      <c r="S13" s="14"/>
      <c r="T13" s="14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collapsed="false" customFormat="false" customHeight="false" hidden="false" ht="12.8" outlineLevel="0" r="14">
      <c r="B14" s="10"/>
      <c r="C14" s="10" t="s">
        <v>143</v>
      </c>
      <c r="D14" s="14" t="n">
        <f aca="false">D8</f>
        <v>0</v>
      </c>
      <c r="E14" s="69" t="n">
        <f aca="false">J71</f>
        <v>52329.8851790077</v>
      </c>
      <c r="G14" s="5" t="n">
        <v>3</v>
      </c>
      <c r="H14" s="0" t="n">
        <f aca="false">H13</f>
        <v>0</v>
      </c>
      <c r="I14" s="38" t="n">
        <f aca="false">L71</f>
        <v>1910.95393498237</v>
      </c>
      <c r="Q14" s="83" t="n">
        <f aca="false">B71</f>
        <v>0.7372</v>
      </c>
    </row>
    <row collapsed="false" customFormat="false" customHeight="false" hidden="false" ht="12.8" outlineLevel="0" r="15">
      <c r="B15" s="10"/>
      <c r="C15" s="10" t="s">
        <v>143</v>
      </c>
      <c r="D15" s="14" t="n">
        <f aca="false">D9</f>
        <v>0</v>
      </c>
      <c r="E15" s="69" t="n">
        <f aca="false">J72</f>
        <v>52329.9267800346</v>
      </c>
      <c r="G15" s="5" t="n">
        <v>3</v>
      </c>
      <c r="H15" s="0" t="n">
        <f aca="false">H14</f>
        <v>0</v>
      </c>
      <c r="I15" s="38" t="n">
        <f aca="false">L72</f>
        <v>1910.95241582018</v>
      </c>
      <c r="Q15" s="83" t="n">
        <f aca="false">B72</f>
        <v>0.0744</v>
      </c>
    </row>
    <row collapsed="false" customFormat="false" customHeight="false" hidden="false" ht="12.8" outlineLevel="0" r="16">
      <c r="B16" s="10"/>
      <c r="C16" s="10" t="s">
        <v>143</v>
      </c>
      <c r="D16" s="14" t="n">
        <f aca="false">D10</f>
        <v>0</v>
      </c>
      <c r="E16" s="69" t="n">
        <f aca="false">J73</f>
        <v>52329.9708108139</v>
      </c>
      <c r="G16" s="5" t="n">
        <v>3</v>
      </c>
      <c r="H16" s="0" t="n">
        <f aca="false">H15</f>
        <v>0</v>
      </c>
      <c r="I16" s="38" t="n">
        <f aca="false">L73</f>
        <v>1910.95080793233</v>
      </c>
      <c r="Q16" s="83" t="n">
        <f aca="false">B73</f>
        <v>0.0825</v>
      </c>
    </row>
    <row collapsed="false" customFormat="false" customHeight="false" hidden="false" ht="13.8" outlineLevel="0" r="17">
      <c r="A17" s="0"/>
      <c r="B17" s="0" t="n">
        <f aca="false">A53</f>
        <v>3067</v>
      </c>
      <c r="C17" s="0" t="s">
        <v>54</v>
      </c>
      <c r="D17" s="32" t="n">
        <f aca="false">$D$5</f>
        <v>47.867</v>
      </c>
      <c r="E17" s="69" t="n">
        <f aca="false">J74</f>
        <v>32602.6283031486</v>
      </c>
      <c r="F17" s="11" t="n">
        <f aca="false">K74</f>
        <v>0.0014142135623731</v>
      </c>
      <c r="G17" s="14" t="n">
        <v>0</v>
      </c>
      <c r="H17" s="0" t="s">
        <v>303</v>
      </c>
      <c r="I17" s="44" t="n">
        <f aca="false">L74</f>
        <v>3067.23737332375</v>
      </c>
      <c r="J17" s="44" t="n">
        <f aca="false">M74</f>
        <v>0.000133048435605824</v>
      </c>
      <c r="K17" s="30" t="n">
        <f aca="false">299792458*J17/I17</f>
        <v>13.0041834682335</v>
      </c>
      <c r="L17" s="0"/>
      <c r="M17" s="0" t="s">
        <v>304</v>
      </c>
      <c r="N17" s="0" t="s">
        <v>305</v>
      </c>
      <c r="O17" s="15"/>
      <c r="P17" s="15"/>
      <c r="Q17" s="11" t="n">
        <f aca="false">0.0489</f>
        <v>0.0489</v>
      </c>
      <c r="R17" s="18" t="n">
        <v>250000000</v>
      </c>
      <c r="S17" s="14" t="n">
        <f aca="false">855</f>
        <v>855</v>
      </c>
      <c r="T17" s="14" t="n">
        <f aca="false">80</f>
        <v>80</v>
      </c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collapsed="false" customFormat="false" customHeight="false" hidden="false" ht="12.8" outlineLevel="0" r="18">
      <c r="A18" s="0"/>
      <c r="B18" s="0"/>
      <c r="C18" s="0" t="s">
        <v>143</v>
      </c>
      <c r="D18" s="14" t="n">
        <f aca="false">D12</f>
        <v>0</v>
      </c>
      <c r="E18" s="44" t="n">
        <f aca="false">J75</f>
        <v>32602.6525825917</v>
      </c>
      <c r="F18" s="11"/>
      <c r="G18" s="14" t="n">
        <v>3</v>
      </c>
      <c r="H18" s="0" t="n">
        <f aca="false">$A$158</f>
        <v>0</v>
      </c>
      <c r="I18" s="38" t="n">
        <f aca="false">L75</f>
        <v>3067.23508912878</v>
      </c>
      <c r="J18" s="13"/>
      <c r="K18" s="30"/>
      <c r="L18" s="0"/>
      <c r="M18" s="0"/>
      <c r="N18" s="0"/>
      <c r="O18" s="15"/>
      <c r="P18" s="15"/>
      <c r="Q18" s="83" t="n">
        <f aca="false">B75</f>
        <v>0.0518</v>
      </c>
      <c r="R18" s="18"/>
      <c r="S18" s="14"/>
      <c r="T18" s="14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collapsed="false" customFormat="false" customHeight="false" hidden="false" ht="12.8" outlineLevel="0" r="19">
      <c r="A19" s="0"/>
      <c r="B19" s="0"/>
      <c r="C19" s="0" t="s">
        <v>143</v>
      </c>
      <c r="D19" s="14" t="n">
        <f aca="false">D13</f>
        <v>0</v>
      </c>
      <c r="E19" s="44" t="n">
        <f aca="false">J76</f>
        <v>32602.6418708728</v>
      </c>
      <c r="F19" s="11"/>
      <c r="G19" s="14" t="n">
        <v>3</v>
      </c>
      <c r="H19" s="0" t="n">
        <f aca="false">H18</f>
        <v>0</v>
      </c>
      <c r="I19" s="38" t="n">
        <f aca="false">L76</f>
        <v>3067.23609688024</v>
      </c>
      <c r="J19" s="13"/>
      <c r="K19" s="30"/>
      <c r="L19" s="0"/>
      <c r="M19" s="0"/>
      <c r="N19" s="0"/>
      <c r="O19" s="15"/>
      <c r="P19" s="15"/>
      <c r="Q19" s="83" t="n">
        <f aca="false">B76</f>
        <v>0.0541</v>
      </c>
      <c r="R19" s="18"/>
      <c r="S19" s="14"/>
      <c r="T19" s="14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collapsed="false" customFormat="false" customHeight="false" hidden="false" ht="12.8" outlineLevel="0" r="20">
      <c r="B20" s="10"/>
      <c r="C20" s="10" t="s">
        <v>143</v>
      </c>
      <c r="D20" s="14" t="n">
        <f aca="false">D14</f>
        <v>0</v>
      </c>
      <c r="E20" s="44" t="n">
        <f aca="false">J77</f>
        <v>32602.6293006149</v>
      </c>
      <c r="G20" s="5" t="n">
        <v>3</v>
      </c>
      <c r="H20" s="0" t="n">
        <f aca="false">H19</f>
        <v>0</v>
      </c>
      <c r="I20" s="38" t="n">
        <f aca="false">L77</f>
        <v>3067.23727948267</v>
      </c>
      <c r="Q20" s="83" t="n">
        <f aca="false">B77</f>
        <v>0.7372</v>
      </c>
    </row>
    <row collapsed="false" customFormat="false" customHeight="false" hidden="false" ht="12.8" outlineLevel="0" r="21">
      <c r="B21" s="10"/>
      <c r="C21" s="10" t="s">
        <v>143</v>
      </c>
      <c r="D21" s="14" t="n">
        <f aca="false">D15</f>
        <v>0</v>
      </c>
      <c r="E21" s="44" t="n">
        <f aca="false">J78</f>
        <v>32602.6176821083</v>
      </c>
      <c r="G21" s="5" t="n">
        <v>3</v>
      </c>
      <c r="H21" s="0" t="n">
        <f aca="false">H20</f>
        <v>0</v>
      </c>
      <c r="I21" s="38" t="n">
        <f aca="false">L78</f>
        <v>3067.23837254571</v>
      </c>
      <c r="Q21" s="83" t="n">
        <f aca="false">B78</f>
        <v>0.0744</v>
      </c>
    </row>
    <row collapsed="false" customFormat="false" customHeight="false" hidden="false" ht="12.8" outlineLevel="0" r="22">
      <c r="B22" s="10"/>
      <c r="C22" s="10" t="s">
        <v>143</v>
      </c>
      <c r="D22" s="14" t="n">
        <f aca="false">D16</f>
        <v>0</v>
      </c>
      <c r="E22" s="44" t="n">
        <f aca="false">J79</f>
        <v>32602.6048265934</v>
      </c>
      <c r="G22" s="5" t="n">
        <v>3</v>
      </c>
      <c r="H22" s="0" t="n">
        <f aca="false">H21</f>
        <v>0</v>
      </c>
      <c r="I22" s="38" t="n">
        <f aca="false">L79</f>
        <v>3067.23958198677</v>
      </c>
      <c r="Q22" s="83" t="n">
        <f aca="false">B79</f>
        <v>0.0825</v>
      </c>
    </row>
    <row collapsed="false" customFormat="false" customHeight="false" hidden="false" ht="13.8" outlineLevel="0" r="23">
      <c r="A23" s="0"/>
      <c r="B23" s="0" t="n">
        <f aca="false">A54</f>
        <v>3073</v>
      </c>
      <c r="C23" s="0" t="s">
        <v>54</v>
      </c>
      <c r="D23" s="32" t="n">
        <f aca="false">$D$5</f>
        <v>47.867</v>
      </c>
      <c r="E23" s="69" t="n">
        <f aca="false">J80</f>
        <v>32532.3566018486</v>
      </c>
      <c r="F23" s="11" t="n">
        <f aca="false">K80</f>
        <v>0.000707106781186547</v>
      </c>
      <c r="G23" s="14" t="n">
        <v>0</v>
      </c>
      <c r="H23" s="0" t="s">
        <v>303</v>
      </c>
      <c r="I23" s="44" t="n">
        <f aca="false">L80</f>
        <v>3073.86277679981</v>
      </c>
      <c r="J23" s="44" t="n">
        <f aca="false">M80</f>
        <v>6.68119202218678E-005</v>
      </c>
      <c r="K23" s="30" t="n">
        <f aca="false">299792458*J23/I23</f>
        <v>6.51613661422664</v>
      </c>
      <c r="L23" s="0"/>
      <c r="M23" s="0" t="s">
        <v>306</v>
      </c>
      <c r="N23" s="0" t="s">
        <v>307</v>
      </c>
      <c r="O23" s="15"/>
      <c r="P23" s="15"/>
      <c r="Q23" s="32" t="n">
        <v>0.121</v>
      </c>
      <c r="R23" s="18" t="n">
        <v>256000000</v>
      </c>
      <c r="S23" s="14" t="n">
        <f aca="false">739</f>
        <v>739</v>
      </c>
      <c r="T23" s="14" t="n">
        <f aca="false">80</f>
        <v>80</v>
      </c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collapsed="false" customFormat="false" customHeight="false" hidden="false" ht="12.8" outlineLevel="0" r="24">
      <c r="A24" s="0"/>
      <c r="B24" s="0"/>
      <c r="C24" s="0" t="s">
        <v>143</v>
      </c>
      <c r="D24" s="14" t="n">
        <f aca="false">D18</f>
        <v>0</v>
      </c>
      <c r="E24" s="44" t="n">
        <f aca="false">J81</f>
        <v>32532.3807543918</v>
      </c>
      <c r="F24" s="11"/>
      <c r="G24" s="14" t="n">
        <v>3</v>
      </c>
      <c r="H24" s="0" t="n">
        <f aca="false">$A$158</f>
        <v>0</v>
      </c>
      <c r="I24" s="38" t="n">
        <f aca="false">L81</f>
        <v>3073.86049471649</v>
      </c>
      <c r="J24" s="13"/>
      <c r="K24" s="30"/>
      <c r="L24" s="0"/>
      <c r="M24" s="0"/>
      <c r="N24" s="0"/>
      <c r="O24" s="15"/>
      <c r="P24" s="15"/>
      <c r="Q24" s="83" t="n">
        <f aca="false">B81</f>
        <v>0.0518</v>
      </c>
      <c r="R24" s="18"/>
      <c r="S24" s="14"/>
      <c r="T24" s="14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collapsed="false" customFormat="false" customHeight="false" hidden="false" ht="12.8" outlineLevel="0" r="25">
      <c r="A25" s="0"/>
      <c r="B25" s="0"/>
      <c r="C25" s="0" t="s">
        <v>143</v>
      </c>
      <c r="D25" s="14" t="n">
        <f aca="false">D19</f>
        <v>0</v>
      </c>
      <c r="E25" s="44" t="n">
        <f aca="false">J82</f>
        <v>32532.370106056</v>
      </c>
      <c r="F25" s="11"/>
      <c r="G25" s="14" t="n">
        <v>3</v>
      </c>
      <c r="H25" s="0" t="n">
        <f aca="false">H24</f>
        <v>0</v>
      </c>
      <c r="I25" s="38" t="n">
        <f aca="false">L82</f>
        <v>3073.86150083742</v>
      </c>
      <c r="J25" s="13"/>
      <c r="K25" s="30"/>
      <c r="L25" s="0"/>
      <c r="M25" s="0"/>
      <c r="N25" s="0"/>
      <c r="O25" s="15"/>
      <c r="P25" s="15"/>
      <c r="Q25" s="83" t="n">
        <f aca="false">B82</f>
        <v>0.0541</v>
      </c>
      <c r="R25" s="18"/>
      <c r="S25" s="14"/>
      <c r="T25" s="14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collapsed="false" customFormat="false" customHeight="false" hidden="false" ht="12.8" outlineLevel="0" r="26">
      <c r="B26" s="10"/>
      <c r="C26" s="10" t="s">
        <v>143</v>
      </c>
      <c r="D26" s="14" t="n">
        <f aca="false">D20</f>
        <v>0</v>
      </c>
      <c r="E26" s="44" t="n">
        <f aca="false">J83</f>
        <v>32532.3575922354</v>
      </c>
      <c r="G26" s="5" t="n">
        <v>3</v>
      </c>
      <c r="H26" s="0" t="n">
        <f aca="false">H25</f>
        <v>0</v>
      </c>
      <c r="I26" s="38" t="n">
        <f aca="false">L83</f>
        <v>3073.86268322181</v>
      </c>
      <c r="Q26" s="83" t="n">
        <f aca="false">B83</f>
        <v>0.7372</v>
      </c>
    </row>
    <row collapsed="false" customFormat="false" customHeight="false" hidden="false" ht="12.8" outlineLevel="0" r="27">
      <c r="B27" s="10"/>
      <c r="C27" s="10" t="s">
        <v>143</v>
      </c>
      <c r="D27" s="14" t="n">
        <f aca="false">D21</f>
        <v>0</v>
      </c>
      <c r="E27" s="44" t="n">
        <f aca="false">J84</f>
        <v>32532.3460426598</v>
      </c>
      <c r="G27" s="5" t="n">
        <v>3</v>
      </c>
      <c r="H27" s="0" t="n">
        <f aca="false">H26</f>
        <v>0</v>
      </c>
      <c r="I27" s="38" t="n">
        <f aca="false">L84</f>
        <v>3073.86377449907</v>
      </c>
      <c r="Q27" s="83" t="n">
        <f aca="false">B84</f>
        <v>0.0744</v>
      </c>
    </row>
    <row collapsed="false" customFormat="false" customHeight="false" hidden="false" ht="12.8" outlineLevel="0" r="28">
      <c r="B28" s="10"/>
      <c r="C28" s="10" t="s">
        <v>143</v>
      </c>
      <c r="D28" s="14" t="n">
        <f aca="false">D22</f>
        <v>0</v>
      </c>
      <c r="E28" s="44" t="n">
        <f aca="false">J85</f>
        <v>32532.3332541046</v>
      </c>
      <c r="G28" s="5" t="n">
        <v>3</v>
      </c>
      <c r="H28" s="0" t="n">
        <f aca="false">H27</f>
        <v>0</v>
      </c>
      <c r="I28" s="38" t="n">
        <f aca="false">L85</f>
        <v>3073.8649828439</v>
      </c>
      <c r="Q28" s="83" t="n">
        <f aca="false">B85</f>
        <v>0.0825</v>
      </c>
    </row>
    <row collapsed="false" customFormat="false" customHeight="false" hidden="false" ht="13.8" outlineLevel="0" r="29">
      <c r="A29" s="0"/>
      <c r="B29" s="0" t="n">
        <f aca="false">A55</f>
        <v>3230</v>
      </c>
      <c r="C29" s="0" t="s">
        <v>54</v>
      </c>
      <c r="D29" s="32" t="n">
        <f aca="false">$D$5</f>
        <v>47.867</v>
      </c>
      <c r="E29" s="69" t="n">
        <f aca="false">J86</f>
        <v>30958.5871454677</v>
      </c>
      <c r="F29" s="11" t="n">
        <f aca="false">K86</f>
        <v>0.001</v>
      </c>
      <c r="G29" s="14" t="n">
        <v>0</v>
      </c>
      <c r="H29" s="0" t="s">
        <v>308</v>
      </c>
      <c r="I29" s="44" t="n">
        <f aca="false">L86</f>
        <v>3230.12156627567</v>
      </c>
      <c r="J29" s="44" t="n">
        <f aca="false">M86</f>
        <v>0.000104336853329192</v>
      </c>
      <c r="K29" s="30" t="n">
        <f aca="false">299792458*J29/I29</f>
        <v>9.68366083992594</v>
      </c>
      <c r="L29" s="0"/>
      <c r="M29" s="0" t="s">
        <v>309</v>
      </c>
      <c r="N29" s="0" t="s">
        <v>310</v>
      </c>
      <c r="O29" s="15"/>
      <c r="P29" s="15"/>
      <c r="Q29" s="11" t="n">
        <f aca="false">0.0687</f>
        <v>0.0687</v>
      </c>
      <c r="R29" s="18" t="n">
        <v>244000000</v>
      </c>
      <c r="S29" s="14" t="n">
        <f aca="false">721</f>
        <v>721</v>
      </c>
      <c r="T29" s="14" t="n">
        <f aca="false">70</f>
        <v>70</v>
      </c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collapsed="false" customFormat="false" customHeight="false" hidden="false" ht="12.8" outlineLevel="0" r="30">
      <c r="A30" s="0"/>
      <c r="B30" s="0"/>
      <c r="C30" s="0" t="s">
        <v>143</v>
      </c>
      <c r="D30" s="14" t="n">
        <f aca="false">D24</f>
        <v>0</v>
      </c>
      <c r="E30" s="44" t="n">
        <f aca="false">J87</f>
        <v>30958.6117261336</v>
      </c>
      <c r="F30" s="11"/>
      <c r="G30" s="14" t="n">
        <v>3</v>
      </c>
      <c r="H30" s="0" t="n">
        <f aca="false">$A$158</f>
        <v>0</v>
      </c>
      <c r="I30" s="38" t="n">
        <f aca="false">L87</f>
        <v>3230.11900160837</v>
      </c>
      <c r="J30" s="13"/>
      <c r="K30" s="30"/>
      <c r="L30" s="0"/>
      <c r="M30" s="0"/>
      <c r="N30" s="0"/>
      <c r="O30" s="15"/>
      <c r="P30" s="15"/>
      <c r="Q30" s="83" t="n">
        <f aca="false">B87</f>
        <v>0.0518</v>
      </c>
      <c r="R30" s="18"/>
      <c r="S30" s="14"/>
      <c r="T30" s="14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collapsed="false" customFormat="false" customHeight="false" hidden="false" ht="12.8" outlineLevel="0" r="31">
      <c r="A31" s="0"/>
      <c r="B31" s="0"/>
      <c r="C31" s="0" t="s">
        <v>143</v>
      </c>
      <c r="D31" s="14" t="n">
        <f aca="false">D25</f>
        <v>0</v>
      </c>
      <c r="E31" s="44" t="n">
        <f aca="false">J88</f>
        <v>30958.6008786346</v>
      </c>
      <c r="F31" s="11"/>
      <c r="G31" s="14" t="n">
        <v>3</v>
      </c>
      <c r="H31" s="0" t="n">
        <f aca="false">H30</f>
        <v>0</v>
      </c>
      <c r="I31" s="38" t="n">
        <f aca="false">L88</f>
        <v>3230.12013340089</v>
      </c>
      <c r="J31" s="13"/>
      <c r="K31" s="30"/>
      <c r="L31" s="0"/>
      <c r="M31" s="0"/>
      <c r="N31" s="0"/>
      <c r="O31" s="15"/>
      <c r="P31" s="15"/>
      <c r="Q31" s="83" t="n">
        <f aca="false">B88</f>
        <v>0.0541</v>
      </c>
      <c r="R31" s="18"/>
      <c r="S31" s="14"/>
      <c r="T31" s="14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collapsed="false" customFormat="false" customHeight="false" hidden="false" ht="12.8" outlineLevel="0" r="32">
      <c r="B32" s="10"/>
      <c r="C32" s="10" t="s">
        <v>143</v>
      </c>
      <c r="D32" s="14" t="n">
        <f aca="false">D26</f>
        <v>0</v>
      </c>
      <c r="E32" s="44" t="n">
        <f aca="false">J89</f>
        <v>30958.588156037</v>
      </c>
      <c r="G32" s="5" t="n">
        <v>3</v>
      </c>
      <c r="H32" s="0" t="n">
        <f aca="false">H31</f>
        <v>0</v>
      </c>
      <c r="I32" s="38" t="n">
        <f aca="false">L89</f>
        <v>3230.12146083606</v>
      </c>
      <c r="Q32" s="83" t="n">
        <f aca="false">B89</f>
        <v>0.7372</v>
      </c>
    </row>
    <row collapsed="false" customFormat="false" customHeight="false" hidden="false" ht="12.8" outlineLevel="0" r="33">
      <c r="B33" s="10"/>
      <c r="C33" s="10" t="s">
        <v>143</v>
      </c>
      <c r="D33" s="14" t="n">
        <f aca="false">D27</f>
        <v>0</v>
      </c>
      <c r="E33" s="44" t="n">
        <f aca="false">J90</f>
        <v>30958.5763901848</v>
      </c>
      <c r="G33" s="5" t="n">
        <v>3</v>
      </c>
      <c r="H33" s="0" t="n">
        <f aca="false">H32</f>
        <v>0</v>
      </c>
      <c r="I33" s="38" t="n">
        <f aca="false">L90</f>
        <v>3230.12268844843</v>
      </c>
      <c r="Q33" s="83" t="n">
        <f aca="false">B90</f>
        <v>0.0744</v>
      </c>
    </row>
    <row collapsed="false" customFormat="false" customHeight="false" hidden="false" ht="12.8" outlineLevel="0" r="34">
      <c r="B34" s="10"/>
      <c r="C34" s="10" t="s">
        <v>143</v>
      </c>
      <c r="D34" s="14" t="n">
        <f aca="false">D28</f>
        <v>0</v>
      </c>
      <c r="E34" s="44" t="n">
        <f aca="false">J91</f>
        <v>30958.5633752681</v>
      </c>
      <c r="G34" s="5" t="n">
        <v>3</v>
      </c>
      <c r="H34" s="0" t="n">
        <f aca="false">H33</f>
        <v>0</v>
      </c>
      <c r="I34" s="38" t="n">
        <f aca="false">L91</f>
        <v>3230.1240463854</v>
      </c>
      <c r="Q34" s="83" t="n">
        <f aca="false">B91</f>
        <v>0.0825</v>
      </c>
    </row>
    <row collapsed="false" customFormat="false" customHeight="false" hidden="false" ht="13.8" outlineLevel="0" r="35">
      <c r="A35" s="0"/>
      <c r="B35" s="0" t="n">
        <f aca="false">A56</f>
        <v>3242</v>
      </c>
      <c r="C35" s="0" t="s">
        <v>54</v>
      </c>
      <c r="D35" s="32" t="n">
        <f aca="false">$D$5</f>
        <v>47.867</v>
      </c>
      <c r="E35" s="69" t="n">
        <f aca="false">J92</f>
        <v>30836.4271409478</v>
      </c>
      <c r="F35" s="11" t="n">
        <f aca="false">K92</f>
        <v>0.001</v>
      </c>
      <c r="G35" s="14" t="n">
        <v>0</v>
      </c>
      <c r="H35" s="0" t="s">
        <v>308</v>
      </c>
      <c r="I35" s="44" t="n">
        <f aca="false">L92</f>
        <v>3242.91784981827</v>
      </c>
      <c r="J35" s="44" t="n">
        <f aca="false">M92</f>
        <v>0.000105165161806699</v>
      </c>
      <c r="K35" s="30" t="n">
        <f aca="false">299792458*J35/I35</f>
        <v>9.72202313289094</v>
      </c>
      <c r="L35" s="0"/>
      <c r="M35" s="0" t="s">
        <v>311</v>
      </c>
      <c r="N35" s="0" t="s">
        <v>312</v>
      </c>
      <c r="O35" s="15"/>
      <c r="P35" s="15"/>
      <c r="Q35" s="32" t="n">
        <v>0.232</v>
      </c>
      <c r="R35" s="18" t="n">
        <v>244000000</v>
      </c>
      <c r="S35" s="14" t="n">
        <f aca="false">563</f>
        <v>563</v>
      </c>
      <c r="T35" s="14" t="n">
        <v>30</v>
      </c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collapsed="false" customFormat="false" customHeight="false" hidden="false" ht="12.8" outlineLevel="0" r="36">
      <c r="A36" s="0"/>
      <c r="B36" s="0"/>
      <c r="C36" s="0" t="s">
        <v>143</v>
      </c>
      <c r="D36" s="14" t="n">
        <f aca="false">D30</f>
        <v>0</v>
      </c>
      <c r="E36" s="44" t="n">
        <f aca="false">J93</f>
        <v>30836.4520615083</v>
      </c>
      <c r="F36" s="11"/>
      <c r="G36" s="14" t="n">
        <v>3</v>
      </c>
      <c r="H36" s="0" t="n">
        <f aca="false">$A$158</f>
        <v>0</v>
      </c>
      <c r="I36" s="38" t="n">
        <f aca="false">L93</f>
        <v>3242.91522904561</v>
      </c>
      <c r="J36" s="13"/>
      <c r="K36" s="30"/>
      <c r="L36" s="0"/>
      <c r="M36" s="0"/>
      <c r="N36" s="0"/>
      <c r="O36" s="15"/>
      <c r="P36" s="15"/>
      <c r="Q36" s="83" t="n">
        <f aca="false">B93</f>
        <v>0.0518</v>
      </c>
      <c r="R36" s="18"/>
      <c r="S36" s="14"/>
      <c r="T36" s="14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collapsed="false" customFormat="false" customHeight="false" hidden="false" ht="12.8" outlineLevel="0" r="37">
      <c r="A37" s="0"/>
      <c r="B37" s="0"/>
      <c r="C37" s="0" t="s">
        <v>143</v>
      </c>
      <c r="D37" s="14" t="n">
        <f aca="false">D31</f>
        <v>0</v>
      </c>
      <c r="E37" s="44" t="n">
        <f aca="false">J94</f>
        <v>30836.441055857</v>
      </c>
      <c r="F37" s="11"/>
      <c r="G37" s="14" t="n">
        <v>3</v>
      </c>
      <c r="H37" s="0" t="n">
        <f aca="false">H36</f>
        <v>0</v>
      </c>
      <c r="I37" s="38" t="n">
        <f aca="false">L94</f>
        <v>3242.91638645524</v>
      </c>
      <c r="J37" s="13"/>
      <c r="K37" s="30"/>
      <c r="L37" s="0"/>
      <c r="M37" s="0"/>
      <c r="N37" s="0"/>
      <c r="O37" s="15"/>
      <c r="P37" s="15"/>
      <c r="Q37" s="83" t="n">
        <f aca="false">B94</f>
        <v>0.0541</v>
      </c>
      <c r="R37" s="18"/>
      <c r="S37" s="14"/>
      <c r="T37" s="14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collapsed="false" customFormat="false" customHeight="false" hidden="false" ht="12.8" outlineLevel="0" r="38">
      <c r="B38" s="10"/>
      <c r="C38" s="10" t="s">
        <v>143</v>
      </c>
      <c r="D38" s="14" t="n">
        <f aca="false">D32</f>
        <v>0</v>
      </c>
      <c r="E38" s="44" t="n">
        <f aca="false">J95</f>
        <v>30836.4281675486</v>
      </c>
      <c r="G38" s="5" t="n">
        <v>3</v>
      </c>
      <c r="H38" s="0" t="n">
        <f aca="false">H37</f>
        <v>0</v>
      </c>
      <c r="I38" s="38" t="n">
        <f aca="false">L95</f>
        <v>3242.91774185563</v>
      </c>
      <c r="Q38" s="83" t="n">
        <f aca="false">B95</f>
        <v>0.7372</v>
      </c>
    </row>
    <row collapsed="false" customFormat="false" customHeight="false" hidden="false" ht="12.8" outlineLevel="0" r="39">
      <c r="B39" s="10"/>
      <c r="C39" s="10" t="s">
        <v>143</v>
      </c>
      <c r="D39" s="14" t="n">
        <f aca="false">D33</f>
        <v>0</v>
      </c>
      <c r="E39" s="44" t="n">
        <f aca="false">J96</f>
        <v>30836.4162299541</v>
      </c>
      <c r="G39" s="5" t="n">
        <v>3</v>
      </c>
      <c r="H39" s="0" t="n">
        <f aca="false">H38</f>
        <v>0</v>
      </c>
      <c r="I39" s="38" t="n">
        <f aca="false">L96</f>
        <v>3242.91899727509</v>
      </c>
      <c r="Q39" s="83" t="n">
        <f aca="false">B96</f>
        <v>0.0744</v>
      </c>
    </row>
    <row collapsed="false" customFormat="false" customHeight="false" hidden="false" ht="12.8" outlineLevel="0" r="40">
      <c r="B40" s="10"/>
      <c r="C40" s="10" t="s">
        <v>143</v>
      </c>
      <c r="D40" s="14" t="n">
        <f aca="false">D34</f>
        <v>0</v>
      </c>
      <c r="E40" s="44" t="n">
        <f aca="false">J97</f>
        <v>30836.4030353259</v>
      </c>
      <c r="G40" s="5" t="n">
        <v>3</v>
      </c>
      <c r="H40" s="0" t="n">
        <f aca="false">H39</f>
        <v>0</v>
      </c>
      <c r="I40" s="38" t="n">
        <f aca="false">L97</f>
        <v>3242.92038489187</v>
      </c>
      <c r="Q40" s="83" t="n">
        <f aca="false">B97</f>
        <v>0.0825</v>
      </c>
    </row>
    <row collapsed="false" customFormat="false" customHeight="false" hidden="false" ht="13.8" outlineLevel="0" r="41">
      <c r="A41" s="0"/>
      <c r="B41" s="0" t="n">
        <f aca="false">A57</f>
        <v>3384</v>
      </c>
      <c r="C41" s="0" t="s">
        <v>54</v>
      </c>
      <c r="D41" s="32" t="n">
        <f aca="false">$D$5</f>
        <v>47.867</v>
      </c>
      <c r="E41" s="69" t="n">
        <f aca="false">J98</f>
        <v>29544.4550931448</v>
      </c>
      <c r="F41" s="11" t="n">
        <f aca="false">K98</f>
        <v>0.001</v>
      </c>
      <c r="G41" s="14" t="n">
        <v>0</v>
      </c>
      <c r="H41" s="0" t="s">
        <v>308</v>
      </c>
      <c r="I41" s="44" t="n">
        <f aca="false">L98</f>
        <v>3384.72988196025</v>
      </c>
      <c r="J41" s="44" t="n">
        <f aca="false">M98</f>
        <v>0.000114563963738347</v>
      </c>
      <c r="K41" s="30" t="n">
        <f aca="false">299792458*J41/I41</f>
        <v>10.1471649097891</v>
      </c>
      <c r="L41" s="0"/>
      <c r="M41" s="0" t="s">
        <v>313</v>
      </c>
      <c r="N41" s="0" t="s">
        <v>314</v>
      </c>
      <c r="O41" s="15"/>
      <c r="P41" s="15"/>
      <c r="Q41" s="32" t="n">
        <v>0.358</v>
      </c>
      <c r="R41" s="18" t="n">
        <v>175000000</v>
      </c>
      <c r="S41" s="14" t="n">
        <f aca="false">408</f>
        <v>408</v>
      </c>
      <c r="T41" s="14" t="n">
        <v>30</v>
      </c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collapsed="false" customFormat="false" customHeight="false" hidden="false" ht="12.8" outlineLevel="0" r="42">
      <c r="A42" s="0"/>
      <c r="B42" s="0"/>
      <c r="C42" s="0" t="s">
        <v>143</v>
      </c>
      <c r="D42" s="14" t="n">
        <f aca="false">D36</f>
        <v>0</v>
      </c>
      <c r="E42" s="44" t="n">
        <f aca="false">J99</f>
        <v>29544.4813243134</v>
      </c>
      <c r="F42" s="11"/>
      <c r="G42" s="14" t="n">
        <v>3</v>
      </c>
      <c r="H42" s="0" t="n">
        <f aca="false">$A$158</f>
        <v>0</v>
      </c>
      <c r="I42" s="38" t="n">
        <f aca="false">L99</f>
        <v>3384.72687681627</v>
      </c>
      <c r="J42" s="13"/>
      <c r="K42" s="30"/>
      <c r="L42" s="0"/>
      <c r="M42" s="0"/>
      <c r="N42" s="0"/>
      <c r="O42" s="15"/>
      <c r="P42" s="15"/>
      <c r="Q42" s="83" t="n">
        <f aca="false">B99</f>
        <v>0.0518</v>
      </c>
      <c r="R42" s="18"/>
      <c r="S42" s="14"/>
      <c r="T42" s="14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collapsed="false" customFormat="false" customHeight="false" hidden="false" ht="12.8" outlineLevel="0" r="43">
      <c r="A43" s="0"/>
      <c r="B43" s="0"/>
      <c r="C43" s="0" t="s">
        <v>143</v>
      </c>
      <c r="D43" s="14" t="n">
        <f aca="false">D37</f>
        <v>0</v>
      </c>
      <c r="E43" s="44" t="n">
        <f aca="false">J100</f>
        <v>29544.4697024427</v>
      </c>
      <c r="F43" s="11"/>
      <c r="G43" s="14" t="n">
        <v>3</v>
      </c>
      <c r="H43" s="0" t="n">
        <f aca="false">H42</f>
        <v>0</v>
      </c>
      <c r="I43" s="38" t="n">
        <f aca="false">L100</f>
        <v>3384.728208262</v>
      </c>
      <c r="J43" s="13"/>
      <c r="K43" s="30"/>
      <c r="L43" s="0"/>
      <c r="M43" s="0"/>
      <c r="N43" s="0"/>
      <c r="O43" s="15"/>
      <c r="P43" s="15"/>
      <c r="Q43" s="83" t="n">
        <f aca="false">B100</f>
        <v>0.0541</v>
      </c>
      <c r="R43" s="18"/>
      <c r="S43" s="14"/>
      <c r="T43" s="14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collapsed="false" customFormat="false" customHeight="false" hidden="false" ht="12.8" outlineLevel="0" r="44">
      <c r="B44" s="10"/>
      <c r="C44" s="10" t="s">
        <v>143</v>
      </c>
      <c r="D44" s="14" t="n">
        <f aca="false">D38</f>
        <v>0</v>
      </c>
      <c r="E44" s="44" t="n">
        <f aca="false">J101</f>
        <v>29544.4561831756</v>
      </c>
      <c r="G44" s="5" t="n">
        <v>3</v>
      </c>
      <c r="H44" s="0" t="n">
        <f aca="false">H43</f>
        <v>0</v>
      </c>
      <c r="I44" s="38" t="n">
        <f aca="false">L101</f>
        <v>3384.72975708201</v>
      </c>
      <c r="Q44" s="83" t="n">
        <f aca="false">B101</f>
        <v>0.7372</v>
      </c>
    </row>
    <row collapsed="false" customFormat="false" customHeight="false" hidden="false" ht="12.8" outlineLevel="0" r="45">
      <c r="B45" s="10"/>
      <c r="C45" s="10" t="s">
        <v>143</v>
      </c>
      <c r="D45" s="14" t="n">
        <f aca="false">D39</f>
        <v>0</v>
      </c>
      <c r="E45" s="44" t="n">
        <f aca="false">J102</f>
        <v>29544.4435762601</v>
      </c>
      <c r="G45" s="5" t="n">
        <v>3</v>
      </c>
      <c r="H45" s="0" t="n">
        <f aca="false">H44</f>
        <v>0</v>
      </c>
      <c r="I45" s="38" t="n">
        <f aca="false">L102</f>
        <v>3384.73120138073</v>
      </c>
      <c r="Q45" s="83" t="n">
        <f aca="false">B102</f>
        <v>0.0744</v>
      </c>
    </row>
    <row collapsed="false" customFormat="false" customHeight="false" hidden="false" ht="12.8" outlineLevel="0" r="46">
      <c r="B46" s="10"/>
      <c r="C46" s="10" t="s">
        <v>143</v>
      </c>
      <c r="D46" s="14" t="n">
        <f aca="false">D40</f>
        <v>0</v>
      </c>
      <c r="E46" s="44" t="n">
        <f aca="false">J103</f>
        <v>29544.4296888776</v>
      </c>
      <c r="G46" s="5" t="n">
        <v>3</v>
      </c>
      <c r="H46" s="0" t="n">
        <f aca="false">H45</f>
        <v>0</v>
      </c>
      <c r="I46" s="38" t="n">
        <f aca="false">L103</f>
        <v>3384.7327923763</v>
      </c>
      <c r="Q46" s="83" t="n">
        <f aca="false">B103</f>
        <v>0.0825</v>
      </c>
    </row>
    <row collapsed="false" customFormat="false" customHeight="false" hidden="false" ht="12.8" outlineLevel="0" r="47">
      <c r="A47" s="5" t="s">
        <v>69</v>
      </c>
      <c r="B47" s="10"/>
    </row>
    <row collapsed="false" customFormat="false" customHeight="false" hidden="false" ht="12.8" outlineLevel="0" r="48">
      <c r="B48" s="10"/>
    </row>
    <row collapsed="false" customFormat="false" customHeight="false" hidden="false" ht="12.8" outlineLevel="0" r="49">
      <c r="A49" s="5" t="s">
        <v>70</v>
      </c>
      <c r="B49" s="10"/>
    </row>
    <row collapsed="false" customFormat="true" customHeight="false" hidden="false" ht="80.9" outlineLevel="0" r="50" s="26">
      <c r="A50" s="26" t="s">
        <v>77</v>
      </c>
      <c r="B50" s="25" t="s">
        <v>38</v>
      </c>
      <c r="C50" s="26" t="s">
        <v>39</v>
      </c>
      <c r="D50" s="26" t="s">
        <v>150</v>
      </c>
      <c r="E50" s="26" t="s">
        <v>315</v>
      </c>
      <c r="F50" s="25" t="s">
        <v>38</v>
      </c>
      <c r="G50" s="26" t="s">
        <v>39</v>
      </c>
      <c r="H50" s="26" t="s">
        <v>150</v>
      </c>
      <c r="I50" s="25" t="s">
        <v>38</v>
      </c>
      <c r="J50" s="26" t="s">
        <v>39</v>
      </c>
      <c r="K50" s="26" t="s">
        <v>151</v>
      </c>
      <c r="L50" s="26" t="s">
        <v>79</v>
      </c>
      <c r="M50" s="26" t="s">
        <v>80</v>
      </c>
    </row>
    <row collapsed="false" customFormat="true" customHeight="false" hidden="false" ht="13.8" outlineLevel="0" r="51" s="26">
      <c r="A51" s="85" t="n">
        <v>1910.6</v>
      </c>
      <c r="B51" s="0"/>
      <c r="C51" s="0"/>
      <c r="D51" s="0"/>
      <c r="F51" s="86" t="n">
        <f aca="false">52339.24</f>
        <v>52339.24</v>
      </c>
      <c r="G51" s="86" t="n">
        <f aca="false">0.001</f>
        <v>0.001</v>
      </c>
      <c r="H51" s="26" t="str">
        <f aca="false">A161</f>
        <v>Ruffoni:2010:424</v>
      </c>
      <c r="I51" s="86" t="n">
        <f aca="false">F51</f>
        <v>52339.24</v>
      </c>
      <c r="J51" s="86" t="n">
        <f aca="false">G51</f>
        <v>0.001</v>
      </c>
      <c r="K51" s="26" t="str">
        <f aca="false">H51</f>
        <v>Ruffoni:2010:424</v>
      </c>
      <c r="L51" s="38" t="n">
        <f aca="false">100000000/I51</f>
        <v>1910.61238183818</v>
      </c>
      <c r="M51" s="38" t="n">
        <f aca="false">J51/I51*L51</f>
        <v>3.65043967363335E-005</v>
      </c>
    </row>
    <row collapsed="false" customFormat="true" customHeight="false" hidden="false" ht="13.8" outlineLevel="0" r="52" s="26">
      <c r="A52" s="85" t="n">
        <v>1910.9</v>
      </c>
      <c r="B52" s="0"/>
      <c r="C52" s="0"/>
      <c r="D52" s="0"/>
      <c r="F52" s="86" t="n">
        <f aca="false">52329.889</f>
        <v>52329.889</v>
      </c>
      <c r="G52" s="86" t="n">
        <f aca="false">0.001</f>
        <v>0.001</v>
      </c>
      <c r="H52" s="26" t="str">
        <f aca="false">H51</f>
        <v>Ruffoni:2010:424</v>
      </c>
      <c r="I52" s="86" t="n">
        <f aca="false">F52</f>
        <v>52329.889</v>
      </c>
      <c r="J52" s="86" t="n">
        <f aca="false">G52</f>
        <v>0.001</v>
      </c>
      <c r="K52" s="26" t="str">
        <f aca="false">H52</f>
        <v>Ruffoni:2010:424</v>
      </c>
      <c r="L52" s="38" t="n">
        <f aca="false">100000000/I52</f>
        <v>1910.95379544948</v>
      </c>
      <c r="M52" s="38" t="n">
        <f aca="false">J52/I52*L52</f>
        <v>3.65174440834277E-005</v>
      </c>
    </row>
    <row collapsed="false" customFormat="false" customHeight="false" hidden="false" ht="12.8" outlineLevel="0" r="53">
      <c r="A53" s="5" t="n">
        <v>3067</v>
      </c>
      <c r="B53" s="69" t="n">
        <f aca="false">32602.6274</f>
        <v>32602.6274</v>
      </c>
      <c r="C53" s="69" t="n">
        <f aca="false">0.002</f>
        <v>0.002</v>
      </c>
      <c r="D53" s="5" t="n">
        <f aca="false">A156</f>
        <v>0</v>
      </c>
      <c r="E53" s="69" t="n">
        <f aca="false">B53*(1+0.000000037)</f>
        <v>32602.6286062972</v>
      </c>
      <c r="F53" s="68" t="n">
        <f aca="false">32602.628</f>
        <v>32602.628</v>
      </c>
      <c r="G53" s="68" t="n">
        <f aca="false">0.002</f>
        <v>0.002</v>
      </c>
      <c r="H53" s="5" t="n">
        <f aca="false">A161</f>
        <v>0</v>
      </c>
      <c r="I53" s="69" t="n">
        <f aca="false">(E53/C53/C53+F53/G53/G53)/(1/C53/C53+1/G53/G53)</f>
        <v>32602.6283031486</v>
      </c>
      <c r="J53" s="69" t="n">
        <f aca="false">SQRT(1/(1/C53/C53+1/G53/G53))</f>
        <v>0.0014142135623731</v>
      </c>
      <c r="K53" s="5" t="s">
        <v>316</v>
      </c>
      <c r="L53" s="44" t="n">
        <f aca="false">100000000/I53</f>
        <v>3067.23737332375</v>
      </c>
      <c r="M53" s="44" t="n">
        <f aca="false">J53/I53*L53</f>
        <v>0.000133048435605824</v>
      </c>
    </row>
    <row collapsed="false" customFormat="false" customHeight="false" hidden="false" ht="12.8" outlineLevel="0" r="54">
      <c r="A54" s="5" t="n">
        <v>3073</v>
      </c>
      <c r="B54" s="69" t="n">
        <f aca="false">32532.355</f>
        <v>32532.355</v>
      </c>
      <c r="C54" s="69" t="n">
        <f aca="false">0.001</f>
        <v>0.001</v>
      </c>
      <c r="D54" s="5" t="n">
        <f aca="false">D53</f>
        <v>0</v>
      </c>
      <c r="E54" s="69" t="n">
        <f aca="false">B54*(1+0.000000037)</f>
        <v>32532.3562036971</v>
      </c>
      <c r="F54" s="68" t="n">
        <f aca="false">32532.357</f>
        <v>32532.357</v>
      </c>
      <c r="G54" s="68" t="n">
        <f aca="false">0.001</f>
        <v>0.001</v>
      </c>
      <c r="H54" s="5" t="n">
        <f aca="false">H53</f>
        <v>0</v>
      </c>
      <c r="I54" s="69" t="n">
        <f aca="false">(E54/C54/C54+F54/G54/G54)/(1/C54/C54+1/G54/G54)</f>
        <v>32532.3566018486</v>
      </c>
      <c r="J54" s="69" t="n">
        <f aca="false">SQRT(1/(1/C54/C54+1/G54/G54))</f>
        <v>0.000707106781186547</v>
      </c>
      <c r="K54" s="5" t="s">
        <v>316</v>
      </c>
      <c r="L54" s="44" t="n">
        <f aca="false">100000000/I54</f>
        <v>3073.86277679981</v>
      </c>
      <c r="M54" s="44" t="n">
        <f aca="false">J54/I54*L54</f>
        <v>6.68119202218678E-005</v>
      </c>
    </row>
    <row collapsed="false" customFormat="false" customHeight="false" hidden="false" ht="13.8" outlineLevel="0" r="55">
      <c r="A55" s="5" t="n">
        <v>3230</v>
      </c>
      <c r="B55" s="69" t="n">
        <f aca="false">30958.586</f>
        <v>30958.586</v>
      </c>
      <c r="C55" s="69" t="n">
        <f aca="false">0.001</f>
        <v>0.001</v>
      </c>
      <c r="D55" s="5" t="n">
        <f aca="false">D54</f>
        <v>0</v>
      </c>
      <c r="E55" s="69" t="n">
        <f aca="false">B55*(1+0.000000037)</f>
        <v>30958.5871454677</v>
      </c>
      <c r="F55" s="69"/>
      <c r="G55" s="69"/>
      <c r="I55" s="69" t="n">
        <f aca="false">E55</f>
        <v>30958.5871454677</v>
      </c>
      <c r="J55" s="69" t="n">
        <f aca="false">C55</f>
        <v>0.001</v>
      </c>
      <c r="K55" s="0" t="s">
        <v>317</v>
      </c>
      <c r="L55" s="44" t="n">
        <f aca="false">100000000/I55</f>
        <v>3230.12156627567</v>
      </c>
      <c r="M55" s="44" t="n">
        <f aca="false">J55/I55*L55</f>
        <v>0.000104336853329192</v>
      </c>
    </row>
    <row collapsed="false" customFormat="false" customHeight="false" hidden="false" ht="12.8" outlineLevel="0" r="56">
      <c r="A56" s="5" t="n">
        <v>3242</v>
      </c>
      <c r="B56" s="69" t="n">
        <f aca="false">30836.426</f>
        <v>30836.426</v>
      </c>
      <c r="C56" s="69" t="n">
        <f aca="false">0.001</f>
        <v>0.001</v>
      </c>
      <c r="D56" s="5" t="n">
        <f aca="false">D55</f>
        <v>0</v>
      </c>
      <c r="E56" s="69" t="n">
        <f aca="false">B56*(1+0.000000037)</f>
        <v>30836.4271409478</v>
      </c>
      <c r="F56" s="69"/>
      <c r="G56" s="69"/>
      <c r="I56" s="69" t="n">
        <f aca="false">E56</f>
        <v>30836.4271409478</v>
      </c>
      <c r="J56" s="69" t="n">
        <f aca="false">C56</f>
        <v>0.001</v>
      </c>
      <c r="K56" s="5" t="n">
        <f aca="false">K55</f>
        <v>0</v>
      </c>
      <c r="L56" s="44" t="n">
        <f aca="false">100000000/I56</f>
        <v>3242.91784981827</v>
      </c>
      <c r="M56" s="44" t="n">
        <f aca="false">J56/I56*L56</f>
        <v>0.000105165161806699</v>
      </c>
    </row>
    <row collapsed="false" customFormat="false" customHeight="false" hidden="false" ht="12.8" outlineLevel="0" r="57">
      <c r="A57" s="5" t="n">
        <v>3384</v>
      </c>
      <c r="B57" s="69" t="n">
        <f aca="false">29544.454</f>
        <v>29544.454</v>
      </c>
      <c r="C57" s="69" t="n">
        <f aca="false">0.001</f>
        <v>0.001</v>
      </c>
      <c r="D57" s="5" t="n">
        <f aca="false">D56</f>
        <v>0</v>
      </c>
      <c r="E57" s="69" t="n">
        <f aca="false">B57*(1+0.000000037)</f>
        <v>29544.4550931448</v>
      </c>
      <c r="F57" s="69"/>
      <c r="G57" s="69"/>
      <c r="I57" s="69" t="n">
        <f aca="false">E57</f>
        <v>29544.4550931448</v>
      </c>
      <c r="J57" s="69" t="n">
        <f aca="false">C57</f>
        <v>0.001</v>
      </c>
      <c r="K57" s="5" t="n">
        <f aca="false">K56</f>
        <v>0</v>
      </c>
      <c r="L57" s="44" t="n">
        <f aca="false">100000000/I57</f>
        <v>3384.72988196025</v>
      </c>
      <c r="M57" s="44" t="n">
        <f aca="false">J57/I57*L57</f>
        <v>0.000114563963738347</v>
      </c>
    </row>
    <row collapsed="false" customFormat="false" customHeight="false" hidden="false" ht="12.8" outlineLevel="0" r="58">
      <c r="B58" s="69"/>
      <c r="C58" s="69"/>
      <c r="D58" s="69"/>
    </row>
    <row collapsed="false" customFormat="false" customHeight="false" hidden="false" ht="12.8" outlineLevel="0" r="59">
      <c r="A59" s="5" t="s">
        <v>169</v>
      </c>
      <c r="B59" s="10"/>
    </row>
    <row collapsed="false" customFormat="false" customHeight="true" hidden="false" ht="58.55" outlineLevel="0" r="60">
      <c r="A60" s="26" t="s">
        <v>126</v>
      </c>
      <c r="B60" s="26" t="s">
        <v>170</v>
      </c>
      <c r="C60" s="24" t="s">
        <v>318</v>
      </c>
      <c r="D60" s="24"/>
      <c r="E60" s="24"/>
      <c r="F60" s="24"/>
      <c r="G60" s="24"/>
      <c r="H60" s="0" t="s">
        <v>83</v>
      </c>
      <c r="I60" s="0" t="s">
        <v>39</v>
      </c>
      <c r="J60" s="26" t="s">
        <v>38</v>
      </c>
      <c r="K60" s="26" t="s">
        <v>252</v>
      </c>
      <c r="L60" s="26" t="s">
        <v>79</v>
      </c>
      <c r="M60" s="26" t="s">
        <v>80</v>
      </c>
      <c r="AMJ60" s="0"/>
    </row>
    <row collapsed="false" customFormat="true" customHeight="false" hidden="false" ht="13.8" outlineLevel="0" r="61" s="26">
      <c r="A61" s="0"/>
      <c r="B61" s="0"/>
      <c r="C61" s="0" t="s">
        <v>217</v>
      </c>
      <c r="D61" s="0" t="s">
        <v>218</v>
      </c>
      <c r="E61" s="0" t="s">
        <v>219</v>
      </c>
      <c r="F61" s="0" t="s">
        <v>220</v>
      </c>
      <c r="G61" s="0" t="s">
        <v>221</v>
      </c>
      <c r="H61" s="0"/>
      <c r="I61" s="0"/>
      <c r="O61" s="5"/>
      <c r="AMJ61" s="0"/>
    </row>
    <row collapsed="false" customFormat="true" customHeight="false" hidden="false" ht="12.8" outlineLevel="0" r="62" s="8">
      <c r="A62" s="8" t="n">
        <f aca="false">A51</f>
        <v>1910.6</v>
      </c>
      <c r="B62" s="71"/>
      <c r="C62" s="15" t="n">
        <f aca="false">-I51/10000000*299792458/1822.888</f>
        <v>-860.771995287254</v>
      </c>
      <c r="D62" s="15" t="n">
        <f aca="false">3711.69</f>
        <v>3711.69</v>
      </c>
      <c r="E62" s="15" t="n">
        <f aca="false">SUM(C62:D62)</f>
        <v>2850.91800471275</v>
      </c>
      <c r="F62" s="15" t="n">
        <f aca="false">329.63</f>
        <v>329.63</v>
      </c>
      <c r="G62" s="3"/>
      <c r="H62" s="0"/>
      <c r="I62" s="0"/>
      <c r="J62" s="11" t="n">
        <f aca="false">I$51</f>
        <v>52339.24</v>
      </c>
      <c r="K62" s="11" t="n">
        <f aca="false">J51</f>
        <v>0.001</v>
      </c>
      <c r="L62" s="13" t="n">
        <f aca="false">100000000/J62</f>
        <v>1910.61238183818</v>
      </c>
      <c r="M62" s="13" t="n">
        <f aca="false">K62/J62*L62</f>
        <v>3.65043967363335E-005</v>
      </c>
      <c r="N62" s="52"/>
      <c r="AMJ62" s="0"/>
    </row>
    <row collapsed="false" customFormat="true" customHeight="false" hidden="false" ht="12.8" outlineLevel="0" r="63" s="8">
      <c r="A63" s="8" t="n">
        <v>50</v>
      </c>
      <c r="B63" s="54" t="n">
        <f aca="false">0.0518</f>
        <v>0.0518</v>
      </c>
      <c r="C63" s="15"/>
      <c r="D63" s="15"/>
      <c r="E63" s="15"/>
      <c r="F63" s="15"/>
      <c r="G63" s="32" t="n">
        <f aca="false">-0.14896</f>
        <v>-0.14896</v>
      </c>
      <c r="H63" s="15" t="n">
        <f aca="false">1000*$E$62*(1/$A63-1/$A$65)+$F$62*G63</f>
        <v>-2424.86668872728</v>
      </c>
      <c r="I63" s="45" t="n">
        <f aca="false">10000*H63/299792458</f>
        <v>-0.0808848463001455</v>
      </c>
      <c r="J63" s="45" t="n">
        <f aca="false">$J$65+$I63</f>
        <v>52339.1552150621</v>
      </c>
      <c r="K63" s="0"/>
      <c r="L63" s="19" t="n">
        <f aca="false">100000000/J63</f>
        <v>1910.6154768662</v>
      </c>
      <c r="M63" s="52"/>
      <c r="AMJ63" s="0"/>
    </row>
    <row collapsed="false" customFormat="true" customHeight="false" hidden="false" ht="12.8" outlineLevel="0" r="64" s="8">
      <c r="A64" s="8" t="n">
        <v>49</v>
      </c>
      <c r="B64" s="54" t="n">
        <f aca="false">0.0541</f>
        <v>0.0541</v>
      </c>
      <c r="C64" s="15"/>
      <c r="D64" s="15"/>
      <c r="E64" s="15"/>
      <c r="F64" s="15"/>
      <c r="G64" s="32" t="n">
        <f aca="false">-0.12682</f>
        <v>-0.12682</v>
      </c>
      <c r="H64" s="15" t="n">
        <f aca="false">1000*$E$62*(1/$A64-1/$A$65)+$F$62*G64</f>
        <v>-1253.92867860372</v>
      </c>
      <c r="I64" s="45" t="n">
        <f aca="false">10000*H64/299792458</f>
        <v>-0.0418265585121464</v>
      </c>
      <c r="J64" s="45" t="n">
        <f aca="false">$J$65+$I64</f>
        <v>52339.1942733499</v>
      </c>
      <c r="K64" s="52"/>
      <c r="L64" s="19" t="n">
        <f aca="false">100000000/J64</f>
        <v>1910.61405106341</v>
      </c>
      <c r="AMJ64" s="0"/>
    </row>
    <row collapsed="false" customFormat="true" customHeight="false" hidden="false" ht="12.8" outlineLevel="0" r="65" s="8">
      <c r="A65" s="8" t="n">
        <v>48</v>
      </c>
      <c r="B65" s="54" t="n">
        <f aca="false">0.7372</f>
        <v>0.7372</v>
      </c>
      <c r="C65" s="15"/>
      <c r="D65" s="15"/>
      <c r="E65" s="15"/>
      <c r="F65" s="15"/>
      <c r="G65" s="32"/>
      <c r="H65" s="15" t="n">
        <f aca="false">0</f>
        <v>0</v>
      </c>
      <c r="I65" s="45" t="n">
        <f aca="false">10000*H65/299792458</f>
        <v>0</v>
      </c>
      <c r="J65" s="45" t="n">
        <f aca="false">J62-SUMPRODUCT(I63:I67,B63:B67)</f>
        <v>52339.2360999084</v>
      </c>
      <c r="K65" s="52"/>
      <c r="L65" s="19" t="n">
        <f aca="false">100000000/J65</f>
        <v>1910.61252420868</v>
      </c>
      <c r="AMJ65" s="0"/>
    </row>
    <row collapsed="false" customFormat="true" customHeight="false" hidden="false" ht="12.8" outlineLevel="0" r="66" s="8">
      <c r="A66" s="8" t="n">
        <v>47</v>
      </c>
      <c r="B66" s="54" t="n">
        <f aca="false">0.0744</f>
        <v>0.0744</v>
      </c>
      <c r="C66" s="15"/>
      <c r="D66" s="15"/>
      <c r="E66" s="15"/>
      <c r="F66" s="15"/>
      <c r="G66" s="32" t="n">
        <f aca="false">0.02299</f>
        <v>0.02299</v>
      </c>
      <c r="H66" s="15" t="n">
        <f aca="false">1000*$E$62*(1/$A66-1/$A$65)+$F$62*G66</f>
        <v>1271.28298302303</v>
      </c>
      <c r="I66" s="45" t="n">
        <f aca="false">10000*H66/299792458</f>
        <v>0.0424054357972884</v>
      </c>
      <c r="J66" s="45" t="n">
        <f aca="false">$J$65+$I66</f>
        <v>52339.2785053442</v>
      </c>
      <c r="K66" s="52"/>
      <c r="L66" s="19" t="n">
        <f aca="false">100000000/J66</f>
        <v>1910.61097622485</v>
      </c>
      <c r="AMJ66" s="0"/>
    </row>
    <row collapsed="false" customFormat="true" customHeight="false" hidden="false" ht="12.8" outlineLevel="0" r="67" s="8">
      <c r="A67" s="8" t="n">
        <v>46</v>
      </c>
      <c r="B67" s="54" t="n">
        <f aca="false">0.0825</f>
        <v>0.0825</v>
      </c>
      <c r="C67" s="15"/>
      <c r="D67" s="15"/>
      <c r="E67" s="15"/>
      <c r="F67" s="15"/>
      <c r="G67" s="32" t="n">
        <f aca="false">0.10075</f>
        <v>0.10075</v>
      </c>
      <c r="H67" s="15" t="n">
        <f aca="false">1000*$E$62*(1/$A67-1/$A$65)+$F$62*G67</f>
        <v>2615.56348763836</v>
      </c>
      <c r="I67" s="45" t="n">
        <f aca="false">10000*H67/299792458</f>
        <v>0.0872458068187412</v>
      </c>
      <c r="J67" s="45" t="n">
        <f aca="false">$J$65+$I67</f>
        <v>52339.3233457152</v>
      </c>
      <c r="K67" s="52"/>
      <c r="L67" s="19" t="n">
        <f aca="false">100000000/J67</f>
        <v>1910.60933935797</v>
      </c>
      <c r="AMJ67" s="0"/>
    </row>
    <row collapsed="false" customFormat="true" customHeight="false" hidden="false" ht="12.8" outlineLevel="0" r="68" s="8">
      <c r="A68" s="8" t="n">
        <f aca="false">A52</f>
        <v>1910.9</v>
      </c>
      <c r="B68" s="71"/>
      <c r="C68" s="15" t="n">
        <f aca="false">-I52/10000000*299792458/1822.888</f>
        <v>-860.618208588633</v>
      </c>
      <c r="D68" s="15" t="n">
        <f aca="false">3656.27</f>
        <v>3656.27</v>
      </c>
      <c r="E68" s="15" t="n">
        <f aca="false">SUM(C68:D68)</f>
        <v>2795.65179141137</v>
      </c>
      <c r="F68" s="15" t="n">
        <f aca="false">346.24</f>
        <v>346.24</v>
      </c>
      <c r="G68" s="3"/>
      <c r="H68" s="0"/>
      <c r="I68" s="0"/>
      <c r="J68" s="11" t="n">
        <f aca="false">I$52</f>
        <v>52329.889</v>
      </c>
      <c r="K68" s="11" t="n">
        <f aca="false">J52</f>
        <v>0.001</v>
      </c>
      <c r="L68" s="13" t="n">
        <f aca="false">100000000/J68</f>
        <v>1910.95379544948</v>
      </c>
      <c r="M68" s="13" t="n">
        <f aca="false">K68/J68*L68</f>
        <v>3.65174440834277E-005</v>
      </c>
      <c r="N68" s="52"/>
      <c r="AMJ68" s="0"/>
    </row>
    <row collapsed="false" customFormat="true" customHeight="false" hidden="false" ht="12.8" outlineLevel="0" r="69" s="8">
      <c r="A69" s="8" t="n">
        <v>50</v>
      </c>
      <c r="B69" s="54" t="n">
        <f aca="false">0.0518</f>
        <v>0.0518</v>
      </c>
      <c r="C69" s="15"/>
      <c r="D69" s="15"/>
      <c r="E69" s="15"/>
      <c r="F69" s="15"/>
      <c r="G69" s="32" t="n">
        <f aca="false">$G$63</f>
        <v>-0.14896</v>
      </c>
      <c r="H69" s="15" t="n">
        <f aca="false">1000*$E$68*(1/$A69-1/$A$71)+$F$68*G69</f>
        <v>-2381.28573657613</v>
      </c>
      <c r="I69" s="45" t="n">
        <f aca="false">10000*H69/299792458</f>
        <v>-0.0794311422129283</v>
      </c>
      <c r="J69" s="45" t="n">
        <f aca="false">$J$71+$I69</f>
        <v>52329.8057478654</v>
      </c>
      <c r="K69" s="0"/>
      <c r="L69" s="19" t="n">
        <f aca="false">100000000/J69</f>
        <v>1910.95683560949</v>
      </c>
      <c r="M69" s="52"/>
      <c r="AMJ69" s="0"/>
    </row>
    <row collapsed="false" customFormat="true" customHeight="false" hidden="false" ht="12.8" outlineLevel="0" r="70" s="8">
      <c r="A70" s="8" t="n">
        <v>49</v>
      </c>
      <c r="B70" s="54" t="n">
        <f aca="false">0.0541</f>
        <v>0.0541</v>
      </c>
      <c r="C70" s="15"/>
      <c r="D70" s="15"/>
      <c r="E70" s="15"/>
      <c r="F70" s="15"/>
      <c r="G70" s="32" t="n">
        <f aca="false">$G$64</f>
        <v>-0.12682</v>
      </c>
      <c r="H70" s="15" t="n">
        <f aca="false">1000*$E$68*(1/$A70-1/$A$71)+$F$68*G70</f>
        <v>-1232.53761913477</v>
      </c>
      <c r="I70" s="45" t="n">
        <f aca="false">10000*H70/299792458</f>
        <v>-0.0411130295724373</v>
      </c>
      <c r="J70" s="45" t="n">
        <f aca="false">$J$71+$I70</f>
        <v>52329.8440659781</v>
      </c>
      <c r="K70" s="52"/>
      <c r="L70" s="19" t="n">
        <f aca="false">100000000/J70</f>
        <v>1910.95543632652</v>
      </c>
      <c r="AMJ70" s="0"/>
    </row>
    <row collapsed="false" customFormat="true" customHeight="false" hidden="false" ht="12.8" outlineLevel="0" r="71" s="8">
      <c r="A71" s="8" t="n">
        <v>48</v>
      </c>
      <c r="B71" s="54" t="n">
        <f aca="false">0.7372</f>
        <v>0.7372</v>
      </c>
      <c r="C71" s="15"/>
      <c r="D71" s="15"/>
      <c r="E71" s="15"/>
      <c r="F71" s="15"/>
      <c r="G71" s="32"/>
      <c r="H71" s="15" t="n">
        <f aca="false">0</f>
        <v>0</v>
      </c>
      <c r="I71" s="45" t="n">
        <f aca="false">10000*H71/299792458</f>
        <v>0</v>
      </c>
      <c r="J71" s="45" t="n">
        <f aca="false">J68-SUMPRODUCT(I69:I73,B69:B73)</f>
        <v>52329.8851790077</v>
      </c>
      <c r="K71" s="52"/>
      <c r="L71" s="19" t="n">
        <f aca="false">100000000/J71</f>
        <v>1910.95393498237</v>
      </c>
      <c r="AMJ71" s="0"/>
    </row>
    <row collapsed="false" customFormat="true" customHeight="false" hidden="false" ht="12.8" outlineLevel="0" r="72" s="8">
      <c r="A72" s="8" t="n">
        <v>47</v>
      </c>
      <c r="B72" s="54" t="n">
        <f aca="false">0.0744</f>
        <v>0.0744</v>
      </c>
      <c r="C72" s="15"/>
      <c r="D72" s="15"/>
      <c r="E72" s="15"/>
      <c r="F72" s="15"/>
      <c r="G72" s="32" t="n">
        <f aca="false">$G$66</f>
        <v>0.02299</v>
      </c>
      <c r="H72" s="15" t="n">
        <f aca="false">1000*$E$68*(1/$A72-1/$A$71)+$F$68*G72</f>
        <v>1247.16741194901</v>
      </c>
      <c r="I72" s="45" t="n">
        <f aca="false">10000*H72/299792458</f>
        <v>0.0416010269327393</v>
      </c>
      <c r="J72" s="45" t="n">
        <f aca="false">$J$71+$I72</f>
        <v>52329.9267800346</v>
      </c>
      <c r="K72" s="52"/>
      <c r="L72" s="19" t="n">
        <f aca="false">100000000/J72</f>
        <v>1910.95241582018</v>
      </c>
      <c r="AMJ72" s="0"/>
    </row>
    <row collapsed="false" customFormat="true" customHeight="false" hidden="false" ht="12.8" outlineLevel="0" r="73" s="8">
      <c r="A73" s="8" t="n">
        <v>46</v>
      </c>
      <c r="B73" s="54" t="n">
        <f aca="false">0.0825</f>
        <v>0.0825</v>
      </c>
      <c r="C73" s="15"/>
      <c r="D73" s="15"/>
      <c r="E73" s="15"/>
      <c r="F73" s="15"/>
      <c r="G73" s="32" t="n">
        <f aca="false">$G$67</f>
        <v>0.10075</v>
      </c>
      <c r="H73" s="15" t="n">
        <f aca="false">1000*$E$68*(1/$A73-1/$A$71)+$F$68*G73</f>
        <v>2567.17696932189</v>
      </c>
      <c r="I73" s="45" t="n">
        <f aca="false">10000*H73/299792458</f>
        <v>0.0856318062985391</v>
      </c>
      <c r="J73" s="45" t="n">
        <f aca="false">$J$71+$I73</f>
        <v>52329.9708108139</v>
      </c>
      <c r="K73" s="52"/>
      <c r="L73" s="19" t="n">
        <f aca="false">100000000/J73</f>
        <v>1910.95080793233</v>
      </c>
      <c r="AMJ73" s="0"/>
    </row>
    <row collapsed="false" customFormat="true" customHeight="false" hidden="false" ht="12.8" outlineLevel="0" r="74" s="8">
      <c r="A74" s="8" t="n">
        <f aca="false">A53</f>
        <v>3067</v>
      </c>
      <c r="B74" s="71"/>
      <c r="C74" s="15" t="n">
        <f aca="false">-I53/10000000*299792458/1822.888</f>
        <v>-536.183357192614</v>
      </c>
      <c r="D74" s="15" t="n">
        <f aca="false">-228.45</f>
        <v>-228.45</v>
      </c>
      <c r="E74" s="15" t="n">
        <f aca="false">SUM(C74:D74)</f>
        <v>-764.633357192614</v>
      </c>
      <c r="F74" s="15" t="n">
        <f aca="false">-408.04</f>
        <v>-408.04</v>
      </c>
      <c r="G74" s="3"/>
      <c r="H74" s="0"/>
      <c r="I74" s="0"/>
      <c r="J74" s="11" t="n">
        <f aca="false">I$53</f>
        <v>32602.6283031486</v>
      </c>
      <c r="K74" s="11" t="n">
        <f aca="false">J53</f>
        <v>0.0014142135623731</v>
      </c>
      <c r="L74" s="13" t="n">
        <f aca="false">100000000/J74</f>
        <v>3067.23737332375</v>
      </c>
      <c r="M74" s="13" t="n">
        <f aca="false">K74/J74*L74</f>
        <v>0.000133048435605824</v>
      </c>
      <c r="N74" s="52"/>
      <c r="AMJ74" s="0"/>
    </row>
    <row collapsed="false" customFormat="true" customHeight="false" hidden="false" ht="12.8" outlineLevel="0" r="75" s="8">
      <c r="A75" s="8" t="n">
        <v>50</v>
      </c>
      <c r="B75" s="54" t="n">
        <f aca="false">0.0518</f>
        <v>0.0518</v>
      </c>
      <c r="C75" s="15"/>
      <c r="D75" s="15"/>
      <c r="E75" s="15"/>
      <c r="F75" s="15"/>
      <c r="G75" s="32" t="n">
        <f aca="false">$G$63</f>
        <v>-0.14896</v>
      </c>
      <c r="H75" s="15" t="n">
        <f aca="false">1000*$E$74*(1/$A75-1/$A$77)+$F$74*G75</f>
        <v>697.976102727177</v>
      </c>
      <c r="I75" s="45" t="n">
        <f aca="false">10000*H75/299792458</f>
        <v>0.0232819767176123</v>
      </c>
      <c r="J75" s="45" t="n">
        <f aca="false">$J$77+$I75</f>
        <v>32602.6525825917</v>
      </c>
      <c r="K75" s="0"/>
      <c r="L75" s="19" t="n">
        <f aca="false">100000000/J75</f>
        <v>3067.23508912878</v>
      </c>
      <c r="M75" s="52"/>
      <c r="AMJ75" s="0"/>
    </row>
    <row collapsed="false" customFormat="true" customHeight="false" hidden="false" ht="12.8" outlineLevel="0" r="76" s="8">
      <c r="A76" s="8" t="n">
        <v>49</v>
      </c>
      <c r="B76" s="54" t="n">
        <f aca="false">0.0541</f>
        <v>0.0541</v>
      </c>
      <c r="C76" s="15"/>
      <c r="D76" s="15"/>
      <c r="E76" s="15"/>
      <c r="F76" s="15"/>
      <c r="G76" s="32" t="n">
        <f aca="false">$G$64</f>
        <v>-0.12682</v>
      </c>
      <c r="H76" s="15" t="n">
        <f aca="false">1000*$E$74*(1/$A76-1/$A$77)+$F$74*G76</f>
        <v>376.846849293459</v>
      </c>
      <c r="I76" s="45" t="n">
        <f aca="false">10000*H76/299792458</f>
        <v>0.0125702578312847</v>
      </c>
      <c r="J76" s="45" t="n">
        <f aca="false">$J$77+$I76</f>
        <v>32602.6418708728</v>
      </c>
      <c r="K76" s="52"/>
      <c r="L76" s="19" t="n">
        <f aca="false">100000000/J76</f>
        <v>3067.23609688024</v>
      </c>
      <c r="AMJ76" s="0"/>
    </row>
    <row collapsed="false" customFormat="true" customHeight="false" hidden="false" ht="12.8" outlineLevel="0" r="77" s="8">
      <c r="A77" s="8" t="n">
        <v>48</v>
      </c>
      <c r="B77" s="54" t="n">
        <f aca="false">0.7372</f>
        <v>0.7372</v>
      </c>
      <c r="C77" s="15"/>
      <c r="D77" s="15"/>
      <c r="E77" s="15"/>
      <c r="F77" s="15"/>
      <c r="G77" s="32"/>
      <c r="H77" s="15" t="n">
        <f aca="false">0</f>
        <v>0</v>
      </c>
      <c r="I77" s="45" t="n">
        <f aca="false">10000*H77/299792458</f>
        <v>0</v>
      </c>
      <c r="J77" s="45" t="n">
        <f aca="false">J74-SUMPRODUCT(I75:I79,B75:B79)</f>
        <v>32602.6293006149</v>
      </c>
      <c r="K77" s="52"/>
      <c r="L77" s="19" t="n">
        <f aca="false">100000000/J77</f>
        <v>3067.23727948267</v>
      </c>
      <c r="AMJ77" s="0"/>
    </row>
    <row collapsed="false" customFormat="true" customHeight="false" hidden="false" ht="12.8" outlineLevel="0" r="78" s="8">
      <c r="A78" s="8" t="n">
        <v>47</v>
      </c>
      <c r="B78" s="54" t="n">
        <f aca="false">0.0744</f>
        <v>0.0744</v>
      </c>
      <c r="C78" s="15"/>
      <c r="D78" s="15"/>
      <c r="E78" s="15"/>
      <c r="F78" s="15"/>
      <c r="G78" s="32" t="n">
        <f aca="false">$G$66</f>
        <v>0.02299</v>
      </c>
      <c r="H78" s="15" t="n">
        <f aca="false">1000*$E$74*(1/$A78-1/$A$77)+$F$74*G78</f>
        <v>-348.314065305946</v>
      </c>
      <c r="I78" s="45" t="n">
        <f aca="false">10000*H78/299792458</f>
        <v>-0.0116185066038568</v>
      </c>
      <c r="J78" s="45" t="n">
        <f aca="false">$J$77+$I78</f>
        <v>32602.6176821083</v>
      </c>
      <c r="K78" s="52"/>
      <c r="L78" s="19" t="n">
        <f aca="false">100000000/J78</f>
        <v>3067.23837254571</v>
      </c>
      <c r="AMJ78" s="0"/>
    </row>
    <row collapsed="false" customFormat="true" customHeight="false" hidden="false" ht="12.8" outlineLevel="0" r="79" s="8">
      <c r="A79" s="8" t="n">
        <v>46</v>
      </c>
      <c r="B79" s="54" t="n">
        <f aca="false">0.0825</f>
        <v>0.0825</v>
      </c>
      <c r="C79" s="15"/>
      <c r="D79" s="15"/>
      <c r="E79" s="15"/>
      <c r="F79" s="15"/>
      <c r="G79" s="32" t="n">
        <f aca="false">$G$67</f>
        <v>0.10075</v>
      </c>
      <c r="H79" s="15" t="n">
        <f aca="false">1000*$E$74*(1/$A79-1/$A$77)+$F$74*G79</f>
        <v>-733.712708616498</v>
      </c>
      <c r="I79" s="45" t="n">
        <f aca="false">10000*H79/299792458</f>
        <v>-0.0244740215785048</v>
      </c>
      <c r="J79" s="45" t="n">
        <f aca="false">$J$77+$I79</f>
        <v>32602.6048265934</v>
      </c>
      <c r="K79" s="52"/>
      <c r="L79" s="19" t="n">
        <f aca="false">100000000/J79</f>
        <v>3067.23958198677</v>
      </c>
      <c r="AMJ79" s="0"/>
    </row>
    <row collapsed="false" customFormat="true" customHeight="false" hidden="false" ht="12.8" outlineLevel="0" r="80" s="8">
      <c r="A80" s="8" t="n">
        <f aca="false">A54</f>
        <v>3073</v>
      </c>
      <c r="B80" s="71"/>
      <c r="C80" s="15" t="n">
        <f aca="false">-I54/10000000*299792458/1822.888</f>
        <v>-535.027667646104</v>
      </c>
      <c r="D80" s="15" t="n">
        <f aca="false">-224.8</f>
        <v>-224.8</v>
      </c>
      <c r="E80" s="15" t="n">
        <f aca="false">SUM(C80:D80)</f>
        <v>-759.827667646104</v>
      </c>
      <c r="F80" s="15" t="n">
        <f aca="false">-410.81</f>
        <v>-410.81</v>
      </c>
      <c r="G80" s="3"/>
      <c r="H80" s="0"/>
      <c r="I80" s="0"/>
      <c r="J80" s="11" t="n">
        <f aca="false">I$54</f>
        <v>32532.3566018486</v>
      </c>
      <c r="K80" s="11" t="n">
        <f aca="false">J54</f>
        <v>0.000707106781186547</v>
      </c>
      <c r="L80" s="13" t="n">
        <f aca="false">100000000/J80</f>
        <v>3073.86277679981</v>
      </c>
      <c r="M80" s="13" t="n">
        <f aca="false">K80/J80*L80</f>
        <v>6.68119202218678E-005</v>
      </c>
      <c r="N80" s="52"/>
      <c r="AMJ80" s="0"/>
    </row>
    <row collapsed="false" customFormat="true" customHeight="false" hidden="false" ht="12.8" outlineLevel="0" r="81" s="8">
      <c r="A81" s="8" t="n">
        <v>50</v>
      </c>
      <c r="B81" s="54" t="n">
        <f aca="false">0.0518</f>
        <v>0.0518</v>
      </c>
      <c r="C81" s="15"/>
      <c r="D81" s="15"/>
      <c r="E81" s="15"/>
      <c r="F81" s="15"/>
      <c r="G81" s="32" t="n">
        <f aca="false">$G$63</f>
        <v>-0.14896</v>
      </c>
      <c r="H81" s="15" t="n">
        <f aca="false">1000*$E$80*(1/$A81-1/$A$83)+$F$80*G81</f>
        <v>694.383980638419</v>
      </c>
      <c r="I81" s="45" t="n">
        <f aca="false">10000*H81/299792458</f>
        <v>0.0231621564221745</v>
      </c>
      <c r="J81" s="45" t="n">
        <f aca="false">$J$83+$I81</f>
        <v>32532.3807543918</v>
      </c>
      <c r="K81" s="0"/>
      <c r="L81" s="19" t="n">
        <f aca="false">100000000/J81</f>
        <v>3073.86049471649</v>
      </c>
      <c r="M81" s="52"/>
      <c r="AMJ81" s="0"/>
    </row>
    <row collapsed="false" customFormat="true" customHeight="false" hidden="false" ht="12.8" outlineLevel="0" r="82" s="8">
      <c r="A82" s="8" t="n">
        <v>49</v>
      </c>
      <c r="B82" s="54" t="n">
        <f aca="false">0.0541</f>
        <v>0.0541</v>
      </c>
      <c r="C82" s="15"/>
      <c r="D82" s="15"/>
      <c r="E82" s="15"/>
      <c r="F82" s="15"/>
      <c r="G82" s="32" t="n">
        <f aca="false">$G$64</f>
        <v>-0.12682</v>
      </c>
      <c r="H82" s="15" t="n">
        <f aca="false">1000*$E$80*(1/$A82-1/$A$83)+$F$80*G82</f>
        <v>375.154905342051</v>
      </c>
      <c r="I82" s="45" t="n">
        <f aca="false">10000*H82/299792458</f>
        <v>0.012513820655957</v>
      </c>
      <c r="J82" s="45" t="n">
        <f aca="false">$J$83+$I82</f>
        <v>32532.370106056</v>
      </c>
      <c r="K82" s="52"/>
      <c r="L82" s="19" t="n">
        <f aca="false">100000000/J82</f>
        <v>3073.86150083742</v>
      </c>
      <c r="AMJ82" s="0"/>
    </row>
    <row collapsed="false" customFormat="true" customHeight="false" hidden="false" ht="12.8" outlineLevel="0" r="83" s="8">
      <c r="A83" s="8" t="n">
        <v>48</v>
      </c>
      <c r="B83" s="54" t="n">
        <f aca="false">0.7372</f>
        <v>0.7372</v>
      </c>
      <c r="C83" s="15"/>
      <c r="D83" s="15"/>
      <c r="E83" s="15"/>
      <c r="F83" s="15"/>
      <c r="G83" s="32"/>
      <c r="H83" s="15" t="n">
        <f aca="false">0</f>
        <v>0</v>
      </c>
      <c r="I83" s="45" t="n">
        <f aca="false">10000*H83/299792458</f>
        <v>0</v>
      </c>
      <c r="J83" s="45" t="n">
        <f aca="false">J80-SUMPRODUCT(I81:I85,B81:B85)</f>
        <v>32532.3575922354</v>
      </c>
      <c r="K83" s="52"/>
      <c r="L83" s="19" t="n">
        <f aca="false">100000000/J83</f>
        <v>3073.86268322181</v>
      </c>
      <c r="AMJ83" s="0"/>
    </row>
    <row collapsed="false" customFormat="true" customHeight="false" hidden="false" ht="12.8" outlineLevel="0" r="84" s="8">
      <c r="A84" s="8" t="n">
        <v>47</v>
      </c>
      <c r="B84" s="54" t="n">
        <f aca="false">0.0744</f>
        <v>0.0744</v>
      </c>
      <c r="C84" s="15"/>
      <c r="D84" s="15"/>
      <c r="E84" s="15"/>
      <c r="F84" s="15"/>
      <c r="G84" s="32" t="n">
        <f aca="false">$G$66</f>
        <v>0.02299</v>
      </c>
      <c r="H84" s="15" t="n">
        <f aca="false">1000*$E$80*(1/$A84-1/$A$83)+$F$80*G84</f>
        <v>-346.247566069373</v>
      </c>
      <c r="I84" s="45" t="n">
        <f aca="false">10000*H84/299792458</f>
        <v>-0.0115495756090493</v>
      </c>
      <c r="J84" s="45" t="n">
        <f aca="false">$J$83+$I84</f>
        <v>32532.3460426598</v>
      </c>
      <c r="K84" s="52"/>
      <c r="L84" s="19" t="n">
        <f aca="false">100000000/J84</f>
        <v>3073.86377449907</v>
      </c>
      <c r="AMJ84" s="0"/>
    </row>
    <row collapsed="false" customFormat="true" customHeight="false" hidden="false" ht="12.8" outlineLevel="0" r="85" s="8">
      <c r="A85" s="8" t="n">
        <v>46</v>
      </c>
      <c r="B85" s="54" t="n">
        <f aca="false">0.0825</f>
        <v>0.0825</v>
      </c>
      <c r="C85" s="15"/>
      <c r="D85" s="15"/>
      <c r="E85" s="15"/>
      <c r="F85" s="15"/>
      <c r="G85" s="32" t="n">
        <f aca="false">$G$67</f>
        <v>0.10075</v>
      </c>
      <c r="H85" s="15" t="n">
        <f aca="false">1000*$E$80*(1/$A85-1/$A$83)+$F$80*G85</f>
        <v>-729.638806454805</v>
      </c>
      <c r="I85" s="45" t="n">
        <f aca="false">10000*H85/299792458</f>
        <v>-0.0243381308296557</v>
      </c>
      <c r="J85" s="45" t="n">
        <f aca="false">$J$83+$I85</f>
        <v>32532.3332541046</v>
      </c>
      <c r="K85" s="52"/>
      <c r="L85" s="19" t="n">
        <f aca="false">100000000/J85</f>
        <v>3073.8649828439</v>
      </c>
      <c r="AMJ85" s="0"/>
    </row>
    <row collapsed="false" customFormat="true" customHeight="false" hidden="false" ht="12.8" outlineLevel="0" r="86" s="8">
      <c r="A86" s="8" t="n">
        <f aca="false">A55</f>
        <v>3230</v>
      </c>
      <c r="B86" s="71"/>
      <c r="C86" s="15" t="n">
        <f aca="false">-I55/10000000*299792458/1822.888</f>
        <v>-509.145429480416</v>
      </c>
      <c r="D86" s="15" t="n">
        <f aca="false">-265.29</f>
        <v>-265.29</v>
      </c>
      <c r="E86" s="15" t="n">
        <f aca="false">SUM(C86:D86)</f>
        <v>-774.435429480416</v>
      </c>
      <c r="F86" s="15" t="n">
        <f aca="false">-411.19</f>
        <v>-411.19</v>
      </c>
      <c r="G86" s="3"/>
      <c r="H86" s="0"/>
      <c r="I86" s="0"/>
      <c r="J86" s="11" t="n">
        <f aca="false">I$55</f>
        <v>30958.5871454677</v>
      </c>
      <c r="K86" s="11" t="n">
        <f aca="false">J55</f>
        <v>0.001</v>
      </c>
      <c r="L86" s="13" t="n">
        <f aca="false">100000000/J86</f>
        <v>3230.12156627567</v>
      </c>
      <c r="M86" s="13" t="n">
        <f aca="false">K86/J86*L86</f>
        <v>0.000104336853329192</v>
      </c>
      <c r="N86" s="52"/>
      <c r="AMJ86" s="0"/>
    </row>
    <row collapsed="false" customFormat="true" customHeight="false" hidden="false" ht="12.8" outlineLevel="0" r="87" s="8">
      <c r="A87" s="8" t="n">
        <v>50</v>
      </c>
      <c r="B87" s="54" t="n">
        <f aca="false">0.0518</f>
        <v>0.0518</v>
      </c>
      <c r="C87" s="15"/>
      <c r="D87" s="15"/>
      <c r="E87" s="15"/>
      <c r="F87" s="15"/>
      <c r="G87" s="32" t="n">
        <f aca="false">$G$63</f>
        <v>-0.14896</v>
      </c>
      <c r="H87" s="15" t="n">
        <f aca="false">1000*$E$86*(1/$A87-1/$A$89)+$F$86*G87</f>
        <v>706.613720300345</v>
      </c>
      <c r="I87" s="45" t="n">
        <f aca="false">10000*H87/299792458</f>
        <v>0.0235700966266585</v>
      </c>
      <c r="J87" s="45" t="n">
        <f aca="false">$J$89+$I87</f>
        <v>30958.6117261336</v>
      </c>
      <c r="K87" s="0"/>
      <c r="L87" s="19" t="n">
        <f aca="false">100000000/J87</f>
        <v>3230.11900160837</v>
      </c>
      <c r="M87" s="52"/>
      <c r="AMJ87" s="0"/>
    </row>
    <row collapsed="false" customFormat="true" customHeight="false" hidden="false" ht="12.8" outlineLevel="0" r="88" s="8">
      <c r="A88" s="8" t="n">
        <v>49</v>
      </c>
      <c r="B88" s="54" t="n">
        <f aca="false">0.0541</f>
        <v>0.0541</v>
      </c>
      <c r="C88" s="15"/>
      <c r="D88" s="15"/>
      <c r="E88" s="15"/>
      <c r="F88" s="15"/>
      <c r="G88" s="32" t="n">
        <f aca="false">$G$64</f>
        <v>-0.12682</v>
      </c>
      <c r="H88" s="15" t="n">
        <f aca="false">1000*$E$86*(1/$A88-1/$A$89)+$F$86*G88</f>
        <v>381.413880034871</v>
      </c>
      <c r="I88" s="45" t="n">
        <f aca="false">10000*H88/299792458</f>
        <v>0.0127225975789848</v>
      </c>
      <c r="J88" s="45" t="n">
        <f aca="false">$J$89+$I88</f>
        <v>30958.6008786346</v>
      </c>
      <c r="K88" s="52"/>
      <c r="L88" s="19" t="n">
        <f aca="false">100000000/J88</f>
        <v>3230.12013340089</v>
      </c>
      <c r="AMJ88" s="0"/>
    </row>
    <row collapsed="false" customFormat="true" customHeight="false" hidden="false" ht="12.8" outlineLevel="0" r="89" s="8">
      <c r="A89" s="8" t="n">
        <v>48</v>
      </c>
      <c r="B89" s="54" t="n">
        <f aca="false">0.7372</f>
        <v>0.7372</v>
      </c>
      <c r="C89" s="15"/>
      <c r="D89" s="15"/>
      <c r="E89" s="15"/>
      <c r="F89" s="15"/>
      <c r="G89" s="32"/>
      <c r="H89" s="15" t="n">
        <f aca="false">0</f>
        <v>0</v>
      </c>
      <c r="I89" s="45" t="n">
        <f aca="false">10000*H89/299792458</f>
        <v>0</v>
      </c>
      <c r="J89" s="45" t="n">
        <f aca="false">J86-SUMPRODUCT(I87:I91,B87:B91)</f>
        <v>30958.588156037</v>
      </c>
      <c r="K89" s="52"/>
      <c r="L89" s="19" t="n">
        <f aca="false">100000000/J89</f>
        <v>3230.12146083606</v>
      </c>
      <c r="AMJ89" s="0"/>
    </row>
    <row collapsed="false" customFormat="true" customHeight="false" hidden="false" ht="12.8" outlineLevel="0" r="90" s="8">
      <c r="A90" s="8" t="n">
        <v>47</v>
      </c>
      <c r="B90" s="54" t="n">
        <f aca="false">0.0744</f>
        <v>0.0744</v>
      </c>
      <c r="C90" s="15"/>
      <c r="D90" s="15"/>
      <c r="E90" s="15"/>
      <c r="F90" s="15"/>
      <c r="G90" s="32" t="n">
        <f aca="false">$G$66</f>
        <v>0.02299</v>
      </c>
      <c r="H90" s="15" t="n">
        <f aca="false">1000*$E$86*(1/$A90-1/$A$89)+$F$86*G90</f>
        <v>-352.73137400444</v>
      </c>
      <c r="I90" s="45" t="n">
        <f aca="false">10000*H90/299792458</f>
        <v>-0.0117658521617792</v>
      </c>
      <c r="J90" s="45" t="n">
        <f aca="false">$J$89+$I90</f>
        <v>30958.5763901848</v>
      </c>
      <c r="K90" s="52"/>
      <c r="L90" s="19" t="n">
        <f aca="false">100000000/J90</f>
        <v>3230.12268844843</v>
      </c>
      <c r="AMJ90" s="0"/>
    </row>
    <row collapsed="false" customFormat="true" customHeight="false" hidden="false" ht="12.8" outlineLevel="0" r="91" s="8">
      <c r="A91" s="8" t="n">
        <v>46</v>
      </c>
      <c r="B91" s="54" t="n">
        <f aca="false">0.0825</f>
        <v>0.0825</v>
      </c>
      <c r="C91" s="15"/>
      <c r="D91" s="15"/>
      <c r="E91" s="15"/>
      <c r="F91" s="15"/>
      <c r="G91" s="32" t="n">
        <f aca="false">$G$67</f>
        <v>0.10075</v>
      </c>
      <c r="H91" s="15" t="n">
        <f aca="false">1000*$E$86*(1/$A91-1/$A$89)+$F$86*G91</f>
        <v>-742.908759782986</v>
      </c>
      <c r="I91" s="45" t="n">
        <f aca="false">10000*H91/299792458</f>
        <v>-0.0247807688271793</v>
      </c>
      <c r="J91" s="45" t="n">
        <f aca="false">$J$89+$I91</f>
        <v>30958.5633752681</v>
      </c>
      <c r="K91" s="52"/>
      <c r="L91" s="19" t="n">
        <f aca="false">100000000/J91</f>
        <v>3230.1240463854</v>
      </c>
      <c r="AMJ91" s="0"/>
    </row>
    <row collapsed="false" customFormat="true" customHeight="false" hidden="false" ht="12.8" outlineLevel="0" r="92" s="8">
      <c r="A92" s="8" t="n">
        <f aca="false">A56</f>
        <v>3242</v>
      </c>
      <c r="B92" s="71"/>
      <c r="C92" s="15" t="n">
        <f aca="false">-I56/10000000*299792458/1822.888</f>
        <v>-507.136384052265</v>
      </c>
      <c r="D92" s="15" t="n">
        <f aca="false">-278.9</f>
        <v>-278.9</v>
      </c>
      <c r="E92" s="15" t="n">
        <f aca="false">SUM(C92:D92)</f>
        <v>-786.036384052265</v>
      </c>
      <c r="F92" s="15" t="n">
        <f aca="false">-411.47</f>
        <v>-411.47</v>
      </c>
      <c r="G92" s="3"/>
      <c r="H92" s="0"/>
      <c r="I92" s="0"/>
      <c r="J92" s="11" t="n">
        <f aca="false">I$56</f>
        <v>30836.4271409478</v>
      </c>
      <c r="K92" s="11" t="n">
        <f aca="false">J56</f>
        <v>0.001</v>
      </c>
      <c r="L92" s="13" t="n">
        <f aca="false">100000000/J92</f>
        <v>3242.91784981827</v>
      </c>
      <c r="M92" s="13" t="n">
        <f aca="false">K92/J92*L92</f>
        <v>0.000105165161806699</v>
      </c>
      <c r="N92" s="52"/>
      <c r="AMJ92" s="0"/>
    </row>
    <row collapsed="false" customFormat="true" customHeight="false" hidden="false" ht="12.8" outlineLevel="0" r="93" s="8">
      <c r="A93" s="8" t="n">
        <v>50</v>
      </c>
      <c r="B93" s="54" t="n">
        <f aca="false">0.0518</f>
        <v>0.0518</v>
      </c>
      <c r="C93" s="15"/>
      <c r="D93" s="15"/>
      <c r="E93" s="15"/>
      <c r="F93" s="15"/>
      <c r="G93" s="32" t="n">
        <f aca="false">$G$63</f>
        <v>-0.14896</v>
      </c>
      <c r="H93" s="15" t="n">
        <f aca="false">1000*$E$92*(1/$A93-1/$A$95)+$F$92*G93</f>
        <v>716.322891243552</v>
      </c>
      <c r="I93" s="45" t="n">
        <f aca="false">10000*H93/299792458</f>
        <v>0.023893959708738</v>
      </c>
      <c r="J93" s="45" t="n">
        <f aca="false">$J$95+$I93</f>
        <v>30836.4520615083</v>
      </c>
      <c r="K93" s="0"/>
      <c r="L93" s="19" t="n">
        <f aca="false">100000000/J93</f>
        <v>3242.91522904561</v>
      </c>
      <c r="M93" s="52"/>
      <c r="AMJ93" s="0"/>
    </row>
    <row collapsed="false" customFormat="true" customHeight="false" hidden="false" ht="12.8" outlineLevel="0" r="94" s="8">
      <c r="A94" s="8" t="n">
        <v>49</v>
      </c>
      <c r="B94" s="54" t="n">
        <f aca="false">0.0541</f>
        <v>0.0541</v>
      </c>
      <c r="C94" s="15"/>
      <c r="D94" s="15"/>
      <c r="E94" s="15"/>
      <c r="F94" s="15"/>
      <c r="G94" s="32" t="n">
        <f aca="false">$G$64</f>
        <v>-0.12682</v>
      </c>
      <c r="H94" s="15" t="n">
        <f aca="false">1000*$E$92*(1/$A94-1/$A$95)+$F$92*G94</f>
        <v>386.381768279365</v>
      </c>
      <c r="I94" s="45" t="n">
        <f aca="false">10000*H94/299792458</f>
        <v>0.0128883084937168</v>
      </c>
      <c r="J94" s="45" t="n">
        <f aca="false">$J$95+$I94</f>
        <v>30836.441055857</v>
      </c>
      <c r="K94" s="52"/>
      <c r="L94" s="19" t="n">
        <f aca="false">100000000/J94</f>
        <v>3242.91638645524</v>
      </c>
      <c r="AMJ94" s="0"/>
    </row>
    <row collapsed="false" customFormat="true" customHeight="false" hidden="false" ht="12.8" outlineLevel="0" r="95" s="8">
      <c r="A95" s="8" t="n">
        <v>48</v>
      </c>
      <c r="B95" s="54" t="n">
        <f aca="false">0.7372</f>
        <v>0.7372</v>
      </c>
      <c r="C95" s="15"/>
      <c r="D95" s="15"/>
      <c r="E95" s="15"/>
      <c r="F95" s="15"/>
      <c r="G95" s="32"/>
      <c r="H95" s="15" t="n">
        <f aca="false">0</f>
        <v>0</v>
      </c>
      <c r="I95" s="45" t="n">
        <f aca="false">10000*H95/299792458</f>
        <v>0</v>
      </c>
      <c r="J95" s="45" t="n">
        <f aca="false">J92-SUMPRODUCT(I93:I97,B93:B97)</f>
        <v>30836.4281675486</v>
      </c>
      <c r="K95" s="52"/>
      <c r="L95" s="19" t="n">
        <f aca="false">100000000/J95</f>
        <v>3242.91774185563</v>
      </c>
      <c r="AMJ95" s="0"/>
    </row>
    <row collapsed="false" customFormat="true" customHeight="false" hidden="false" ht="12.8" outlineLevel="0" r="96" s="8">
      <c r="A96" s="8" t="n">
        <v>47</v>
      </c>
      <c r="B96" s="54" t="n">
        <f aca="false">0.0744</f>
        <v>0.0744</v>
      </c>
      <c r="C96" s="15"/>
      <c r="D96" s="15"/>
      <c r="E96" s="15"/>
      <c r="F96" s="15"/>
      <c r="G96" s="32" t="n">
        <f aca="false">$G$66</f>
        <v>0.02299</v>
      </c>
      <c r="H96" s="15" t="n">
        <f aca="false">1000*$E$92*(1/$A96-1/$A$95)+$F$92*G96</f>
        <v>-357.880078301891</v>
      </c>
      <c r="I96" s="45" t="n">
        <f aca="false">10000*H96/299792458</f>
        <v>-0.0119375944508214</v>
      </c>
      <c r="J96" s="45" t="n">
        <f aca="false">$J$95+$I96</f>
        <v>30836.4162299541</v>
      </c>
      <c r="K96" s="52"/>
      <c r="L96" s="19" t="n">
        <f aca="false">100000000/J96</f>
        <v>3242.91899727509</v>
      </c>
      <c r="AMJ96" s="0"/>
    </row>
    <row collapsed="false" customFormat="true" customHeight="false" hidden="false" ht="12.8" outlineLevel="0" r="97" s="8">
      <c r="A97" s="8" t="n">
        <v>46</v>
      </c>
      <c r="B97" s="54" t="n">
        <f aca="false">0.0825</f>
        <v>0.0825</v>
      </c>
      <c r="C97" s="15"/>
      <c r="D97" s="15"/>
      <c r="E97" s="15"/>
      <c r="F97" s="15"/>
      <c r="G97" s="32" t="n">
        <f aca="false">$G$67</f>
        <v>0.10075</v>
      </c>
      <c r="H97" s="15" t="n">
        <f aca="false">1000*$E$92*(1/$A97-1/$A$95)+$F$92*G97</f>
        <v>-753.445080808211</v>
      </c>
      <c r="I97" s="45" t="n">
        <f aca="false">10000*H97/299792458</f>
        <v>-0.0251322226661289</v>
      </c>
      <c r="J97" s="45" t="n">
        <f aca="false">$J$95+$I97</f>
        <v>30836.4030353259</v>
      </c>
      <c r="K97" s="52"/>
      <c r="L97" s="19" t="n">
        <f aca="false">100000000/J97</f>
        <v>3242.92038489187</v>
      </c>
      <c r="AMJ97" s="0"/>
    </row>
    <row collapsed="false" customFormat="true" customHeight="false" hidden="false" ht="12.8" outlineLevel="0" r="98" s="8">
      <c r="A98" s="8" t="n">
        <f aca="false">A57</f>
        <v>3384</v>
      </c>
      <c r="B98" s="71"/>
      <c r="C98" s="15" t="n">
        <f aca="false">-I57/10000000*299792458/1822.888</f>
        <v>-485.888590667364</v>
      </c>
      <c r="D98" s="15" t="n">
        <f aca="false">-345.58</f>
        <v>-345.58</v>
      </c>
      <c r="E98" s="15" t="n">
        <f aca="false">SUM(C98:D98)</f>
        <v>-831.468590667364</v>
      </c>
      <c r="F98" s="15" t="n">
        <f aca="false">-408.31</f>
        <v>-408.31</v>
      </c>
      <c r="G98" s="3"/>
      <c r="H98" s="0"/>
      <c r="I98" s="0"/>
      <c r="J98" s="11" t="n">
        <f aca="false">I$57</f>
        <v>29544.4550931448</v>
      </c>
      <c r="K98" s="11" t="n">
        <f aca="false">J57</f>
        <v>0.001</v>
      </c>
      <c r="L98" s="13" t="n">
        <f aca="false">100000000/J98</f>
        <v>3384.72988196025</v>
      </c>
      <c r="M98" s="13" t="n">
        <f aca="false">K98/J98*L98</f>
        <v>0.000114563963738347</v>
      </c>
      <c r="N98" s="52"/>
      <c r="AMJ98" s="0"/>
    </row>
    <row collapsed="false" customFormat="true" customHeight="false" hidden="false" ht="12.8" outlineLevel="0" r="99" s="8">
      <c r="A99" s="8" t="n">
        <v>50</v>
      </c>
      <c r="B99" s="54" t="n">
        <f aca="false">0.0518</f>
        <v>0.0518</v>
      </c>
      <c r="C99" s="15"/>
      <c r="D99" s="15"/>
      <c r="E99" s="15"/>
      <c r="F99" s="15"/>
      <c r="G99" s="32" t="n">
        <f aca="false">$G$63</f>
        <v>-0.14896</v>
      </c>
      <c r="H99" s="15" t="n">
        <f aca="false">1000*$E$98*(1/$A99-1/$A$101)+$F$98*G99</f>
        <v>753.712349822802</v>
      </c>
      <c r="I99" s="45" t="n">
        <f aca="false">10000*H99/299792458</f>
        <v>0.0251411378008316</v>
      </c>
      <c r="J99" s="45" t="n">
        <f aca="false">$J$101+$I99</f>
        <v>29544.4813243134</v>
      </c>
      <c r="K99" s="0"/>
      <c r="L99" s="19" t="n">
        <f aca="false">100000000/J99</f>
        <v>3384.72687681627</v>
      </c>
      <c r="M99" s="52"/>
      <c r="AMJ99" s="0"/>
    </row>
    <row collapsed="false" customFormat="true" customHeight="false" hidden="false" ht="12.8" outlineLevel="0" r="100" s="8">
      <c r="A100" s="8" t="n">
        <v>49</v>
      </c>
      <c r="B100" s="54" t="n">
        <f aca="false">0.0541</f>
        <v>0.0541</v>
      </c>
      <c r="C100" s="15"/>
      <c r="D100" s="15"/>
      <c r="E100" s="15"/>
      <c r="F100" s="15"/>
      <c r="G100" s="32" t="n">
        <f aca="false">$G$64</f>
        <v>-0.12682</v>
      </c>
      <c r="H100" s="15" t="n">
        <f aca="false">1000*$E$98*(1/$A100-1/$A$101)+$F$98*G100</f>
        <v>405.297431456533</v>
      </c>
      <c r="I100" s="45" t="n">
        <f aca="false">10000*H100/299792458</f>
        <v>0.0135192671009933</v>
      </c>
      <c r="J100" s="45" t="n">
        <f aca="false">$J$101+$I100</f>
        <v>29544.4697024427</v>
      </c>
      <c r="K100" s="52"/>
      <c r="L100" s="19" t="n">
        <f aca="false">100000000/J100</f>
        <v>3384.728208262</v>
      </c>
      <c r="AMJ100" s="0"/>
    </row>
    <row collapsed="false" customFormat="true" customHeight="false" hidden="false" ht="12.8" outlineLevel="0" r="101" s="8">
      <c r="A101" s="8" t="n">
        <v>48</v>
      </c>
      <c r="B101" s="54" t="n">
        <f aca="false">0.7372</f>
        <v>0.7372</v>
      </c>
      <c r="C101" s="15"/>
      <c r="D101" s="15"/>
      <c r="E101" s="15"/>
      <c r="F101" s="15"/>
      <c r="G101" s="32"/>
      <c r="H101" s="15" t="n">
        <f aca="false">0</f>
        <v>0</v>
      </c>
      <c r="I101" s="45" t="n">
        <f aca="false">10000*H101/299792458</f>
        <v>0</v>
      </c>
      <c r="J101" s="45" t="n">
        <f aca="false">J98-SUMPRODUCT(I99:I103,B99:B103)</f>
        <v>29544.4561831756</v>
      </c>
      <c r="K101" s="52"/>
      <c r="L101" s="19" t="n">
        <f aca="false">100000000/J101</f>
        <v>3384.72975708201</v>
      </c>
      <c r="AMJ101" s="0"/>
    </row>
    <row collapsed="false" customFormat="true" customHeight="false" hidden="false" ht="12.8" outlineLevel="0" r="102" s="8">
      <c r="A102" s="8" t="n">
        <v>47</v>
      </c>
      <c r="B102" s="54" t="n">
        <f aca="false">0.0744</f>
        <v>0.0744</v>
      </c>
      <c r="C102" s="15"/>
      <c r="D102" s="15"/>
      <c r="E102" s="15"/>
      <c r="F102" s="15"/>
      <c r="G102" s="32" t="n">
        <f aca="false">$G$66</f>
        <v>0.02299</v>
      </c>
      <c r="H102" s="15" t="n">
        <f aca="false">1000*$E$98*(1/$A102-1/$A$101)+$F$98*G102</f>
        <v>-377.945819358938</v>
      </c>
      <c r="I102" s="45" t="n">
        <f aca="false">10000*H102/299792458</f>
        <v>-0.0126069155268389</v>
      </c>
      <c r="J102" s="45" t="n">
        <f aca="false">$J$101+$I102</f>
        <v>29544.4435762601</v>
      </c>
      <c r="K102" s="52"/>
      <c r="L102" s="19" t="n">
        <f aca="false">100000000/J102</f>
        <v>3384.73120138073</v>
      </c>
      <c r="AMJ102" s="0"/>
    </row>
    <row collapsed="false" customFormat="true" customHeight="false" hidden="false" ht="12.8" outlineLevel="0" r="103" s="8">
      <c r="A103" s="8" t="n">
        <v>46</v>
      </c>
      <c r="B103" s="54" t="n">
        <f aca="false">0.0825</f>
        <v>0.0825</v>
      </c>
      <c r="C103" s="15"/>
      <c r="D103" s="15"/>
      <c r="E103" s="15"/>
      <c r="F103" s="15"/>
      <c r="G103" s="32" t="n">
        <f aca="false">$G$67</f>
        <v>0.10075</v>
      </c>
      <c r="H103" s="15" t="n">
        <f aca="false">1000*$E$98*(1/$A103-1/$A$101)+$F$98*G103</f>
        <v>-794.279071872613</v>
      </c>
      <c r="I103" s="45" t="n">
        <f aca="false">10000*H103/299792458</f>
        <v>-0.0264942979944016</v>
      </c>
      <c r="J103" s="45" t="n">
        <f aca="false">$J$101+$I103</f>
        <v>29544.4296888776</v>
      </c>
      <c r="K103" s="52"/>
      <c r="L103" s="19" t="n">
        <f aca="false">100000000/J103</f>
        <v>3384.7327923763</v>
      </c>
      <c r="AMJ103" s="0"/>
    </row>
    <row collapsed="false" customFormat="false" customHeight="false" hidden="false" ht="12.8" outlineLevel="0" r="104">
      <c r="B104" s="10"/>
    </row>
    <row collapsed="false" customFormat="false" customHeight="false" hidden="false" ht="12.8" outlineLevel="0" r="105">
      <c r="B105" s="10"/>
    </row>
    <row collapsed="false" customFormat="false" customHeight="false" hidden="false" ht="12.8" outlineLevel="0" r="106">
      <c r="B106" s="10"/>
    </row>
    <row collapsed="false" customFormat="false" customHeight="false" hidden="false" ht="12.8" outlineLevel="0" r="107">
      <c r="B107" s="10"/>
    </row>
    <row collapsed="false" customFormat="false" customHeight="false" hidden="false" ht="13.8" outlineLevel="0" r="108">
      <c r="A108" s="5" t="s">
        <v>77</v>
      </c>
      <c r="B108" s="87" t="s">
        <v>319</v>
      </c>
      <c r="C108" s="87"/>
      <c r="D108" s="87"/>
      <c r="E108" s="87"/>
      <c r="F108" s="87"/>
      <c r="G108" s="87"/>
      <c r="H108" s="87" t="s">
        <v>320</v>
      </c>
      <c r="I108" s="87"/>
      <c r="J108" s="87"/>
      <c r="K108" s="87"/>
      <c r="L108" s="87"/>
    </row>
    <row collapsed="false" customFormat="false" customHeight="false" hidden="false" ht="12.8" outlineLevel="0" r="109">
      <c r="B109" s="10" t="s">
        <v>321</v>
      </c>
      <c r="D109" s="5" t="s">
        <v>322</v>
      </c>
      <c r="E109" s="5" t="s">
        <v>323</v>
      </c>
      <c r="G109" s="5" t="s">
        <v>324</v>
      </c>
      <c r="H109" s="5" t="n">
        <v>48</v>
      </c>
      <c r="I109" s="5" t="n">
        <v>46</v>
      </c>
      <c r="J109" s="5" t="n">
        <v>47</v>
      </c>
      <c r="K109" s="5" t="n">
        <v>49</v>
      </c>
      <c r="L109" s="5" t="n">
        <v>50</v>
      </c>
    </row>
    <row collapsed="false" customFormat="false" customHeight="false" hidden="false" ht="12.8" outlineLevel="0" r="110">
      <c r="A110" s="5" t="n">
        <v>3067</v>
      </c>
      <c r="B110" s="34" t="n">
        <v>-743</v>
      </c>
      <c r="C110" s="34" t="n">
        <v>113</v>
      </c>
      <c r="D110" s="34" t="n">
        <f aca="false">B110/(1/46-1/48)*(1/47-1/48)</f>
        <v>-363.595744680851</v>
      </c>
      <c r="E110" s="34" t="n">
        <v>705</v>
      </c>
      <c r="F110" s="34" t="n">
        <v>104</v>
      </c>
      <c r="G110" s="34" t="n">
        <f aca="false">E110/(1/50-1/48)*(1/49-1/48)</f>
        <v>359.693877551021</v>
      </c>
      <c r="H110" s="38" t="n">
        <f aca="false">I53-10000/299792458*(D117*B110+D118*D110+D120*E110+D121*G110)</f>
        <v>32602.6293564233</v>
      </c>
      <c r="I110" s="38" t="n">
        <f aca="false">H110+10000/299297458*B110</f>
        <v>32602.6045316217</v>
      </c>
      <c r="J110" s="38" t="n">
        <f aca="false">H110+10000/299792458*D110</f>
        <v>32602.6172281747</v>
      </c>
      <c r="K110" s="38" t="n">
        <f aca="false">H110+10000/299792458*G110</f>
        <v>32602.6413545196</v>
      </c>
      <c r="L110" s="38" t="n">
        <f aca="false">H110+10000/299792458*E110</f>
        <v>32602.652872692</v>
      </c>
    </row>
    <row collapsed="false" customFormat="false" customHeight="false" hidden="false" ht="12.8" outlineLevel="0" r="111">
      <c r="A111" s="5" t="n">
        <v>3073</v>
      </c>
      <c r="B111" s="34" t="n">
        <v>-744</v>
      </c>
      <c r="C111" s="34" t="n">
        <v>107</v>
      </c>
      <c r="D111" s="34" t="n">
        <f aca="false">B111/(1/46-1/48)*(1/47-1/48)</f>
        <v>-364.085106382979</v>
      </c>
      <c r="E111" s="34" t="n">
        <v>706</v>
      </c>
      <c r="F111" s="34" t="n">
        <v>99</v>
      </c>
      <c r="G111" s="34" t="n">
        <f aca="false">E111/(1/50-1/48)*(1/49-1/48)</f>
        <v>360.204081632654</v>
      </c>
      <c r="H111" s="38" t="n">
        <f aca="false">I54-10000/299792458*(D117*B111+D118*D111+D120*E111+D121*G111)</f>
        <v>32532.3576564035</v>
      </c>
      <c r="I111" s="38" t="n">
        <f aca="false">H111+10000/299297458*B111</f>
        <v>32532.3327981903</v>
      </c>
      <c r="J111" s="38" t="n">
        <f aca="false">H111+10000/299792458*D111</f>
        <v>32532.3455118316</v>
      </c>
      <c r="K111" s="38" t="n">
        <f aca="false">H111+10000/299792458*G111</f>
        <v>32532.3696715183</v>
      </c>
      <c r="L111" s="38" t="n">
        <f aca="false">H111+10000/299792458*E111</f>
        <v>32532.3812060286</v>
      </c>
    </row>
    <row collapsed="false" customFormat="false" customHeight="false" hidden="false" ht="12.8" outlineLevel="0" r="112">
      <c r="A112" s="5" t="n">
        <v>3230</v>
      </c>
      <c r="B112" s="34" t="n">
        <v>-742</v>
      </c>
      <c r="C112" s="34" t="n">
        <v>95</v>
      </c>
      <c r="D112" s="34" t="n">
        <f aca="false">B112/(1/46-1/48)*(1/47-1/48)</f>
        <v>-363.106382978724</v>
      </c>
      <c r="E112" s="34" t="n">
        <v>704</v>
      </c>
      <c r="F112" s="34" t="n">
        <v>88</v>
      </c>
      <c r="G112" s="34" t="n">
        <f aca="false">E112/(1/50-1/48)*(1/49-1/48)</f>
        <v>359.183673469389</v>
      </c>
      <c r="H112" s="38" t="n">
        <f aca="false">I55-10000/299792458*(D117*B112+D118*D112+D120*E112+D121*G112)</f>
        <v>30958.5881974621</v>
      </c>
      <c r="I112" s="38" t="n">
        <f aca="false">H112+10000/299297458*B112</f>
        <v>30958.5634060722</v>
      </c>
      <c r="J112" s="38" t="n">
        <f aca="false">H112+10000/299792458*D112</f>
        <v>30958.5760855369</v>
      </c>
      <c r="K112" s="38" t="n">
        <f aca="false">H112+10000/299792458*G112</f>
        <v>30958.6001785398</v>
      </c>
      <c r="L112" s="38" t="n">
        <f aca="false">H112+10000/299792458*E112</f>
        <v>30958.6116803744</v>
      </c>
    </row>
    <row collapsed="false" customFormat="false" customHeight="false" hidden="false" ht="12.8" outlineLevel="0" r="113">
      <c r="A113" s="5" t="n">
        <v>3242</v>
      </c>
      <c r="B113" s="34" t="n">
        <v>-756</v>
      </c>
      <c r="C113" s="34" t="n">
        <v>98</v>
      </c>
      <c r="D113" s="34" t="n">
        <f aca="false">B113/(1/46-1/48)*(1/47-1/48)</f>
        <v>-369.957446808511</v>
      </c>
      <c r="E113" s="34" t="n">
        <v>717</v>
      </c>
      <c r="F113" s="34" t="n">
        <v>90</v>
      </c>
      <c r="G113" s="34" t="n">
        <f aca="false">E113/(1/50-1/48)*(1/49-1/48)</f>
        <v>365.816326530613</v>
      </c>
      <c r="H113" s="38" t="n">
        <f aca="false">I56-10000/299792458*(D117*B113+D118*D113+D120*E113+D121*G113)</f>
        <v>30836.4282135514</v>
      </c>
      <c r="I113" s="38" t="n">
        <f aca="false">H113+10000/299297458*B113</f>
        <v>30836.4029543994</v>
      </c>
      <c r="J113" s="38" t="n">
        <f aca="false">H113+10000/299792458*D113</f>
        <v>30836.4158730993</v>
      </c>
      <c r="K113" s="38" t="n">
        <f aca="false">H113+10000/299792458*G113</f>
        <v>30836.4404158706</v>
      </c>
      <c r="L113" s="38" t="n">
        <f aca="false">H113+10000/299792458*E113</f>
        <v>30836.452130097</v>
      </c>
    </row>
    <row collapsed="false" customFormat="false" customHeight="false" hidden="false" ht="12.8" outlineLevel="0" r="114">
      <c r="A114" s="5" t="n">
        <v>3384</v>
      </c>
      <c r="B114" s="34" t="n">
        <v>-784</v>
      </c>
      <c r="C114" s="34" t="n">
        <v>79</v>
      </c>
      <c r="D114" s="34" t="n">
        <f aca="false">B114/(1/46-1/48)*(1/47-1/48)</f>
        <v>-383.659574468085</v>
      </c>
      <c r="E114" s="34" t="n">
        <v>742</v>
      </c>
      <c r="F114" s="34" t="n">
        <v>73</v>
      </c>
      <c r="G114" s="34" t="n">
        <f aca="false">E114/(1/50-1/48)*(1/49-1/48)</f>
        <v>378.57142857143</v>
      </c>
      <c r="H114" s="38" t="n">
        <f aca="false">I57-10000/299792458*(D117*B114+D118*D114+D120*E114+D122*G114)</f>
        <v>29544.4442359885</v>
      </c>
      <c r="I114" s="38" t="n">
        <f aca="false">H114+10000/299297458*B114</f>
        <v>29544.4180413123</v>
      </c>
      <c r="J114" s="38" t="n">
        <f aca="false">H114+10000/299792458*D114</f>
        <v>29544.4314384827</v>
      </c>
      <c r="K114" s="38" t="n">
        <f aca="false">H114+10000/299792458*G114</f>
        <v>29544.4568637721</v>
      </c>
      <c r="L114" s="38" t="n">
        <f aca="false">H114+10000/299792458*E114</f>
        <v>29544.4689864444</v>
      </c>
    </row>
    <row collapsed="false" customFormat="false" customHeight="false" hidden="false" ht="12.8" outlineLevel="0" r="115">
      <c r="A115" s="10"/>
      <c r="B115" s="10"/>
    </row>
    <row collapsed="false" customFormat="false" customHeight="false" hidden="false" ht="12.8" outlineLevel="0" r="116">
      <c r="B116" s="10" t="s">
        <v>149</v>
      </c>
      <c r="C116" s="5" t="s">
        <v>153</v>
      </c>
      <c r="E116" s="5" t="s">
        <v>150</v>
      </c>
    </row>
    <row collapsed="false" customFormat="false" customHeight="false" hidden="false" ht="12.8" outlineLevel="0" r="117">
      <c r="A117" s="10"/>
      <c r="B117" s="5" t="n">
        <v>46</v>
      </c>
      <c r="C117" s="5" t="n">
        <v>8.25</v>
      </c>
      <c r="D117" s="68" t="n">
        <f aca="false">C117/100</f>
        <v>0.0825</v>
      </c>
      <c r="E117" s="5" t="n">
        <f aca="false">A160</f>
        <v>0</v>
      </c>
      <c r="L117" s="38"/>
    </row>
    <row collapsed="false" customFormat="false" customHeight="false" hidden="false" ht="12.8" outlineLevel="0" r="118">
      <c r="B118" s="5" t="n">
        <v>47</v>
      </c>
      <c r="C118" s="5" t="n">
        <v>7.44</v>
      </c>
      <c r="D118" s="68" t="n">
        <f aca="false">C118/100</f>
        <v>0.0744</v>
      </c>
      <c r="E118" s="5" t="n">
        <f aca="false">E117</f>
        <v>0</v>
      </c>
    </row>
    <row collapsed="false" customFormat="false" customHeight="false" hidden="false" ht="12.8" outlineLevel="0" r="119">
      <c r="B119" s="5" t="n">
        <v>48</v>
      </c>
      <c r="C119" s="5" t="n">
        <v>73.72</v>
      </c>
      <c r="D119" s="68" t="n">
        <f aca="false">C119/100</f>
        <v>0.7372</v>
      </c>
      <c r="E119" s="5" t="n">
        <f aca="false">E118</f>
        <v>0</v>
      </c>
    </row>
    <row collapsed="false" customFormat="false" customHeight="false" hidden="false" ht="12.8" outlineLevel="0" r="120">
      <c r="B120" s="5" t="n">
        <v>49</v>
      </c>
      <c r="C120" s="5" t="n">
        <v>5.41</v>
      </c>
      <c r="D120" s="68" t="n">
        <f aca="false">C120/100</f>
        <v>0.0541</v>
      </c>
      <c r="E120" s="5" t="n">
        <f aca="false">E119</f>
        <v>0</v>
      </c>
    </row>
    <row collapsed="false" customFormat="false" customHeight="false" hidden="false" ht="12.8" outlineLevel="0" r="121">
      <c r="B121" s="5" t="n">
        <v>50</v>
      </c>
      <c r="C121" s="5" t="n">
        <v>5.18</v>
      </c>
      <c r="D121" s="68" t="n">
        <f aca="false">C121/100</f>
        <v>0.0518</v>
      </c>
      <c r="E121" s="5" t="n">
        <f aca="false">E120</f>
        <v>0</v>
      </c>
    </row>
    <row collapsed="false" customFormat="false" customHeight="false" hidden="false" ht="12.8" outlineLevel="0" r="122">
      <c r="B122" s="5" t="s">
        <v>154</v>
      </c>
      <c r="C122" s="5" t="n">
        <f aca="false">SUM(C117:C121)</f>
        <v>100</v>
      </c>
      <c r="D122" s="69" t="n">
        <f aca="false">SUM(D117:D121)</f>
        <v>1</v>
      </c>
    </row>
    <row collapsed="false" customFormat="false" customHeight="false" hidden="false" ht="12.8" outlineLevel="0" r="123">
      <c r="D123" s="69"/>
    </row>
    <row collapsed="false" customFormat="false" customHeight="false" hidden="false" ht="12.8" outlineLevel="0" r="125">
      <c r="A125" s="5" t="n">
        <v>3067</v>
      </c>
      <c r="B125" s="5" t="n">
        <f aca="false">B121</f>
        <v>50</v>
      </c>
      <c r="C125" s="54" t="n">
        <f aca="false">D121</f>
        <v>0.0518</v>
      </c>
      <c r="D125" s="38" t="n">
        <f aca="false">$L110</f>
        <v>32602.652872692</v>
      </c>
      <c r="E125" s="58" t="n">
        <f aca="false">100000000/D125</f>
        <v>3067.23506183633</v>
      </c>
    </row>
    <row collapsed="false" customFormat="false" customHeight="false" hidden="false" ht="12.8" outlineLevel="0" r="126">
      <c r="B126" s="5" t="n">
        <f aca="false">B120</f>
        <v>49</v>
      </c>
      <c r="C126" s="54" t="n">
        <f aca="false">D120</f>
        <v>0.0541</v>
      </c>
      <c r="D126" s="38" t="n">
        <f aca="false">$K110</f>
        <v>32602.6413545196</v>
      </c>
      <c r="E126" s="58" t="n">
        <f aca="false">100000000/D126</f>
        <v>3067.23614545842</v>
      </c>
    </row>
    <row collapsed="false" customFormat="false" customHeight="false" hidden="false" ht="12.8" outlineLevel="0" r="127">
      <c r="B127" s="5" t="n">
        <f aca="false">B119</f>
        <v>48</v>
      </c>
      <c r="C127" s="54" t="n">
        <f aca="false">D119</f>
        <v>0.7372</v>
      </c>
      <c r="D127" s="38" t="n">
        <f aca="false">$H110</f>
        <v>32602.6293564233</v>
      </c>
      <c r="E127" s="58" t="n">
        <f aca="false">100000000/D127</f>
        <v>3067.23727423225</v>
      </c>
    </row>
    <row collapsed="false" customFormat="false" customHeight="false" hidden="false" ht="12.8" outlineLevel="0" r="128">
      <c r="B128" s="5" t="n">
        <f aca="false">B118</f>
        <v>47</v>
      </c>
      <c r="C128" s="54" t="n">
        <f aca="false">D118</f>
        <v>0.0744</v>
      </c>
      <c r="D128" s="38" t="n">
        <f aca="false">$J110</f>
        <v>32602.6172281747</v>
      </c>
      <c r="E128" s="58" t="n">
        <f aca="false">100000000/D128</f>
        <v>3067.23841525156</v>
      </c>
    </row>
    <row collapsed="false" customFormat="false" customHeight="false" hidden="false" ht="12.8" outlineLevel="0" r="129">
      <c r="B129" s="5" t="n">
        <f aca="false">B117</f>
        <v>46</v>
      </c>
      <c r="C129" s="54" t="n">
        <f aca="false">D117</f>
        <v>0.0825</v>
      </c>
      <c r="D129" s="38" t="n">
        <f aca="false">$I110</f>
        <v>32602.6045316217</v>
      </c>
      <c r="E129" s="58" t="n">
        <f aca="false">100000000/D129</f>
        <v>3067.23960973758</v>
      </c>
    </row>
    <row collapsed="false" customFormat="false" customHeight="false" hidden="false" ht="12.8" outlineLevel="0" r="130">
      <c r="C130" s="54"/>
      <c r="D130" s="38"/>
      <c r="E130" s="58"/>
    </row>
    <row collapsed="false" customFormat="false" customHeight="false" hidden="false" ht="12.8" outlineLevel="0" r="131">
      <c r="A131" s="5" t="n">
        <v>3073</v>
      </c>
      <c r="B131" s="5" t="n">
        <f aca="false">B125</f>
        <v>50</v>
      </c>
      <c r="C131" s="54" t="n">
        <f aca="false">C125</f>
        <v>0.0518</v>
      </c>
      <c r="D131" s="38" t="n">
        <f aca="false">$L111</f>
        <v>32532.3812060286</v>
      </c>
      <c r="E131" s="58" t="n">
        <f aca="false">100000000/D131</f>
        <v>3073.86045204305</v>
      </c>
    </row>
    <row collapsed="false" customFormat="false" customHeight="false" hidden="false" ht="12.8" outlineLevel="0" r="132">
      <c r="B132" s="5" t="n">
        <v>49</v>
      </c>
      <c r="C132" s="54" t="n">
        <f aca="false">C126</f>
        <v>0.0541</v>
      </c>
      <c r="D132" s="38" t="n">
        <f aca="false">$K111</f>
        <v>32532.3696715183</v>
      </c>
      <c r="E132" s="58" t="n">
        <f aca="false">100000000/D132</f>
        <v>3073.86154189526</v>
      </c>
    </row>
    <row collapsed="false" customFormat="false" customHeight="false" hidden="false" ht="12.8" outlineLevel="0" r="133">
      <c r="B133" s="5" t="n">
        <v>48</v>
      </c>
      <c r="C133" s="54" t="n">
        <f aca="false">C127</f>
        <v>0.7372</v>
      </c>
      <c r="D133" s="38" t="n">
        <f aca="false">$H111</f>
        <v>32532.3576564035</v>
      </c>
      <c r="E133" s="58" t="n">
        <f aca="false">100000000/D133</f>
        <v>3073.8626771588</v>
      </c>
    </row>
    <row collapsed="false" customFormat="false" customHeight="false" hidden="false" ht="12.8" outlineLevel="0" r="134">
      <c r="B134" s="5" t="n">
        <v>47</v>
      </c>
      <c r="C134" s="54" t="n">
        <f aca="false">C128</f>
        <v>0.0744</v>
      </c>
      <c r="D134" s="38" t="n">
        <f aca="false">$J111</f>
        <v>32532.3455118316</v>
      </c>
      <c r="E134" s="58" t="n">
        <f aca="false">100000000/D134</f>
        <v>3073.86382465511</v>
      </c>
    </row>
    <row collapsed="false" customFormat="false" customHeight="false" hidden="false" ht="12.8" outlineLevel="0" r="135">
      <c r="B135" s="5" t="n">
        <v>46</v>
      </c>
      <c r="C135" s="54" t="n">
        <f aca="false">C129</f>
        <v>0.0825</v>
      </c>
      <c r="D135" s="38" t="n">
        <f aca="false">$I111</f>
        <v>32532.3327981903</v>
      </c>
      <c r="E135" s="58" t="n">
        <f aca="false">100000000/D135</f>
        <v>3073.86502592162</v>
      </c>
    </row>
    <row collapsed="false" customFormat="false" customHeight="false" hidden="false" ht="12.8" outlineLevel="0" r="136">
      <c r="C136" s="54"/>
      <c r="D136" s="38"/>
      <c r="E136" s="58"/>
    </row>
    <row collapsed="false" customFormat="false" customHeight="false" hidden="false" ht="12.8" outlineLevel="0" r="137">
      <c r="A137" s="5" t="n">
        <v>3230</v>
      </c>
      <c r="B137" s="5" t="n">
        <f aca="false">B131</f>
        <v>50</v>
      </c>
      <c r="C137" s="54" t="n">
        <f aca="false">C131</f>
        <v>0.0518</v>
      </c>
      <c r="D137" s="38" t="n">
        <f aca="false">$L112</f>
        <v>30958.6116803744</v>
      </c>
      <c r="E137" s="58" t="n">
        <f aca="false">100000000/D137</f>
        <v>3230.11900638273</v>
      </c>
    </row>
    <row collapsed="false" customFormat="false" customHeight="false" hidden="false" ht="12.8" outlineLevel="0" r="138">
      <c r="B138" s="5" t="n">
        <v>49</v>
      </c>
      <c r="C138" s="54" t="n">
        <f aca="false">C132</f>
        <v>0.0541</v>
      </c>
      <c r="D138" s="38" t="n">
        <f aca="false">$K112</f>
        <v>30958.6001785398</v>
      </c>
      <c r="E138" s="58" t="n">
        <f aca="false">100000000/D138</f>
        <v>3230.12020644651</v>
      </c>
    </row>
    <row collapsed="false" customFormat="false" customHeight="false" hidden="false" ht="12.8" outlineLevel="0" r="139">
      <c r="B139" s="5" t="n">
        <v>48</v>
      </c>
      <c r="C139" s="54" t="n">
        <f aca="false">C133</f>
        <v>0.7372</v>
      </c>
      <c r="D139" s="38" t="n">
        <f aca="false">$H112</f>
        <v>30958.5881974621</v>
      </c>
      <c r="E139" s="58" t="n">
        <f aca="false">100000000/D139</f>
        <v>3230.12145651389</v>
      </c>
    </row>
    <row collapsed="false" customFormat="false" customHeight="false" hidden="false" ht="12.8" outlineLevel="0" r="140">
      <c r="B140" s="5" t="n">
        <v>47</v>
      </c>
      <c r="C140" s="54" t="n">
        <f aca="false">C134</f>
        <v>0.0744</v>
      </c>
      <c r="D140" s="38" t="n">
        <f aca="false">$J112</f>
        <v>30958.5760855369</v>
      </c>
      <c r="E140" s="58" t="n">
        <f aca="false">100000000/D140</f>
        <v>3230.12272023446</v>
      </c>
    </row>
    <row collapsed="false" customFormat="false" customHeight="false" hidden="false" ht="12.8" outlineLevel="0" r="141">
      <c r="B141" s="5" t="n">
        <v>46</v>
      </c>
      <c r="C141" s="54" t="n">
        <f aca="false">C135</f>
        <v>0.0825</v>
      </c>
      <c r="D141" s="38" t="n">
        <f aca="false">$I112</f>
        <v>30958.5634060722</v>
      </c>
      <c r="E141" s="58" t="n">
        <f aca="false">100000000/D141</f>
        <v>3230.1240431714</v>
      </c>
    </row>
    <row collapsed="false" customFormat="false" customHeight="false" hidden="false" ht="12.8" outlineLevel="0" r="142">
      <c r="C142" s="54"/>
      <c r="D142" s="38"/>
      <c r="E142" s="58"/>
    </row>
    <row collapsed="false" customFormat="false" customHeight="false" hidden="false" ht="12.8" outlineLevel="0" r="143">
      <c r="A143" s="5" t="n">
        <v>3242</v>
      </c>
      <c r="B143" s="5" t="n">
        <f aca="false">B137</f>
        <v>50</v>
      </c>
      <c r="C143" s="54" t="n">
        <f aca="false">C137</f>
        <v>0.0518</v>
      </c>
      <c r="D143" s="38" t="n">
        <f aca="false">$L113</f>
        <v>30836.452130097</v>
      </c>
      <c r="E143" s="58" t="n">
        <f aca="false">100000000/D143</f>
        <v>3242.91522183247</v>
      </c>
    </row>
    <row collapsed="false" customFormat="false" customHeight="false" hidden="false" ht="12.8" outlineLevel="0" r="144">
      <c r="B144" s="5" t="n">
        <v>49</v>
      </c>
      <c r="C144" s="54" t="n">
        <f aca="false">C138</f>
        <v>0.0541</v>
      </c>
      <c r="D144" s="38" t="n">
        <f aca="false">$K113</f>
        <v>30836.4404158706</v>
      </c>
      <c r="E144" s="58" t="n">
        <f aca="false">100000000/D144</f>
        <v>3242.91645375946</v>
      </c>
    </row>
    <row collapsed="false" customFormat="false" customHeight="false" hidden="false" ht="12.8" outlineLevel="0" r="145">
      <c r="B145" s="5" t="n">
        <v>48</v>
      </c>
      <c r="C145" s="54" t="n">
        <f aca="false">C139</f>
        <v>0.7372</v>
      </c>
      <c r="D145" s="38" t="n">
        <f aca="false">$H113</f>
        <v>30836.4282135514</v>
      </c>
      <c r="E145" s="58" t="n">
        <f aca="false">100000000/D145</f>
        <v>3242.91773701774</v>
      </c>
    </row>
    <row collapsed="false" customFormat="false" customHeight="false" hidden="false" ht="12.8" outlineLevel="0" r="146">
      <c r="B146" s="5" t="n">
        <v>47</v>
      </c>
      <c r="C146" s="54" t="n">
        <f aca="false">C140</f>
        <v>0.0744</v>
      </c>
      <c r="D146" s="38" t="n">
        <f aca="false">$J113</f>
        <v>30836.4158730993</v>
      </c>
      <c r="E146" s="58" t="n">
        <f aca="false">100000000/D146</f>
        <v>3242.91903480381</v>
      </c>
    </row>
    <row collapsed="false" customFormat="false" customHeight="false" hidden="false" ht="12.8" outlineLevel="0" r="147">
      <c r="B147" s="5" t="n">
        <v>46</v>
      </c>
      <c r="C147" s="54" t="n">
        <f aca="false">C141</f>
        <v>0.0825</v>
      </c>
      <c r="D147" s="38" t="n">
        <f aca="false">$I113</f>
        <v>30836.4029543994</v>
      </c>
      <c r="E147" s="58" t="n">
        <f aca="false">100000000/D147</f>
        <v>3242.92039340254</v>
      </c>
    </row>
    <row collapsed="false" customFormat="false" customHeight="false" hidden="false" ht="12.8" outlineLevel="0" r="148">
      <c r="C148" s="54"/>
      <c r="D148" s="38"/>
      <c r="E148" s="58"/>
    </row>
    <row collapsed="false" customFormat="false" customHeight="false" hidden="false" ht="12.8" outlineLevel="0" r="149">
      <c r="A149" s="5" t="n">
        <v>3384</v>
      </c>
      <c r="B149" s="5" t="n">
        <f aca="false">B143</f>
        <v>50</v>
      </c>
      <c r="C149" s="54" t="n">
        <f aca="false">C143</f>
        <v>0.0518</v>
      </c>
      <c r="D149" s="38" t="n">
        <f aca="false">$L114</f>
        <v>29544.4689864444</v>
      </c>
      <c r="E149" s="58" t="n">
        <f aca="false">100000000/D149</f>
        <v>3384.72829028953</v>
      </c>
    </row>
    <row collapsed="false" customFormat="false" customHeight="false" hidden="false" ht="12.8" outlineLevel="0" r="150">
      <c r="B150" s="5" t="n">
        <v>49</v>
      </c>
      <c r="C150" s="54" t="n">
        <f aca="false">C144</f>
        <v>0.0541</v>
      </c>
      <c r="D150" s="38" t="n">
        <f aca="false">$K114</f>
        <v>29544.4568637721</v>
      </c>
      <c r="E150" s="58" t="n">
        <f aca="false">100000000/D150</f>
        <v>3384.72967911018</v>
      </c>
    </row>
    <row collapsed="false" customFormat="false" customHeight="false" hidden="false" ht="12.8" outlineLevel="0" r="151">
      <c r="B151" s="5" t="n">
        <v>48</v>
      </c>
      <c r="C151" s="54" t="n">
        <f aca="false">C145</f>
        <v>0.7372</v>
      </c>
      <c r="D151" s="38" t="n">
        <f aca="false">$H114</f>
        <v>29544.4442359885</v>
      </c>
      <c r="E151" s="58" t="n">
        <f aca="false">100000000/D151</f>
        <v>3384.73112579957</v>
      </c>
    </row>
    <row collapsed="false" customFormat="false" customHeight="false" hidden="false" ht="12.8" outlineLevel="0" r="152">
      <c r="B152" s="5" t="n">
        <v>47</v>
      </c>
      <c r="C152" s="54" t="n">
        <f aca="false">C146</f>
        <v>0.0744</v>
      </c>
      <c r="D152" s="38" t="n">
        <f aca="false">$J114</f>
        <v>29544.4314384827</v>
      </c>
      <c r="E152" s="58" t="n">
        <f aca="false">100000000/D152</f>
        <v>3384.73259193428</v>
      </c>
    </row>
    <row collapsed="false" customFormat="false" customHeight="false" hidden="false" ht="12.8" outlineLevel="0" r="153">
      <c r="B153" s="5" t="n">
        <v>46</v>
      </c>
      <c r="C153" s="54" t="n">
        <f aca="false">C147</f>
        <v>0.0825</v>
      </c>
      <c r="D153" s="38" t="n">
        <f aca="false">$I114</f>
        <v>29544.4180413123</v>
      </c>
      <c r="E153" s="58" t="n">
        <f aca="false">100000000/D153</f>
        <v>3384.73412677037</v>
      </c>
    </row>
    <row collapsed="false" customFormat="false" customHeight="false" hidden="false" ht="12.8" outlineLevel="0" r="155">
      <c r="A155" s="5" t="s">
        <v>18</v>
      </c>
    </row>
    <row collapsed="false" customFormat="false" customHeight="false" hidden="false" ht="13.8" outlineLevel="0" r="156">
      <c r="A156" s="5" t="s">
        <v>325</v>
      </c>
      <c r="B156" s="7" t="s">
        <v>326</v>
      </c>
    </row>
    <row collapsed="false" customFormat="false" customHeight="false" hidden="false" ht="13.8" outlineLevel="0" r="157">
      <c r="A157" s="5" t="s">
        <v>327</v>
      </c>
      <c r="B157" s="7" t="s">
        <v>328</v>
      </c>
    </row>
    <row collapsed="false" customFormat="true" customHeight="false" hidden="false" ht="12.8" outlineLevel="0" r="158" s="8">
      <c r="A158" s="8" t="s">
        <v>222</v>
      </c>
      <c r="B158" s="8" t="s">
        <v>26</v>
      </c>
      <c r="C158" s="61"/>
      <c r="D158" s="61"/>
      <c r="E158" s="61"/>
      <c r="F158" s="61"/>
      <c r="G158" s="61"/>
      <c r="H158" s="52"/>
      <c r="I158" s="52"/>
      <c r="J158" s="52"/>
      <c r="K158" s="52"/>
    </row>
    <row collapsed="false" customFormat="false" customHeight="false" hidden="false" ht="13.8" outlineLevel="0" r="159">
      <c r="A159" s="5" t="s">
        <v>329</v>
      </c>
      <c r="B159" s="7" t="s">
        <v>330</v>
      </c>
    </row>
    <row collapsed="false" customFormat="false" customHeight="false" hidden="false" ht="13.8" outlineLevel="0" r="160">
      <c r="A160" s="5" t="s">
        <v>157</v>
      </c>
      <c r="B160" s="7" t="s">
        <v>158</v>
      </c>
      <c r="C160" s="0"/>
      <c r="D160" s="0"/>
      <c r="E160" s="0"/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collapsed="false" customFormat="false" customHeight="false" hidden="false" ht="13.8" outlineLevel="0" r="161">
      <c r="A161" s="5" t="s">
        <v>331</v>
      </c>
      <c r="B161" s="7" t="s">
        <v>332</v>
      </c>
    </row>
  </sheetData>
  <mergeCells count="3">
    <mergeCell ref="C60:G60"/>
    <mergeCell ref="B108:G108"/>
    <mergeCell ref="H108:L108"/>
  </mergeCells>
  <hyperlinks>
    <hyperlink display="http://adsabs.harvard.edu/abs/2009PhST..134a4008A" ref="B156" r:id="rId1"/>
    <hyperlink display="http://adsabs.harvard.edu/abs/2008JPhB...41w5702B" ref="B157" r:id="rId2"/>
    <hyperlink display="http://adsabs.harvard.edu/abs/2012MNRAS.420.1570N" ref="B159" r:id="rId3"/>
    <hyperlink display="http://adsabs.harvard.edu/abs/1998JPCRD..27.1275R" ref="B160" r:id="rId4"/>
    <hyperlink display="http://adsabs.harvard.edu/abs/2010ApJ...725..424R" ref="B161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K25" activeCellId="0" pane="topLeft" sqref="K25"/>
    </sheetView>
  </sheetViews>
  <cols>
    <col collapsed="false" hidden="false" max="2" min="1" style="8" width="11.6235294117647"/>
    <col collapsed="false" hidden="false" max="3" min="3" style="61" width="11.6235294117647"/>
    <col collapsed="false" hidden="false" max="4" min="4" style="61" width="13.7647058823529"/>
    <col collapsed="false" hidden="false" max="5" min="5" style="61" width="13.2588235294118"/>
    <col collapsed="false" hidden="false" max="6" min="6" style="52" width="12.7803921568627"/>
    <col collapsed="false" hidden="false" max="7" min="7" style="52" width="10.1764705882353"/>
    <col collapsed="false" hidden="false" max="9" min="8" style="52" width="13.3843137254902"/>
    <col collapsed="false" hidden="false" max="10" min="10" style="8" width="11.6235294117647"/>
    <col collapsed="false" hidden="false" max="11" min="11" style="8" width="10.0470588235294"/>
    <col collapsed="false" hidden="false" max="12" min="12" style="8" width="24.5176470588235"/>
    <col collapsed="false" hidden="false" max="13" min="13" style="8" width="28.6705882352941"/>
    <col collapsed="false" hidden="false" max="1025" min="14" style="8" width="11.6235294117647"/>
  </cols>
  <sheetData>
    <row collapsed="false" customFormat="true" customHeight="false" hidden="false" ht="12.8" outlineLevel="0" r="1" s="5">
      <c r="A1" s="5" t="s">
        <v>31</v>
      </c>
      <c r="B1" s="59" t="s">
        <v>193</v>
      </c>
    </row>
    <row collapsed="false" customFormat="true" customHeight="false" hidden="false" ht="12.8" outlineLevel="0" r="2" s="5">
      <c r="B2" s="10"/>
    </row>
    <row collapsed="false" customFormat="true" customHeight="false" hidden="false" ht="12.8" outlineLevel="0" r="3" s="5">
      <c r="A3" s="5" t="s">
        <v>33</v>
      </c>
      <c r="B3" s="10"/>
    </row>
    <row collapsed="false" customFormat="false" customHeight="false" hidden="false" ht="13.8" outlineLevel="0" r="4">
      <c r="A4" s="0" t="s">
        <v>34</v>
      </c>
      <c r="B4" s="0" t="s">
        <v>35</v>
      </c>
      <c r="C4" s="0" t="s">
        <v>36</v>
      </c>
      <c r="D4" s="0" t="s">
        <v>37</v>
      </c>
      <c r="E4" s="0" t="s">
        <v>38</v>
      </c>
      <c r="F4" s="0" t="s">
        <v>39</v>
      </c>
      <c r="G4" s="0" t="s">
        <v>8</v>
      </c>
      <c r="H4" s="0" t="s">
        <v>40</v>
      </c>
      <c r="I4" s="0" t="s">
        <v>41</v>
      </c>
      <c r="J4" s="0" t="s">
        <v>42</v>
      </c>
      <c r="K4" s="0" t="s">
        <v>43</v>
      </c>
      <c r="L4" s="0" t="s">
        <v>44</v>
      </c>
      <c r="M4" s="0" t="s">
        <v>45</v>
      </c>
      <c r="N4" s="0" t="s">
        <v>46</v>
      </c>
      <c r="O4" s="0" t="s">
        <v>47</v>
      </c>
      <c r="P4" s="0" t="s">
        <v>48</v>
      </c>
      <c r="Q4" s="0" t="s">
        <v>49</v>
      </c>
      <c r="R4" s="0" t="s">
        <v>50</v>
      </c>
      <c r="S4" s="0" t="s">
        <v>51</v>
      </c>
      <c r="T4" s="0" t="s">
        <v>52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true" customHeight="false" hidden="false" ht="13.8" outlineLevel="0" r="5" s="5">
      <c r="A5" s="5" t="s">
        <v>333</v>
      </c>
      <c r="B5" s="78" t="n">
        <f aca="false">A30</f>
        <v>2056</v>
      </c>
      <c r="C5" s="78" t="s">
        <v>54</v>
      </c>
      <c r="D5" s="11" t="n">
        <v>51.9961</v>
      </c>
      <c r="E5" s="69" t="n">
        <f aca="false">D30</f>
        <v>48632.059727192</v>
      </c>
      <c r="F5" s="69" t="n">
        <f aca="false">E30</f>
        <v>0.0014142135623731</v>
      </c>
      <c r="G5" s="5" t="n">
        <v>0</v>
      </c>
      <c r="H5" s="5" t="s">
        <v>334</v>
      </c>
      <c r="I5" s="38" t="n">
        <f aca="false">F30</f>
        <v>2056.25672778335</v>
      </c>
      <c r="J5" s="38" t="n">
        <f aca="false">G30</f>
        <v>5.97956608966362E-005</v>
      </c>
      <c r="K5" s="30" t="n">
        <f aca="false">299792458*J5/I5</f>
        <v>8.71792316383649</v>
      </c>
      <c r="L5" s="5" t="s">
        <v>335</v>
      </c>
      <c r="M5" s="5" t="s">
        <v>336</v>
      </c>
      <c r="N5" s="5" t="s">
        <v>337</v>
      </c>
      <c r="O5" s="34" t="n">
        <v>6.77</v>
      </c>
      <c r="P5" s="34" t="n">
        <v>16.5</v>
      </c>
      <c r="Q5" s="68" t="n">
        <v>0.103</v>
      </c>
      <c r="R5" s="18" t="n">
        <v>407000000</v>
      </c>
      <c r="S5" s="5" t="n">
        <v>-1110</v>
      </c>
      <c r="T5" s="5" t="n">
        <v>150</v>
      </c>
    </row>
    <row collapsed="false" customFormat="true" customHeight="false" hidden="false" ht="12.8" outlineLevel="0" r="6" s="5">
      <c r="B6" s="78"/>
      <c r="C6" s="78" t="s">
        <v>143</v>
      </c>
      <c r="D6" s="14" t="s">
        <v>338</v>
      </c>
      <c r="E6" s="44" t="n">
        <f aca="false">D31</f>
        <v>48631.9814408268</v>
      </c>
      <c r="F6" s="69"/>
      <c r="G6" s="5" t="n">
        <v>3</v>
      </c>
      <c r="H6" s="5" t="n">
        <f aca="false">A48</f>
        <v>0</v>
      </c>
      <c r="I6" s="58" t="n">
        <f aca="false">F31</f>
        <v>2056.26003788629</v>
      </c>
      <c r="J6" s="38"/>
      <c r="K6" s="30"/>
      <c r="Q6" s="71" t="n">
        <f aca="false">B31</f>
        <v>0.02365</v>
      </c>
      <c r="R6" s="84"/>
    </row>
    <row collapsed="false" customFormat="false" customHeight="false" hidden="false" ht="12.8" outlineLevel="0" r="7">
      <c r="A7" s="0"/>
      <c r="B7" s="14"/>
      <c r="C7" s="14" t="s">
        <v>143</v>
      </c>
      <c r="D7" s="14" t="s">
        <v>339</v>
      </c>
      <c r="E7" s="44" t="n">
        <f aca="false">D32</f>
        <v>48632.0208600673</v>
      </c>
      <c r="F7" s="69"/>
      <c r="G7" s="14" t="n">
        <f aca="false">G6</f>
        <v>3</v>
      </c>
      <c r="H7" s="0" t="n">
        <f aca="false">H6</f>
        <v>0</v>
      </c>
      <c r="I7" s="58" t="n">
        <f aca="false">F32</f>
        <v>2056.25837116121</v>
      </c>
      <c r="J7" s="45"/>
      <c r="K7" s="30"/>
      <c r="L7" s="0"/>
      <c r="M7" s="0"/>
      <c r="N7" s="0"/>
      <c r="O7" s="15"/>
      <c r="P7" s="15"/>
      <c r="Q7" s="71" t="n">
        <f aca="false">B32</f>
        <v>0.09501</v>
      </c>
      <c r="R7" s="18"/>
      <c r="S7" s="14"/>
      <c r="T7" s="14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8" outlineLevel="0" r="8">
      <c r="A8" s="0"/>
      <c r="B8" s="14"/>
      <c r="C8" s="14" t="s">
        <v>143</v>
      </c>
      <c r="D8" s="14" t="s">
        <v>340</v>
      </c>
      <c r="E8" s="44" t="n">
        <f aca="false">D33</f>
        <v>48632.0617392797</v>
      </c>
      <c r="F8" s="69"/>
      <c r="G8" s="14" t="n">
        <f aca="false">G7</f>
        <v>3</v>
      </c>
      <c r="H8" s="0" t="n">
        <f aca="false">H7</f>
        <v>0</v>
      </c>
      <c r="I8" s="58" t="n">
        <f aca="false">F33</f>
        <v>2056.25664270842</v>
      </c>
      <c r="J8" s="13"/>
      <c r="K8" s="30"/>
      <c r="L8" s="0"/>
      <c r="M8" s="0"/>
      <c r="N8" s="0"/>
      <c r="O8" s="15"/>
      <c r="P8" s="15"/>
      <c r="Q8" s="71" t="n">
        <f aca="false">B33</f>
        <v>0.83789</v>
      </c>
      <c r="R8" s="18"/>
      <c r="S8" s="14"/>
      <c r="T8" s="14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false" customHeight="false" hidden="false" ht="12.8" outlineLevel="0" r="9">
      <c r="A9" s="0"/>
      <c r="B9" s="14"/>
      <c r="C9" s="14" t="s">
        <v>143</v>
      </c>
      <c r="D9" s="14" t="s">
        <v>341</v>
      </c>
      <c r="E9" s="44" t="n">
        <f aca="false">D34</f>
        <v>48632.1485264965</v>
      </c>
      <c r="F9" s="69"/>
      <c r="G9" s="14" t="n">
        <f aca="false">G8</f>
        <v>3</v>
      </c>
      <c r="H9" s="0" t="n">
        <f aca="false">H8</f>
        <v>0</v>
      </c>
      <c r="I9" s="58" t="n">
        <f aca="false">F34</f>
        <v>2056.25297318535</v>
      </c>
      <c r="J9" s="13"/>
      <c r="K9" s="30"/>
      <c r="L9" s="0"/>
      <c r="M9" s="0"/>
      <c r="N9" s="0"/>
      <c r="O9" s="15"/>
      <c r="P9" s="15"/>
      <c r="Q9" s="71" t="n">
        <f aca="false">B34</f>
        <v>0.04345</v>
      </c>
      <c r="R9" s="18"/>
      <c r="S9" s="14"/>
      <c r="T9" s="14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collapsed="false" customFormat="true" customHeight="false" hidden="false" ht="13.8" outlineLevel="0" r="10" s="5">
      <c r="B10" s="78" t="n">
        <f aca="false">A35</f>
        <v>2062</v>
      </c>
      <c r="C10" s="78" t="s">
        <v>54</v>
      </c>
      <c r="D10" s="11" t="n">
        <f aca="false">$D$5</f>
        <v>51.9961</v>
      </c>
      <c r="E10" s="69" t="n">
        <f aca="false">D35</f>
        <v>48491.0583171104</v>
      </c>
      <c r="F10" s="69" t="n">
        <f aca="false">E35</f>
        <v>0.0014142135623731</v>
      </c>
      <c r="G10" s="5" t="n">
        <v>0</v>
      </c>
      <c r="H10" s="5" t="s">
        <v>334</v>
      </c>
      <c r="I10" s="38" t="n">
        <f aca="false">F35</f>
        <v>2062.23587338605</v>
      </c>
      <c r="J10" s="38" t="n">
        <f aca="false">G35</f>
        <v>6.01439119328479E-005</v>
      </c>
      <c r="K10" s="30" t="n">
        <f aca="false">299792458*J10/I10</f>
        <v>8.74327298093154</v>
      </c>
      <c r="M10" s="5" t="s">
        <v>342</v>
      </c>
      <c r="N10" s="5" t="s">
        <v>343</v>
      </c>
      <c r="O10" s="34"/>
      <c r="P10" s="34"/>
      <c r="Q10" s="69" t="n">
        <v>0.0759</v>
      </c>
      <c r="R10" s="18" t="n">
        <v>406000000</v>
      </c>
      <c r="S10" s="5" t="n">
        <v>-1280</v>
      </c>
      <c r="T10" s="5" t="n">
        <v>150</v>
      </c>
    </row>
    <row collapsed="false" customFormat="true" customHeight="false" hidden="false" ht="12.8" outlineLevel="0" r="11" s="5">
      <c r="B11" s="78"/>
      <c r="C11" s="78" t="s">
        <v>143</v>
      </c>
      <c r="D11" s="14" t="n">
        <f aca="false">D6</f>
        <v>0</v>
      </c>
      <c r="E11" s="44" t="n">
        <f aca="false">D36</f>
        <v>48490.9819940397</v>
      </c>
      <c r="F11" s="69"/>
      <c r="G11" s="5" t="n">
        <v>3</v>
      </c>
      <c r="H11" s="5" t="n">
        <f aca="false">A48</f>
        <v>0</v>
      </c>
      <c r="I11" s="58" t="n">
        <f aca="false">F36</f>
        <v>2062.23911927153</v>
      </c>
      <c r="J11" s="38"/>
      <c r="K11" s="30"/>
      <c r="Q11" s="71" t="n">
        <f aca="false">B36</f>
        <v>0.02365</v>
      </c>
      <c r="R11" s="84"/>
    </row>
    <row collapsed="false" customFormat="true" customHeight="false" hidden="false" ht="12.8" outlineLevel="0" r="12" s="5">
      <c r="B12" s="14"/>
      <c r="C12" s="14" t="s">
        <v>143</v>
      </c>
      <c r="D12" s="14" t="n">
        <f aca="false">D7</f>
        <v>0</v>
      </c>
      <c r="E12" s="44" t="n">
        <f aca="false">D37</f>
        <v>48491.0204902461</v>
      </c>
      <c r="F12" s="69"/>
      <c r="G12" s="14" t="n">
        <f aca="false">G11</f>
        <v>3</v>
      </c>
      <c r="H12" s="0" t="n">
        <f aca="false">H11</f>
        <v>0</v>
      </c>
      <c r="I12" s="58" t="n">
        <f aca="false">F37</f>
        <v>2062.23748209454</v>
      </c>
      <c r="J12" s="45"/>
      <c r="K12" s="30"/>
      <c r="L12" s="0"/>
      <c r="M12" s="0"/>
      <c r="N12" s="0"/>
      <c r="O12" s="15"/>
      <c r="P12" s="15"/>
      <c r="Q12" s="71" t="n">
        <f aca="false">B37</f>
        <v>0.09501</v>
      </c>
      <c r="R12" s="18"/>
      <c r="S12" s="14"/>
      <c r="T12" s="14"/>
    </row>
    <row collapsed="false" customFormat="true" customHeight="false" hidden="false" ht="12.8" outlineLevel="0" r="13" s="5">
      <c r="B13" s="14"/>
      <c r="C13" s="14" t="s">
        <v>143</v>
      </c>
      <c r="D13" s="14" t="n">
        <f aca="false">D8</f>
        <v>0</v>
      </c>
      <c r="E13" s="44" t="n">
        <f aca="false">D38</f>
        <v>48491.0602804427</v>
      </c>
      <c r="F13" s="69"/>
      <c r="G13" s="14" t="n">
        <f aca="false">G12</f>
        <v>3</v>
      </c>
      <c r="H13" s="0" t="n">
        <f aca="false">H12</f>
        <v>0</v>
      </c>
      <c r="I13" s="58" t="n">
        <f aca="false">F38</f>
        <v>2062.23578988913</v>
      </c>
      <c r="J13" s="13"/>
      <c r="K13" s="30"/>
      <c r="L13" s="0"/>
      <c r="M13" s="0"/>
      <c r="N13" s="0"/>
      <c r="O13" s="15"/>
      <c r="P13" s="15"/>
      <c r="Q13" s="71" t="n">
        <f aca="false">B38</f>
        <v>0.83789</v>
      </c>
      <c r="R13" s="18"/>
      <c r="S13" s="14"/>
      <c r="T13" s="14"/>
    </row>
    <row collapsed="false" customFormat="true" customHeight="false" hidden="false" ht="12.8" outlineLevel="0" r="14" s="5">
      <c r="B14" s="14"/>
      <c r="C14" s="14" t="s">
        <v>143</v>
      </c>
      <c r="D14" s="14" t="n">
        <f aca="false">D9</f>
        <v>0</v>
      </c>
      <c r="E14" s="44" t="n">
        <f aca="false">D39</f>
        <v>48491.1447132988</v>
      </c>
      <c r="F14" s="69"/>
      <c r="G14" s="14" t="n">
        <f aca="false">G13</f>
        <v>3</v>
      </c>
      <c r="H14" s="0" t="n">
        <f aca="false">H13</f>
        <v>0</v>
      </c>
      <c r="I14" s="58" t="n">
        <f aca="false">F39</f>
        <v>2062.23219912098</v>
      </c>
      <c r="J14" s="13"/>
      <c r="K14" s="30"/>
      <c r="L14" s="0"/>
      <c r="M14" s="0"/>
      <c r="N14" s="0"/>
      <c r="O14" s="15"/>
      <c r="P14" s="15"/>
      <c r="Q14" s="71" t="n">
        <f aca="false">B39</f>
        <v>0.04345</v>
      </c>
      <c r="R14" s="18"/>
      <c r="S14" s="14"/>
      <c r="T14" s="14"/>
    </row>
    <row collapsed="false" customFormat="true" customHeight="false" hidden="false" ht="13.8" outlineLevel="0" r="15" s="5">
      <c r="B15" s="78" t="n">
        <f aca="false">A40</f>
        <v>2066</v>
      </c>
      <c r="C15" s="78" t="s">
        <v>54</v>
      </c>
      <c r="D15" s="11" t="n">
        <f aca="false">$D$5</f>
        <v>51.9961</v>
      </c>
      <c r="E15" s="69" t="n">
        <f aca="false">D40</f>
        <v>48398.8728605191</v>
      </c>
      <c r="F15" s="69" t="n">
        <f aca="false">E40</f>
        <v>0.0014142135623731</v>
      </c>
      <c r="G15" s="5" t="n">
        <v>0</v>
      </c>
      <c r="H15" s="5" t="s">
        <v>334</v>
      </c>
      <c r="I15" s="38" t="n">
        <f aca="false">F40</f>
        <v>2066.16381931435</v>
      </c>
      <c r="J15" s="38" t="n">
        <f aca="false">G40</f>
        <v>6.03732426533954E-005</v>
      </c>
      <c r="K15" s="30" t="n">
        <f aca="false">299792458*J15/I15</f>
        <v>8.75992631528029</v>
      </c>
      <c r="M15" s="5" t="s">
        <v>344</v>
      </c>
      <c r="N15" s="5" t="s">
        <v>345</v>
      </c>
      <c r="O15" s="34"/>
      <c r="P15" s="34"/>
      <c r="Q15" s="69" t="n">
        <f aca="false">0.0512</f>
        <v>0.0512</v>
      </c>
      <c r="R15" s="18" t="n">
        <v>417000000</v>
      </c>
      <c r="S15" s="5" t="n">
        <v>-1360</v>
      </c>
      <c r="T15" s="5" t="n">
        <v>150</v>
      </c>
    </row>
    <row collapsed="false" customFormat="true" customHeight="false" hidden="false" ht="12.8" outlineLevel="0" r="16" s="5">
      <c r="B16" s="78"/>
      <c r="C16" s="78" t="s">
        <v>143</v>
      </c>
      <c r="D16" s="14" t="n">
        <f aca="false">D11</f>
        <v>0</v>
      </c>
      <c r="E16" s="44" t="n">
        <f aca="false">D41</f>
        <v>48398.7949495309</v>
      </c>
      <c r="F16" s="69"/>
      <c r="G16" s="5" t="n">
        <v>3</v>
      </c>
      <c r="H16" s="5" t="n">
        <f aca="false">A48</f>
        <v>0</v>
      </c>
      <c r="I16" s="58" t="n">
        <f aca="false">F41</f>
        <v>2066.16714536545</v>
      </c>
      <c r="J16" s="38"/>
      <c r="K16" s="30"/>
      <c r="Q16" s="71" t="n">
        <f aca="false">B41</f>
        <v>0.02365</v>
      </c>
      <c r="R16" s="84"/>
    </row>
    <row collapsed="false" customFormat="true" customHeight="false" hidden="false" ht="12.8" outlineLevel="0" r="17" s="5">
      <c r="B17" s="14"/>
      <c r="C17" s="14" t="s">
        <v>143</v>
      </c>
      <c r="D17" s="14" t="n">
        <f aca="false">D12</f>
        <v>0</v>
      </c>
      <c r="E17" s="44" t="n">
        <f aca="false">D42</f>
        <v>48398.8341797593</v>
      </c>
      <c r="F17" s="69"/>
      <c r="G17" s="14" t="n">
        <f aca="false">G16</f>
        <v>3</v>
      </c>
      <c r="H17" s="0" t="n">
        <f aca="false">H16</f>
        <v>0</v>
      </c>
      <c r="I17" s="58" t="n">
        <f aca="false">F42</f>
        <v>2066.16547061005</v>
      </c>
      <c r="J17" s="45"/>
      <c r="K17" s="30"/>
      <c r="L17" s="0"/>
      <c r="M17" s="0"/>
      <c r="N17" s="0"/>
      <c r="O17" s="15"/>
      <c r="P17" s="15"/>
      <c r="Q17" s="71" t="n">
        <f aca="false">B42</f>
        <v>0.09501</v>
      </c>
      <c r="R17" s="18"/>
      <c r="S17" s="14"/>
      <c r="T17" s="14"/>
    </row>
    <row collapsed="false" customFormat="true" customHeight="false" hidden="false" ht="12.8" outlineLevel="0" r="18" s="5">
      <c r="B18" s="14"/>
      <c r="C18" s="14" t="s">
        <v>143</v>
      </c>
      <c r="D18" s="14" t="n">
        <f aca="false">D13</f>
        <v>0</v>
      </c>
      <c r="E18" s="44" t="n">
        <f aca="false">D43</f>
        <v>48398.8748629591</v>
      </c>
      <c r="F18" s="69"/>
      <c r="G18" s="14" t="n">
        <f aca="false">G17</f>
        <v>3</v>
      </c>
      <c r="H18" s="0" t="n">
        <f aca="false">H17</f>
        <v>0</v>
      </c>
      <c r="I18" s="58" t="n">
        <f aca="false">F43</f>
        <v>2066.16373382954</v>
      </c>
      <c r="J18" s="13"/>
      <c r="K18" s="30"/>
      <c r="L18" s="0"/>
      <c r="M18" s="0"/>
      <c r="N18" s="0"/>
      <c r="O18" s="15"/>
      <c r="P18" s="15"/>
      <c r="Q18" s="71" t="n">
        <f aca="false">B43</f>
        <v>0.83789</v>
      </c>
      <c r="R18" s="18"/>
      <c r="S18" s="14"/>
      <c r="T18" s="14"/>
    </row>
    <row collapsed="false" customFormat="true" customHeight="false" hidden="false" ht="12.8" outlineLevel="0" r="19" s="5">
      <c r="B19" s="14"/>
      <c r="C19" s="14" t="s">
        <v>143</v>
      </c>
      <c r="D19" s="14" t="n">
        <f aca="false">D14</f>
        <v>0</v>
      </c>
      <c r="E19" s="44" t="n">
        <f aca="false">D44</f>
        <v>48398.961234038</v>
      </c>
      <c r="F19" s="69"/>
      <c r="G19" s="14" t="n">
        <f aca="false">G18</f>
        <v>3</v>
      </c>
      <c r="H19" s="0" t="n">
        <f aca="false">H18</f>
        <v>0</v>
      </c>
      <c r="I19" s="58" t="n">
        <f aca="false">F44</f>
        <v>2066.16004662662</v>
      </c>
      <c r="J19" s="13"/>
      <c r="K19" s="30"/>
      <c r="L19" s="0"/>
      <c r="M19" s="0"/>
      <c r="N19" s="0"/>
      <c r="O19" s="15"/>
      <c r="P19" s="15"/>
      <c r="Q19" s="71" t="n">
        <f aca="false">B44</f>
        <v>0.04345</v>
      </c>
      <c r="R19" s="18"/>
      <c r="S19" s="14"/>
      <c r="T19" s="14"/>
    </row>
    <row collapsed="false" customFormat="true" customHeight="false" hidden="false" ht="12.8" outlineLevel="0" r="20" s="5">
      <c r="A20" s="5" t="s">
        <v>69</v>
      </c>
      <c r="B20" s="10"/>
    </row>
    <row collapsed="false" customFormat="true" customHeight="false" hidden="false" ht="12.8" outlineLevel="0" r="21" s="5">
      <c r="B21" s="10"/>
    </row>
    <row collapsed="false" customFormat="true" customHeight="false" hidden="false" ht="12.8" outlineLevel="0" r="22" s="5">
      <c r="A22" s="5" t="s">
        <v>70</v>
      </c>
      <c r="B22" s="10"/>
    </row>
    <row collapsed="false" customFormat="true" customHeight="false" hidden="false" ht="92.1" outlineLevel="0" r="23" s="26">
      <c r="A23" s="5" t="s">
        <v>77</v>
      </c>
      <c r="B23" s="25" t="s">
        <v>38</v>
      </c>
      <c r="C23" s="26" t="s">
        <v>39</v>
      </c>
      <c r="D23" s="26" t="s">
        <v>150</v>
      </c>
      <c r="E23" s="26" t="s">
        <v>315</v>
      </c>
      <c r="F23" s="26" t="s">
        <v>38</v>
      </c>
      <c r="G23" s="26" t="s">
        <v>39</v>
      </c>
      <c r="H23" s="26" t="s">
        <v>150</v>
      </c>
      <c r="I23" s="26" t="s">
        <v>346</v>
      </c>
      <c r="J23" s="25" t="s">
        <v>38</v>
      </c>
      <c r="K23" s="26" t="s">
        <v>39</v>
      </c>
      <c r="L23" s="26" t="s">
        <v>151</v>
      </c>
      <c r="M23" s="26" t="s">
        <v>79</v>
      </c>
      <c r="N23" s="26" t="s">
        <v>80</v>
      </c>
      <c r="AMJ23" s="5"/>
    </row>
    <row collapsed="false" customFormat="true" customHeight="false" hidden="false" ht="12.8" outlineLevel="0" r="24" s="5">
      <c r="A24" s="5" t="n">
        <v>2056</v>
      </c>
      <c r="B24" s="69" t="n">
        <f aca="false">48632.0575</f>
        <v>48632.0575</v>
      </c>
      <c r="C24" s="69" t="n">
        <f aca="false">0.002</f>
        <v>0.002</v>
      </c>
      <c r="D24" s="5" t="n">
        <f aca="false">A47</f>
        <v>0</v>
      </c>
      <c r="E24" s="69" t="n">
        <f aca="false">B24*(1+0.000000037)</f>
        <v>48632.0592993861</v>
      </c>
      <c r="F24" s="68" t="n">
        <f aca="false">48632.055</f>
        <v>48632.055</v>
      </c>
      <c r="G24" s="68" t="n">
        <f aca="false">0.002</f>
        <v>0.002</v>
      </c>
      <c r="H24" s="68" t="n">
        <f aca="false">A50</f>
        <v>0</v>
      </c>
      <c r="I24" s="69" t="n">
        <f aca="false">F24*(1+0.000000106)</f>
        <v>48632.0601549978</v>
      </c>
      <c r="J24" s="69" t="n">
        <f aca="false">(E24/C24/C24+I24/G24/G24)/(1/C24/C24+1/G24/G24)</f>
        <v>48632.059727192</v>
      </c>
      <c r="K24" s="69" t="n">
        <f aca="false">SQRT(1/(1/C24/C24+1/G24/G24))</f>
        <v>0.0014142135623731</v>
      </c>
      <c r="L24" s="5" t="s">
        <v>316</v>
      </c>
      <c r="M24" s="38" t="n">
        <f aca="false">100000000/J24</f>
        <v>2056.25672778335</v>
      </c>
      <c r="N24" s="38" t="n">
        <f aca="false">K24/J24*M24</f>
        <v>5.97956608966362E-005</v>
      </c>
    </row>
    <row collapsed="false" customFormat="true" customHeight="false" hidden="false" ht="12.8" outlineLevel="0" r="25" s="5">
      <c r="A25" s="5" t="n">
        <v>2062</v>
      </c>
      <c r="B25" s="69" t="n">
        <f aca="false">48491.0567</f>
        <v>48491.0567</v>
      </c>
      <c r="C25" s="69" t="n">
        <f aca="false">0.002</f>
        <v>0.002</v>
      </c>
      <c r="D25" s="5" t="n">
        <f aca="false">D24</f>
        <v>0</v>
      </c>
      <c r="E25" s="69" t="n">
        <f aca="false">B25*(1+0.000000037)</f>
        <v>48491.0584941691</v>
      </c>
      <c r="F25" s="68" t="n">
        <f aca="false">48491.053</f>
        <v>48491.053</v>
      </c>
      <c r="G25" s="68" t="n">
        <f aca="false">0.002</f>
        <v>0.002</v>
      </c>
      <c r="H25" s="68" t="n">
        <f aca="false">H24</f>
        <v>0</v>
      </c>
      <c r="I25" s="69" t="n">
        <f aca="false">F25*(1+0.000000106)</f>
        <v>48491.0581400516</v>
      </c>
      <c r="J25" s="69" t="n">
        <f aca="false">(E25/C25/C25+I25/G25/G25)/(1/C25/C25+1/G25/G25)</f>
        <v>48491.0583171104</v>
      </c>
      <c r="K25" s="69" t="n">
        <f aca="false">SQRT(1/(1/C25/C25+1/G25/G25))</f>
        <v>0.0014142135623731</v>
      </c>
      <c r="L25" s="5" t="s">
        <v>316</v>
      </c>
      <c r="M25" s="38" t="n">
        <f aca="false">100000000/J25</f>
        <v>2062.23587338605</v>
      </c>
      <c r="N25" s="38" t="n">
        <f aca="false">K25/J25*M25</f>
        <v>6.01439119328479E-005</v>
      </c>
    </row>
    <row collapsed="false" customFormat="true" customHeight="false" hidden="false" ht="12.8" outlineLevel="0" r="26" s="5">
      <c r="A26" s="5" t="n">
        <v>2066</v>
      </c>
      <c r="B26" s="69" t="n">
        <f aca="false">48398.8708</f>
        <v>48398.8708</v>
      </c>
      <c r="C26" s="69" t="n">
        <f aca="false">0.002</f>
        <v>0.002</v>
      </c>
      <c r="D26" s="5" t="n">
        <f aca="false">D25</f>
        <v>0</v>
      </c>
      <c r="E26" s="69" t="n">
        <f aca="false">B26*(1+0.000000037)</f>
        <v>48398.8725907582</v>
      </c>
      <c r="F26" s="68" t="n">
        <f aca="false">48398.868</f>
        <v>48398.868</v>
      </c>
      <c r="G26" s="68" t="n">
        <f aca="false">0.002</f>
        <v>0.002</v>
      </c>
      <c r="H26" s="68" t="n">
        <f aca="false">H25</f>
        <v>0</v>
      </c>
      <c r="I26" s="69" t="n">
        <f aca="false">F26*(1+0.000000106)</f>
        <v>48398.87313028</v>
      </c>
      <c r="J26" s="69" t="n">
        <f aca="false">(E26/C26/C26+I26/G26/G26)/(1/C26/C26+1/G26/G26)</f>
        <v>48398.8728605191</v>
      </c>
      <c r="K26" s="69" t="n">
        <f aca="false">SQRT(1/(1/C26/C26+1/G26/G26))</f>
        <v>0.0014142135623731</v>
      </c>
      <c r="L26" s="5" t="s">
        <v>316</v>
      </c>
      <c r="M26" s="38" t="n">
        <f aca="false">100000000/J26</f>
        <v>2066.16381931435</v>
      </c>
      <c r="N26" s="38" t="n">
        <f aca="false">K26/J26*M26</f>
        <v>6.03732426533954E-005</v>
      </c>
    </row>
    <row collapsed="false" customFormat="true" customHeight="false" hidden="false" ht="12.8" outlineLevel="0" r="27" s="5">
      <c r="B27" s="69"/>
      <c r="C27" s="69"/>
      <c r="D27" s="69"/>
    </row>
    <row collapsed="false" customFormat="true" customHeight="false" hidden="false" ht="12.8" outlineLevel="0" r="28" s="5">
      <c r="A28" s="5" t="s">
        <v>169</v>
      </c>
      <c r="B28" s="10"/>
    </row>
    <row collapsed="false" customFormat="true" customHeight="false" hidden="false" ht="58.55" outlineLevel="0" r="29" s="26">
      <c r="A29" s="26" t="s">
        <v>126</v>
      </c>
      <c r="B29" s="26" t="s">
        <v>170</v>
      </c>
      <c r="C29" s="88" t="s">
        <v>347</v>
      </c>
      <c r="D29" s="26" t="s">
        <v>38</v>
      </c>
      <c r="E29" s="26" t="s">
        <v>39</v>
      </c>
      <c r="F29" s="26" t="s">
        <v>79</v>
      </c>
      <c r="G29" s="26" t="s">
        <v>80</v>
      </c>
      <c r="J29" s="5"/>
    </row>
    <row collapsed="false" customFormat="false" customHeight="false" hidden="false" ht="12.8" outlineLevel="0" r="30">
      <c r="A30" s="8" t="n">
        <v>2056</v>
      </c>
      <c r="B30" s="5"/>
      <c r="D30" s="81" t="n">
        <f aca="false">J24</f>
        <v>48632.059727192</v>
      </c>
      <c r="E30" s="81" t="n">
        <f aca="false">K24</f>
        <v>0.0014142135623731</v>
      </c>
      <c r="F30" s="52" t="n">
        <f aca="false">100000000/D30</f>
        <v>2056.25672778335</v>
      </c>
      <c r="G30" s="52" t="n">
        <f aca="false">E30/D30*F30</f>
        <v>5.97956608966362E-005</v>
      </c>
    </row>
    <row collapsed="false" customFormat="false" customHeight="false" hidden="false" ht="12.8" outlineLevel="0" r="31">
      <c r="A31" s="8" t="n">
        <v>54</v>
      </c>
      <c r="B31" s="72" t="n">
        <f aca="false">0.02365</f>
        <v>0.02365</v>
      </c>
      <c r="C31" s="61" t="n">
        <v>0.495</v>
      </c>
      <c r="D31" s="62" t="n">
        <f aca="false">D$33*(1-C31/299792.458)</f>
        <v>48631.9814408268</v>
      </c>
      <c r="F31" s="56" t="n">
        <f aca="false">100000000/D31</f>
        <v>2056.26003788629</v>
      </c>
    </row>
    <row collapsed="false" customFormat="false" customHeight="false" hidden="false" ht="12.8" outlineLevel="0" r="32">
      <c r="A32" s="8" t="n">
        <v>53</v>
      </c>
      <c r="B32" s="72" t="n">
        <f aca="false">0.09501</f>
        <v>0.09501</v>
      </c>
      <c r="C32" s="61" t="n">
        <v>0.252</v>
      </c>
      <c r="D32" s="62" t="n">
        <f aca="false">D$33*(1-C32/299792.458)</f>
        <v>48632.0208600673</v>
      </c>
      <c r="F32" s="56" t="n">
        <f aca="false">100000000/D32</f>
        <v>2056.25837116121</v>
      </c>
    </row>
    <row collapsed="false" customFormat="false" customHeight="false" hidden="false" ht="12.8" outlineLevel="0" r="33">
      <c r="A33" s="8" t="n">
        <v>52</v>
      </c>
      <c r="B33" s="72" t="n">
        <f aca="false">0.83789</f>
        <v>0.83789</v>
      </c>
      <c r="C33" s="61" t="n">
        <v>0</v>
      </c>
      <c r="D33" s="62" t="n">
        <f aca="false">D$30*(1+SUMPRODUCT(C$31:C$34,B$31:B$34)/299792.458)</f>
        <v>48632.0617392797</v>
      </c>
      <c r="F33" s="56" t="n">
        <f aca="false">100000000/D33</f>
        <v>2056.25664270842</v>
      </c>
    </row>
    <row collapsed="false" customFormat="false" customHeight="false" hidden="false" ht="12.8" outlineLevel="0" r="34">
      <c r="A34" s="8" t="n">
        <v>50</v>
      </c>
      <c r="B34" s="72" t="n">
        <f aca="false">0.04345</f>
        <v>0.04345</v>
      </c>
      <c r="C34" s="61" t="n">
        <v>-0.535</v>
      </c>
      <c r="D34" s="62" t="n">
        <f aca="false">D$33*(1-C34/299792.458)</f>
        <v>48632.1485264965</v>
      </c>
      <c r="F34" s="56" t="n">
        <f aca="false">100000000/D34</f>
        <v>2056.25297318535</v>
      </c>
    </row>
    <row collapsed="false" customFormat="false" customHeight="false" hidden="false" ht="12.8" outlineLevel="0" r="35">
      <c r="A35" s="8" t="n">
        <v>2062</v>
      </c>
      <c r="B35" s="72"/>
      <c r="D35" s="81" t="n">
        <f aca="false">J25</f>
        <v>48491.0583171104</v>
      </c>
      <c r="E35" s="81" t="n">
        <f aca="false">K25</f>
        <v>0.0014142135623731</v>
      </c>
      <c r="F35" s="52" t="n">
        <f aca="false">100000000/D35</f>
        <v>2062.23587338605</v>
      </c>
      <c r="G35" s="52" t="n">
        <f aca="false">E35/D35*F35</f>
        <v>6.01439119328479E-005</v>
      </c>
    </row>
    <row collapsed="false" customFormat="false" customHeight="false" hidden="false" ht="12.8" outlineLevel="0" r="36">
      <c r="A36" s="8" t="n">
        <v>54</v>
      </c>
      <c r="B36" s="72" t="n">
        <f aca="false">0.02365</f>
        <v>0.02365</v>
      </c>
      <c r="C36" s="61" t="n">
        <v>0.484</v>
      </c>
      <c r="D36" s="62" t="n">
        <f aca="false">D$38*(1-C36/299792.458)</f>
        <v>48490.9819940397</v>
      </c>
      <c r="F36" s="56" t="n">
        <f aca="false">100000000/D36</f>
        <v>2062.23911927153</v>
      </c>
    </row>
    <row collapsed="false" customFormat="false" customHeight="false" hidden="false" ht="12.8" outlineLevel="0" r="37">
      <c r="A37" s="8" t="n">
        <v>53</v>
      </c>
      <c r="B37" s="72" t="n">
        <f aca="false">0.09501</f>
        <v>0.09501</v>
      </c>
      <c r="C37" s="61" t="n">
        <v>0.246</v>
      </c>
      <c r="D37" s="62" t="n">
        <f aca="false">D$38*(1-C37/299792.458)</f>
        <v>48491.0204902461</v>
      </c>
      <c r="F37" s="56" t="n">
        <f aca="false">100000000/D37</f>
        <v>2062.23748209454</v>
      </c>
    </row>
    <row collapsed="false" customFormat="false" customHeight="false" hidden="false" ht="12.8" outlineLevel="0" r="38">
      <c r="A38" s="8" t="n">
        <v>52</v>
      </c>
      <c r="B38" s="72" t="n">
        <f aca="false">0.83789</f>
        <v>0.83789</v>
      </c>
      <c r="C38" s="61" t="n">
        <v>0</v>
      </c>
      <c r="D38" s="62" t="n">
        <f aca="false">D$35*(1+SUMPRODUCT(C$36:C$39,B$36:B$39)/299792.458)</f>
        <v>48491.0602804427</v>
      </c>
      <c r="F38" s="56" t="n">
        <f aca="false">100000000/D38</f>
        <v>2062.23578988913</v>
      </c>
    </row>
    <row collapsed="false" customFormat="false" customHeight="false" hidden="false" ht="12.8" outlineLevel="0" r="39">
      <c r="A39" s="8" t="n">
        <v>50</v>
      </c>
      <c r="B39" s="72" t="n">
        <f aca="false">0.04345</f>
        <v>0.04345</v>
      </c>
      <c r="C39" s="61" t="n">
        <v>-0.522</v>
      </c>
      <c r="D39" s="62" t="n">
        <f aca="false">D$38*(1-C39/299792.458)</f>
        <v>48491.1447132988</v>
      </c>
      <c r="F39" s="56" t="n">
        <f aca="false">100000000/D39</f>
        <v>2062.23219912098</v>
      </c>
    </row>
    <row collapsed="false" customFormat="false" customHeight="false" hidden="false" ht="12.8" outlineLevel="0" r="40">
      <c r="A40" s="8" t="n">
        <v>2066</v>
      </c>
      <c r="B40" s="72"/>
      <c r="D40" s="81" t="n">
        <f aca="false">J26</f>
        <v>48398.8728605191</v>
      </c>
      <c r="E40" s="81" t="n">
        <f aca="false">K26</f>
        <v>0.0014142135623731</v>
      </c>
      <c r="F40" s="52" t="n">
        <f aca="false">100000000/D40</f>
        <v>2066.16381931435</v>
      </c>
      <c r="G40" s="52" t="n">
        <f aca="false">E40/D40*F40</f>
        <v>6.03732426533954E-005</v>
      </c>
    </row>
    <row collapsed="false" customFormat="false" customHeight="false" hidden="false" ht="12.8" outlineLevel="0" r="41">
      <c r="A41" s="8" t="n">
        <v>54</v>
      </c>
      <c r="B41" s="72" t="n">
        <f aca="false">0.02365</f>
        <v>0.02365</v>
      </c>
      <c r="C41" s="61" t="n">
        <v>0.495</v>
      </c>
      <c r="D41" s="62" t="n">
        <f aca="false">D$43*(1-C41/299792.458)</f>
        <v>48398.7949495309</v>
      </c>
      <c r="F41" s="56" t="n">
        <f aca="false">100000000/D41</f>
        <v>2066.16714536545</v>
      </c>
    </row>
    <row collapsed="false" customFormat="false" customHeight="false" hidden="false" ht="12.8" outlineLevel="0" r="42">
      <c r="A42" s="8" t="n">
        <v>53</v>
      </c>
      <c r="B42" s="72" t="n">
        <f aca="false">0.09501</f>
        <v>0.09501</v>
      </c>
      <c r="C42" s="61" t="n">
        <v>0.252</v>
      </c>
      <c r="D42" s="62" t="n">
        <f aca="false">D$43*(1-C42/299792.458)</f>
        <v>48398.8341797593</v>
      </c>
      <c r="F42" s="56" t="n">
        <f aca="false">100000000/D42</f>
        <v>2066.16547061005</v>
      </c>
    </row>
    <row collapsed="false" customFormat="false" customHeight="false" hidden="false" ht="12.8" outlineLevel="0" r="43">
      <c r="A43" s="8" t="n">
        <v>52</v>
      </c>
      <c r="B43" s="72" t="n">
        <f aca="false">0.83789</f>
        <v>0.83789</v>
      </c>
      <c r="C43" s="61" t="n">
        <v>0</v>
      </c>
      <c r="D43" s="62" t="n">
        <f aca="false">D$40*(1+SUMPRODUCT(C$41:C$44,B$41:B$44)/299792.458)</f>
        <v>48398.8748629591</v>
      </c>
      <c r="F43" s="56" t="n">
        <f aca="false">100000000/D43</f>
        <v>2066.16373382954</v>
      </c>
    </row>
    <row collapsed="false" customFormat="false" customHeight="false" hidden="false" ht="12.8" outlineLevel="0" r="44">
      <c r="A44" s="8" t="n">
        <v>50</v>
      </c>
      <c r="B44" s="72" t="n">
        <f aca="false">0.04345</f>
        <v>0.04345</v>
      </c>
      <c r="C44" s="61" t="n">
        <v>-0.535</v>
      </c>
      <c r="D44" s="62" t="n">
        <f aca="false">D$43*(1-C44/299792.458)</f>
        <v>48398.961234038</v>
      </c>
      <c r="F44" s="56" t="n">
        <f aca="false">100000000/D44</f>
        <v>2066.16004662662</v>
      </c>
    </row>
    <row collapsed="false" customFormat="true" customHeight="false" hidden="false" ht="12.8" outlineLevel="0" r="46" s="5">
      <c r="A46" s="5" t="s">
        <v>18</v>
      </c>
    </row>
    <row collapsed="false" customFormat="true" customHeight="false" hidden="false" ht="13.8" outlineLevel="0" r="47" s="5">
      <c r="A47" s="5" t="s">
        <v>325</v>
      </c>
      <c r="B47" s="7" t="s">
        <v>326</v>
      </c>
    </row>
    <row collapsed="false" customFormat="true" customHeight="false" hidden="false" ht="13.8" outlineLevel="0" r="48" s="5">
      <c r="A48" s="5" t="s">
        <v>348</v>
      </c>
      <c r="B48" s="7" t="s">
        <v>349</v>
      </c>
    </row>
    <row collapsed="false" customFormat="true" customHeight="false" hidden="false" ht="13.8" outlineLevel="0" r="49" s="5">
      <c r="A49" s="5" t="s">
        <v>329</v>
      </c>
      <c r="B49" s="7" t="s">
        <v>330</v>
      </c>
    </row>
    <row collapsed="false" customFormat="true" customHeight="false" hidden="false" ht="13.8" outlineLevel="0" r="50" s="5">
      <c r="A50" s="0" t="s">
        <v>350</v>
      </c>
      <c r="B50" s="7" t="s">
        <v>351</v>
      </c>
    </row>
    <row collapsed="false" customFormat="false" customHeight="false" hidden="false" ht="13.8" outlineLevel="0" r="51">
      <c r="A51" s="5" t="s">
        <v>157</v>
      </c>
      <c r="B51" s="7" t="s">
        <v>158</v>
      </c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</sheetData>
  <hyperlinks>
    <hyperlink display="http://adsabs.harvard.edu/abs/2009PhST..134a4008A" ref="B47" r:id="rId1"/>
    <hyperlink display="http://adsabs.harvard.edu/abs/2011PhRvA..84e2520B" ref="B48" r:id="rId2"/>
    <hyperlink display="http://adsabs.harvard.edu/abs/2012MNRAS.420.1570N" ref="B49" r:id="rId3"/>
    <hyperlink display="http://adsabs.harvard.edu/abs/2000MNRAS.319..163P" ref="B50" r:id="rId4"/>
    <hyperlink display="http://adsabs.harvard.edu/abs/1998JPCRD..27.1275R" ref="B51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N18" activeCellId="0" pane="topLeft" sqref="N18"/>
    </sheetView>
  </sheetViews>
  <cols>
    <col collapsed="false" hidden="false" max="1" min="1" style="0" width="13.9843137254902"/>
    <col collapsed="false" hidden="false" max="2" min="2" style="0" width="11.5764705882353"/>
    <col collapsed="false" hidden="false" max="3" min="3" style="0" width="14.8705882352941"/>
    <col collapsed="false" hidden="false" max="4" min="4" style="0" width="11.5764705882353"/>
    <col collapsed="false" hidden="false" max="5" min="5" style="0" width="12.8705882352941"/>
    <col collapsed="false" hidden="false" max="6" min="6" style="0" width="10.0470588235294"/>
    <col collapsed="false" hidden="false" max="7" min="7" style="0" width="13.1686274509804"/>
    <col collapsed="false" hidden="false" max="8" min="8" style="0" width="12.9686274509804"/>
    <col collapsed="false" hidden="false" max="9" min="9" style="0" width="16.7882352941176"/>
    <col collapsed="false" hidden="false" max="10" min="10" style="0" width="11.5764705882353"/>
    <col collapsed="false" hidden="false" max="11" min="11" style="0" width="14.7333333333333"/>
    <col collapsed="false" hidden="false" max="12" min="12" style="0" width="28.1450980392157"/>
    <col collapsed="false" hidden="false" max="13" min="13" style="0" width="26.9254901960784"/>
    <col collapsed="false" hidden="false" max="1025" min="14" style="0" width="11.5764705882353"/>
  </cols>
  <sheetData>
    <row collapsed="false" customFormat="false" customHeight="false" hidden="false" ht="12.8" outlineLevel="0" r="1">
      <c r="A1" s="0" t="s">
        <v>31</v>
      </c>
      <c r="B1" s="2" t="n">
        <v>41530</v>
      </c>
    </row>
    <row collapsed="false" customFormat="false" customHeight="false" hidden="false" ht="12.8" outlineLevel="0" r="3">
      <c r="A3" s="0" t="s">
        <v>33</v>
      </c>
    </row>
    <row collapsed="false" customFormat="false" customHeight="false" hidden="false" ht="13.8" outlineLevel="0" r="4">
      <c r="A4" s="0" t="s">
        <v>34</v>
      </c>
      <c r="B4" s="0" t="s">
        <v>35</v>
      </c>
      <c r="C4" s="0" t="s">
        <v>36</v>
      </c>
      <c r="D4" s="0" t="s">
        <v>37</v>
      </c>
      <c r="E4" s="0" t="s">
        <v>38</v>
      </c>
      <c r="F4" s="0" t="s">
        <v>39</v>
      </c>
      <c r="G4" s="0" t="s">
        <v>8</v>
      </c>
      <c r="H4" s="0" t="s">
        <v>40</v>
      </c>
      <c r="I4" s="0" t="s">
        <v>41</v>
      </c>
      <c r="J4" s="0" t="s">
        <v>42</v>
      </c>
      <c r="K4" s="0" t="s">
        <v>43</v>
      </c>
      <c r="L4" s="0" t="s">
        <v>44</v>
      </c>
      <c r="M4" s="0" t="s">
        <v>45</v>
      </c>
      <c r="N4" s="0" t="s">
        <v>46</v>
      </c>
      <c r="O4" s="0" t="s">
        <v>47</v>
      </c>
      <c r="P4" s="0" t="s">
        <v>48</v>
      </c>
      <c r="Q4" s="0" t="s">
        <v>49</v>
      </c>
      <c r="R4" s="0" t="s">
        <v>50</v>
      </c>
      <c r="S4" s="0" t="s">
        <v>51</v>
      </c>
      <c r="T4" s="0" t="s">
        <v>52</v>
      </c>
    </row>
    <row collapsed="false" customFormat="false" customHeight="false" hidden="false" ht="13.8" outlineLevel="0" r="5">
      <c r="A5" s="0" t="s">
        <v>352</v>
      </c>
      <c r="B5" s="0" t="n">
        <f aca="false">A27</f>
        <v>2576</v>
      </c>
      <c r="C5" s="0" t="s">
        <v>54</v>
      </c>
      <c r="D5" s="11" t="n">
        <v>54.938049</v>
      </c>
      <c r="E5" s="11" t="n">
        <f aca="false">J27</f>
        <v>38806.6923203824</v>
      </c>
      <c r="F5" s="11" t="n">
        <f aca="false">K27</f>
        <v>0.00166410058867569</v>
      </c>
      <c r="G5" s="14" t="n">
        <v>0</v>
      </c>
      <c r="H5" s="0" t="s">
        <v>353</v>
      </c>
      <c r="I5" s="45" t="n">
        <f aca="false">M27</f>
        <v>2576.87512180669</v>
      </c>
      <c r="J5" s="45" t="n">
        <f aca="false">N27</f>
        <v>0.000110501028321086</v>
      </c>
      <c r="K5" s="30" t="n">
        <f aca="false">299792458*J5/I5</f>
        <v>12.8556384481216</v>
      </c>
      <c r="L5" s="0" t="s">
        <v>354</v>
      </c>
      <c r="M5" s="0" t="s">
        <v>355</v>
      </c>
      <c r="N5" s="0" t="s">
        <v>356</v>
      </c>
      <c r="O5" s="15" t="n">
        <v>7.44</v>
      </c>
      <c r="P5" s="15" t="n">
        <v>15.64</v>
      </c>
      <c r="Q5" s="32" t="n">
        <v>0.361</v>
      </c>
      <c r="R5" s="18" t="n">
        <v>282000000</v>
      </c>
      <c r="S5" s="14" t="n">
        <v>1276</v>
      </c>
      <c r="T5" s="14" t="n">
        <v>150</v>
      </c>
    </row>
    <row collapsed="false" customFormat="false" customHeight="false" hidden="false" ht="12.8" outlineLevel="0" r="6">
      <c r="C6" s="0" t="s">
        <v>202</v>
      </c>
      <c r="D6" s="14" t="n">
        <v>55</v>
      </c>
      <c r="E6" s="45" t="n">
        <f aca="false">G35</f>
        <v>38806.4547337669</v>
      </c>
      <c r="F6" s="11"/>
      <c r="G6" s="14" t="n">
        <v>3</v>
      </c>
      <c r="I6" s="13" t="n">
        <f aca="false">H35</f>
        <v>2576.8908983326</v>
      </c>
      <c r="J6" s="45"/>
      <c r="K6" s="30"/>
      <c r="L6" s="0" t="s">
        <v>357</v>
      </c>
      <c r="M6" s="0" t="s">
        <v>358</v>
      </c>
      <c r="O6" s="15"/>
      <c r="P6" s="15"/>
      <c r="Q6" s="70" t="n">
        <f aca="false">F35</f>
        <v>0.285714285714286</v>
      </c>
      <c r="R6" s="18"/>
      <c r="S6" s="14"/>
      <c r="T6" s="14"/>
    </row>
    <row collapsed="false" customFormat="false" customHeight="false" hidden="false" ht="12.8" outlineLevel="0" r="7">
      <c r="C7" s="0" t="s">
        <v>202</v>
      </c>
      <c r="D7" s="14" t="n">
        <v>55</v>
      </c>
      <c r="E7" s="45" t="n">
        <f aca="false">G38</f>
        <v>38806.6283775761</v>
      </c>
      <c r="F7" s="11"/>
      <c r="G7" s="14" t="n">
        <f aca="false">G6</f>
        <v>3</v>
      </c>
      <c r="I7" s="13" t="n">
        <f aca="false">H38</f>
        <v>2576.87936779851</v>
      </c>
      <c r="J7" s="45"/>
      <c r="K7" s="30"/>
      <c r="L7" s="0" t="s">
        <v>359</v>
      </c>
      <c r="M7" s="0" t="s">
        <v>360</v>
      </c>
      <c r="O7" s="15"/>
      <c r="P7" s="15"/>
      <c r="Q7" s="70" t="n">
        <f aca="false">F38</f>
        <v>0.238008815141302</v>
      </c>
      <c r="R7" s="18"/>
      <c r="S7" s="14"/>
      <c r="T7" s="14"/>
    </row>
    <row collapsed="false" customFormat="false" customHeight="false" hidden="false" ht="12.8" outlineLevel="0" r="8">
      <c r="C8" s="0" t="s">
        <v>202</v>
      </c>
      <c r="D8" s="14" t="n">
        <v>55</v>
      </c>
      <c r="E8" s="45" t="n">
        <f aca="false">G41</f>
        <v>38806.7717310783</v>
      </c>
      <c r="F8" s="11"/>
      <c r="G8" s="14" t="n">
        <f aca="false">G7</f>
        <v>3</v>
      </c>
      <c r="I8" s="13" t="n">
        <f aca="false">H41</f>
        <v>2576.86984872064</v>
      </c>
      <c r="J8" s="45"/>
      <c r="K8" s="30"/>
      <c r="L8" s="0" t="s">
        <v>361</v>
      </c>
      <c r="M8" s="0" t="s">
        <v>362</v>
      </c>
      <c r="O8" s="15"/>
      <c r="P8" s="15"/>
      <c r="Q8" s="70" t="n">
        <f aca="false">F41</f>
        <v>0.190303344568317</v>
      </c>
      <c r="R8" s="18"/>
      <c r="S8" s="14"/>
      <c r="T8" s="14"/>
    </row>
    <row collapsed="false" customFormat="false" customHeight="false" hidden="false" ht="12.8" outlineLevel="0" r="9">
      <c r="C9" s="0" t="s">
        <v>202</v>
      </c>
      <c r="D9" s="14" t="n">
        <v>55</v>
      </c>
      <c r="E9" s="45" t="n">
        <f aca="false">G44</f>
        <v>38806.8824878859</v>
      </c>
      <c r="F9" s="11"/>
      <c r="G9" s="14" t="n">
        <f aca="false">G8</f>
        <v>3</v>
      </c>
      <c r="I9" s="13" t="n">
        <f aca="false">H44</f>
        <v>2576.86249420361</v>
      </c>
      <c r="J9" s="45"/>
      <c r="K9" s="30"/>
      <c r="L9" s="0" t="s">
        <v>363</v>
      </c>
      <c r="M9" s="0" t="s">
        <v>364</v>
      </c>
      <c r="O9" s="15"/>
      <c r="P9" s="15"/>
      <c r="Q9" s="70" t="n">
        <f aca="false">F44</f>
        <v>0.142857142857143</v>
      </c>
      <c r="R9" s="18"/>
      <c r="S9" s="14"/>
      <c r="T9" s="14"/>
    </row>
    <row collapsed="false" customFormat="false" customHeight="false" hidden="false" ht="12.8" outlineLevel="0" r="10">
      <c r="C10" s="0" t="s">
        <v>202</v>
      </c>
      <c r="D10" s="14" t="n">
        <v>55</v>
      </c>
      <c r="E10" s="45" t="n">
        <f aca="false">G47</f>
        <v>38806.9775562543</v>
      </c>
      <c r="F10" s="11"/>
      <c r="G10" s="14" t="n">
        <f aca="false">G9</f>
        <v>3</v>
      </c>
      <c r="I10" s="13" t="n">
        <f aca="false">H47</f>
        <v>2576.85618146996</v>
      </c>
      <c r="J10" s="45"/>
      <c r="K10" s="30"/>
      <c r="L10" s="0" t="s">
        <v>365</v>
      </c>
      <c r="M10" s="0" t="s">
        <v>366</v>
      </c>
      <c r="O10" s="15"/>
      <c r="P10" s="15"/>
      <c r="Q10" s="70" t="n">
        <f aca="false">F47</f>
        <v>0.143116411718953</v>
      </c>
      <c r="R10" s="18"/>
      <c r="S10" s="14"/>
      <c r="T10" s="14"/>
    </row>
    <row collapsed="false" customFormat="false" customHeight="false" hidden="false" ht="13.8" outlineLevel="0" r="11">
      <c r="B11" s="0" t="n">
        <f aca="false">A28</f>
        <v>2594</v>
      </c>
      <c r="C11" s="0" t="s">
        <v>54</v>
      </c>
      <c r="D11" s="11" t="n">
        <f aca="false">$D$5</f>
        <v>54.938049</v>
      </c>
      <c r="E11" s="11" t="n">
        <f aca="false">J28</f>
        <v>38543.1249903477</v>
      </c>
      <c r="F11" s="11" t="n">
        <f aca="false">K28</f>
        <v>0.00166410058867569</v>
      </c>
      <c r="G11" s="14" t="n">
        <v>0</v>
      </c>
      <c r="H11" s="0" t="s">
        <v>353</v>
      </c>
      <c r="I11" s="45" t="n">
        <f aca="false">M28</f>
        <v>2594.49642510935</v>
      </c>
      <c r="J11" s="45" t="n">
        <f aca="false">N28</f>
        <v>0.000112017461724306</v>
      </c>
      <c r="K11" s="30" t="n">
        <f aca="false">299792458*J11/I11</f>
        <v>12.9435484528892</v>
      </c>
      <c r="M11" s="0" t="s">
        <v>367</v>
      </c>
      <c r="N11" s="0" t="s">
        <v>368</v>
      </c>
      <c r="O11" s="15"/>
      <c r="P11" s="15"/>
      <c r="Q11" s="32" t="n">
        <v>0.28</v>
      </c>
      <c r="R11" s="18" t="n">
        <v>278000000</v>
      </c>
      <c r="S11" s="14" t="n">
        <v>1030</v>
      </c>
      <c r="T11" s="14" t="n">
        <v>150</v>
      </c>
    </row>
    <row collapsed="false" customFormat="false" customHeight="false" hidden="false" ht="12.8" outlineLevel="0" r="12">
      <c r="C12" s="0" t="s">
        <v>202</v>
      </c>
      <c r="D12" s="14" t="n">
        <v>55</v>
      </c>
      <c r="E12" s="45" t="n">
        <f aca="false">G52</f>
        <v>38542.8926069811</v>
      </c>
      <c r="F12" s="11"/>
      <c r="G12" s="14" t="n">
        <v>3</v>
      </c>
      <c r="I12" s="13" t="n">
        <f aca="false">H52</f>
        <v>2594.51206788479</v>
      </c>
      <c r="J12" s="45"/>
      <c r="K12" s="30"/>
      <c r="L12" s="0" t="s">
        <v>357</v>
      </c>
      <c r="M12" s="0" t="s">
        <v>369</v>
      </c>
      <c r="O12" s="15"/>
      <c r="P12" s="15"/>
      <c r="Q12" s="70" t="n">
        <f aca="false">F52</f>
        <v>0.285786673422853</v>
      </c>
      <c r="R12" s="18"/>
      <c r="S12" s="14"/>
      <c r="T12" s="14"/>
    </row>
    <row collapsed="false" customFormat="false" customHeight="false" hidden="false" ht="12.8" outlineLevel="0" r="13">
      <c r="C13" s="0" t="s">
        <v>202</v>
      </c>
      <c r="D13" s="14" t="n">
        <v>55</v>
      </c>
      <c r="E13" s="45" t="n">
        <f aca="false">G54</f>
        <v>38543.0631552817</v>
      </c>
      <c r="F13" s="11"/>
      <c r="G13" s="14" t="n">
        <f aca="false">G12</f>
        <v>3</v>
      </c>
      <c r="I13" s="13" t="n">
        <f aca="false">H54</f>
        <v>2594.50058748889</v>
      </c>
      <c r="J13" s="45"/>
      <c r="K13" s="30"/>
      <c r="L13" s="0" t="s">
        <v>359</v>
      </c>
      <c r="M13" s="0" t="s">
        <v>360</v>
      </c>
      <c r="O13" s="15"/>
      <c r="P13" s="15"/>
      <c r="Q13" s="70" t="n">
        <f aca="false">F54</f>
        <v>0.238408918165695</v>
      </c>
      <c r="R13" s="18"/>
      <c r="S13" s="14"/>
      <c r="T13" s="14"/>
    </row>
    <row collapsed="false" customFormat="false" customHeight="false" hidden="false" ht="12.8" outlineLevel="0" r="14">
      <c r="C14" s="0" t="s">
        <v>202</v>
      </c>
      <c r="D14" s="14" t="n">
        <v>55</v>
      </c>
      <c r="E14" s="45" t="n">
        <f aca="false">G57</f>
        <v>38543.2027490231</v>
      </c>
      <c r="F14" s="11"/>
      <c r="G14" s="14" t="n">
        <f aca="false">G13</f>
        <v>3</v>
      </c>
      <c r="I14" s="13" t="n">
        <f aca="false">H57</f>
        <v>2594.49119086334</v>
      </c>
      <c r="J14" s="45"/>
      <c r="K14" s="30"/>
      <c r="L14" s="0" t="s">
        <v>361</v>
      </c>
      <c r="M14" s="0" t="s">
        <v>362</v>
      </c>
      <c r="O14" s="15"/>
      <c r="P14" s="15"/>
      <c r="Q14" s="70" t="n">
        <f aca="false">F57</f>
        <v>0.190777805928553</v>
      </c>
      <c r="R14" s="18"/>
      <c r="S14" s="14"/>
      <c r="T14" s="14"/>
    </row>
    <row collapsed="false" customFormat="false" customHeight="false" hidden="false" ht="12.8" outlineLevel="0" r="15">
      <c r="C15" s="0" t="s">
        <v>202</v>
      </c>
      <c r="D15" s="14" t="n">
        <v>55</v>
      </c>
      <c r="E15" s="45" t="n">
        <f aca="false">G60</f>
        <v>38543.3110502819</v>
      </c>
      <c r="F15" s="11"/>
      <c r="G15" s="14" t="n">
        <f aca="false">G14</f>
        <v>3</v>
      </c>
      <c r="I15" s="13" t="n">
        <f aca="false">H60</f>
        <v>2594.48390070963</v>
      </c>
      <c r="J15" s="45"/>
      <c r="K15" s="30"/>
      <c r="L15" s="0" t="s">
        <v>363</v>
      </c>
      <c r="M15" s="0" t="s">
        <v>364</v>
      </c>
      <c r="O15" s="15"/>
      <c r="P15" s="15"/>
      <c r="Q15" s="70" t="n">
        <f aca="false">F60</f>
        <v>0.142893336711426</v>
      </c>
      <c r="R15" s="18"/>
      <c r="S15" s="14"/>
      <c r="T15" s="14"/>
    </row>
    <row collapsed="false" customFormat="false" customHeight="false" hidden="false" ht="12.8" outlineLevel="0" r="16">
      <c r="C16" s="0" t="s">
        <v>202</v>
      </c>
      <c r="D16" s="14" t="n">
        <v>55</v>
      </c>
      <c r="E16" s="45" t="n">
        <f aca="false">G64</f>
        <v>38543.4045360682</v>
      </c>
      <c r="F16" s="11"/>
      <c r="G16" s="14" t="n">
        <f aca="false">G15</f>
        <v>3</v>
      </c>
      <c r="I16" s="13" t="n">
        <f aca="false">H64</f>
        <v>2594.47760787249</v>
      </c>
      <c r="J16" s="45"/>
      <c r="K16" s="30"/>
      <c r="L16" s="0" t="s">
        <v>365</v>
      </c>
      <c r="M16" s="0" t="s">
        <v>370</v>
      </c>
      <c r="O16" s="15"/>
      <c r="P16" s="15"/>
      <c r="Q16" s="70" t="n">
        <f aca="false">F64</f>
        <v>0.142133265771472</v>
      </c>
      <c r="R16" s="18"/>
      <c r="S16" s="14"/>
      <c r="T16" s="14"/>
    </row>
    <row collapsed="false" customFormat="false" customHeight="false" hidden="false" ht="13.8" outlineLevel="0" r="17">
      <c r="B17" s="0" t="n">
        <f aca="false">A29</f>
        <v>2606</v>
      </c>
      <c r="C17" s="0" t="s">
        <v>54</v>
      </c>
      <c r="D17" s="11" t="n">
        <f aca="false">$D$5</f>
        <v>54.938049</v>
      </c>
      <c r="E17" s="11" t="n">
        <f aca="false">J29</f>
        <v>38366.2312984294</v>
      </c>
      <c r="F17" s="11" t="n">
        <f aca="false">K29</f>
        <v>0.00166410058867569</v>
      </c>
      <c r="G17" s="14" t="n">
        <v>0</v>
      </c>
      <c r="H17" s="0" t="s">
        <v>353</v>
      </c>
      <c r="I17" s="45" t="n">
        <f aca="false">M29</f>
        <v>2606.4587689668</v>
      </c>
      <c r="J17" s="45" t="n">
        <f aca="false">N29</f>
        <v>0.000113052792130097</v>
      </c>
      <c r="K17" s="30" t="n">
        <f aca="false">299792458*J17/I17</f>
        <v>13.0032267688162</v>
      </c>
      <c r="M17" s="0" t="s">
        <v>371</v>
      </c>
      <c r="N17" s="0" t="s">
        <v>372</v>
      </c>
      <c r="O17" s="15"/>
      <c r="P17" s="15"/>
      <c r="Q17" s="32" t="n">
        <v>0.198</v>
      </c>
      <c r="R17" s="18" t="n">
        <v>272000000</v>
      </c>
      <c r="S17" s="14" t="n">
        <v>869</v>
      </c>
      <c r="T17" s="14" t="n">
        <v>150</v>
      </c>
    </row>
    <row collapsed="false" customFormat="false" customHeight="false" hidden="false" ht="12.8" outlineLevel="0" r="18">
      <c r="C18" s="0" t="s">
        <v>202</v>
      </c>
      <c r="D18" s="14" t="n">
        <v>55</v>
      </c>
      <c r="E18" s="45" t="n">
        <f aca="false">G69</f>
        <v>38365.9442378436</v>
      </c>
      <c r="F18" s="11"/>
      <c r="G18" s="14" t="n">
        <v>3</v>
      </c>
      <c r="I18" s="13" t="n">
        <f aca="false">H69</f>
        <v>2606.47827093909</v>
      </c>
      <c r="J18" s="45"/>
      <c r="K18" s="30"/>
      <c r="L18" s="0" t="s">
        <v>357</v>
      </c>
      <c r="M18" s="0" t="s">
        <v>369</v>
      </c>
      <c r="O18" s="15"/>
      <c r="P18" s="15"/>
      <c r="Q18" s="70" t="n">
        <f aca="false">F69</f>
        <v>0.285632676378178</v>
      </c>
      <c r="R18" s="18"/>
      <c r="S18" s="14"/>
      <c r="T18" s="14"/>
    </row>
    <row collapsed="false" customFormat="false" customHeight="false" hidden="false" ht="12.8" outlineLevel="0" r="19">
      <c r="C19" s="0" t="s">
        <v>202</v>
      </c>
      <c r="D19" s="14" t="n">
        <v>55</v>
      </c>
      <c r="E19" s="45" t="n">
        <f aca="false">G71</f>
        <v>38366.1546328248</v>
      </c>
      <c r="F19" s="11"/>
      <c r="G19" s="14" t="n">
        <f aca="false">G18</f>
        <v>3</v>
      </c>
      <c r="I19" s="13" t="n">
        <f aca="false">H71</f>
        <v>2606.46397735267</v>
      </c>
      <c r="J19" s="45"/>
      <c r="K19" s="30"/>
      <c r="L19" s="0" t="s">
        <v>359</v>
      </c>
      <c r="M19" s="0" t="s">
        <v>360</v>
      </c>
      <c r="O19" s="15"/>
      <c r="P19" s="15"/>
      <c r="Q19" s="70" t="n">
        <f aca="false">F71</f>
        <v>0.237932019423022</v>
      </c>
      <c r="R19" s="18"/>
      <c r="S19" s="14"/>
      <c r="T19" s="14"/>
    </row>
    <row collapsed="false" customFormat="false" customHeight="false" hidden="false" ht="12.8" outlineLevel="0" r="20">
      <c r="C20" s="0" t="s">
        <v>202</v>
      </c>
      <c r="D20" s="14" t="n">
        <v>55</v>
      </c>
      <c r="E20" s="45" t="n">
        <f aca="false">G73</f>
        <v>38366.3270504796</v>
      </c>
      <c r="F20" s="11"/>
      <c r="G20" s="14" t="n">
        <f aca="false">G19</f>
        <v>3</v>
      </c>
      <c r="I20" s="13" t="n">
        <f aca="false">H73</f>
        <v>2606.4522639456</v>
      </c>
      <c r="J20" s="45"/>
      <c r="K20" s="30"/>
      <c r="L20" s="0" t="s">
        <v>361</v>
      </c>
      <c r="M20" s="0" t="s">
        <v>362</v>
      </c>
      <c r="O20" s="15"/>
      <c r="P20" s="15"/>
      <c r="Q20" s="70" t="n">
        <f aca="false">F73</f>
        <v>0.190516995144245</v>
      </c>
      <c r="R20" s="18"/>
      <c r="S20" s="14"/>
      <c r="T20" s="14"/>
    </row>
    <row collapsed="false" customFormat="false" customHeight="false" hidden="false" ht="12.8" outlineLevel="0" r="21">
      <c r="C21" s="0" t="s">
        <v>202</v>
      </c>
      <c r="D21" s="14" t="n">
        <v>55</v>
      </c>
      <c r="E21" s="45" t="n">
        <f aca="false">G76</f>
        <v>38366.4608199007</v>
      </c>
      <c r="F21" s="11"/>
      <c r="G21" s="14" t="n">
        <f aca="false">G20</f>
        <v>3</v>
      </c>
      <c r="I21" s="13" t="n">
        <f aca="false">H76</f>
        <v>2606.44317622672</v>
      </c>
      <c r="J21" s="45"/>
      <c r="K21" s="30"/>
      <c r="L21" s="0" t="s">
        <v>363</v>
      </c>
      <c r="M21" s="0" t="s">
        <v>373</v>
      </c>
      <c r="O21" s="15"/>
      <c r="P21" s="15"/>
      <c r="Q21" s="70" t="n">
        <f aca="false">F76</f>
        <v>0.142816338189089</v>
      </c>
      <c r="R21" s="18"/>
      <c r="S21" s="14"/>
      <c r="T21" s="14"/>
    </row>
    <row collapsed="false" customFormat="false" customHeight="false" hidden="false" ht="12.8" outlineLevel="0" r="22">
      <c r="C22" s="0" t="s">
        <v>202</v>
      </c>
      <c r="D22" s="14" t="n">
        <v>55</v>
      </c>
      <c r="E22" s="45" t="n">
        <f aca="false">G80</f>
        <v>38366.5752019851</v>
      </c>
      <c r="F22" s="11"/>
      <c r="G22" s="14" t="n">
        <f aca="false">G21</f>
        <v>3</v>
      </c>
      <c r="I22" s="13" t="n">
        <f aca="false">H80</f>
        <v>2606.43540565033</v>
      </c>
      <c r="J22" s="45"/>
      <c r="K22" s="30"/>
      <c r="L22" s="0" t="s">
        <v>365</v>
      </c>
      <c r="M22" s="0" t="s">
        <v>363</v>
      </c>
      <c r="O22" s="15"/>
      <c r="P22" s="15"/>
      <c r="Q22" s="70" t="n">
        <f aca="false">F80</f>
        <v>0.143101970865467</v>
      </c>
      <c r="R22" s="18"/>
      <c r="S22" s="14"/>
      <c r="T22" s="14"/>
    </row>
    <row collapsed="false" customFormat="false" customHeight="false" hidden="false" ht="12.8" outlineLevel="0" r="23">
      <c r="A23" s="0" t="s">
        <v>69</v>
      </c>
    </row>
    <row collapsed="false" customFormat="false" customHeight="false" hidden="false" ht="12.8" outlineLevel="0" r="25">
      <c r="A25" s="0" t="s">
        <v>70</v>
      </c>
    </row>
    <row collapsed="false" customFormat="true" customHeight="false" hidden="false" ht="125.65" outlineLevel="0" r="26" s="26">
      <c r="A26" s="26" t="s">
        <v>77</v>
      </c>
      <c r="B26" s="26" t="s">
        <v>38</v>
      </c>
      <c r="C26" s="26" t="s">
        <v>39</v>
      </c>
      <c r="D26" s="26" t="s">
        <v>150</v>
      </c>
      <c r="E26" s="26" t="s">
        <v>315</v>
      </c>
      <c r="F26" s="26" t="s">
        <v>38</v>
      </c>
      <c r="G26" s="26" t="s">
        <v>39</v>
      </c>
      <c r="H26" s="26" t="s">
        <v>150</v>
      </c>
      <c r="I26" s="26" t="s">
        <v>374</v>
      </c>
      <c r="J26" s="26" t="s">
        <v>38</v>
      </c>
      <c r="K26" s="26" t="s">
        <v>39</v>
      </c>
      <c r="L26" s="26" t="s">
        <v>151</v>
      </c>
      <c r="M26" s="26" t="s">
        <v>79</v>
      </c>
      <c r="N26" s="26" t="s">
        <v>80</v>
      </c>
    </row>
    <row collapsed="false" customFormat="false" customHeight="false" hidden="false" ht="12.8" outlineLevel="0" r="27">
      <c r="A27" s="0" t="n">
        <v>2576</v>
      </c>
      <c r="B27" s="11" t="n">
        <f aca="false">38806.6891</f>
        <v>38806.6891</v>
      </c>
      <c r="C27" s="11" t="n">
        <f aca="false">0.003</f>
        <v>0.003</v>
      </c>
      <c r="D27" s="0" t="n">
        <f aca="false">A85</f>
        <v>0</v>
      </c>
      <c r="E27" s="11" t="n">
        <f aca="false">B27*(1+0.000000037)</f>
        <v>38806.6905358475</v>
      </c>
      <c r="F27" s="0" t="n">
        <f aca="false">38806.689</f>
        <v>38806.689</v>
      </c>
      <c r="G27" s="32" t="n">
        <f aca="false">0.002</f>
        <v>0.002</v>
      </c>
      <c r="H27" s="0" t="n">
        <f aca="false">A88</f>
        <v>0</v>
      </c>
      <c r="I27" s="69" t="n">
        <f aca="false">F27*(1+0.000000106)</f>
        <v>38806.693113509</v>
      </c>
      <c r="J27" s="11" t="n">
        <f aca="false">(E27/C27/C27+I27/G27/G27)/(1/C27/C27+1/G27/G27)</f>
        <v>38806.6923203824</v>
      </c>
      <c r="K27" s="11" t="n">
        <f aca="false">SQRT(1/(1/C27/C27+1/G27/G27))</f>
        <v>0.00166410058867569</v>
      </c>
      <c r="L27" s="0" t="s">
        <v>316</v>
      </c>
      <c r="M27" s="45" t="n">
        <f aca="false">100000000/J27</f>
        <v>2576.87512180669</v>
      </c>
      <c r="N27" s="45" t="n">
        <f aca="false">K27/J27*M27</f>
        <v>0.000110501028321086</v>
      </c>
    </row>
    <row collapsed="false" customFormat="false" customHeight="false" hidden="false" ht="12.8" outlineLevel="0" r="28">
      <c r="A28" s="0" t="n">
        <v>2594</v>
      </c>
      <c r="B28" s="11" t="n">
        <f aca="false">38543.1211</f>
        <v>38543.1211</v>
      </c>
      <c r="C28" s="11" t="n">
        <f aca="false">0.003</f>
        <v>0.003</v>
      </c>
      <c r="D28" s="0" t="n">
        <f aca="false">D27</f>
        <v>0</v>
      </c>
      <c r="E28" s="11" t="n">
        <f aca="false">B28*(1+0.000000037)</f>
        <v>38543.1225260955</v>
      </c>
      <c r="F28" s="0" t="n">
        <f aca="false">38543.122</f>
        <v>38543.122</v>
      </c>
      <c r="G28" s="32" t="n">
        <f aca="false">0.002</f>
        <v>0.002</v>
      </c>
      <c r="H28" s="0" t="n">
        <f aca="false">H27</f>
        <v>0</v>
      </c>
      <c r="I28" s="69" t="n">
        <f aca="false">F28*(1+0.000000106)</f>
        <v>38543.1260855709</v>
      </c>
      <c r="J28" s="11" t="n">
        <f aca="false">(E28/C28/C28+I28/G28/G28)/(1/C28/C28+1/G28/G28)</f>
        <v>38543.1249903477</v>
      </c>
      <c r="K28" s="11" t="n">
        <f aca="false">SQRT(1/(1/C28/C28+1/G28/G28))</f>
        <v>0.00166410058867569</v>
      </c>
      <c r="L28" s="0" t="s">
        <v>316</v>
      </c>
      <c r="M28" s="45" t="n">
        <f aca="false">100000000/J28</f>
        <v>2594.49642510935</v>
      </c>
      <c r="N28" s="45" t="n">
        <f aca="false">K28/J28*M28</f>
        <v>0.000112017461724306</v>
      </c>
    </row>
    <row collapsed="false" customFormat="false" customHeight="false" hidden="false" ht="12.8" outlineLevel="0" r="29">
      <c r="A29" s="0" t="n">
        <v>2606</v>
      </c>
      <c r="B29" s="11" t="n">
        <f aca="false">38366.2304</f>
        <v>38366.2304</v>
      </c>
      <c r="C29" s="11" t="n">
        <f aca="false">0.003</f>
        <v>0.003</v>
      </c>
      <c r="D29" s="0" t="n">
        <f aca="false">D28</f>
        <v>0</v>
      </c>
      <c r="E29" s="11" t="n">
        <f aca="false">B29*(1+0.000000037)</f>
        <v>38366.2318195505</v>
      </c>
      <c r="F29" s="0" t="n">
        <f aca="false">38366.227</f>
        <v>38366.227</v>
      </c>
      <c r="G29" s="32" t="n">
        <f aca="false">0.002</f>
        <v>0.002</v>
      </c>
      <c r="H29" s="0" t="n">
        <f aca="false">H28</f>
        <v>0</v>
      </c>
      <c r="I29" s="69" t="n">
        <f aca="false">F29*(1+0.000000106)</f>
        <v>38366.2310668201</v>
      </c>
      <c r="J29" s="11" t="n">
        <f aca="false">(E29/C29/C29+I29/G29/G29)/(1/C29/C29+1/G29/G29)</f>
        <v>38366.2312984294</v>
      </c>
      <c r="K29" s="11" t="n">
        <f aca="false">SQRT(1/(1/C29/C29+1/G29/G29))</f>
        <v>0.00166410058867569</v>
      </c>
      <c r="L29" s="0" t="s">
        <v>316</v>
      </c>
      <c r="M29" s="45" t="n">
        <f aca="false">100000000/J29</f>
        <v>2606.4587689668</v>
      </c>
      <c r="N29" s="45" t="n">
        <f aca="false">K29/J29*M29</f>
        <v>0.000113052792130097</v>
      </c>
    </row>
    <row collapsed="false" customFormat="false" customHeight="false" hidden="false" ht="12.8" outlineLevel="0" r="31">
      <c r="A31" s="0" t="s">
        <v>88</v>
      </c>
    </row>
    <row collapsed="false" customFormat="true" customHeight="false" hidden="false" ht="69.7" outlineLevel="0" r="32" s="26">
      <c r="A32" s="26" t="s">
        <v>375</v>
      </c>
      <c r="B32" s="26" t="s">
        <v>376</v>
      </c>
      <c r="C32" s="26" t="s">
        <v>377</v>
      </c>
      <c r="D32" s="26" t="s">
        <v>378</v>
      </c>
      <c r="E32" s="26" t="s">
        <v>379</v>
      </c>
      <c r="F32" s="26" t="s">
        <v>380</v>
      </c>
      <c r="G32" s="26" t="s">
        <v>381</v>
      </c>
      <c r="H32" s="26" t="s">
        <v>79</v>
      </c>
      <c r="I32" s="0"/>
    </row>
    <row collapsed="false" customFormat="false" customHeight="false" hidden="false" ht="12.8" outlineLevel="0" r="33">
      <c r="A33" s="0" t="n">
        <v>2576</v>
      </c>
      <c r="B33" s="0" t="s">
        <v>130</v>
      </c>
      <c r="C33" s="13" t="n">
        <f aca="false">SUMPRODUCT(C34:C48,D34:D48)/SUM(D34:D48)</f>
        <v>38806.6890974851</v>
      </c>
      <c r="E33" s="13" t="n">
        <f aca="false">C33</f>
        <v>38806.6890974851</v>
      </c>
      <c r="G33" s="11" t="n">
        <f aca="false">E33*$J$27/$E$33</f>
        <v>38806.6923203824</v>
      </c>
      <c r="H33" s="13"/>
    </row>
    <row collapsed="false" customFormat="false" customHeight="false" hidden="false" ht="12.8" outlineLevel="0" r="34">
      <c r="A34" s="0" t="n">
        <v>5.5</v>
      </c>
      <c r="B34" s="0" t="n">
        <v>6.5</v>
      </c>
      <c r="C34" s="32" t="n">
        <v>38806.449</v>
      </c>
      <c r="D34" s="30" t="n">
        <v>100</v>
      </c>
      <c r="E34" s="13"/>
      <c r="F34" s="32"/>
      <c r="G34" s="45"/>
      <c r="H34" s="13"/>
    </row>
    <row collapsed="false" customFormat="false" customHeight="false" hidden="false" ht="12.8" outlineLevel="0" r="35">
      <c r="A35" s="0" t="n">
        <v>5.5</v>
      </c>
      <c r="B35" s="0" t="n">
        <v>5.5</v>
      </c>
      <c r="C35" s="32" t="n">
        <v>38806.475</v>
      </c>
      <c r="D35" s="30" t="n">
        <v>9.7</v>
      </c>
      <c r="E35" s="13" t="n">
        <f aca="false">SUMPRODUCT(C34:C36,D34:D36)/SUM(D34:D36)</f>
        <v>38806.4515108893</v>
      </c>
      <c r="F35" s="32" t="n">
        <f aca="false">SUM(D34:D36)/SUM($D$34:$D$48)</f>
        <v>0.285714285714286</v>
      </c>
      <c r="G35" s="45" t="n">
        <f aca="false">E35*$J$27/$E$33</f>
        <v>38806.4547337669</v>
      </c>
      <c r="H35" s="13" t="n">
        <f aca="false">100000000/G35</f>
        <v>2576.8908983326</v>
      </c>
    </row>
    <row collapsed="false" customFormat="false" customHeight="false" hidden="false" ht="12.8" outlineLevel="0" r="36">
      <c r="A36" s="0" t="n">
        <v>5.5</v>
      </c>
      <c r="B36" s="0" t="n">
        <v>4.5</v>
      </c>
      <c r="C36" s="32" t="n">
        <v>38806.498</v>
      </c>
      <c r="D36" s="30" t="n">
        <v>0.5</v>
      </c>
      <c r="E36" s="13"/>
      <c r="F36" s="32"/>
      <c r="G36" s="45"/>
      <c r="H36" s="13"/>
    </row>
    <row collapsed="false" customFormat="false" customHeight="false" hidden="false" ht="12.8" outlineLevel="0" r="37">
      <c r="A37" s="0" t="n">
        <v>4.5</v>
      </c>
      <c r="B37" s="0" t="n">
        <v>5.5</v>
      </c>
      <c r="C37" s="32" t="n">
        <v>38806.621</v>
      </c>
      <c r="D37" s="30" t="n">
        <v>76</v>
      </c>
      <c r="E37" s="13"/>
      <c r="F37" s="32"/>
      <c r="G37" s="45"/>
      <c r="H37" s="13"/>
    </row>
    <row collapsed="false" customFormat="false" customHeight="false" hidden="false" ht="12.8" outlineLevel="0" r="38">
      <c r="A38" s="0" t="n">
        <v>4.5</v>
      </c>
      <c r="B38" s="0" t="n">
        <v>4.5</v>
      </c>
      <c r="C38" s="32" t="n">
        <v>38806.644</v>
      </c>
      <c r="D38" s="30" t="n">
        <v>14.8</v>
      </c>
      <c r="E38" s="13" t="n">
        <f aca="false">SUMPRODUCT(C37:C39,D37:D39)/SUM(D37:D39)</f>
        <v>38806.6251546841</v>
      </c>
      <c r="F38" s="32" t="n">
        <f aca="false">SUM(D37:D39)/SUM($D$34:$D$48)</f>
        <v>0.238008815141302</v>
      </c>
      <c r="G38" s="45" t="n">
        <f aca="false">E38*$J$27/$E$33</f>
        <v>38806.6283775761</v>
      </c>
      <c r="H38" s="13" t="n">
        <f aca="false">100000000/G38</f>
        <v>2576.87936779851</v>
      </c>
    </row>
    <row collapsed="false" customFormat="false" customHeight="false" hidden="false" ht="12.8" outlineLevel="0" r="39">
      <c r="A39" s="0" t="n">
        <v>4.5</v>
      </c>
      <c r="B39" s="0" t="n">
        <v>3.5</v>
      </c>
      <c r="C39" s="32" t="n">
        <v>38806.662</v>
      </c>
      <c r="D39" s="30" t="n">
        <v>1</v>
      </c>
      <c r="E39" s="13"/>
      <c r="F39" s="32"/>
      <c r="G39" s="45"/>
      <c r="H39" s="13"/>
    </row>
    <row collapsed="false" customFormat="false" customHeight="false" hidden="false" ht="12.8" outlineLevel="0" r="40">
      <c r="A40" s="0" t="n">
        <v>3.5</v>
      </c>
      <c r="B40" s="0" t="n">
        <v>4.5</v>
      </c>
      <c r="C40" s="32" t="n">
        <v>38806.764</v>
      </c>
      <c r="D40" s="30" t="n">
        <v>56.1</v>
      </c>
      <c r="E40" s="13"/>
      <c r="F40" s="32"/>
      <c r="G40" s="45"/>
      <c r="H40" s="13"/>
    </row>
    <row collapsed="false" customFormat="false" customHeight="false" hidden="false" ht="12.8" outlineLevel="0" r="41">
      <c r="A41" s="0" t="n">
        <v>3.5</v>
      </c>
      <c r="B41" s="0" t="n">
        <v>3.5</v>
      </c>
      <c r="C41" s="32" t="n">
        <v>38806.782</v>
      </c>
      <c r="D41" s="30" t="n">
        <v>16</v>
      </c>
      <c r="E41" s="13" t="n">
        <f aca="false">SUMPRODUCT(C40:C42,D40:D42)/SUM(D40:D42)</f>
        <v>38806.7685081744</v>
      </c>
      <c r="F41" s="32" t="n">
        <f aca="false">SUM(D40:D42)/SUM($D$34:$D$48)</f>
        <v>0.190303344568317</v>
      </c>
      <c r="G41" s="45" t="n">
        <f aca="false">E41*$J$27/$E$33</f>
        <v>38806.7717310783</v>
      </c>
      <c r="H41" s="13" t="n">
        <f aca="false">100000000/G41</f>
        <v>2576.86984872064</v>
      </c>
    </row>
    <row collapsed="false" customFormat="false" customHeight="false" hidden="false" ht="12.8" outlineLevel="0" r="42">
      <c r="A42" s="0" t="n">
        <v>3.5</v>
      </c>
      <c r="B42" s="0" t="n">
        <v>2.5</v>
      </c>
      <c r="C42" s="32" t="n">
        <v>38806.797</v>
      </c>
      <c r="D42" s="30" t="n">
        <v>1.3</v>
      </c>
      <c r="E42" s="13"/>
      <c r="F42" s="32"/>
      <c r="G42" s="45"/>
      <c r="H42" s="13"/>
    </row>
    <row collapsed="false" customFormat="false" customHeight="false" hidden="false" ht="12.8" outlineLevel="0" r="43">
      <c r="A43" s="0" t="n">
        <v>2.5</v>
      </c>
      <c r="B43" s="0" t="n">
        <v>3.5</v>
      </c>
      <c r="C43" s="32" t="n">
        <v>38806.875</v>
      </c>
      <c r="D43" s="30" t="n">
        <v>40.1</v>
      </c>
      <c r="E43" s="13"/>
      <c r="F43" s="32"/>
      <c r="G43" s="45"/>
      <c r="H43" s="13"/>
    </row>
    <row collapsed="false" customFormat="false" customHeight="false" hidden="false" ht="12.8" outlineLevel="0" r="44">
      <c r="A44" s="0" t="n">
        <v>2.5</v>
      </c>
      <c r="B44" s="0" t="n">
        <v>2.5</v>
      </c>
      <c r="C44" s="32" t="n">
        <v>38806.89</v>
      </c>
      <c r="D44" s="30" t="n">
        <v>14</v>
      </c>
      <c r="E44" s="13" t="n">
        <f aca="false">SUMPRODUCT(C43:C45,D43:D45)/SUM(D43:D45)</f>
        <v>38806.8792649728</v>
      </c>
      <c r="F44" s="32" t="n">
        <f aca="false">SUM(D43:D45)/SUM($D$34:$D$48)</f>
        <v>0.142857142857143</v>
      </c>
      <c r="G44" s="45" t="n">
        <f aca="false">E44*$J$27/$E$33</f>
        <v>38806.8824878859</v>
      </c>
      <c r="H44" s="13" t="n">
        <f aca="false">100000000/G44</f>
        <v>2576.86249420361</v>
      </c>
    </row>
    <row collapsed="false" customFormat="false" customHeight="false" hidden="false" ht="12.8" outlineLevel="0" r="45">
      <c r="A45" s="0" t="n">
        <v>2.5</v>
      </c>
      <c r="B45" s="0" t="n">
        <v>1.5</v>
      </c>
      <c r="C45" s="32" t="n">
        <v>38806.9</v>
      </c>
      <c r="D45" s="30" t="n">
        <v>1</v>
      </c>
      <c r="E45" s="13"/>
      <c r="F45" s="32"/>
      <c r="G45" s="45"/>
      <c r="H45" s="13"/>
    </row>
    <row collapsed="false" customFormat="false" customHeight="false" hidden="false" ht="12.8" outlineLevel="0" r="46">
      <c r="A46" s="0" t="n">
        <v>1.5</v>
      </c>
      <c r="B46" s="0" t="n">
        <v>2.5</v>
      </c>
      <c r="C46" s="32" t="n">
        <v>38806.956</v>
      </c>
      <c r="D46" s="30" t="n">
        <v>27.6</v>
      </c>
      <c r="E46" s="13"/>
      <c r="F46" s="32"/>
      <c r="G46" s="45"/>
      <c r="H46" s="13"/>
    </row>
    <row collapsed="false" customFormat="false" customHeight="false" hidden="false" ht="12.8" outlineLevel="0" r="47">
      <c r="A47" s="0" t="n">
        <v>1.5</v>
      </c>
      <c r="B47" s="0" t="n">
        <v>1.5</v>
      </c>
      <c r="C47" s="32" t="n">
        <v>38806.966</v>
      </c>
      <c r="D47" s="30" t="n">
        <v>9.2</v>
      </c>
      <c r="E47" s="13" t="n">
        <f aca="false">SUMPRODUCT(C46:C48,D46:D48)/SUM(D46:D48)</f>
        <v>38806.9743333333</v>
      </c>
      <c r="F47" s="32" t="n">
        <f aca="false">SUM(D46:D48)/SUM($D$34:$D$48)</f>
        <v>0.143116411718953</v>
      </c>
      <c r="G47" s="45" t="n">
        <f aca="false">E47*$J$27/$E$33</f>
        <v>38806.9775562543</v>
      </c>
      <c r="H47" s="13" t="n">
        <f aca="false">100000000/G47</f>
        <v>2576.85618146996</v>
      </c>
    </row>
    <row collapsed="false" customFormat="false" customHeight="false" hidden="false" ht="12.8" outlineLevel="0" r="48">
      <c r="A48" s="0" t="n">
        <v>0.5</v>
      </c>
      <c r="B48" s="0" t="n">
        <v>1.5</v>
      </c>
      <c r="C48" s="32" t="n">
        <v>38807.006</v>
      </c>
      <c r="D48" s="30" t="n">
        <v>18.4</v>
      </c>
      <c r="E48" s="13"/>
      <c r="F48" s="32"/>
      <c r="G48" s="45"/>
      <c r="H48" s="13"/>
    </row>
    <row collapsed="false" customFormat="false" customHeight="false" hidden="false" ht="12.8" outlineLevel="0" r="49">
      <c r="D49" s="30"/>
      <c r="E49" s="13"/>
      <c r="F49" s="32"/>
      <c r="G49" s="13"/>
      <c r="H49" s="13"/>
    </row>
    <row collapsed="false" customFormat="false" customHeight="false" hidden="false" ht="12.8" outlineLevel="0" r="50">
      <c r="A50" s="0" t="n">
        <v>2594</v>
      </c>
      <c r="B50" s="0" t="s">
        <v>130</v>
      </c>
      <c r="C50" s="13" t="n">
        <f aca="false">SUMPRODUCT(C51:C66,D51:D66)/SUM(D51:D66)</f>
        <v>38543.1214471751</v>
      </c>
      <c r="D50" s="30"/>
      <c r="E50" s="13" t="n">
        <f aca="false">C50</f>
        <v>38543.1214471751</v>
      </c>
      <c r="F50" s="32"/>
      <c r="G50" s="11" t="n">
        <f aca="false">E50*$J$28/$E$50</f>
        <v>38543.1249903477</v>
      </c>
      <c r="H50" s="13"/>
    </row>
    <row collapsed="false" customFormat="false" customHeight="false" hidden="false" ht="12.8" outlineLevel="0" r="51">
      <c r="A51" s="0" t="n">
        <v>5.5</v>
      </c>
      <c r="B51" s="0" t="n">
        <v>5.5</v>
      </c>
      <c r="C51" s="32" t="n">
        <v>38542.886</v>
      </c>
      <c r="D51" s="30" t="n">
        <v>100</v>
      </c>
      <c r="E51" s="13"/>
      <c r="F51" s="32"/>
      <c r="G51" s="13"/>
      <c r="H51" s="13"/>
    </row>
    <row collapsed="false" customFormat="false" customHeight="false" hidden="false" ht="12.8" outlineLevel="0" r="52">
      <c r="A52" s="0" t="n">
        <v>5.5</v>
      </c>
      <c r="B52" s="0" t="n">
        <v>4.5</v>
      </c>
      <c r="C52" s="32" t="n">
        <v>38542.913</v>
      </c>
      <c r="D52" s="30" t="n">
        <v>12.8</v>
      </c>
      <c r="E52" s="13" t="n">
        <f aca="false">SUMPRODUCT(C51:C52,D51:D52)/SUM(D51:D52)</f>
        <v>38542.8890638298</v>
      </c>
      <c r="F52" s="32" t="n">
        <f aca="false">SUM(D51:D52)/SUM($D$51:$D$66)</f>
        <v>0.285786673422853</v>
      </c>
      <c r="G52" s="45" t="n">
        <f aca="false">E52*$J$28/$E$50</f>
        <v>38542.8926069811</v>
      </c>
      <c r="H52" s="13" t="n">
        <f aca="false">100000000/G52</f>
        <v>2594.51206788479</v>
      </c>
    </row>
    <row collapsed="false" customFormat="false" customHeight="false" hidden="false" ht="12.8" outlineLevel="0" r="53">
      <c r="A53" s="0" t="n">
        <v>4.5</v>
      </c>
      <c r="B53" s="0" t="n">
        <v>5.5</v>
      </c>
      <c r="C53" s="32" t="n">
        <v>38543.032</v>
      </c>
      <c r="D53" s="30" t="n">
        <v>12.8</v>
      </c>
      <c r="E53" s="13"/>
      <c r="F53" s="32"/>
      <c r="G53" s="45"/>
      <c r="H53" s="13"/>
    </row>
    <row collapsed="false" customFormat="false" customHeight="false" hidden="false" ht="12.8" outlineLevel="0" r="54">
      <c r="A54" s="0" t="n">
        <v>4.5</v>
      </c>
      <c r="B54" s="0" t="n">
        <v>4.5</v>
      </c>
      <c r="C54" s="32" t="n">
        <v>38543.059</v>
      </c>
      <c r="D54" s="30" t="n">
        <v>62.1</v>
      </c>
      <c r="E54" s="13" t="n">
        <f aca="false">SUMPRODUCT(C53:C55,D53:D55)/SUM(D53:D55)</f>
        <v>38543.0596121148</v>
      </c>
      <c r="F54" s="32" t="n">
        <f aca="false">SUM(D53:D55)/SUM($D$51:$D$66)</f>
        <v>0.238408918165695</v>
      </c>
      <c r="G54" s="45" t="n">
        <f aca="false">E54*$J$28/$E$50</f>
        <v>38543.0631552817</v>
      </c>
      <c r="H54" s="13" t="n">
        <f aca="false">100000000/G54</f>
        <v>2594.50058748889</v>
      </c>
    </row>
    <row collapsed="false" customFormat="false" customHeight="false" hidden="false" ht="12.8" outlineLevel="0" r="55">
      <c r="A55" s="0" t="n">
        <v>4.5</v>
      </c>
      <c r="B55" s="0" t="n">
        <v>3.5</v>
      </c>
      <c r="C55" s="32" t="n">
        <v>38543.08</v>
      </c>
      <c r="D55" s="30" t="n">
        <v>19.2</v>
      </c>
      <c r="E55" s="13"/>
      <c r="F55" s="32"/>
      <c r="G55" s="45"/>
      <c r="H55" s="13"/>
    </row>
    <row collapsed="false" customFormat="false" customHeight="false" hidden="false" ht="12.8" outlineLevel="0" r="56">
      <c r="A56" s="0" t="n">
        <v>3.5</v>
      </c>
      <c r="B56" s="0" t="n">
        <v>4.5</v>
      </c>
      <c r="C56" s="32" t="n">
        <v>38543.179</v>
      </c>
      <c r="D56" s="30" t="n">
        <v>19.2</v>
      </c>
      <c r="E56" s="13"/>
      <c r="F56" s="32"/>
      <c r="G56" s="45"/>
      <c r="H56" s="13"/>
    </row>
    <row collapsed="false" customFormat="false" customHeight="false" hidden="false" ht="12.8" outlineLevel="0" r="57">
      <c r="A57" s="0" t="n">
        <v>3.5</v>
      </c>
      <c r="B57" s="0" t="n">
        <v>3.5</v>
      </c>
      <c r="C57" s="32" t="n">
        <v>38543.2</v>
      </c>
      <c r="D57" s="30" t="n">
        <v>35.9</v>
      </c>
      <c r="E57" s="13" t="n">
        <f aca="false">SUMPRODUCT(C56:C58,D56:D58)/SUM(D56:D58)</f>
        <v>38543.1992058433</v>
      </c>
      <c r="F57" s="32" t="n">
        <f aca="false">SUM(D56:D58)/SUM($D$51:$D$66)</f>
        <v>0.190777805928553</v>
      </c>
      <c r="G57" s="45" t="n">
        <f aca="false">E57*$J$28/$E$50</f>
        <v>38543.2027490231</v>
      </c>
      <c r="H57" s="13" t="n">
        <f aca="false">100000000/G57</f>
        <v>2594.49119086334</v>
      </c>
    </row>
    <row collapsed="false" customFormat="false" customHeight="false" hidden="false" ht="12.8" outlineLevel="0" r="58">
      <c r="A58" s="0" t="n">
        <v>3.5</v>
      </c>
      <c r="B58" s="0" t="n">
        <v>2.5</v>
      </c>
      <c r="C58" s="32" t="n">
        <v>38543.217</v>
      </c>
      <c r="D58" s="30" t="n">
        <v>20.2</v>
      </c>
      <c r="E58" s="13"/>
      <c r="F58" s="32"/>
      <c r="G58" s="45"/>
      <c r="H58" s="13"/>
    </row>
    <row collapsed="false" customFormat="false" customHeight="false" hidden="false" ht="12.8" outlineLevel="0" r="59">
      <c r="A59" s="0" t="n">
        <v>2.5</v>
      </c>
      <c r="B59" s="0" t="n">
        <v>3.5</v>
      </c>
      <c r="C59" s="32" t="n">
        <v>38543.293</v>
      </c>
      <c r="D59" s="30" t="n">
        <v>20.2</v>
      </c>
      <c r="E59" s="13"/>
      <c r="F59" s="32"/>
      <c r="G59" s="45"/>
      <c r="H59" s="13"/>
    </row>
    <row collapsed="false" customFormat="false" customHeight="false" hidden="false" ht="12.8" outlineLevel="0" r="60">
      <c r="A60" s="0" t="n">
        <v>2.5</v>
      </c>
      <c r="B60" s="0" t="n">
        <v>2.5</v>
      </c>
      <c r="C60" s="32" t="n">
        <v>38543.31</v>
      </c>
      <c r="D60" s="30" t="n">
        <v>19.3</v>
      </c>
      <c r="E60" s="13" t="n">
        <f aca="false">SUMPRODUCT(C59:C61,D59:D61)/SUM(D59:D61)</f>
        <v>38543.3075070922</v>
      </c>
      <c r="F60" s="32" t="n">
        <f aca="false">SUM(D59:D61)/SUM($D$51:$D$66)</f>
        <v>0.142893336711426</v>
      </c>
      <c r="G60" s="45" t="n">
        <f aca="false">E60*$J$28/$E$50</f>
        <v>38543.3110502819</v>
      </c>
      <c r="H60" s="13" t="n">
        <f aca="false">100000000/G60</f>
        <v>2594.48390070963</v>
      </c>
    </row>
    <row collapsed="false" customFormat="false" customHeight="false" hidden="false" ht="12.8" outlineLevel="0" r="61">
      <c r="A61" s="0" t="n">
        <v>2.5</v>
      </c>
      <c r="B61" s="0" t="n">
        <v>1.5</v>
      </c>
      <c r="C61" s="32" t="n">
        <v>38543.322</v>
      </c>
      <c r="D61" s="30" t="n">
        <v>16.9</v>
      </c>
      <c r="E61" s="13"/>
      <c r="F61" s="32"/>
      <c r="G61" s="45"/>
      <c r="H61" s="13"/>
    </row>
    <row collapsed="false" customFormat="false" customHeight="false" hidden="false" ht="12.8" outlineLevel="0" r="62">
      <c r="A62" s="0" t="n">
        <v>1.5</v>
      </c>
      <c r="B62" s="0" t="n">
        <v>2.5</v>
      </c>
      <c r="C62" s="32" t="n">
        <v>38543.377</v>
      </c>
      <c r="D62" s="30" t="n">
        <v>16.7</v>
      </c>
      <c r="E62" s="13"/>
      <c r="F62" s="32"/>
      <c r="G62" s="45"/>
      <c r="H62" s="13"/>
    </row>
    <row collapsed="false" customFormat="false" customHeight="false" hidden="false" ht="12.8" outlineLevel="0" r="63">
      <c r="A63" s="0" t="n">
        <v>1.5</v>
      </c>
      <c r="B63" s="0" t="n">
        <v>1.5</v>
      </c>
      <c r="C63" s="32" t="n">
        <v>38543.389</v>
      </c>
      <c r="D63" s="30" t="n">
        <v>10.2</v>
      </c>
      <c r="E63" s="13"/>
      <c r="F63" s="32"/>
      <c r="G63" s="45"/>
      <c r="H63" s="13"/>
    </row>
    <row collapsed="false" customFormat="false" customHeight="false" hidden="false" ht="12.8" outlineLevel="0" r="64">
      <c r="A64" s="0" t="n">
        <v>1.5</v>
      </c>
      <c r="B64" s="0" t="n">
        <v>0.5</v>
      </c>
      <c r="C64" s="32" t="n">
        <v>38543.396</v>
      </c>
      <c r="D64" s="30" t="n">
        <v>10.4</v>
      </c>
      <c r="E64" s="13" t="n">
        <f aca="false">SUMPRODUCT(C62:C66,D62:D66)/SUM(D62:D66)</f>
        <v>38543.4009928699</v>
      </c>
      <c r="F64" s="32" t="n">
        <f aca="false">SUM(D62:D66)/SUM($D$51:$D$66)</f>
        <v>0.142133265771472</v>
      </c>
      <c r="G64" s="45" t="n">
        <f aca="false">E64*$J$28/$E$50</f>
        <v>38543.4045360682</v>
      </c>
      <c r="H64" s="13" t="n">
        <f aca="false">100000000/G64</f>
        <v>2594.47760787249</v>
      </c>
    </row>
    <row collapsed="false" customFormat="false" customHeight="false" hidden="false" ht="12.8" outlineLevel="0" r="65">
      <c r="A65" s="0" t="n">
        <v>0.5</v>
      </c>
      <c r="B65" s="0" t="n">
        <v>1.5</v>
      </c>
      <c r="C65" s="32" t="n">
        <v>38543.428</v>
      </c>
      <c r="D65" s="30" t="n">
        <v>10.4</v>
      </c>
      <c r="E65" s="13"/>
      <c r="F65" s="32"/>
      <c r="G65" s="45"/>
      <c r="H65" s="13"/>
    </row>
    <row collapsed="false" customFormat="false" customHeight="false" hidden="false" ht="12.8" outlineLevel="0" r="66">
      <c r="A66" s="0" t="n">
        <v>0.5</v>
      </c>
      <c r="B66" s="0" t="n">
        <v>0.5</v>
      </c>
      <c r="C66" s="32" t="n">
        <v>38543.436</v>
      </c>
      <c r="D66" s="30" t="n">
        <v>8.4</v>
      </c>
      <c r="E66" s="13"/>
      <c r="F66" s="32"/>
      <c r="G66" s="45"/>
      <c r="H66" s="13"/>
    </row>
    <row collapsed="false" customFormat="false" customHeight="false" hidden="false" ht="12.8" outlineLevel="0" r="67">
      <c r="D67" s="30"/>
      <c r="E67" s="13"/>
      <c r="F67" s="32"/>
      <c r="G67" s="13"/>
      <c r="H67" s="13"/>
    </row>
    <row collapsed="false" customFormat="false" customHeight="false" hidden="false" ht="12.8" outlineLevel="0" r="68">
      <c r="A68" s="0" t="n">
        <v>2606</v>
      </c>
      <c r="B68" s="0" t="s">
        <v>130</v>
      </c>
      <c r="C68" s="13" t="n">
        <f aca="false">SUMPRODUCT(C69:C82,D69:D82)/SUM(D69:D82)</f>
        <v>38366.2270605541</v>
      </c>
      <c r="D68" s="30"/>
      <c r="E68" s="13" t="n">
        <f aca="false">C68</f>
        <v>38366.2270605541</v>
      </c>
      <c r="F68" s="32"/>
      <c r="G68" s="11" t="n">
        <f aca="false">E68*$J$29/$E$68</f>
        <v>38366.2312984294</v>
      </c>
      <c r="H68" s="13"/>
    </row>
    <row collapsed="false" customFormat="false" customHeight="false" hidden="false" ht="12.8" outlineLevel="0" r="69">
      <c r="A69" s="0" t="n">
        <v>5.5</v>
      </c>
      <c r="B69" s="0" t="n">
        <v>4.5</v>
      </c>
      <c r="C69" s="32" t="n">
        <v>38365.94</v>
      </c>
      <c r="D69" s="30" t="n">
        <v>100</v>
      </c>
      <c r="E69" s="13" t="n">
        <f aca="false">C69</f>
        <v>38365.94</v>
      </c>
      <c r="F69" s="32" t="n">
        <f aca="false">SUM(D69)/SUM($D$69:$D$82)</f>
        <v>0.285632676378178</v>
      </c>
      <c r="G69" s="45" t="n">
        <f aca="false">E69*$J$29/$E$68</f>
        <v>38365.9442378436</v>
      </c>
      <c r="H69" s="13" t="n">
        <f aca="false">100000000/G69</f>
        <v>2606.47827093909</v>
      </c>
    </row>
    <row collapsed="false" customFormat="false" customHeight="false" hidden="false" ht="12.8" outlineLevel="0" r="70">
      <c r="A70" s="0" t="n">
        <v>4.5</v>
      </c>
      <c r="B70" s="0" t="n">
        <v>4.5</v>
      </c>
      <c r="C70" s="32" t="n">
        <v>38366.086</v>
      </c>
      <c r="D70" s="30" t="n">
        <v>15.4</v>
      </c>
      <c r="E70" s="13"/>
      <c r="F70" s="32"/>
      <c r="G70" s="45"/>
      <c r="H70" s="13"/>
    </row>
    <row collapsed="false" customFormat="false" customHeight="false" hidden="false" ht="12.8" outlineLevel="0" r="71">
      <c r="A71" s="0" t="n">
        <v>4.5</v>
      </c>
      <c r="B71" s="0" t="n">
        <v>3.5</v>
      </c>
      <c r="C71" s="32" t="n">
        <v>38366.165</v>
      </c>
      <c r="D71" s="30" t="n">
        <v>67.9</v>
      </c>
      <c r="E71" s="13" t="n">
        <f aca="false">SUMPRODUCT(C70:C71,D70:D71)/SUM(D70:D71)</f>
        <v>38366.150394958</v>
      </c>
      <c r="F71" s="32" t="n">
        <f aca="false">SUM(D70:D71)/SUM($D$69:$D$82)</f>
        <v>0.237932019423022</v>
      </c>
      <c r="G71" s="45" t="n">
        <f aca="false">E71*$J$29/$E$68</f>
        <v>38366.1546328248</v>
      </c>
      <c r="H71" s="13" t="n">
        <f aca="false">100000000/G71</f>
        <v>2606.46397735267</v>
      </c>
    </row>
    <row collapsed="false" customFormat="false" customHeight="false" hidden="false" ht="12.8" outlineLevel="0" r="72">
      <c r="A72" s="0" t="n">
        <v>3.5</v>
      </c>
      <c r="B72" s="0" t="n">
        <v>4.5</v>
      </c>
      <c r="C72" s="32" t="n">
        <v>38366.206</v>
      </c>
      <c r="D72" s="30" t="n">
        <v>1.2</v>
      </c>
      <c r="E72" s="13"/>
      <c r="F72" s="32"/>
      <c r="G72" s="45"/>
      <c r="H72" s="13"/>
    </row>
    <row collapsed="false" customFormat="false" customHeight="false" hidden="false" ht="12.8" outlineLevel="0" r="73">
      <c r="A73" s="0" t="n">
        <v>3.5</v>
      </c>
      <c r="B73" s="0" t="n">
        <v>3.5</v>
      </c>
      <c r="C73" s="32" t="n">
        <v>38366.285</v>
      </c>
      <c r="D73" s="30" t="n">
        <v>22.6</v>
      </c>
      <c r="E73" s="13" t="n">
        <f aca="false">SUMPRODUCT(C72:C74,D72:D74)/SUM(D72:D74)</f>
        <v>38366.3228125937</v>
      </c>
      <c r="F73" s="32" t="n">
        <f aca="false">SUM(D72:D74)/SUM($D$69:$D$82)</f>
        <v>0.190516995144245</v>
      </c>
      <c r="G73" s="45" t="n">
        <f aca="false">E73*$J$29/$E$68</f>
        <v>38366.3270504796</v>
      </c>
      <c r="H73" s="13" t="n">
        <f aca="false">100000000/G73</f>
        <v>2606.4522639456</v>
      </c>
    </row>
    <row collapsed="false" customFormat="false" customHeight="false" hidden="false" ht="12.8" outlineLevel="0" r="74">
      <c r="A74" s="0" t="n">
        <v>3.5</v>
      </c>
      <c r="B74" s="0" t="n">
        <v>2.5</v>
      </c>
      <c r="C74" s="32" t="n">
        <v>38366.346</v>
      </c>
      <c r="D74" s="30" t="n">
        <v>42.9</v>
      </c>
      <c r="E74" s="13"/>
      <c r="F74" s="32"/>
      <c r="G74" s="45"/>
      <c r="H74" s="13"/>
    </row>
    <row collapsed="false" customFormat="false" customHeight="false" hidden="false" ht="12.8" outlineLevel="0" r="75">
      <c r="A75" s="0" t="n">
        <v>2.5</v>
      </c>
      <c r="B75" s="0" t="n">
        <v>3.5</v>
      </c>
      <c r="C75" s="32" t="n">
        <v>38366.378</v>
      </c>
      <c r="D75" s="30" t="n">
        <v>2.9</v>
      </c>
      <c r="E75" s="13"/>
      <c r="F75" s="32"/>
      <c r="G75" s="45"/>
      <c r="H75" s="13"/>
    </row>
    <row collapsed="false" customFormat="false" customHeight="false" hidden="false" ht="12.8" outlineLevel="0" r="76">
      <c r="A76" s="0" t="n">
        <v>2.5</v>
      </c>
      <c r="B76" s="0" t="n">
        <v>2.5</v>
      </c>
      <c r="C76" s="32" t="n">
        <v>38366.439</v>
      </c>
      <c r="D76" s="30" t="n">
        <v>23.1</v>
      </c>
      <c r="E76" s="13" t="n">
        <f aca="false">SUMPRODUCT(C75:C77,D75:D77)/SUM(D75:D77)</f>
        <v>38366.456582</v>
      </c>
      <c r="F76" s="32" t="n">
        <f aca="false">SUM(D75:D77)/SUM($D$69:$D$82)</f>
        <v>0.142816338189089</v>
      </c>
      <c r="G76" s="45" t="n">
        <f aca="false">E76*$J$29/$E$68</f>
        <v>38366.4608199007</v>
      </c>
      <c r="H76" s="13" t="n">
        <f aca="false">100000000/G76</f>
        <v>2606.44317622672</v>
      </c>
    </row>
    <row collapsed="false" customFormat="false" customHeight="false" hidden="false" ht="12.8" outlineLevel="0" r="77">
      <c r="A77" s="0" t="n">
        <v>2.5</v>
      </c>
      <c r="B77" s="0" t="n">
        <v>1.5</v>
      </c>
      <c r="C77" s="32" t="n">
        <v>38366.483</v>
      </c>
      <c r="D77" s="30" t="n">
        <v>24</v>
      </c>
      <c r="E77" s="13"/>
      <c r="F77" s="32"/>
      <c r="G77" s="45"/>
      <c r="H77" s="13"/>
    </row>
    <row collapsed="false" customFormat="false" customHeight="false" hidden="false" ht="12.8" outlineLevel="0" r="78">
      <c r="A78" s="0" t="n">
        <v>1.5</v>
      </c>
      <c r="B78" s="0" t="n">
        <v>2.5</v>
      </c>
      <c r="C78" s="32" t="n">
        <v>38366.505</v>
      </c>
      <c r="D78" s="30" t="n">
        <v>4</v>
      </c>
      <c r="E78" s="13"/>
      <c r="F78" s="32"/>
      <c r="G78" s="45"/>
      <c r="H78" s="13"/>
    </row>
    <row collapsed="false" customFormat="false" customHeight="false" hidden="false" ht="12.8" outlineLevel="0" r="79">
      <c r="A79" s="0" t="n">
        <v>1.5</v>
      </c>
      <c r="B79" s="0" t="n">
        <v>1.5</v>
      </c>
      <c r="C79" s="32" t="n">
        <v>38366.549</v>
      </c>
      <c r="D79" s="30" t="n">
        <v>19</v>
      </c>
      <c r="E79" s="13"/>
      <c r="F79" s="32"/>
      <c r="G79" s="45"/>
      <c r="H79" s="13"/>
    </row>
    <row collapsed="false" customFormat="false" customHeight="false" hidden="false" ht="12.8" outlineLevel="0" r="80">
      <c r="A80" s="0" t="n">
        <v>1.5</v>
      </c>
      <c r="B80" s="0" t="n">
        <v>0.5</v>
      </c>
      <c r="C80" s="32" t="n">
        <v>38366.575</v>
      </c>
      <c r="D80" s="30" t="n">
        <v>10.4</v>
      </c>
      <c r="E80" s="13" t="n">
        <f aca="false">SUMPRODUCT(C78:C82,D78:D82)/SUM(D78:D82)</f>
        <v>38366.5709640719</v>
      </c>
      <c r="F80" s="32" t="n">
        <f aca="false">SUM(D78:D82)/SUM($D$69:$D$82)</f>
        <v>0.143101970865467</v>
      </c>
      <c r="G80" s="45" t="n">
        <f aca="false">E80*$J$29/$E$68</f>
        <v>38366.5752019851</v>
      </c>
      <c r="H80" s="13" t="n">
        <f aca="false">100000000/G80</f>
        <v>2606.43540565033</v>
      </c>
    </row>
    <row collapsed="false" customFormat="false" customHeight="false" hidden="false" ht="12.8" outlineLevel="0" r="81">
      <c r="A81" s="0" t="n">
        <v>0.5</v>
      </c>
      <c r="B81" s="0" t="n">
        <v>1.5</v>
      </c>
      <c r="C81" s="32" t="n">
        <v>38366.589</v>
      </c>
      <c r="D81" s="30" t="n">
        <v>3.7</v>
      </c>
      <c r="E81" s="13"/>
      <c r="F81" s="32"/>
      <c r="G81" s="45"/>
      <c r="H81" s="13"/>
    </row>
    <row collapsed="false" customFormat="false" customHeight="false" hidden="false" ht="12.8" outlineLevel="0" r="82">
      <c r="A82" s="0" t="n">
        <v>0.5</v>
      </c>
      <c r="B82" s="0" t="n">
        <v>0.5</v>
      </c>
      <c r="C82" s="32" t="n">
        <v>38366.615</v>
      </c>
      <c r="D82" s="30" t="n">
        <v>13</v>
      </c>
      <c r="E82" s="13"/>
      <c r="F82" s="32"/>
      <c r="G82" s="45"/>
      <c r="H82" s="13"/>
    </row>
    <row collapsed="false" customFormat="true" customHeight="false" hidden="false" ht="12.8" outlineLevel="0" r="84" s="5">
      <c r="A84" s="5" t="s">
        <v>18</v>
      </c>
    </row>
    <row collapsed="false" customFormat="true" customHeight="false" hidden="false" ht="13.8" outlineLevel="0" r="85" s="5">
      <c r="A85" s="5" t="s">
        <v>325</v>
      </c>
      <c r="B85" s="7" t="s">
        <v>326</v>
      </c>
    </row>
    <row collapsed="false" customFormat="true" customHeight="false" hidden="false" ht="13.8" outlineLevel="0" r="86" s="5">
      <c r="A86" s="5" t="s">
        <v>329</v>
      </c>
      <c r="B86" s="7" t="s">
        <v>330</v>
      </c>
    </row>
    <row collapsed="false" customFormat="true" customHeight="false" hidden="false" ht="13.8" outlineLevel="0" r="87" s="5">
      <c r="A87" s="0" t="s">
        <v>350</v>
      </c>
      <c r="B87" s="7" t="s">
        <v>351</v>
      </c>
    </row>
    <row collapsed="false" customFormat="true" customHeight="false" hidden="false" ht="13.8" outlineLevel="0" r="88" s="5">
      <c r="A88" s="0" t="s">
        <v>382</v>
      </c>
      <c r="B88" s="7" t="s">
        <v>383</v>
      </c>
    </row>
  </sheetData>
  <hyperlinks>
    <hyperlink display="http://adsabs.harvard.edu/abs/2009PhST..134a4008A" ref="B85" r:id="rId1"/>
    <hyperlink display="http://adsabs.harvard.edu/abs/2012MNRAS.420.1570N" ref="B86" r:id="rId2"/>
    <hyperlink display="http://adsabs.harvard.edu/abs/2000MNRAS.319..163P" ref="B87" r:id="rId3"/>
    <hyperlink display="http://adsabs.harvard.edu/abs/2005MNRAS.364..705B" ref="B88" r:id="rId4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L29" activeCellId="0" pane="topLeft" sqref="L29"/>
    </sheetView>
  </sheetViews>
  <cols>
    <col collapsed="false" hidden="false" max="1" min="1" style="0" width="11.6235294117647"/>
    <col collapsed="false" hidden="false" max="2" min="2" style="0" width="14.0078431372549"/>
    <col collapsed="false" hidden="false" max="3" min="3" style="0" width="9.04313725490196"/>
    <col collapsed="false" hidden="false" max="4" min="4" style="0" width="13.0235294117647"/>
    <col collapsed="false" hidden="false" max="5" min="5" style="0" width="12.9960784313725"/>
    <col collapsed="false" hidden="false" max="6" min="6" style="0" width="14.4705882352941"/>
    <col collapsed="false" hidden="false" max="7" min="7" style="0" width="12.0666666666667"/>
    <col collapsed="false" hidden="false" max="8" min="8" style="0" width="12.8980392156863"/>
    <col collapsed="false" hidden="false" max="9" min="9" style="0" width="13.6666666666667"/>
    <col collapsed="false" hidden="false" max="10" min="10" style="0" width="9.4078431372549"/>
    <col collapsed="false" hidden="false" max="11" min="11" style="0" width="17.5450980392157"/>
    <col collapsed="false" hidden="false" max="12" min="12" style="0" width="30.0078431372549"/>
    <col collapsed="false" hidden="false" max="13" min="13" style="0" width="35.3725490196078"/>
    <col collapsed="false" hidden="false" max="14" min="14" style="0" width="7.23529411764706"/>
    <col collapsed="false" hidden="false" max="15" min="15" style="0" width="8.43921568627451"/>
    <col collapsed="false" hidden="false" max="16" min="16" style="0" width="8.30196078431373"/>
    <col collapsed="false" hidden="false" max="17" min="17" style="0" width="10.1294117647059"/>
    <col collapsed="false" hidden="false" max="18" min="18" style="0" width="11.5764705882353"/>
    <col collapsed="false" hidden="false" max="19" min="19" style="0" width="11.6509803921569"/>
    <col collapsed="false" hidden="false" max="1025" min="20" style="0" width="11.5764705882353"/>
  </cols>
  <sheetData>
    <row collapsed="false" customFormat="true" customHeight="false" hidden="false" ht="12.8" outlineLevel="0" r="1" s="5">
      <c r="A1" s="5" t="s">
        <v>31</v>
      </c>
      <c r="B1" s="59" t="s">
        <v>193</v>
      </c>
      <c r="C1" s="0"/>
      <c r="AMJ1" s="0"/>
    </row>
    <row collapsed="false" customFormat="true" customHeight="false" hidden="false" ht="12.8" outlineLevel="0" r="2" s="5">
      <c r="B2" s="10"/>
      <c r="AMJ2" s="0"/>
    </row>
    <row collapsed="false" customFormat="true" customHeight="false" hidden="false" ht="12.8" outlineLevel="0" r="3" s="5">
      <c r="A3" s="5" t="s">
        <v>33</v>
      </c>
      <c r="B3" s="10"/>
      <c r="AMJ3" s="0"/>
    </row>
    <row collapsed="false" customFormat="false" customHeight="false" hidden="false" ht="13.8" outlineLevel="0" r="4">
      <c r="A4" s="0" t="s">
        <v>34</v>
      </c>
      <c r="B4" s="0" t="s">
        <v>35</v>
      </c>
      <c r="C4" s="0" t="s">
        <v>36</v>
      </c>
      <c r="D4" s="0" t="s">
        <v>37</v>
      </c>
      <c r="E4" s="0" t="s">
        <v>38</v>
      </c>
      <c r="F4" s="0" t="s">
        <v>39</v>
      </c>
      <c r="G4" s="0" t="s">
        <v>8</v>
      </c>
      <c r="H4" s="0" t="s">
        <v>40</v>
      </c>
      <c r="I4" s="0" t="s">
        <v>41</v>
      </c>
      <c r="J4" s="0" t="s">
        <v>42</v>
      </c>
      <c r="K4" s="0" t="s">
        <v>43</v>
      </c>
      <c r="L4" s="0" t="s">
        <v>44</v>
      </c>
      <c r="M4" s="0" t="s">
        <v>45</v>
      </c>
      <c r="N4" s="0" t="s">
        <v>46</v>
      </c>
      <c r="O4" s="0" t="s">
        <v>47</v>
      </c>
      <c r="P4" s="0" t="s">
        <v>48</v>
      </c>
      <c r="Q4" s="0" t="s">
        <v>49</v>
      </c>
      <c r="R4" s="0" t="s">
        <v>50</v>
      </c>
      <c r="S4" s="0" t="s">
        <v>51</v>
      </c>
      <c r="T4" s="0" t="s">
        <v>52</v>
      </c>
    </row>
    <row collapsed="false" customFormat="true" customHeight="false" hidden="false" ht="12.8" outlineLevel="0" r="5" s="5">
      <c r="A5" s="5" t="s">
        <v>384</v>
      </c>
      <c r="B5" s="78" t="n">
        <f aca="false">A70</f>
        <v>1608</v>
      </c>
      <c r="C5" s="78" t="s">
        <v>54</v>
      </c>
      <c r="D5" s="32" t="n">
        <f aca="false">55.845</f>
        <v>55.845</v>
      </c>
      <c r="E5" s="68" t="n">
        <f aca="false">F70</f>
        <v>62171.623</v>
      </c>
      <c r="F5" s="68" t="n">
        <f aca="false">G70</f>
        <v>0.003</v>
      </c>
      <c r="G5" s="5" t="n">
        <v>0</v>
      </c>
      <c r="H5" s="0" t="n">
        <f aca="false">K56</f>
        <v>0</v>
      </c>
      <c r="I5" s="38" t="n">
        <f aca="false">H70</f>
        <v>1608.45085224814</v>
      </c>
      <c r="J5" s="38" t="n">
        <f aca="false">I70</f>
        <v>7.76134243229329E-005</v>
      </c>
      <c r="K5" s="30" t="n">
        <f aca="false">299792458*J5/I5</f>
        <v>14.4660430370299</v>
      </c>
      <c r="L5" s="0" t="s">
        <v>385</v>
      </c>
      <c r="M5" s="5" t="s">
        <v>386</v>
      </c>
      <c r="N5" s="5" t="s">
        <v>387</v>
      </c>
      <c r="O5" s="15" t="n">
        <v>7.87</v>
      </c>
      <c r="P5" s="15" t="n">
        <v>16.18</v>
      </c>
      <c r="Q5" s="69" t="n">
        <v>0.0577</v>
      </c>
      <c r="R5" s="18" t="n">
        <v>274000000</v>
      </c>
      <c r="S5" s="5" t="n">
        <v>-1165</v>
      </c>
      <c r="T5" s="5" t="n">
        <v>300</v>
      </c>
    </row>
    <row collapsed="false" customFormat="true" customHeight="false" hidden="false" ht="12.8" outlineLevel="0" r="6" s="5">
      <c r="B6" s="0"/>
      <c r="C6" s="0" t="s">
        <v>143</v>
      </c>
      <c r="D6" s="78" t="s">
        <v>388</v>
      </c>
      <c r="E6" s="44" t="n">
        <f aca="false">F74</f>
        <v>62171.5787798598</v>
      </c>
      <c r="G6" s="5" t="n">
        <v>3</v>
      </c>
      <c r="H6" s="5" t="n">
        <f aca="false">$A$119</f>
        <v>0</v>
      </c>
      <c r="I6" s="58" t="n">
        <f aca="false">H74</f>
        <v>1608.45199627446</v>
      </c>
      <c r="Q6" s="71" t="n">
        <f aca="false">B74</f>
        <v>0.00282</v>
      </c>
      <c r="R6" s="84"/>
    </row>
    <row collapsed="false" customFormat="true" customHeight="false" hidden="false" ht="12.8" outlineLevel="0" r="7" s="5">
      <c r="B7" s="0"/>
      <c r="C7" s="0" t="s">
        <v>143</v>
      </c>
      <c r="D7" s="78" t="s">
        <v>389</v>
      </c>
      <c r="E7" s="44" t="n">
        <f aca="false">F73</f>
        <v>62171.5994838381</v>
      </c>
      <c r="G7" s="5" t="n">
        <v>3</v>
      </c>
      <c r="H7" s="5" t="n">
        <f aca="false">$A$119</f>
        <v>0</v>
      </c>
      <c r="I7" s="58" t="n">
        <f aca="false">H73</f>
        <v>1608.45146063832</v>
      </c>
      <c r="Q7" s="71" t="n">
        <f aca="false">B73</f>
        <v>0.02119</v>
      </c>
      <c r="R7" s="84"/>
    </row>
    <row collapsed="false" customFormat="true" customHeight="false" hidden="false" ht="12.8" outlineLevel="0" r="8" s="5">
      <c r="B8" s="0"/>
      <c r="C8" s="0" t="s">
        <v>143</v>
      </c>
      <c r="D8" s="78" t="s">
        <v>390</v>
      </c>
      <c r="E8" s="44" t="n">
        <f aca="false">F72</f>
        <v>62171.6209272442</v>
      </c>
      <c r="G8" s="5" t="n">
        <v>3</v>
      </c>
      <c r="H8" s="5" t="n">
        <f aca="false">$A$119</f>
        <v>0</v>
      </c>
      <c r="I8" s="58" t="n">
        <f aca="false">H72</f>
        <v>1608.4509058727</v>
      </c>
      <c r="Q8" s="71" t="n">
        <f aca="false">B72</f>
        <v>0.91754</v>
      </c>
      <c r="R8" s="84"/>
    </row>
    <row collapsed="false" customFormat="true" customHeight="false" hidden="false" ht="12.8" outlineLevel="0" r="9" s="5">
      <c r="B9" s="0"/>
      <c r="C9" s="0" t="s">
        <v>143</v>
      </c>
      <c r="D9" s="78" t="s">
        <v>391</v>
      </c>
      <c r="E9" s="44" t="n">
        <f aca="false">F71</f>
        <v>62171.6661966571</v>
      </c>
      <c r="G9" s="5" t="n">
        <v>3</v>
      </c>
      <c r="H9" s="5" t="n">
        <f aca="false">$A$119</f>
        <v>0</v>
      </c>
      <c r="I9" s="58" t="n">
        <f aca="false">H71</f>
        <v>1608.44973470209</v>
      </c>
      <c r="Q9" s="71" t="n">
        <f aca="false">B71</f>
        <v>0.05845</v>
      </c>
      <c r="R9" s="84"/>
    </row>
    <row collapsed="false" customFormat="true" customHeight="false" hidden="false" ht="12.8" outlineLevel="0" r="10" s="5">
      <c r="B10" s="78" t="n">
        <f aca="false">A75</f>
        <v>1611</v>
      </c>
      <c r="C10" s="78" t="s">
        <v>54</v>
      </c>
      <c r="D10" s="32" t="n">
        <f aca="false">$D$5</f>
        <v>55.845</v>
      </c>
      <c r="E10" s="68" t="n">
        <f aca="false">F75</f>
        <v>62065.527</v>
      </c>
      <c r="F10" s="68" t="n">
        <f aca="false">G75</f>
        <v>0.003</v>
      </c>
      <c r="G10" s="5" t="n">
        <v>0</v>
      </c>
      <c r="H10" s="0" t="n">
        <f aca="false">K57</f>
        <v>0</v>
      </c>
      <c r="I10" s="38" t="n">
        <f aca="false">H75</f>
        <v>1611.20036892622</v>
      </c>
      <c r="J10" s="38" t="n">
        <f aca="false">I75</f>
        <v>7.78789988648392E-005</v>
      </c>
      <c r="K10" s="30" t="n">
        <f aca="false">299792458*J10/I10</f>
        <v>14.4907715679269</v>
      </c>
      <c r="M10" s="5" t="s">
        <v>392</v>
      </c>
      <c r="N10" s="5" t="s">
        <v>393</v>
      </c>
      <c r="Q10" s="44" t="n">
        <v>0.00138</v>
      </c>
      <c r="R10" s="84" t="n">
        <v>286000000</v>
      </c>
      <c r="S10" s="5" t="n">
        <v>1330</v>
      </c>
      <c r="T10" s="5" t="n">
        <v>300</v>
      </c>
    </row>
    <row collapsed="false" customFormat="true" customHeight="false" hidden="false" ht="12.8" outlineLevel="0" r="11" s="5">
      <c r="B11" s="0"/>
      <c r="C11" s="0" t="s">
        <v>143</v>
      </c>
      <c r="D11" s="78" t="n">
        <f aca="false">D6</f>
        <v>0</v>
      </c>
      <c r="E11" s="44" t="n">
        <f aca="false">F79</f>
        <v>62065.5555750029</v>
      </c>
      <c r="G11" s="5" t="n">
        <v>3</v>
      </c>
      <c r="H11" s="5" t="n">
        <f aca="false">$A$119</f>
        <v>0</v>
      </c>
      <c r="I11" s="58" t="n">
        <f aca="false">H79</f>
        <v>1611.19962712902</v>
      </c>
      <c r="Q11" s="71" t="n">
        <f aca="false">B79</f>
        <v>0.00282</v>
      </c>
      <c r="R11" s="84"/>
    </row>
    <row collapsed="false" customFormat="true" customHeight="false" hidden="false" ht="12.8" outlineLevel="0" r="12" s="5">
      <c r="B12" s="0"/>
      <c r="C12" s="0" t="s">
        <v>143</v>
      </c>
      <c r="D12" s="78" t="n">
        <f aca="false">D7</f>
        <v>0</v>
      </c>
      <c r="E12" s="44" t="n">
        <f aca="false">F78</f>
        <v>62065.5421961163</v>
      </c>
      <c r="G12" s="5" t="n">
        <v>3</v>
      </c>
      <c r="H12" s="5" t="n">
        <f aca="false">$A$119</f>
        <v>0</v>
      </c>
      <c r="I12" s="58" t="n">
        <f aca="false">H78</f>
        <v>1611.1999744402</v>
      </c>
      <c r="Q12" s="71" t="n">
        <f aca="false">B78</f>
        <v>0.02119</v>
      </c>
      <c r="R12" s="84"/>
    </row>
    <row collapsed="false" customFormat="true" customHeight="false" hidden="false" ht="12.8" outlineLevel="0" r="13" s="5">
      <c r="B13" s="0"/>
      <c r="C13" s="0" t="s">
        <v>143</v>
      </c>
      <c r="D13" s="78" t="n">
        <f aca="false">D8</f>
        <v>0</v>
      </c>
      <c r="E13" s="44" t="n">
        <f aca="false">F77</f>
        <v>62065.5283394124</v>
      </c>
      <c r="G13" s="5" t="n">
        <v>3</v>
      </c>
      <c r="H13" s="5" t="n">
        <f aca="false">$A$119</f>
        <v>0</v>
      </c>
      <c r="I13" s="58" t="n">
        <f aca="false">H77</f>
        <v>1611.20033415552</v>
      </c>
      <c r="Q13" s="71" t="n">
        <f aca="false">B77</f>
        <v>0.91754</v>
      </c>
      <c r="R13" s="84"/>
    </row>
    <row collapsed="false" customFormat="true" customHeight="false" hidden="false" ht="12.8" outlineLevel="0" r="14" s="5">
      <c r="B14" s="0"/>
      <c r="C14" s="0" t="s">
        <v>143</v>
      </c>
      <c r="D14" s="78" t="n">
        <f aca="false">D9</f>
        <v>0</v>
      </c>
      <c r="E14" s="44" t="n">
        <f aca="false">F76</f>
        <v>62065.4990863707</v>
      </c>
      <c r="G14" s="5" t="n">
        <v>3</v>
      </c>
      <c r="H14" s="5" t="n">
        <f aca="false">$A$119</f>
        <v>0</v>
      </c>
      <c r="I14" s="58" t="n">
        <f aca="false">H76</f>
        <v>1611.20109355504</v>
      </c>
      <c r="Q14" s="71" t="n">
        <f aca="false">B76</f>
        <v>0.05845</v>
      </c>
      <c r="R14" s="84"/>
    </row>
    <row collapsed="false" customFormat="true" customHeight="false" hidden="false" ht="12.8" outlineLevel="0" r="15" s="5">
      <c r="B15" s="78" t="n">
        <f aca="false">A80</f>
        <v>2249</v>
      </c>
      <c r="C15" s="78" t="s">
        <v>54</v>
      </c>
      <c r="D15" s="32" t="n">
        <f aca="false">$D$5</f>
        <v>55.845</v>
      </c>
      <c r="E15" s="69" t="n">
        <f aca="false">F80</f>
        <v>44446.9044</v>
      </c>
      <c r="F15" s="69" t="n">
        <f aca="false">G80</f>
        <v>0.0019</v>
      </c>
      <c r="G15" s="5" t="n">
        <v>0</v>
      </c>
      <c r="H15" s="0" t="n">
        <f aca="false">K58</f>
        <v>0</v>
      </c>
      <c r="I15" s="38" t="n">
        <f aca="false">H80</f>
        <v>2249.87547164252</v>
      </c>
      <c r="J15" s="38" t="n">
        <f aca="false">I80</f>
        <v>9.61768531200744E-005</v>
      </c>
      <c r="K15" s="30" t="n">
        <f aca="false">299792458*J15/I15</f>
        <v>12.8154182589148</v>
      </c>
      <c r="M15" s="5" t="s">
        <v>394</v>
      </c>
      <c r="N15" s="5" t="s">
        <v>395</v>
      </c>
      <c r="Q15" s="44" t="n">
        <v>0.00182</v>
      </c>
      <c r="R15" s="84" t="n">
        <v>331000000</v>
      </c>
      <c r="S15" s="5" t="n">
        <v>1604</v>
      </c>
      <c r="T15" s="5" t="n">
        <v>200</v>
      </c>
    </row>
    <row collapsed="false" customFormat="true" customHeight="false" hidden="false" ht="12.8" outlineLevel="0" r="16" s="5">
      <c r="B16" s="0"/>
      <c r="C16" s="0" t="s">
        <v>143</v>
      </c>
      <c r="D16" s="78" t="n">
        <f aca="false">D11</f>
        <v>0</v>
      </c>
      <c r="E16" s="44" t="n">
        <f aca="false">F84</f>
        <v>44446.9358411231</v>
      </c>
      <c r="G16" s="5" t="n">
        <v>3</v>
      </c>
      <c r="H16" s="5" t="n">
        <f aca="false">$A$119</f>
        <v>0</v>
      </c>
      <c r="I16" s="58" t="n">
        <f aca="false">H84</f>
        <v>2249.87388011297</v>
      </c>
      <c r="Q16" s="71" t="n">
        <f aca="false">B84</f>
        <v>0.00282</v>
      </c>
      <c r="R16" s="84"/>
    </row>
    <row collapsed="false" customFormat="true" customHeight="false" hidden="false" ht="12.8" outlineLevel="0" r="17" s="5">
      <c r="B17" s="0"/>
      <c r="C17" s="0" t="s">
        <v>143</v>
      </c>
      <c r="D17" s="78" t="n">
        <f aca="false">D12</f>
        <v>0</v>
      </c>
      <c r="E17" s="44" t="n">
        <f aca="false">F83</f>
        <v>44446.921120312</v>
      </c>
      <c r="G17" s="5" t="n">
        <v>3</v>
      </c>
      <c r="H17" s="5" t="n">
        <f aca="false">$A$119</f>
        <v>0</v>
      </c>
      <c r="I17" s="58" t="n">
        <f aca="false">H83</f>
        <v>2249.87462527074</v>
      </c>
      <c r="Q17" s="71" t="n">
        <f aca="false">B83</f>
        <v>0.02119</v>
      </c>
      <c r="R17" s="84"/>
    </row>
    <row collapsed="false" customFormat="true" customHeight="false" hidden="false" ht="12.8" outlineLevel="0" r="18" s="5">
      <c r="B18" s="0"/>
      <c r="C18" s="0" t="s">
        <v>143</v>
      </c>
      <c r="D18" s="78" t="n">
        <f aca="false">D13</f>
        <v>0</v>
      </c>
      <c r="E18" s="44" t="n">
        <f aca="false">F82</f>
        <v>44446.9058737576</v>
      </c>
      <c r="G18" s="5" t="n">
        <v>3</v>
      </c>
      <c r="H18" s="5" t="n">
        <f aca="false">$A$119</f>
        <v>0</v>
      </c>
      <c r="I18" s="58" t="n">
        <f aca="false">H82</f>
        <v>2249.8753970418</v>
      </c>
      <c r="Q18" s="71" t="n">
        <f aca="false">B82</f>
        <v>0.91754</v>
      </c>
      <c r="R18" s="84"/>
    </row>
    <row collapsed="false" customFormat="true" customHeight="false" hidden="false" ht="12.8" outlineLevel="0" r="19" s="5">
      <c r="B19" s="0"/>
      <c r="C19" s="0" t="s">
        <v>143</v>
      </c>
      <c r="D19" s="78" t="n">
        <f aca="false">D14</f>
        <v>0</v>
      </c>
      <c r="E19" s="44" t="n">
        <f aca="false">F81</f>
        <v>44446.8736865874</v>
      </c>
      <c r="G19" s="5" t="n">
        <v>3</v>
      </c>
      <c r="H19" s="5" t="n">
        <f aca="false">$A$119</f>
        <v>0</v>
      </c>
      <c r="I19" s="58" t="n">
        <f aca="false">H81</f>
        <v>2249.877026338</v>
      </c>
      <c r="Q19" s="71" t="n">
        <f aca="false">B81</f>
        <v>0.05845</v>
      </c>
      <c r="R19" s="84"/>
    </row>
    <row collapsed="false" customFormat="true" customHeight="false" hidden="false" ht="13.8" outlineLevel="0" r="20" s="5">
      <c r="B20" s="0" t="n">
        <f aca="false">A59</f>
        <v>2260</v>
      </c>
      <c r="C20" s="0" t="s">
        <v>195</v>
      </c>
      <c r="D20" s="32" t="n">
        <f aca="false">$D$5</f>
        <v>55.845</v>
      </c>
      <c r="E20" s="11" t="n">
        <f aca="false">I59</f>
        <v>44232.5389736604</v>
      </c>
      <c r="F20" s="11" t="n">
        <f aca="false">J59</f>
        <v>0.00189736659610103</v>
      </c>
      <c r="G20" s="14" t="n">
        <v>0</v>
      </c>
      <c r="H20" s="0" t="s">
        <v>396</v>
      </c>
      <c r="I20" s="13" t="n">
        <f aca="false">L59</f>
        <v>2260.77910787685</v>
      </c>
      <c r="J20" s="13" t="n">
        <f aca="false">M59</f>
        <v>9.69767248270092E-005</v>
      </c>
      <c r="K20" s="30" t="n">
        <f aca="false">299792458*J20/I20</f>
        <v>12.8596777117167</v>
      </c>
      <c r="L20" s="0"/>
      <c r="M20" s="0" t="s">
        <v>397</v>
      </c>
      <c r="N20" s="0" t="s">
        <v>398</v>
      </c>
      <c r="Q20" s="44" t="n">
        <v>0.00244</v>
      </c>
      <c r="R20" s="84" t="n">
        <v>258000000</v>
      </c>
      <c r="S20" s="5" t="n">
        <v>1435</v>
      </c>
      <c r="T20" s="5" t="n">
        <v>150</v>
      </c>
    </row>
    <row collapsed="false" customFormat="true" customHeight="false" hidden="false" ht="13.8" outlineLevel="0" r="21" s="5">
      <c r="B21" s="78" t="n">
        <f aca="false">A85</f>
        <v>2344</v>
      </c>
      <c r="C21" s="78" t="s">
        <v>54</v>
      </c>
      <c r="D21" s="32" t="n">
        <f aca="false">$D$5</f>
        <v>55.845</v>
      </c>
      <c r="E21" s="69" t="n">
        <f aca="false">F85</f>
        <v>42658.2442743576</v>
      </c>
      <c r="F21" s="69" t="n">
        <f aca="false">G85</f>
        <v>0.00137749892382939</v>
      </c>
      <c r="G21" s="5" t="n">
        <v>0</v>
      </c>
      <c r="H21" s="0" t="s">
        <v>396</v>
      </c>
      <c r="I21" s="38" t="n">
        <f aca="false">H85</f>
        <v>2344.21274717373</v>
      </c>
      <c r="J21" s="38" t="n">
        <f aca="false">I85</f>
        <v>7.56981585010995E-005</v>
      </c>
      <c r="K21" s="30" t="n">
        <f aca="false">299792458*J21/I21</f>
        <v>9.68074976577046</v>
      </c>
      <c r="M21" s="5" t="s">
        <v>399</v>
      </c>
      <c r="N21" s="5" t="s">
        <v>400</v>
      </c>
      <c r="Q21" s="68" t="n">
        <v>0.114</v>
      </c>
      <c r="R21" s="84" t="n">
        <v>268000000</v>
      </c>
      <c r="S21" s="5" t="n">
        <v>1375</v>
      </c>
      <c r="T21" s="5" t="n">
        <v>300</v>
      </c>
    </row>
    <row collapsed="false" customFormat="true" customHeight="false" hidden="false" ht="12.8" outlineLevel="0" r="22" s="5">
      <c r="B22" s="0"/>
      <c r="C22" s="0" t="s">
        <v>143</v>
      </c>
      <c r="D22" s="78" t="n">
        <f aca="false">D16</f>
        <v>0</v>
      </c>
      <c r="E22" s="44" t="n">
        <f aca="false">F89</f>
        <v>42658.2694875955</v>
      </c>
      <c r="G22" s="5" t="n">
        <v>3</v>
      </c>
      <c r="H22" s="5" t="n">
        <f aca="false">$A$119</f>
        <v>0</v>
      </c>
      <c r="I22" s="58" t="n">
        <f aca="false">H89</f>
        <v>2344.21136162307</v>
      </c>
      <c r="Q22" s="71" t="n">
        <f aca="false">B89</f>
        <v>0.00282</v>
      </c>
      <c r="R22" s="84"/>
    </row>
    <row collapsed="false" customFormat="true" customHeight="false" hidden="false" ht="12.8" outlineLevel="0" r="23" s="5">
      <c r="B23" s="0"/>
      <c r="C23" s="0" t="s">
        <v>143</v>
      </c>
      <c r="D23" s="78" t="n">
        <f aca="false">D17</f>
        <v>0</v>
      </c>
      <c r="E23" s="44" t="n">
        <f aca="false">F88</f>
        <v>42658.2576826956</v>
      </c>
      <c r="G23" s="5" t="n">
        <v>3</v>
      </c>
      <c r="H23" s="5" t="n">
        <f aca="false">$A$119</f>
        <v>0</v>
      </c>
      <c r="I23" s="58" t="n">
        <f aca="false">H88</f>
        <v>2344.21201034109</v>
      </c>
      <c r="Q23" s="71" t="n">
        <f aca="false">B88</f>
        <v>0.02119</v>
      </c>
      <c r="R23" s="84"/>
    </row>
    <row collapsed="false" customFormat="true" customHeight="false" hidden="false" ht="12.8" outlineLevel="0" r="24" s="5">
      <c r="B24" s="0"/>
      <c r="C24" s="0" t="s">
        <v>143</v>
      </c>
      <c r="D24" s="78" t="n">
        <f aca="false">D18</f>
        <v>0</v>
      </c>
      <c r="E24" s="44" t="n">
        <f aca="false">F87</f>
        <v>42658.2454561921</v>
      </c>
      <c r="G24" s="5" t="n">
        <v>3</v>
      </c>
      <c r="H24" s="5" t="n">
        <f aca="false">$A$119</f>
        <v>0</v>
      </c>
      <c r="I24" s="58" t="n">
        <f aca="false">H87</f>
        <v>2344.21268222799</v>
      </c>
      <c r="Q24" s="71" t="n">
        <f aca="false">B87</f>
        <v>0.91754</v>
      </c>
      <c r="R24" s="84"/>
    </row>
    <row collapsed="false" customFormat="true" customHeight="false" hidden="false" ht="12.8" outlineLevel="0" r="25" s="5">
      <c r="B25" s="0"/>
      <c r="C25" s="0" t="s">
        <v>143</v>
      </c>
      <c r="D25" s="78" t="n">
        <f aca="false">D19</f>
        <v>0</v>
      </c>
      <c r="E25" s="44" t="n">
        <f aca="false">F86</f>
        <v>42658.2196446847</v>
      </c>
      <c r="G25" s="5" t="n">
        <v>3</v>
      </c>
      <c r="H25" s="5" t="n">
        <f aca="false">$A$119</f>
        <v>0</v>
      </c>
      <c r="I25" s="58" t="n">
        <f aca="false">H86</f>
        <v>2344.21410065716</v>
      </c>
      <c r="Q25" s="71" t="n">
        <f aca="false">B86</f>
        <v>0.05845</v>
      </c>
      <c r="R25" s="0"/>
    </row>
    <row collapsed="false" customFormat="true" customHeight="false" hidden="false" ht="12.8" outlineLevel="0" r="26" s="5">
      <c r="B26" s="78" t="n">
        <f aca="false">A90</f>
        <v>2367</v>
      </c>
      <c r="C26" s="78" t="s">
        <v>54</v>
      </c>
      <c r="D26" s="32" t="n">
        <f aca="false">$D$5</f>
        <v>55.845</v>
      </c>
      <c r="E26" s="69" t="n">
        <f aca="false">F90</f>
        <v>42237.0563</v>
      </c>
      <c r="F26" s="69" t="n">
        <f aca="false">G90</f>
        <v>0.0019</v>
      </c>
      <c r="G26" s="5" t="n">
        <v>0</v>
      </c>
      <c r="H26" s="5" t="n">
        <f aca="false">K61</f>
        <v>0</v>
      </c>
      <c r="I26" s="44" t="n">
        <f aca="false">H90</f>
        <v>2367.58923940445</v>
      </c>
      <c r="J26" s="44" t="n">
        <f aca="false">I90</f>
        <v>0.000106504097324331</v>
      </c>
      <c r="K26" s="30" t="n">
        <f aca="false">299792458*J26/I26</f>
        <v>13.4859225546928</v>
      </c>
      <c r="M26" s="5" t="s">
        <v>401</v>
      </c>
      <c r="N26" s="5" t="s">
        <v>402</v>
      </c>
      <c r="Q26" s="58" t="n">
        <v>2.16E-005</v>
      </c>
      <c r="R26" s="84" t="n">
        <v>307000000</v>
      </c>
      <c r="S26" s="5" t="n">
        <v>1803</v>
      </c>
      <c r="T26" s="5" t="n">
        <v>200</v>
      </c>
    </row>
    <row collapsed="false" customFormat="true" customHeight="false" hidden="false" ht="12.8" outlineLevel="0" r="27" s="5">
      <c r="B27" s="0"/>
      <c r="C27" s="0" t="s">
        <v>143</v>
      </c>
      <c r="D27" s="78" t="n">
        <f aca="false">D22</f>
        <v>0</v>
      </c>
      <c r="E27" s="44" t="n">
        <f aca="false">F94</f>
        <v>42237.0876980235</v>
      </c>
      <c r="G27" s="5" t="n">
        <v>3</v>
      </c>
      <c r="H27" s="5" t="n">
        <f aca="false">$A$119</f>
        <v>0</v>
      </c>
      <c r="I27" s="38" t="n">
        <f aca="false">H94</f>
        <v>2367.5874793962</v>
      </c>
      <c r="Q27" s="71" t="n">
        <f aca="false">B94</f>
        <v>0.00282</v>
      </c>
      <c r="R27" s="84"/>
    </row>
    <row collapsed="false" customFormat="true" customHeight="false" hidden="false" ht="12.8" outlineLevel="0" r="28" s="5">
      <c r="B28" s="0"/>
      <c r="C28" s="0" t="s">
        <v>143</v>
      </c>
      <c r="D28" s="78" t="n">
        <f aca="false">D23</f>
        <v>0</v>
      </c>
      <c r="E28" s="44" t="n">
        <f aca="false">F93</f>
        <v>42237.0729973918</v>
      </c>
      <c r="G28" s="5" t="n">
        <v>3</v>
      </c>
      <c r="H28" s="5" t="n">
        <f aca="false">$A$119</f>
        <v>0</v>
      </c>
      <c r="I28" s="38" t="n">
        <f aca="false">H93</f>
        <v>2367.58830343607</v>
      </c>
      <c r="Q28" s="71" t="n">
        <f aca="false">B93</f>
        <v>0.02119</v>
      </c>
      <c r="R28" s="84"/>
    </row>
    <row collapsed="false" customFormat="true" customHeight="false" hidden="false" ht="12.8" outlineLevel="0" r="29" s="5">
      <c r="B29" s="0"/>
      <c r="C29" s="0" t="s">
        <v>143</v>
      </c>
      <c r="D29" s="78" t="n">
        <f aca="false">D24</f>
        <v>0</v>
      </c>
      <c r="E29" s="44" t="n">
        <f aca="false">F92</f>
        <v>42237.0577717374</v>
      </c>
      <c r="G29" s="5" t="n">
        <v>3</v>
      </c>
      <c r="H29" s="5" t="n">
        <f aca="false">$A$119</f>
        <v>0</v>
      </c>
      <c r="I29" s="38" t="n">
        <f aca="false">H92</f>
        <v>2367.58915690653</v>
      </c>
      <c r="Q29" s="71" t="n">
        <f aca="false">B92</f>
        <v>0.91754</v>
      </c>
      <c r="R29" s="84"/>
    </row>
    <row collapsed="false" customFormat="true" customHeight="false" hidden="false" ht="12.8" outlineLevel="0" r="30" s="5">
      <c r="B30" s="0"/>
      <c r="C30" s="0" t="s">
        <v>143</v>
      </c>
      <c r="D30" s="78" t="n">
        <f aca="false">D25</f>
        <v>0</v>
      </c>
      <c r="E30" s="44" t="n">
        <f aca="false">F91</f>
        <v>42237.0256286894</v>
      </c>
      <c r="G30" s="5" t="n">
        <v>3</v>
      </c>
      <c r="H30" s="5" t="n">
        <f aca="false">$A$119</f>
        <v>0</v>
      </c>
      <c r="I30" s="38" t="n">
        <f aca="false">H91</f>
        <v>2367.59095867952</v>
      </c>
      <c r="Q30" s="71" t="n">
        <f aca="false">B91</f>
        <v>0.05845</v>
      </c>
      <c r="R30" s="84"/>
    </row>
    <row collapsed="false" customFormat="true" customHeight="false" hidden="false" ht="13.8" outlineLevel="0" r="31" s="5">
      <c r="B31" s="78" t="n">
        <f aca="false">A95</f>
        <v>2374</v>
      </c>
      <c r="C31" s="78" t="s">
        <v>54</v>
      </c>
      <c r="D31" s="32" t="n">
        <f aca="false">$D$5</f>
        <v>55.845</v>
      </c>
      <c r="E31" s="69" t="n">
        <f aca="false">F95</f>
        <v>42114.8376071325</v>
      </c>
      <c r="F31" s="69" t="n">
        <f aca="false">G95</f>
        <v>0.00137749892382939</v>
      </c>
      <c r="G31" s="5" t="n">
        <v>0</v>
      </c>
      <c r="H31" s="0" t="s">
        <v>396</v>
      </c>
      <c r="I31" s="38" t="n">
        <f aca="false">H95</f>
        <v>2374.46006400044</v>
      </c>
      <c r="J31" s="38" t="n">
        <f aca="false">I95</f>
        <v>7.76642240283153E-005</v>
      </c>
      <c r="K31" s="30" t="n">
        <f aca="false">299792458*J31/I31</f>
        <v>9.80566023118719</v>
      </c>
      <c r="M31" s="5" t="s">
        <v>403</v>
      </c>
      <c r="N31" s="5" t="s">
        <v>404</v>
      </c>
      <c r="Q31" s="44" t="n">
        <v>0.0313</v>
      </c>
      <c r="R31" s="84" t="n">
        <v>309000000</v>
      </c>
      <c r="S31" s="5" t="n">
        <v>1625</v>
      </c>
      <c r="T31" s="5" t="n">
        <v>100</v>
      </c>
    </row>
    <row collapsed="false" customFormat="true" customHeight="false" hidden="false" ht="12.8" outlineLevel="0" r="32" s="5">
      <c r="B32" s="0"/>
      <c r="C32" s="0" t="s">
        <v>143</v>
      </c>
      <c r="D32" s="78" t="n">
        <f aca="false">D27</f>
        <v>0</v>
      </c>
      <c r="E32" s="44" t="n">
        <f aca="false">F99</f>
        <v>42114.8688974072</v>
      </c>
      <c r="G32" s="5" t="n">
        <v>3</v>
      </c>
      <c r="H32" s="5" t="n">
        <f aca="false">$A$119</f>
        <v>0</v>
      </c>
      <c r="I32" s="58" t="n">
        <f aca="false">H99</f>
        <v>2374.4582998371</v>
      </c>
      <c r="Q32" s="71" t="n">
        <f aca="false">B99</f>
        <v>0.00282</v>
      </c>
      <c r="R32" s="84"/>
    </row>
    <row collapsed="false" customFormat="true" customHeight="false" hidden="false" ht="12.8" outlineLevel="0" r="33" s="5">
      <c r="B33" s="0"/>
      <c r="C33" s="0" t="s">
        <v>143</v>
      </c>
      <c r="D33" s="78" t="n">
        <f aca="false">D28</f>
        <v>0</v>
      </c>
      <c r="E33" s="44" t="n">
        <f aca="false">F98</f>
        <v>42114.8542472237</v>
      </c>
      <c r="G33" s="5" t="n">
        <v>3</v>
      </c>
      <c r="H33" s="5" t="n">
        <f aca="false">$A$119</f>
        <v>0</v>
      </c>
      <c r="I33" s="58" t="n">
        <f aca="false">H98</f>
        <v>2374.45912582238</v>
      </c>
      <c r="Q33" s="71" t="n">
        <f aca="false">B98</f>
        <v>0.02119</v>
      </c>
      <c r="R33" s="84"/>
    </row>
    <row collapsed="false" customFormat="true" customHeight="false" hidden="false" ht="12.8" outlineLevel="0" r="34" s="5">
      <c r="B34" s="0"/>
      <c r="C34" s="0" t="s">
        <v>143</v>
      </c>
      <c r="D34" s="78" t="n">
        <f aca="false">D29</f>
        <v>0</v>
      </c>
      <c r="E34" s="44" t="n">
        <f aca="false">F97</f>
        <v>42114.8390738194</v>
      </c>
      <c r="G34" s="5" t="n">
        <v>3</v>
      </c>
      <c r="H34" s="5" t="n">
        <f aca="false">$A$119</f>
        <v>0</v>
      </c>
      <c r="I34" s="58" t="n">
        <f aca="false">H97</f>
        <v>2374.45998130775</v>
      </c>
      <c r="Q34" s="71" t="n">
        <f aca="false">B97</f>
        <v>0.91754</v>
      </c>
      <c r="R34" s="84"/>
    </row>
    <row collapsed="false" customFormat="true" customHeight="false" hidden="false" ht="12.8" outlineLevel="0" r="35" s="5">
      <c r="B35" s="0"/>
      <c r="C35" s="0" t="s">
        <v>143</v>
      </c>
      <c r="D35" s="78" t="n">
        <f aca="false">D30</f>
        <v>0</v>
      </c>
      <c r="E35" s="44" t="n">
        <f aca="false">F96</f>
        <v>42114.8070410769</v>
      </c>
      <c r="G35" s="5" t="n">
        <v>3</v>
      </c>
      <c r="H35" s="5" t="n">
        <f aca="false">$A$119</f>
        <v>0</v>
      </c>
      <c r="I35" s="58" t="n">
        <f aca="false">H96</f>
        <v>2374.46178733443</v>
      </c>
      <c r="Q35" s="71" t="n">
        <f aca="false">B96</f>
        <v>0.05845</v>
      </c>
      <c r="R35" s="84"/>
    </row>
    <row collapsed="false" customFormat="true" customHeight="false" hidden="false" ht="13.8" outlineLevel="0" r="36" s="5">
      <c r="B36" s="78" t="n">
        <f aca="false">A100</f>
        <v>2382</v>
      </c>
      <c r="C36" s="78" t="s">
        <v>54</v>
      </c>
      <c r="D36" s="32" t="n">
        <f aca="false">$D$5</f>
        <v>55.845</v>
      </c>
      <c r="E36" s="69" t="n">
        <f aca="false">F100</f>
        <v>41968.0674264092</v>
      </c>
      <c r="F36" s="69" t="n">
        <f aca="false">G100</f>
        <v>0.0014142135623731</v>
      </c>
      <c r="G36" s="5" t="n">
        <v>0</v>
      </c>
      <c r="H36" s="0" t="s">
        <v>396</v>
      </c>
      <c r="I36" s="38" t="n">
        <f aca="false">H100</f>
        <v>2382.76399491946</v>
      </c>
      <c r="J36" s="38" t="n">
        <f aca="false">I100</f>
        <v>8.02928837135094E-005</v>
      </c>
      <c r="K36" s="30" t="n">
        <f aca="false">299792458*J36/I36</f>
        <v>10.1022178527567</v>
      </c>
      <c r="M36" s="5" t="s">
        <v>405</v>
      </c>
      <c r="N36" s="5" t="s">
        <v>406</v>
      </c>
      <c r="Q36" s="68" t="n">
        <v>0.32</v>
      </c>
      <c r="R36" s="84" t="n">
        <v>313000000</v>
      </c>
      <c r="S36" s="5" t="n">
        <v>1505</v>
      </c>
      <c r="T36" s="5" t="n">
        <v>100</v>
      </c>
    </row>
    <row collapsed="false" customFormat="true" customHeight="false" hidden="false" ht="12.8" outlineLevel="0" r="37" s="5">
      <c r="B37" s="0"/>
      <c r="C37" s="0" t="s">
        <v>143</v>
      </c>
      <c r="D37" s="78" t="n">
        <f aca="false">D32</f>
        <v>0</v>
      </c>
      <c r="E37" s="44" t="n">
        <f aca="false">F104</f>
        <v>41968.0985227359</v>
      </c>
      <c r="G37" s="5" t="n">
        <v>3</v>
      </c>
      <c r="H37" s="5" t="n">
        <f aca="false">$A$119</f>
        <v>0</v>
      </c>
      <c r="I37" s="58" t="n">
        <f aca="false">H104</f>
        <v>2382.76222940684</v>
      </c>
      <c r="Q37" s="71" t="n">
        <f aca="false">B104</f>
        <v>0.00282</v>
      </c>
      <c r="R37" s="84"/>
    </row>
    <row collapsed="false" customFormat="true" customHeight="false" hidden="false" ht="12.8" outlineLevel="0" r="38" s="5">
      <c r="B38" s="0"/>
      <c r="C38" s="0" t="s">
        <v>143</v>
      </c>
      <c r="D38" s="78" t="n">
        <f aca="false">D33</f>
        <v>0</v>
      </c>
      <c r="E38" s="44" t="n">
        <f aca="false">F103</f>
        <v>41968.0839633593</v>
      </c>
      <c r="G38" s="5" t="n">
        <v>3</v>
      </c>
      <c r="H38" s="5" t="n">
        <f aca="false">$A$119</f>
        <v>0</v>
      </c>
      <c r="I38" s="58" t="n">
        <f aca="false">H103</f>
        <v>2382.76305602386</v>
      </c>
      <c r="Q38" s="71" t="n">
        <f aca="false">B103</f>
        <v>0.02119</v>
      </c>
      <c r="R38" s="84"/>
    </row>
    <row collapsed="false" customFormat="true" customHeight="false" hidden="false" ht="12.8" outlineLevel="0" r="39" s="5">
      <c r="B39" s="0"/>
      <c r="C39" s="0" t="s">
        <v>143</v>
      </c>
      <c r="D39" s="78" t="n">
        <f aca="false">D34</f>
        <v>0</v>
      </c>
      <c r="E39" s="44" t="n">
        <f aca="false">F102</f>
        <v>41968.068884005</v>
      </c>
      <c r="G39" s="5" t="n">
        <v>3</v>
      </c>
      <c r="H39" s="5" t="n">
        <f aca="false">$A$119</f>
        <v>0</v>
      </c>
      <c r="I39" s="58" t="n">
        <f aca="false">H102</f>
        <v>2382.76391216352</v>
      </c>
      <c r="Q39" s="71" t="n">
        <f aca="false">B102</f>
        <v>0.91754</v>
      </c>
      <c r="R39" s="84"/>
    </row>
    <row collapsed="false" customFormat="true" customHeight="false" hidden="false" ht="12.8" outlineLevel="0" r="40" s="5">
      <c r="B40" s="0"/>
      <c r="C40" s="0" t="s">
        <v>143</v>
      </c>
      <c r="D40" s="78" t="n">
        <f aca="false">D35</f>
        <v>0</v>
      </c>
      <c r="E40" s="44" t="n">
        <f aca="false">F101</f>
        <v>41968.0370498126</v>
      </c>
      <c r="G40" s="5" t="n">
        <v>3</v>
      </c>
      <c r="H40" s="5" t="n">
        <f aca="false">$A$119</f>
        <v>0</v>
      </c>
      <c r="I40" s="58" t="n">
        <f aca="false">H101</f>
        <v>2382.7657195715</v>
      </c>
      <c r="Q40" s="71" t="n">
        <f aca="false">B101</f>
        <v>0.05845</v>
      </c>
      <c r="R40" s="84"/>
    </row>
    <row collapsed="false" customFormat="true" customHeight="false" hidden="false" ht="13.8" outlineLevel="0" r="41" s="5">
      <c r="B41" s="78" t="n">
        <f aca="false">A105</f>
        <v>2586</v>
      </c>
      <c r="C41" s="78" t="s">
        <v>54</v>
      </c>
      <c r="D41" s="32" t="n">
        <f aca="false">$D$5</f>
        <v>55.845</v>
      </c>
      <c r="E41" s="69" t="n">
        <f aca="false">F105</f>
        <v>38660.0531902641</v>
      </c>
      <c r="F41" s="69" t="n">
        <f aca="false">G105</f>
        <v>0.00129529684019108</v>
      </c>
      <c r="G41" s="5" t="n">
        <v>0</v>
      </c>
      <c r="H41" s="0" t="s">
        <v>396</v>
      </c>
      <c r="I41" s="38" t="n">
        <f aca="false">H105</f>
        <v>2586.64931234972</v>
      </c>
      <c r="J41" s="38" t="n">
        <f aca="false">I105</f>
        <v>8.6665133761709E-005</v>
      </c>
      <c r="K41" s="30" t="n">
        <f aca="false">299792458*J41/I41</f>
        <v>10.044482392443</v>
      </c>
      <c r="M41" s="5" t="s">
        <v>407</v>
      </c>
      <c r="N41" s="5" t="s">
        <v>408</v>
      </c>
      <c r="Q41" s="69" t="n">
        <v>0.0691</v>
      </c>
      <c r="R41" s="84" t="n">
        <v>272000000</v>
      </c>
      <c r="S41" s="5" t="n">
        <v>1515</v>
      </c>
      <c r="T41" s="5" t="n">
        <v>100</v>
      </c>
    </row>
    <row collapsed="false" customFormat="true" customHeight="false" hidden="false" ht="12.8" outlineLevel="0" r="42" s="5">
      <c r="B42" s="0"/>
      <c r="C42" s="0" t="s">
        <v>143</v>
      </c>
      <c r="D42" s="78" t="n">
        <f aca="false">D37</f>
        <v>0</v>
      </c>
      <c r="E42" s="44" t="n">
        <f aca="false">F109</f>
        <v>38660.0793085925</v>
      </c>
      <c r="G42" s="5" t="n">
        <v>3</v>
      </c>
      <c r="H42" s="5" t="n">
        <f aca="false">$A$119</f>
        <v>0</v>
      </c>
      <c r="I42" s="58" t="n">
        <f aca="false">H109</f>
        <v>2586.64756483762</v>
      </c>
      <c r="Q42" s="71" t="n">
        <f aca="false">B109</f>
        <v>0.00282</v>
      </c>
      <c r="R42" s="84"/>
    </row>
    <row collapsed="false" customFormat="true" customHeight="false" hidden="false" ht="12.8" outlineLevel="0" r="43" s="5">
      <c r="B43" s="0"/>
      <c r="C43" s="0" t="s">
        <v>143</v>
      </c>
      <c r="D43" s="78" t="n">
        <f aca="false">D38</f>
        <v>0</v>
      </c>
      <c r="E43" s="44" t="n">
        <f aca="false">F108</f>
        <v>38660.0670799269</v>
      </c>
      <c r="G43" s="5" t="n">
        <v>3</v>
      </c>
      <c r="H43" s="5" t="n">
        <f aca="false">$A$119</f>
        <v>0</v>
      </c>
      <c r="I43" s="58" t="n">
        <f aca="false">H108</f>
        <v>2586.64838302678</v>
      </c>
      <c r="Q43" s="71" t="n">
        <f aca="false">B108</f>
        <v>0.02119</v>
      </c>
      <c r="R43" s="84"/>
    </row>
    <row collapsed="false" customFormat="true" customHeight="false" hidden="false" ht="12.8" outlineLevel="0" r="44" s="5">
      <c r="B44" s="0"/>
      <c r="C44" s="0" t="s">
        <v>143</v>
      </c>
      <c r="D44" s="78" t="n">
        <f aca="false">D39</f>
        <v>0</v>
      </c>
      <c r="E44" s="44" t="n">
        <f aca="false">F107</f>
        <v>38660.0544145233</v>
      </c>
      <c r="G44" s="5" t="n">
        <v>3</v>
      </c>
      <c r="H44" s="5" t="n">
        <f aca="false">$A$119</f>
        <v>0</v>
      </c>
      <c r="I44" s="58" t="n">
        <f aca="false">H107</f>
        <v>2586.64923043754</v>
      </c>
      <c r="Q44" s="71" t="n">
        <f aca="false">B107</f>
        <v>0.91754</v>
      </c>
      <c r="R44" s="84"/>
    </row>
    <row collapsed="false" customFormat="true" customHeight="false" hidden="false" ht="12.8" outlineLevel="0" r="45" s="5">
      <c r="B45" s="0"/>
      <c r="C45" s="0" t="s">
        <v>143</v>
      </c>
      <c r="D45" s="78" t="n">
        <f aca="false">D40</f>
        <v>0</v>
      </c>
      <c r="E45" s="44" t="n">
        <f aca="false">F106</f>
        <v>38660.027676449</v>
      </c>
      <c r="G45" s="5" t="n">
        <v>3</v>
      </c>
      <c r="H45" s="5" t="n">
        <f aca="false">$A$119</f>
        <v>0</v>
      </c>
      <c r="I45" s="58" t="n">
        <f aca="false">H106</f>
        <v>2586.65101941761</v>
      </c>
      <c r="Q45" s="71" t="n">
        <f aca="false">B106</f>
        <v>0.05845</v>
      </c>
      <c r="R45" s="84"/>
    </row>
    <row collapsed="false" customFormat="true" customHeight="false" hidden="false" ht="13.8" outlineLevel="0" r="46" s="5">
      <c r="B46" s="78" t="n">
        <f aca="false">A110</f>
        <v>2600</v>
      </c>
      <c r="C46" s="78" t="s">
        <v>54</v>
      </c>
      <c r="D46" s="32" t="n">
        <f aca="false">$D$5</f>
        <v>55.845</v>
      </c>
      <c r="E46" s="69" t="n">
        <f aca="false">F110</f>
        <v>38458.992557971</v>
      </c>
      <c r="F46" s="69" t="n">
        <f aca="false">G110</f>
        <v>0.00129529684019108</v>
      </c>
      <c r="G46" s="5" t="n">
        <v>0</v>
      </c>
      <c r="H46" s="0" t="s">
        <v>396</v>
      </c>
      <c r="I46" s="38" t="n">
        <f aca="false">H110</f>
        <v>2600.17211447402</v>
      </c>
      <c r="J46" s="38" t="n">
        <f aca="false">I110</f>
        <v>8.75736596260142E-005</v>
      </c>
      <c r="K46" s="30" t="n">
        <f aca="false">299792458*J46/I46</f>
        <v>10.0969941678838</v>
      </c>
      <c r="M46" s="5" t="s">
        <v>409</v>
      </c>
      <c r="N46" s="5" t="s">
        <v>410</v>
      </c>
      <c r="Q46" s="68" t="n">
        <v>0.239</v>
      </c>
      <c r="R46" s="84" t="n">
        <v>270000000</v>
      </c>
      <c r="S46" s="5" t="n">
        <v>1370</v>
      </c>
      <c r="T46" s="5" t="n">
        <v>100</v>
      </c>
    </row>
    <row collapsed="false" customFormat="true" customHeight="false" hidden="false" ht="12.8" outlineLevel="0" r="47" s="5">
      <c r="B47" s="0"/>
      <c r="C47" s="0" t="s">
        <v>143</v>
      </c>
      <c r="D47" s="78" t="n">
        <f aca="false">D42</f>
        <v>0</v>
      </c>
      <c r="E47" s="44" t="n">
        <f aca="false">F114</f>
        <v>38459.0185039012</v>
      </c>
      <c r="G47" s="5" t="n">
        <v>3</v>
      </c>
      <c r="H47" s="5" t="n">
        <f aca="false">$A$119</f>
        <v>0</v>
      </c>
      <c r="I47" s="58" t="n">
        <f aca="false">H114</f>
        <v>2600.1703602981</v>
      </c>
      <c r="Q47" s="71" t="n">
        <f aca="false">B114</f>
        <v>0.00282</v>
      </c>
      <c r="R47" s="84"/>
    </row>
    <row collapsed="false" customFormat="true" customHeight="false" hidden="false" ht="12.8" outlineLevel="0" r="48" s="5">
      <c r="B48" s="0"/>
      <c r="C48" s="0" t="s">
        <v>143</v>
      </c>
      <c r="D48" s="78" t="n">
        <f aca="false">D43</f>
        <v>0</v>
      </c>
      <c r="E48" s="44" t="n">
        <f aca="false">F113</f>
        <v>38459.0063559529</v>
      </c>
      <c r="G48" s="5" t="n">
        <v>3</v>
      </c>
      <c r="H48" s="5" t="n">
        <f aca="false">$A$119</f>
        <v>0</v>
      </c>
      <c r="I48" s="58" t="n">
        <f aca="false">H113</f>
        <v>2600.17118160728</v>
      </c>
      <c r="Q48" s="71" t="n">
        <f aca="false">B113</f>
        <v>0.02119</v>
      </c>
      <c r="R48" s="84"/>
    </row>
    <row collapsed="false" customFormat="true" customHeight="false" hidden="false" ht="12.8" outlineLevel="0" r="49" s="5">
      <c r="B49" s="0"/>
      <c r="C49" s="0" t="s">
        <v>143</v>
      </c>
      <c r="D49" s="78" t="n">
        <f aca="false">D44</f>
        <v>0</v>
      </c>
      <c r="E49" s="44" t="n">
        <f aca="false">F112</f>
        <v>38458.9937741493</v>
      </c>
      <c r="G49" s="5" t="n">
        <v>3</v>
      </c>
      <c r="H49" s="5" t="n">
        <f aca="false">$A$119</f>
        <v>0</v>
      </c>
      <c r="I49" s="58" t="n">
        <f aca="false">H112</f>
        <v>2600.17203224948</v>
      </c>
      <c r="Q49" s="71" t="n">
        <f aca="false">B112</f>
        <v>0.91754</v>
      </c>
      <c r="R49" s="84"/>
    </row>
    <row collapsed="false" customFormat="true" customHeight="false" hidden="false" ht="12.8" outlineLevel="0" r="50" s="5">
      <c r="B50" s="0"/>
      <c r="C50" s="0" t="s">
        <v>143</v>
      </c>
      <c r="D50" s="78" t="n">
        <f aca="false">D45</f>
        <v>0</v>
      </c>
      <c r="E50" s="44" t="n">
        <f aca="false">F111</f>
        <v>38458.9672125639</v>
      </c>
      <c r="G50" s="5" t="n">
        <v>3</v>
      </c>
      <c r="H50" s="5" t="n">
        <f aca="false">$A$119</f>
        <v>0</v>
      </c>
      <c r="I50" s="58" t="n">
        <f aca="false">H111</f>
        <v>2600.17382805151</v>
      </c>
      <c r="Q50" s="71" t="n">
        <f aca="false">B111</f>
        <v>0.05845</v>
      </c>
      <c r="R50" s="84"/>
    </row>
    <row collapsed="false" customFormat="true" customHeight="false" hidden="false" ht="12.8" outlineLevel="0" r="51" s="5">
      <c r="A51" s="5" t="s">
        <v>69</v>
      </c>
      <c r="B51" s="10"/>
      <c r="Q51" s="84"/>
      <c r="AMJ51" s="0"/>
    </row>
    <row collapsed="false" customFormat="true" customHeight="false" hidden="false" ht="12.8" outlineLevel="0" r="52" s="5">
      <c r="B52" s="10"/>
      <c r="Q52" s="84"/>
      <c r="AMJ52" s="0"/>
    </row>
    <row collapsed="false" customFormat="true" customHeight="false" hidden="false" ht="12.8" outlineLevel="0" r="53" s="5">
      <c r="A53" s="5" t="s">
        <v>70</v>
      </c>
      <c r="B53" s="10"/>
      <c r="AMJ53" s="0"/>
    </row>
    <row collapsed="false" customFormat="true" customHeight="false" hidden="false" ht="92.1" outlineLevel="0" r="54" s="26">
      <c r="A54" s="5" t="s">
        <v>77</v>
      </c>
      <c r="B54" s="25" t="s">
        <v>38</v>
      </c>
      <c r="C54" s="26" t="s">
        <v>39</v>
      </c>
      <c r="D54" s="26" t="s">
        <v>150</v>
      </c>
      <c r="E54" s="26" t="s">
        <v>315</v>
      </c>
      <c r="F54" s="25" t="s">
        <v>38</v>
      </c>
      <c r="G54" s="26" t="s">
        <v>39</v>
      </c>
      <c r="H54" s="26" t="s">
        <v>150</v>
      </c>
      <c r="I54" s="25" t="s">
        <v>38</v>
      </c>
      <c r="J54" s="26" t="s">
        <v>39</v>
      </c>
      <c r="K54" s="26" t="s">
        <v>151</v>
      </c>
      <c r="L54" s="26" t="s">
        <v>79</v>
      </c>
      <c r="M54" s="26" t="s">
        <v>80</v>
      </c>
      <c r="AMI54" s="5"/>
      <c r="AMJ54" s="0"/>
    </row>
    <row collapsed="false" customFormat="true" customHeight="false" hidden="false" ht="12.8" outlineLevel="0" r="55" s="5">
      <c r="A55" s="5" t="n">
        <v>1260</v>
      </c>
      <c r="B55" s="68"/>
      <c r="C55" s="68"/>
      <c r="D55" s="0"/>
      <c r="E55" s="69"/>
      <c r="F55" s="68" t="n">
        <v>79331.359</v>
      </c>
      <c r="G55" s="68" t="n">
        <v>0.004</v>
      </c>
      <c r="H55" s="5" t="str">
        <f aca="false">A118</f>
        <v>Nave:2012:1570</v>
      </c>
      <c r="I55" s="68" t="n">
        <f aca="false">F55</f>
        <v>79331.359</v>
      </c>
      <c r="J55" s="68" t="n">
        <f aca="false">G55</f>
        <v>0.004</v>
      </c>
      <c r="K55" s="5" t="n">
        <f aca="false">H55</f>
        <v>0</v>
      </c>
      <c r="L55" s="38" t="n">
        <f aca="false">100000000/I55</f>
        <v>1260.53557206804</v>
      </c>
      <c r="M55" s="38" t="n">
        <f aca="false">J55/I55*L55</f>
        <v>6.3557997137956E-005</v>
      </c>
      <c r="AMJ55" s="0"/>
    </row>
    <row collapsed="false" customFormat="true" customHeight="false" hidden="false" ht="12.8" outlineLevel="0" r="56" s="5">
      <c r="A56" s="5" t="n">
        <v>1608</v>
      </c>
      <c r="B56" s="68"/>
      <c r="C56" s="68"/>
      <c r="E56" s="69"/>
      <c r="F56" s="68" t="n">
        <v>62171.623</v>
      </c>
      <c r="G56" s="68" t="n">
        <v>0.003</v>
      </c>
      <c r="H56" s="5" t="str">
        <f aca="false">H55</f>
        <v>Nave:2012:1570</v>
      </c>
      <c r="I56" s="68" t="n">
        <f aca="false">F56</f>
        <v>62171.623</v>
      </c>
      <c r="J56" s="68" t="n">
        <f aca="false">G56</f>
        <v>0.003</v>
      </c>
      <c r="K56" s="5" t="str">
        <f aca="false">H56</f>
        <v>Nave:2012:1570</v>
      </c>
      <c r="L56" s="38" t="n">
        <f aca="false">100000000/I56</f>
        <v>1608.45085224814</v>
      </c>
      <c r="M56" s="38" t="n">
        <f aca="false">J56/I56*L56</f>
        <v>7.76134243229329E-005</v>
      </c>
      <c r="AMJ56" s="0"/>
    </row>
    <row collapsed="false" customFormat="true" customHeight="false" hidden="false" ht="12.8" outlineLevel="0" r="57" s="5">
      <c r="A57" s="5" t="n">
        <v>1611</v>
      </c>
      <c r="B57" s="68"/>
      <c r="C57" s="68"/>
      <c r="E57" s="69"/>
      <c r="F57" s="68" t="n">
        <v>62065.527</v>
      </c>
      <c r="G57" s="68" t="n">
        <v>0.003</v>
      </c>
      <c r="H57" s="5" t="str">
        <f aca="false">H56</f>
        <v>Nave:2012:1570</v>
      </c>
      <c r="I57" s="68" t="n">
        <f aca="false">F57</f>
        <v>62065.527</v>
      </c>
      <c r="J57" s="68" t="n">
        <f aca="false">G57</f>
        <v>0.003</v>
      </c>
      <c r="K57" s="5" t="str">
        <f aca="false">H57</f>
        <v>Nave:2012:1570</v>
      </c>
      <c r="L57" s="38" t="n">
        <f aca="false">100000000/I57</f>
        <v>1611.20036892622</v>
      </c>
      <c r="M57" s="38" t="n">
        <f aca="false">J57/I57*L57</f>
        <v>7.78789988648392E-005</v>
      </c>
      <c r="AMJ57" s="0"/>
    </row>
    <row collapsed="false" customFormat="true" customHeight="false" hidden="false" ht="12.8" outlineLevel="0" r="58" s="5">
      <c r="A58" s="5" t="n">
        <v>2249</v>
      </c>
      <c r="B58" s="69"/>
      <c r="C58" s="69"/>
      <c r="E58" s="69"/>
      <c r="F58" s="69" t="n">
        <v>44446.9044</v>
      </c>
      <c r="G58" s="69" t="n">
        <v>0.0019</v>
      </c>
      <c r="H58" s="5" t="str">
        <f aca="false">H57</f>
        <v>Nave:2012:1570</v>
      </c>
      <c r="I58" s="69" t="n">
        <f aca="false">F58</f>
        <v>44446.9044</v>
      </c>
      <c r="J58" s="69" t="n">
        <f aca="false">G58</f>
        <v>0.0019</v>
      </c>
      <c r="K58" s="5" t="str">
        <f aca="false">H58</f>
        <v>Nave:2012:1570</v>
      </c>
      <c r="L58" s="38" t="n">
        <f aca="false">100000000/I58</f>
        <v>2249.87547164252</v>
      </c>
      <c r="M58" s="38" t="n">
        <f aca="false">J58/I58*L58</f>
        <v>9.61768531200744E-005</v>
      </c>
      <c r="AMJ58" s="0"/>
    </row>
    <row collapsed="false" customFormat="true" customHeight="false" hidden="false" ht="12.8" outlineLevel="0" r="59" s="5">
      <c r="A59" s="5" t="n">
        <v>2260</v>
      </c>
      <c r="B59" s="89" t="n">
        <v>44232.5344</v>
      </c>
      <c r="C59" s="69" t="n">
        <v>0.006</v>
      </c>
      <c r="D59" s="5" t="n">
        <f aca="false">A117</f>
        <v>0</v>
      </c>
      <c r="E59" s="69" t="n">
        <f aca="false">B59*(1+0.000000037)</f>
        <v>44232.5360366038</v>
      </c>
      <c r="F59" s="69" t="n">
        <v>44232.5393</v>
      </c>
      <c r="G59" s="69" t="n">
        <v>0.002</v>
      </c>
      <c r="H59" s="5" t="str">
        <f aca="false">H58</f>
        <v>Nave:2012:1570</v>
      </c>
      <c r="I59" s="69" t="n">
        <f aca="false">(E59/C59/C59+F59/G59/G59)/(1/C59/C59+1/G59/G59)</f>
        <v>44232.5389736604</v>
      </c>
      <c r="J59" s="69" t="n">
        <f aca="false">SQRT(1/(1/C59/C59+1/G59/G59))</f>
        <v>0.00189736659610103</v>
      </c>
      <c r="K59" s="5" t="s">
        <v>316</v>
      </c>
      <c r="L59" s="38" t="n">
        <f aca="false">100000000/I59</f>
        <v>2260.77910787685</v>
      </c>
      <c r="M59" s="38" t="n">
        <f aca="false">J59/I59*L59</f>
        <v>9.69767248270092E-005</v>
      </c>
      <c r="AMJ59" s="0"/>
    </row>
    <row collapsed="false" customFormat="true" customHeight="false" hidden="false" ht="12.8" outlineLevel="0" r="60" s="5">
      <c r="A60" s="5" t="n">
        <v>2344</v>
      </c>
      <c r="B60" s="80" t="n">
        <v>42658.243</v>
      </c>
      <c r="C60" s="69" t="n">
        <v>0.002</v>
      </c>
      <c r="D60" s="5" t="n">
        <f aca="false">D59</f>
        <v>0</v>
      </c>
      <c r="E60" s="69" t="n">
        <f aca="false">B60*(1+0.000000037)</f>
        <v>42658.244578355</v>
      </c>
      <c r="F60" s="69" t="n">
        <v>42658.244</v>
      </c>
      <c r="G60" s="69" t="n">
        <v>0.0019</v>
      </c>
      <c r="H60" s="5" t="str">
        <f aca="false">H59</f>
        <v>Nave:2012:1570</v>
      </c>
      <c r="I60" s="69" t="n">
        <f aca="false">(E60/C60/C60+F60/G60/G60)/(1/C60/C60+1/G60/G60)</f>
        <v>42658.2442743576</v>
      </c>
      <c r="J60" s="69" t="n">
        <f aca="false">SQRT(1/(1/C60/C60+1/G60/G60))</f>
        <v>0.00137749892382939</v>
      </c>
      <c r="K60" s="5" t="s">
        <v>316</v>
      </c>
      <c r="L60" s="38" t="n">
        <f aca="false">100000000/I60</f>
        <v>2344.21274717373</v>
      </c>
      <c r="M60" s="38" t="n">
        <f aca="false">J60/I60*L60</f>
        <v>7.56981585010995E-005</v>
      </c>
      <c r="AMJ60" s="0"/>
    </row>
    <row collapsed="false" customFormat="true" customHeight="false" hidden="false" ht="12.8" outlineLevel="0" r="61" s="5">
      <c r="A61" s="5" t="n">
        <v>2367</v>
      </c>
      <c r="B61" s="69"/>
      <c r="C61" s="69"/>
      <c r="F61" s="69" t="n">
        <v>42237.0563</v>
      </c>
      <c r="G61" s="69" t="n">
        <v>0.0019</v>
      </c>
      <c r="H61" s="5" t="str">
        <f aca="false">H60</f>
        <v>Nave:2012:1570</v>
      </c>
      <c r="I61" s="69" t="n">
        <f aca="false">F61</f>
        <v>42237.0563</v>
      </c>
      <c r="J61" s="69" t="n">
        <f aca="false">G61</f>
        <v>0.0019</v>
      </c>
      <c r="K61" s="5" t="str">
        <f aca="false">H61</f>
        <v>Nave:2012:1570</v>
      </c>
      <c r="L61" s="38" t="n">
        <f aca="false">100000000/I61</f>
        <v>2367.58923940445</v>
      </c>
      <c r="M61" s="38" t="n">
        <f aca="false">J61/I61*L61</f>
        <v>0.000106504097324331</v>
      </c>
      <c r="AMJ61" s="0"/>
    </row>
    <row collapsed="false" customFormat="true" customHeight="false" hidden="false" ht="12.8" outlineLevel="0" r="62" s="5">
      <c r="A62" s="5" t="n">
        <v>2374</v>
      </c>
      <c r="B62" s="80" t="n">
        <v>42114.8365</v>
      </c>
      <c r="C62" s="69" t="n">
        <v>0.002</v>
      </c>
      <c r="D62" s="5" t="n">
        <f aca="false">A117</f>
        <v>0</v>
      </c>
      <c r="E62" s="69" t="n">
        <f aca="false">B62*(1+0.000000037)</f>
        <v>42114.838058249</v>
      </c>
      <c r="F62" s="69" t="n">
        <v>42114.8372</v>
      </c>
      <c r="G62" s="69" t="n">
        <v>0.0019</v>
      </c>
      <c r="H62" s="5" t="n">
        <f aca="false">H61</f>
        <v>0</v>
      </c>
      <c r="I62" s="69" t="n">
        <f aca="false">(E62/C62/C62+F62/G62/G62)/(1/C62/C62+1/G62/G62)</f>
        <v>42114.8376071325</v>
      </c>
      <c r="J62" s="69" t="n">
        <f aca="false">SQRT(1/(1/C62/C62+1/G62/G62))</f>
        <v>0.00137749892382939</v>
      </c>
      <c r="K62" s="5" t="s">
        <v>316</v>
      </c>
      <c r="L62" s="38" t="n">
        <f aca="false">100000000/I62</f>
        <v>2374.46006400044</v>
      </c>
      <c r="M62" s="38" t="n">
        <f aca="false">J62/I62*L62</f>
        <v>7.76642240283153E-005</v>
      </c>
      <c r="AMJ62" s="0"/>
    </row>
    <row collapsed="false" customFormat="true" customHeight="false" hidden="false" ht="12.8" outlineLevel="0" r="63" s="5">
      <c r="A63" s="5" t="n">
        <v>2382</v>
      </c>
      <c r="B63" s="80" t="n">
        <v>41968.0654</v>
      </c>
      <c r="C63" s="69" t="n">
        <v>0.002</v>
      </c>
      <c r="D63" s="5" t="n">
        <f aca="false">D62</f>
        <v>0</v>
      </c>
      <c r="E63" s="69" t="n">
        <f aca="false">B63*(1+0.000000037)</f>
        <v>41968.0669528184</v>
      </c>
      <c r="F63" s="69" t="n">
        <v>41968.0679</v>
      </c>
      <c r="G63" s="69" t="n">
        <v>0.002</v>
      </c>
      <c r="H63" s="5" t="n">
        <f aca="false">H62</f>
        <v>0</v>
      </c>
      <c r="I63" s="69" t="n">
        <f aca="false">(E63/C63/C63+F63/G63/G63)/(1/C63/C63+1/G63/G63)</f>
        <v>41968.0674264092</v>
      </c>
      <c r="J63" s="69" t="n">
        <f aca="false">SQRT(1/(1/C63/C63+1/G63/G63))</f>
        <v>0.0014142135623731</v>
      </c>
      <c r="K63" s="5" t="s">
        <v>316</v>
      </c>
      <c r="L63" s="38" t="n">
        <f aca="false">100000000/I63</f>
        <v>2382.76399491946</v>
      </c>
      <c r="M63" s="38" t="n">
        <f aca="false">J63/I63*L63</f>
        <v>8.02928837135094E-005</v>
      </c>
      <c r="AMJ63" s="0"/>
    </row>
    <row collapsed="false" customFormat="true" customHeight="false" hidden="false" ht="12.8" outlineLevel="0" r="64" s="5">
      <c r="A64" s="5" t="n">
        <v>2586</v>
      </c>
      <c r="B64" s="80" t="n">
        <v>38660.0523</v>
      </c>
      <c r="C64" s="69" t="n">
        <v>0.002</v>
      </c>
      <c r="D64" s="5" t="n">
        <f aca="false">D63</f>
        <v>0</v>
      </c>
      <c r="E64" s="69" t="n">
        <f aca="false">B64*(1+0.000000037)</f>
        <v>38660.0537304219</v>
      </c>
      <c r="F64" s="69" t="n">
        <v>38660.0528</v>
      </c>
      <c r="G64" s="69" t="n">
        <v>0.0017</v>
      </c>
      <c r="H64" s="5" t="n">
        <f aca="false">H63</f>
        <v>0</v>
      </c>
      <c r="I64" s="69" t="n">
        <f aca="false">(E64/C64/C64+F64/G64/G64)/(1/C64/C64+1/G64/G64)</f>
        <v>38660.0531902641</v>
      </c>
      <c r="J64" s="69" t="n">
        <f aca="false">SQRT(1/(1/C64/C64+1/G64/G64))</f>
        <v>0.00129529684019108</v>
      </c>
      <c r="K64" s="5" t="s">
        <v>316</v>
      </c>
      <c r="L64" s="38" t="n">
        <f aca="false">100000000/I64</f>
        <v>2586.64931234972</v>
      </c>
      <c r="M64" s="38" t="n">
        <f aca="false">J64/I64*L64</f>
        <v>8.6665133761709E-005</v>
      </c>
      <c r="AMJ64" s="0"/>
    </row>
    <row collapsed="false" customFormat="true" customHeight="false" hidden="false" ht="12.8" outlineLevel="0" r="65" s="5">
      <c r="A65" s="5" t="n">
        <v>2600</v>
      </c>
      <c r="B65" s="80" t="n">
        <v>38458.9908</v>
      </c>
      <c r="C65" s="69" t="n">
        <v>0.002</v>
      </c>
      <c r="D65" s="5" t="n">
        <f aca="false">D64</f>
        <v>0</v>
      </c>
      <c r="E65" s="69" t="n">
        <f aca="false">B65*(1+0.000000037)</f>
        <v>38458.9922229827</v>
      </c>
      <c r="F65" s="69" t="n">
        <v>38458.9928</v>
      </c>
      <c r="G65" s="69" t="n">
        <v>0.0017</v>
      </c>
      <c r="H65" s="5" t="n">
        <f aca="false">H64</f>
        <v>0</v>
      </c>
      <c r="I65" s="69" t="n">
        <f aca="false">(E65/C65/C65+F65/G65/G65)/(1/C65/C65+1/G65/G65)</f>
        <v>38458.992557971</v>
      </c>
      <c r="J65" s="69" t="n">
        <f aca="false">SQRT(1/(1/C65/C65+1/G65/G65))</f>
        <v>0.00129529684019108</v>
      </c>
      <c r="K65" s="5" t="s">
        <v>316</v>
      </c>
      <c r="L65" s="38" t="n">
        <f aca="false">100000000/I65</f>
        <v>2600.17211447402</v>
      </c>
      <c r="M65" s="38" t="n">
        <f aca="false">J65/I65*L65</f>
        <v>8.75736596260142E-005</v>
      </c>
      <c r="AMJ65" s="0"/>
    </row>
    <row collapsed="false" customFormat="true" customHeight="false" hidden="false" ht="12.8" outlineLevel="0" r="66" s="5">
      <c r="B66" s="69"/>
      <c r="C66" s="69"/>
      <c r="E66" s="69"/>
      <c r="AMJ66" s="0"/>
    </row>
    <row collapsed="false" customFormat="true" customHeight="false" hidden="false" ht="12.8" outlineLevel="0" r="67" s="5">
      <c r="A67" s="5" t="s">
        <v>169</v>
      </c>
      <c r="B67" s="10"/>
      <c r="AMJ67" s="0"/>
    </row>
    <row collapsed="false" customFormat="false" customHeight="true" hidden="false" ht="47.35" outlineLevel="0" r="68">
      <c r="A68" s="26" t="s">
        <v>126</v>
      </c>
      <c r="B68" s="26" t="s">
        <v>170</v>
      </c>
      <c r="C68" s="90" t="s">
        <v>411</v>
      </c>
      <c r="D68" s="90"/>
      <c r="E68" s="90"/>
      <c r="F68" s="26" t="s">
        <v>38</v>
      </c>
      <c r="G68" s="26" t="s">
        <v>39</v>
      </c>
      <c r="H68" s="26" t="s">
        <v>79</v>
      </c>
      <c r="I68" s="26" t="s">
        <v>80</v>
      </c>
    </row>
    <row collapsed="false" customFormat="false" customHeight="false" hidden="false" ht="12.8" outlineLevel="0" r="69">
      <c r="A69" s="26"/>
      <c r="B69" s="26"/>
      <c r="C69" s="0" t="s">
        <v>412</v>
      </c>
      <c r="D69" s="0" t="s">
        <v>413</v>
      </c>
      <c r="E69" s="0" t="s">
        <v>414</v>
      </c>
      <c r="F69" s="26"/>
      <c r="G69" s="26"/>
      <c r="H69" s="26"/>
      <c r="I69" s="26"/>
    </row>
    <row collapsed="false" customFormat="false" customHeight="false" hidden="false" ht="12.8" outlineLevel="0" r="70">
      <c r="A70" s="0" t="n">
        <v>1608</v>
      </c>
      <c r="B70" s="22"/>
      <c r="C70" s="0" t="n">
        <v>-1022</v>
      </c>
      <c r="D70" s="0" t="n">
        <v>3074</v>
      </c>
      <c r="E70" s="0" t="n">
        <f aca="false">SUM(C70:D70)</f>
        <v>2052</v>
      </c>
      <c r="F70" s="45" t="n">
        <f aca="false">$I$56</f>
        <v>62171.623</v>
      </c>
      <c r="G70" s="45" t="n">
        <f aca="false">$J$56</f>
        <v>0.003</v>
      </c>
      <c r="H70" s="13" t="n">
        <f aca="false">100000000/F70</f>
        <v>1608.45085224814</v>
      </c>
      <c r="I70" s="13" t="n">
        <f aca="false">G70/F70*H70</f>
        <v>7.76134243229329E-005</v>
      </c>
    </row>
    <row collapsed="false" customFormat="false" customHeight="false" hidden="false" ht="12.8" outlineLevel="0" r="71">
      <c r="A71" s="0" t="n">
        <v>54</v>
      </c>
      <c r="B71" s="70" t="n">
        <f aca="false">0.05845</f>
        <v>0.05845</v>
      </c>
      <c r="F71" s="13" t="n">
        <f aca="false">F72+E70*10000000/299792458*(1/A71-1/A72)</f>
        <v>62171.6661966571</v>
      </c>
      <c r="G71" s="32"/>
      <c r="H71" s="19" t="n">
        <f aca="false">100000000/F71</f>
        <v>1608.44973470209</v>
      </c>
      <c r="I71" s="13"/>
    </row>
    <row collapsed="false" customFormat="false" customHeight="false" hidden="false" ht="12.8" outlineLevel="0" r="72">
      <c r="A72" s="0" t="n">
        <v>56</v>
      </c>
      <c r="B72" s="70" t="n">
        <f aca="false">0.91754</f>
        <v>0.91754</v>
      </c>
      <c r="F72" s="38" t="n">
        <f aca="false">F70-E70*10000000/299792458*(B71*(1/A71-1/A72)+B73*(1/A73-1/A72)+B74*(1/A74-1/A72))</f>
        <v>62171.6209272442</v>
      </c>
      <c r="G72" s="32"/>
      <c r="H72" s="19" t="n">
        <f aca="false">100000000/F72</f>
        <v>1608.4509058727</v>
      </c>
      <c r="I72" s="13"/>
    </row>
    <row collapsed="false" customFormat="false" customHeight="false" hidden="false" ht="12.8" outlineLevel="0" r="73">
      <c r="A73" s="0" t="n">
        <v>57</v>
      </c>
      <c r="B73" s="70" t="n">
        <f aca="false">0.02119</f>
        <v>0.02119</v>
      </c>
      <c r="F73" s="38" t="n">
        <f aca="false">F72+E70*10000000/299792458*(1/A73-1/A72)</f>
        <v>62171.5994838381</v>
      </c>
      <c r="G73" s="32"/>
      <c r="H73" s="19" t="n">
        <f aca="false">100000000/F73</f>
        <v>1608.45146063832</v>
      </c>
      <c r="I73" s="13"/>
    </row>
    <row collapsed="false" customFormat="false" customHeight="false" hidden="false" ht="12.8" outlineLevel="0" r="74">
      <c r="A74" s="0" t="n">
        <v>58</v>
      </c>
      <c r="B74" s="70" t="n">
        <f aca="false">0.00282</f>
        <v>0.00282</v>
      </c>
      <c r="F74" s="38" t="n">
        <f aca="false">F72+E70*10000000/299792458*(1/A74-1/A72)</f>
        <v>62171.5787798598</v>
      </c>
      <c r="G74" s="32"/>
      <c r="H74" s="19" t="n">
        <f aca="false">100000000/F74</f>
        <v>1608.45199627446</v>
      </c>
      <c r="I74" s="13"/>
    </row>
    <row collapsed="false" customFormat="false" customHeight="false" hidden="false" ht="12.8" outlineLevel="0" r="75">
      <c r="A75" s="0" t="n">
        <v>1611</v>
      </c>
      <c r="B75" s="70"/>
      <c r="C75" s="0" t="n">
        <v>-1021</v>
      </c>
      <c r="D75" s="0" t="n">
        <v>-305</v>
      </c>
      <c r="E75" s="0" t="n">
        <f aca="false">SUM(C75:D75)</f>
        <v>-1326</v>
      </c>
      <c r="F75" s="45" t="n">
        <f aca="false">$I$57</f>
        <v>62065.527</v>
      </c>
      <c r="G75" s="45" t="n">
        <f aca="false">$J$57</f>
        <v>0.003</v>
      </c>
      <c r="H75" s="13" t="n">
        <f aca="false">100000000/F75</f>
        <v>1611.20036892622</v>
      </c>
      <c r="I75" s="13" t="n">
        <f aca="false">G75/F75*H75</f>
        <v>7.78789988648392E-005</v>
      </c>
    </row>
    <row collapsed="false" customFormat="false" customHeight="false" hidden="false" ht="12.8" outlineLevel="0" r="76">
      <c r="A76" s="0" t="n">
        <v>54</v>
      </c>
      <c r="B76" s="70" t="inlineStr">
        <f aca="false">$B$71</f>
        <is>
          <t/>
        </is>
      </c>
      <c r="F76" s="13" t="n">
        <f aca="false">F77+E75*10000000/299792458*(1/A76-1/A77)</f>
        <v>62065.4990863707</v>
      </c>
      <c r="G76" s="32"/>
      <c r="H76" s="19" t="n">
        <f aca="false">100000000/F76</f>
        <v>1611.20109355504</v>
      </c>
      <c r="I76" s="13"/>
    </row>
    <row collapsed="false" customFormat="false" customHeight="false" hidden="false" ht="12.8" outlineLevel="0" r="77">
      <c r="A77" s="0" t="n">
        <v>56</v>
      </c>
      <c r="B77" s="70" t="inlineStr">
        <f aca="false">$B$72</f>
        <is>
          <t/>
        </is>
      </c>
      <c r="F77" s="38" t="n">
        <f aca="false">F75-E75*10000000/299792458*(B76*(1/A76-1/A77)+B78*(1/A78-1/A77)+B79*(1/A79-1/A77))</f>
        <v>62065.5283394124</v>
      </c>
      <c r="G77" s="32"/>
      <c r="H77" s="19" t="n">
        <f aca="false">100000000/F77</f>
        <v>1611.20033415552</v>
      </c>
      <c r="I77" s="13"/>
    </row>
    <row collapsed="false" customFormat="false" customHeight="false" hidden="false" ht="12.8" outlineLevel="0" r="78">
      <c r="A78" s="0" t="n">
        <v>57</v>
      </c>
      <c r="B78" s="70" t="inlineStr">
        <f aca="false">$B$73</f>
        <is>
          <t/>
        </is>
      </c>
      <c r="F78" s="38" t="n">
        <f aca="false">F77+E75*10000000/299792458*(1/A78-1/A77)</f>
        <v>62065.5421961163</v>
      </c>
      <c r="G78" s="32"/>
      <c r="H78" s="19" t="n">
        <f aca="false">100000000/F78</f>
        <v>1611.1999744402</v>
      </c>
      <c r="I78" s="13"/>
    </row>
    <row collapsed="false" customFormat="false" customHeight="false" hidden="false" ht="12.8" outlineLevel="0" r="79">
      <c r="A79" s="0" t="n">
        <v>58</v>
      </c>
      <c r="B79" s="70" t="inlineStr">
        <f aca="false">$B$74</f>
        <is>
          <t/>
        </is>
      </c>
      <c r="F79" s="38" t="n">
        <f aca="false">F77+E75*10000000/299792458*(1/A79-1/A77)</f>
        <v>62065.5555750029</v>
      </c>
      <c r="G79" s="32"/>
      <c r="H79" s="19" t="n">
        <f aca="false">100000000/F79</f>
        <v>1611.19962712902</v>
      </c>
      <c r="I79" s="13"/>
    </row>
    <row collapsed="false" customFormat="false" customHeight="false" hidden="false" ht="12.8" outlineLevel="0" r="80">
      <c r="A80" s="0" t="n">
        <v>2249</v>
      </c>
      <c r="B80" s="70"/>
      <c r="C80" s="0" t="n">
        <v>-731</v>
      </c>
      <c r="D80" s="0" t="n">
        <v>-728</v>
      </c>
      <c r="E80" s="0" t="n">
        <f aca="false">SUM(C80:D80)</f>
        <v>-1459</v>
      </c>
      <c r="F80" s="45" t="n">
        <f aca="false">$I$58</f>
        <v>44446.9044</v>
      </c>
      <c r="G80" s="45" t="n">
        <f aca="false">$J$58</f>
        <v>0.0019</v>
      </c>
      <c r="H80" s="13" t="n">
        <f aca="false">100000000/F80</f>
        <v>2249.87547164252</v>
      </c>
      <c r="I80" s="13" t="n">
        <f aca="false">G80/F80*H80</f>
        <v>9.61768531200744E-005</v>
      </c>
    </row>
    <row collapsed="false" customFormat="false" customHeight="false" hidden="false" ht="12.8" outlineLevel="0" r="81">
      <c r="A81" s="0" t="n">
        <v>54</v>
      </c>
      <c r="B81" s="70" t="inlineStr">
        <f aca="false">$B$71</f>
        <is>
          <t/>
        </is>
      </c>
      <c r="F81" s="13" t="n">
        <f aca="false">F82+E80*10000000/299792458*(1/A81-1/A82)</f>
        <v>44446.8736865874</v>
      </c>
      <c r="G81" s="32"/>
      <c r="H81" s="19" t="n">
        <f aca="false">100000000/F81</f>
        <v>2249.877026338</v>
      </c>
      <c r="I81" s="45"/>
    </row>
    <row collapsed="false" customFormat="false" customHeight="false" hidden="false" ht="12.8" outlineLevel="0" r="82">
      <c r="A82" s="0" t="n">
        <v>56</v>
      </c>
      <c r="B82" s="70" t="inlineStr">
        <f aca="false">$B$72</f>
        <is>
          <t/>
        </is>
      </c>
      <c r="F82" s="38" t="n">
        <f aca="false">F80-E80*10000000/299792458*(B81*(1/A81-1/A82)+B83*(1/A83-1/A82)+B84*(1/A84-1/A82))</f>
        <v>44446.9058737576</v>
      </c>
      <c r="G82" s="32"/>
      <c r="H82" s="19" t="n">
        <f aca="false">100000000/F82</f>
        <v>2249.8753970418</v>
      </c>
      <c r="I82" s="45"/>
    </row>
    <row collapsed="false" customFormat="false" customHeight="false" hidden="false" ht="12.8" outlineLevel="0" r="83">
      <c r="A83" s="0" t="n">
        <v>57</v>
      </c>
      <c r="B83" s="70" t="inlineStr">
        <f aca="false">$B$73</f>
        <is>
          <t/>
        </is>
      </c>
      <c r="F83" s="38" t="n">
        <f aca="false">F82+E80*10000000/299792458*(1/A83-1/A82)</f>
        <v>44446.921120312</v>
      </c>
      <c r="G83" s="32"/>
      <c r="H83" s="19" t="n">
        <f aca="false">100000000/F83</f>
        <v>2249.87462527074</v>
      </c>
      <c r="I83" s="45"/>
    </row>
    <row collapsed="false" customFormat="false" customHeight="false" hidden="false" ht="12.8" outlineLevel="0" r="84">
      <c r="A84" s="0" t="n">
        <v>58</v>
      </c>
      <c r="B84" s="70" t="inlineStr">
        <f aca="false">$B$74</f>
        <is>
          <t/>
        </is>
      </c>
      <c r="F84" s="38" t="n">
        <f aca="false">F82+E80*10000000/299792458*(1/A84-1/A82)</f>
        <v>44446.9358411231</v>
      </c>
      <c r="G84" s="32"/>
      <c r="H84" s="19" t="n">
        <f aca="false">100000000/F84</f>
        <v>2249.87388011297</v>
      </c>
      <c r="I84" s="45"/>
    </row>
    <row collapsed="false" customFormat="false" customHeight="false" hidden="false" ht="12.8" outlineLevel="0" r="85">
      <c r="A85" s="0" t="n">
        <v>2344</v>
      </c>
      <c r="B85" s="70"/>
      <c r="C85" s="0" t="n">
        <v>-702</v>
      </c>
      <c r="D85" s="0" t="n">
        <v>-468</v>
      </c>
      <c r="E85" s="0" t="n">
        <f aca="false">SUM(C85:D85)</f>
        <v>-1170</v>
      </c>
      <c r="F85" s="45" t="n">
        <f aca="false">$I$60</f>
        <v>42658.2442743576</v>
      </c>
      <c r="G85" s="45" t="n">
        <f aca="false">$J$60</f>
        <v>0.00137749892382939</v>
      </c>
      <c r="H85" s="13" t="n">
        <f aca="false">100000000/F85</f>
        <v>2344.21274717373</v>
      </c>
      <c r="I85" s="13" t="n">
        <f aca="false">G85/F85*H85</f>
        <v>7.56981585010995E-005</v>
      </c>
    </row>
    <row collapsed="false" customFormat="false" customHeight="false" hidden="false" ht="12.8" outlineLevel="0" r="86">
      <c r="A86" s="0" t="n">
        <v>54</v>
      </c>
      <c r="B86" s="70" t="inlineStr">
        <f aca="false">$B$71</f>
        <is>
          <t/>
        </is>
      </c>
      <c r="F86" s="13" t="n">
        <f aca="false">F87+E85*10000000/299792458*(1/A86-1/A87)</f>
        <v>42658.2196446847</v>
      </c>
      <c r="G86" s="32"/>
      <c r="H86" s="19" t="n">
        <f aca="false">100000000/F86</f>
        <v>2344.21410065716</v>
      </c>
      <c r="I86" s="45"/>
    </row>
    <row collapsed="false" customFormat="false" customHeight="false" hidden="false" ht="12.8" outlineLevel="0" r="87">
      <c r="A87" s="0" t="n">
        <v>56</v>
      </c>
      <c r="B87" s="70" t="inlineStr">
        <f aca="false">$B$72</f>
        <is>
          <t/>
        </is>
      </c>
      <c r="F87" s="38" t="n">
        <f aca="false">F85-E85*10000000/299792458*(B86*(1/A86-1/A87)+B88*(1/A88-1/A87)+B89*(1/A89-1/A87))</f>
        <v>42658.2454561921</v>
      </c>
      <c r="G87" s="32"/>
      <c r="H87" s="19" t="n">
        <f aca="false">100000000/F87</f>
        <v>2344.21268222799</v>
      </c>
      <c r="I87" s="45"/>
    </row>
    <row collapsed="false" customFormat="false" customHeight="false" hidden="false" ht="12.8" outlineLevel="0" r="88">
      <c r="A88" s="0" t="n">
        <v>57</v>
      </c>
      <c r="B88" s="70" t="inlineStr">
        <f aca="false">$B$73</f>
        <is>
          <t/>
        </is>
      </c>
      <c r="F88" s="38" t="n">
        <f aca="false">F87+E85*10000000/299792458*(1/A88-1/A87)</f>
        <v>42658.2576826956</v>
      </c>
      <c r="G88" s="32"/>
      <c r="H88" s="19" t="n">
        <f aca="false">100000000/F88</f>
        <v>2344.21201034109</v>
      </c>
      <c r="I88" s="45"/>
    </row>
    <row collapsed="false" customFormat="false" customHeight="false" hidden="false" ht="12.8" outlineLevel="0" r="89">
      <c r="A89" s="0" t="n">
        <v>58</v>
      </c>
      <c r="B89" s="70" t="inlineStr">
        <f aca="false">$B$74</f>
        <is>
          <t/>
        </is>
      </c>
      <c r="F89" s="38" t="n">
        <f aca="false">F87+E85*10000000/299792458*(1/A89-1/A87)</f>
        <v>42658.2694875955</v>
      </c>
      <c r="G89" s="32"/>
      <c r="H89" s="19" t="n">
        <f aca="false">100000000/F89</f>
        <v>2344.21136162307</v>
      </c>
      <c r="I89" s="45"/>
    </row>
    <row collapsed="false" customFormat="false" customHeight="false" hidden="false" ht="12.8" outlineLevel="0" r="90">
      <c r="A90" s="0" t="n">
        <v>2367</v>
      </c>
      <c r="B90" s="70"/>
      <c r="C90" s="0" t="n">
        <v>-695</v>
      </c>
      <c r="D90" s="0" t="n">
        <v>-762</v>
      </c>
      <c r="E90" s="0" t="n">
        <f aca="false">SUM(C90:D90)</f>
        <v>-1457</v>
      </c>
      <c r="F90" s="45" t="n">
        <f aca="false">$I$61</f>
        <v>42237.0563</v>
      </c>
      <c r="G90" s="45" t="n">
        <f aca="false">$J$61</f>
        <v>0.0019</v>
      </c>
      <c r="H90" s="13" t="n">
        <f aca="false">100000000/F90</f>
        <v>2367.58923940445</v>
      </c>
      <c r="I90" s="13" t="n">
        <f aca="false">G90/F90*H90</f>
        <v>0.000106504097324331</v>
      </c>
    </row>
    <row collapsed="false" customFormat="false" customHeight="false" hidden="false" ht="12.8" outlineLevel="0" r="91">
      <c r="A91" s="0" t="n">
        <v>54</v>
      </c>
      <c r="B91" s="70" t="inlineStr">
        <f aca="false">$B$71</f>
        <is>
          <t/>
        </is>
      </c>
      <c r="F91" s="13" t="n">
        <f aca="false">F92+E90*10000000/299792458*(1/A91-1/A92)</f>
        <v>42237.0256286894</v>
      </c>
      <c r="G91" s="32"/>
      <c r="H91" s="19" t="n">
        <f aca="false">100000000/F91</f>
        <v>2367.59095867952</v>
      </c>
      <c r="I91" s="45"/>
    </row>
    <row collapsed="false" customFormat="false" customHeight="false" hidden="false" ht="12.8" outlineLevel="0" r="92">
      <c r="A92" s="0" t="n">
        <v>56</v>
      </c>
      <c r="B92" s="70" t="inlineStr">
        <f aca="false">$B$72</f>
        <is>
          <t/>
        </is>
      </c>
      <c r="F92" s="38" t="n">
        <f aca="false">F90-E90*10000000/299792458*(B91*(1/A91-1/A92)+B93*(1/A93-1/A92)+B94*(1/A94-1/A92))</f>
        <v>42237.0577717374</v>
      </c>
      <c r="G92" s="32"/>
      <c r="H92" s="19" t="n">
        <f aca="false">100000000/F92</f>
        <v>2367.58915690653</v>
      </c>
      <c r="I92" s="45"/>
    </row>
    <row collapsed="false" customFormat="false" customHeight="false" hidden="false" ht="12.8" outlineLevel="0" r="93">
      <c r="A93" s="0" t="n">
        <v>57</v>
      </c>
      <c r="B93" s="70" t="inlineStr">
        <f aca="false">$B$73</f>
        <is>
          <t/>
        </is>
      </c>
      <c r="F93" s="38" t="n">
        <f aca="false">F92+E90*10000000/299792458*(1/A93-1/A92)</f>
        <v>42237.0729973918</v>
      </c>
      <c r="G93" s="32"/>
      <c r="H93" s="19" t="n">
        <f aca="false">100000000/F93</f>
        <v>2367.58830343607</v>
      </c>
      <c r="I93" s="45"/>
    </row>
    <row collapsed="false" customFormat="false" customHeight="false" hidden="false" ht="12.8" outlineLevel="0" r="94">
      <c r="A94" s="0" t="n">
        <v>58</v>
      </c>
      <c r="B94" s="70" t="inlineStr">
        <f aca="false">$B$74</f>
        <is>
          <t/>
        </is>
      </c>
      <c r="F94" s="38" t="n">
        <f aca="false">F92+E90*10000000/299792458*(1/A94-1/A92)</f>
        <v>42237.0876980235</v>
      </c>
      <c r="G94" s="32"/>
      <c r="H94" s="19" t="n">
        <f aca="false">100000000/F94</f>
        <v>2367.5874793962</v>
      </c>
      <c r="I94" s="45"/>
    </row>
    <row collapsed="false" customFormat="false" customHeight="false" hidden="false" ht="12.8" outlineLevel="0" r="95">
      <c r="A95" s="0" t="n">
        <v>2374</v>
      </c>
      <c r="B95" s="70"/>
      <c r="C95" s="0" t="n">
        <v>-693</v>
      </c>
      <c r="D95" s="0" t="n">
        <v>-759</v>
      </c>
      <c r="E95" s="0" t="n">
        <f aca="false">SUM(C95:D95)</f>
        <v>-1452</v>
      </c>
      <c r="F95" s="45" t="n">
        <f aca="false">$I$62</f>
        <v>42114.8376071325</v>
      </c>
      <c r="G95" s="45" t="n">
        <f aca="false">$J$62</f>
        <v>0.00137749892382939</v>
      </c>
      <c r="H95" s="13" t="n">
        <f aca="false">100000000/F95</f>
        <v>2374.46006400044</v>
      </c>
      <c r="I95" s="13" t="n">
        <f aca="false">G95/F95*H95</f>
        <v>7.76642240283153E-005</v>
      </c>
    </row>
    <row collapsed="false" customFormat="false" customHeight="false" hidden="false" ht="12.8" outlineLevel="0" r="96">
      <c r="A96" s="0" t="n">
        <v>54</v>
      </c>
      <c r="B96" s="70" t="inlineStr">
        <f aca="false">$B$71</f>
        <is>
          <t/>
        </is>
      </c>
      <c r="F96" s="13" t="n">
        <f aca="false">F97+E95*10000000/299792458*(1/A96-1/A97)</f>
        <v>42114.8070410769</v>
      </c>
      <c r="G96" s="32"/>
      <c r="H96" s="19" t="n">
        <f aca="false">100000000/F96</f>
        <v>2374.46178733443</v>
      </c>
      <c r="I96" s="45"/>
    </row>
    <row collapsed="false" customFormat="false" customHeight="false" hidden="false" ht="12.8" outlineLevel="0" r="97">
      <c r="A97" s="0" t="n">
        <v>56</v>
      </c>
      <c r="B97" s="70" t="inlineStr">
        <f aca="false">$B$72</f>
        <is>
          <t/>
        </is>
      </c>
      <c r="F97" s="38" t="n">
        <f aca="false">F95-E95*10000000/299792458*(B96*(1/A96-1/A97)+B98*(1/A98-1/A97)+B99*(1/A99-1/A97))</f>
        <v>42114.8390738194</v>
      </c>
      <c r="G97" s="32"/>
      <c r="H97" s="19" t="n">
        <f aca="false">100000000/F97</f>
        <v>2374.45998130775</v>
      </c>
      <c r="I97" s="45"/>
    </row>
    <row collapsed="false" customFormat="false" customHeight="false" hidden="false" ht="12.8" outlineLevel="0" r="98">
      <c r="A98" s="0" t="n">
        <v>57</v>
      </c>
      <c r="B98" s="70" t="inlineStr">
        <f aca="false">$B$73</f>
        <is>
          <t/>
        </is>
      </c>
      <c r="F98" s="38" t="n">
        <f aca="false">F97+E95*10000000/299792458*(1/A98-1/A97)</f>
        <v>42114.8542472237</v>
      </c>
      <c r="G98" s="32"/>
      <c r="H98" s="19" t="n">
        <f aca="false">100000000/F98</f>
        <v>2374.45912582238</v>
      </c>
      <c r="I98" s="45"/>
    </row>
    <row collapsed="false" customFormat="false" customHeight="false" hidden="false" ht="12.8" outlineLevel="0" r="99">
      <c r="A99" s="0" t="n">
        <v>58</v>
      </c>
      <c r="B99" s="70" t="inlineStr">
        <f aca="false">$B$74</f>
        <is>
          <t/>
        </is>
      </c>
      <c r="F99" s="38" t="n">
        <f aca="false">F97+E95*10000000/299792458*(1/A99-1/A97)</f>
        <v>42114.8688974072</v>
      </c>
      <c r="G99" s="32"/>
      <c r="H99" s="19" t="n">
        <f aca="false">100000000/F99</f>
        <v>2374.4582998371</v>
      </c>
      <c r="I99" s="45"/>
    </row>
    <row collapsed="false" customFormat="false" customHeight="false" hidden="false" ht="12.8" outlineLevel="0" r="100">
      <c r="A100" s="0" t="n">
        <v>2382</v>
      </c>
      <c r="B100" s="70"/>
      <c r="C100" s="0" t="n">
        <v>-690</v>
      </c>
      <c r="D100" s="0" t="n">
        <v>-753</v>
      </c>
      <c r="E100" s="0" t="n">
        <f aca="false">SUM(C100:D100)</f>
        <v>-1443</v>
      </c>
      <c r="F100" s="45" t="n">
        <f aca="false">$I$63</f>
        <v>41968.0674264092</v>
      </c>
      <c r="G100" s="45" t="n">
        <f aca="false">$J$63</f>
        <v>0.0014142135623731</v>
      </c>
      <c r="H100" s="13" t="n">
        <f aca="false">100000000/F100</f>
        <v>2382.76399491946</v>
      </c>
      <c r="I100" s="13" t="n">
        <f aca="false">G100/F100*H100</f>
        <v>8.02928837135094E-005</v>
      </c>
    </row>
    <row collapsed="false" customFormat="false" customHeight="false" hidden="false" ht="12.8" outlineLevel="0" r="101">
      <c r="A101" s="0" t="n">
        <v>54</v>
      </c>
      <c r="B101" s="70" t="inlineStr">
        <f aca="false">$B$71</f>
        <is>
          <t/>
        </is>
      </c>
      <c r="F101" s="13" t="n">
        <f aca="false">F102+E100*10000000/299792458*(1/A101-1/A102)</f>
        <v>41968.0370498126</v>
      </c>
      <c r="G101" s="32"/>
      <c r="H101" s="19" t="n">
        <f aca="false">100000000/F101</f>
        <v>2382.7657195715</v>
      </c>
      <c r="I101" s="45"/>
    </row>
    <row collapsed="false" customFormat="false" customHeight="false" hidden="false" ht="12.8" outlineLevel="0" r="102">
      <c r="A102" s="0" t="n">
        <v>56</v>
      </c>
      <c r="B102" s="70" t="inlineStr">
        <f aca="false">$B$72</f>
        <is>
          <t/>
        </is>
      </c>
      <c r="F102" s="38" t="n">
        <f aca="false">F100-E100*10000000/299792458*(B101*(1/A101-1/A102)+B103*(1/A103-1/A102)+B104*(1/A104-1/A102))</f>
        <v>41968.068884005</v>
      </c>
      <c r="G102" s="32"/>
      <c r="H102" s="19" t="n">
        <f aca="false">100000000/F102</f>
        <v>2382.76391216352</v>
      </c>
      <c r="I102" s="45"/>
    </row>
    <row collapsed="false" customFormat="false" customHeight="false" hidden="false" ht="12.8" outlineLevel="0" r="103">
      <c r="A103" s="0" t="n">
        <v>57</v>
      </c>
      <c r="B103" s="70" t="inlineStr">
        <f aca="false">$B$73</f>
        <is>
          <t/>
        </is>
      </c>
      <c r="F103" s="38" t="n">
        <f aca="false">F102+E100*10000000/299792458*(1/A103-1/A102)</f>
        <v>41968.0839633593</v>
      </c>
      <c r="G103" s="32"/>
      <c r="H103" s="19" t="n">
        <f aca="false">100000000/F103</f>
        <v>2382.76305602386</v>
      </c>
      <c r="I103" s="45"/>
    </row>
    <row collapsed="false" customFormat="false" customHeight="false" hidden="false" ht="12.8" outlineLevel="0" r="104">
      <c r="A104" s="0" t="n">
        <v>58</v>
      </c>
      <c r="B104" s="70" t="inlineStr">
        <f aca="false">$B$74</f>
        <is>
          <t/>
        </is>
      </c>
      <c r="F104" s="38" t="n">
        <f aca="false">F102+E100*10000000/299792458*(1/A104-1/A102)</f>
        <v>41968.0985227359</v>
      </c>
      <c r="G104" s="32"/>
      <c r="H104" s="19" t="n">
        <f aca="false">100000000/F104</f>
        <v>2382.76222940684</v>
      </c>
      <c r="I104" s="45"/>
    </row>
    <row collapsed="false" customFormat="false" customHeight="false" hidden="false" ht="12.8" outlineLevel="0" r="105">
      <c r="A105" s="0" t="n">
        <v>2586</v>
      </c>
      <c r="B105" s="70"/>
      <c r="C105" s="0" t="n">
        <v>-636</v>
      </c>
      <c r="D105" s="0" t="n">
        <v>-576</v>
      </c>
      <c r="E105" s="0" t="n">
        <f aca="false">SUM(C105:D105)</f>
        <v>-1212</v>
      </c>
      <c r="F105" s="45" t="n">
        <f aca="false">$I$64</f>
        <v>38660.0531902641</v>
      </c>
      <c r="G105" s="45" t="n">
        <f aca="false">$J$64</f>
        <v>0.00129529684019108</v>
      </c>
      <c r="H105" s="13" t="n">
        <f aca="false">100000000/F105</f>
        <v>2586.64931234972</v>
      </c>
      <c r="I105" s="13" t="n">
        <f aca="false">G105/F105*H105</f>
        <v>8.6665133761709E-005</v>
      </c>
    </row>
    <row collapsed="false" customFormat="false" customHeight="false" hidden="false" ht="12.8" outlineLevel="0" r="106">
      <c r="A106" s="0" t="n">
        <v>54</v>
      </c>
      <c r="B106" s="70" t="inlineStr">
        <f aca="false">$B$71</f>
        <is>
          <t/>
        </is>
      </c>
      <c r="F106" s="13" t="n">
        <f aca="false">F107+E105*10000000/299792458*(1/A106-1/A107)</f>
        <v>38660.027676449</v>
      </c>
      <c r="G106" s="32"/>
      <c r="H106" s="19" t="n">
        <f aca="false">100000000/F106</f>
        <v>2586.65101941761</v>
      </c>
      <c r="I106" s="45"/>
    </row>
    <row collapsed="false" customFormat="false" customHeight="false" hidden="false" ht="12.8" outlineLevel="0" r="107">
      <c r="A107" s="0" t="n">
        <v>56</v>
      </c>
      <c r="B107" s="70" t="inlineStr">
        <f aca="false">$B$72</f>
        <is>
          <t/>
        </is>
      </c>
      <c r="F107" s="38" t="n">
        <f aca="false">F105-E105*10000000/299792458*(B106*(1/A106-1/A107)+B108*(1/A108-1/A107)+B109*(1/A109-1/A107))</f>
        <v>38660.0544145233</v>
      </c>
      <c r="G107" s="32"/>
      <c r="H107" s="19" t="n">
        <f aca="false">100000000/F107</f>
        <v>2586.64923043754</v>
      </c>
      <c r="I107" s="45"/>
    </row>
    <row collapsed="false" customFormat="false" customHeight="false" hidden="false" ht="12.8" outlineLevel="0" r="108">
      <c r="A108" s="0" t="n">
        <v>57</v>
      </c>
      <c r="B108" s="70" t="inlineStr">
        <f aca="false">$B$73</f>
        <is>
          <t/>
        </is>
      </c>
      <c r="F108" s="38" t="n">
        <f aca="false">F107+E105*10000000/299792458*(1/A108-1/A107)</f>
        <v>38660.0670799269</v>
      </c>
      <c r="G108" s="32"/>
      <c r="H108" s="19" t="n">
        <f aca="false">100000000/F108</f>
        <v>2586.64838302678</v>
      </c>
      <c r="I108" s="45"/>
    </row>
    <row collapsed="false" customFormat="false" customHeight="false" hidden="false" ht="12.8" outlineLevel="0" r="109">
      <c r="A109" s="0" t="n">
        <v>58</v>
      </c>
      <c r="B109" s="70" t="inlineStr">
        <f aca="false">$B$74</f>
        <is>
          <t/>
        </is>
      </c>
      <c r="F109" s="38" t="n">
        <f aca="false">F107+E105*10000000/299792458*(1/A109-1/A107)</f>
        <v>38660.0793085925</v>
      </c>
      <c r="G109" s="32"/>
      <c r="H109" s="19" t="n">
        <f aca="false">100000000/F109</f>
        <v>2586.64756483762</v>
      </c>
      <c r="I109" s="45"/>
    </row>
    <row collapsed="false" customFormat="false" customHeight="false" hidden="false" ht="12.8" outlineLevel="0" r="110">
      <c r="A110" s="0" t="n">
        <v>2600</v>
      </c>
      <c r="B110" s="70"/>
      <c r="C110" s="0" t="n">
        <v>-632</v>
      </c>
      <c r="D110" s="0" t="n">
        <v>-572</v>
      </c>
      <c r="E110" s="0" t="n">
        <f aca="false">SUM(C110:D110)</f>
        <v>-1204</v>
      </c>
      <c r="F110" s="45" t="n">
        <f aca="false">$I$65</f>
        <v>38458.992557971</v>
      </c>
      <c r="G110" s="45" t="n">
        <f aca="false">$J$65</f>
        <v>0.00129529684019108</v>
      </c>
      <c r="H110" s="13" t="n">
        <f aca="false">100000000/F110</f>
        <v>2600.17211447402</v>
      </c>
      <c r="I110" s="13" t="n">
        <f aca="false">G110/F110*H110</f>
        <v>8.75736596260142E-005</v>
      </c>
    </row>
    <row collapsed="false" customFormat="false" customHeight="false" hidden="false" ht="12.8" outlineLevel="0" r="111">
      <c r="A111" s="0" t="n">
        <v>54</v>
      </c>
      <c r="B111" s="70" t="inlineStr">
        <f aca="false">$B$71</f>
        <is>
          <t/>
        </is>
      </c>
      <c r="F111" s="13" t="n">
        <f aca="false">F112+E110*10000000/299792458*(1/A111-1/A112)</f>
        <v>38458.9672125639</v>
      </c>
      <c r="G111" s="32"/>
      <c r="H111" s="19" t="n">
        <f aca="false">100000000/F111</f>
        <v>2600.17382805151</v>
      </c>
      <c r="I111" s="45"/>
    </row>
    <row collapsed="false" customFormat="false" customHeight="false" hidden="false" ht="12.8" outlineLevel="0" r="112">
      <c r="A112" s="0" t="n">
        <v>56</v>
      </c>
      <c r="B112" s="70" t="inlineStr">
        <f aca="false">$B$72</f>
        <is>
          <t/>
        </is>
      </c>
      <c r="F112" s="38" t="n">
        <f aca="false">F110-E110*10000000/299792458*(B111*(1/A111-1/A112)+B113*(1/A113-1/A112)+B114*(1/A114-1/A112))</f>
        <v>38458.9937741493</v>
      </c>
      <c r="G112" s="32"/>
      <c r="H112" s="19" t="n">
        <f aca="false">100000000/F112</f>
        <v>2600.17203224948</v>
      </c>
      <c r="I112" s="45"/>
    </row>
    <row collapsed="false" customFormat="false" customHeight="false" hidden="false" ht="12.8" outlineLevel="0" r="113">
      <c r="A113" s="0" t="n">
        <v>57</v>
      </c>
      <c r="B113" s="70" t="inlineStr">
        <f aca="false">$B$73</f>
        <is>
          <t/>
        </is>
      </c>
      <c r="F113" s="38" t="n">
        <f aca="false">F112+E110*10000000/299792458*(1/A113-1/A112)</f>
        <v>38459.0063559529</v>
      </c>
      <c r="G113" s="32"/>
      <c r="H113" s="19" t="n">
        <f aca="false">100000000/F113</f>
        <v>2600.17118160728</v>
      </c>
      <c r="I113" s="45"/>
    </row>
    <row collapsed="false" customFormat="false" customHeight="false" hidden="false" ht="12.8" outlineLevel="0" r="114">
      <c r="A114" s="0" t="n">
        <v>58</v>
      </c>
      <c r="B114" s="70" t="inlineStr">
        <f aca="false">$B$74</f>
        <is>
          <t/>
        </is>
      </c>
      <c r="F114" s="38" t="n">
        <f aca="false">F112+E110*10000000/299792458*(1/A114-1/A112)</f>
        <v>38459.0185039012</v>
      </c>
      <c r="G114" s="32"/>
      <c r="H114" s="19" t="n">
        <f aca="false">100000000/F114</f>
        <v>2600.1703602981</v>
      </c>
      <c r="I114" s="45"/>
    </row>
    <row collapsed="false" customFormat="false" customHeight="false" hidden="false" ht="12.8" outlineLevel="0" r="115">
      <c r="D115" s="13"/>
      <c r="F115" s="32"/>
    </row>
    <row collapsed="false" customFormat="false" customHeight="false" hidden="false" ht="12.8" outlineLevel="0" r="116">
      <c r="A116" s="0" t="s">
        <v>18</v>
      </c>
      <c r="F116" s="32"/>
    </row>
    <row collapsed="false" customFormat="true" customHeight="false" hidden="false" ht="13.8" outlineLevel="0" r="117" s="5">
      <c r="A117" s="5" t="s">
        <v>325</v>
      </c>
      <c r="B117" s="7" t="s">
        <v>326</v>
      </c>
    </row>
    <row collapsed="false" customFormat="true" customHeight="false" hidden="false" ht="13.8" outlineLevel="0" r="118" s="5">
      <c r="A118" s="5" t="s">
        <v>329</v>
      </c>
      <c r="B118" s="7" t="s">
        <v>330</v>
      </c>
    </row>
    <row collapsed="false" customFormat="true" customHeight="false" hidden="false" ht="13.8" outlineLevel="0" r="119" s="5">
      <c r="A119" s="0" t="s">
        <v>415</v>
      </c>
      <c r="B119" s="7" t="s">
        <v>416</v>
      </c>
    </row>
    <row collapsed="false" customFormat="false" customHeight="false" hidden="false" ht="13.8" outlineLevel="0" r="120">
      <c r="A120" s="5" t="s">
        <v>157</v>
      </c>
      <c r="B120" s="7" t="s">
        <v>158</v>
      </c>
    </row>
  </sheetData>
  <mergeCells count="1">
    <mergeCell ref="C68:E68"/>
  </mergeCells>
  <hyperlinks>
    <hyperlink display="http://adsabs.harvard.edu/abs/2009PhST..134a4008A" ref="B117" r:id="rId1"/>
    <hyperlink display="http://adsabs.harvard.edu/abs/2012MNRAS.420.1570N" ref="B118" r:id="rId2"/>
    <hyperlink display="http://adsabs.harvard.edu/abs/2009PhRvA..79c2519P" ref="B119" r:id="rId3"/>
    <hyperlink display="http://adsabs.harvard.edu/abs/1998JPCRD..27.1275R" ref="B120" r:id="rId4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N8" activeCellId="0" pane="topLeft" sqref="N8"/>
    </sheetView>
  </sheetViews>
  <cols>
    <col collapsed="false" hidden="false" max="9" min="1" style="0" width="11.5764705882353"/>
    <col collapsed="false" hidden="false" max="10" min="10" style="0" width="9.74901960784314"/>
    <col collapsed="false" hidden="false" max="11" min="11" style="0" width="9.10588235294118"/>
    <col collapsed="false" hidden="false" max="12" min="12" style="0" width="24.1137254901961"/>
    <col collapsed="false" hidden="false" max="13" min="13" style="0" width="29.4745098039216"/>
    <col collapsed="false" hidden="false" max="14" min="14" style="0" width="7.49803921568627"/>
    <col collapsed="false" hidden="false" max="15" min="15" style="0" width="9.24313725490196"/>
    <col collapsed="false" hidden="false" max="16" min="16" style="0" width="10.0470588235294"/>
    <col collapsed="false" hidden="false" max="17" min="17" style="0" width="8.16862745098039"/>
    <col collapsed="false" hidden="false" max="1025" min="18" style="0" width="11.5764705882353"/>
  </cols>
  <sheetData>
    <row collapsed="false" customFormat="true" customHeight="false" hidden="false" ht="12.8" outlineLevel="0" r="1" s="5">
      <c r="A1" s="5" t="s">
        <v>31</v>
      </c>
      <c r="B1" s="59" t="s">
        <v>193</v>
      </c>
    </row>
    <row collapsed="false" customFormat="true" customHeight="false" hidden="false" ht="12.8" outlineLevel="0" r="2" s="5">
      <c r="B2" s="10"/>
    </row>
    <row collapsed="false" customFormat="true" customHeight="false" hidden="false" ht="12.8" outlineLevel="0" r="3" s="5">
      <c r="A3" s="5" t="s">
        <v>33</v>
      </c>
      <c r="B3" s="10"/>
    </row>
    <row collapsed="false" customFormat="false" customHeight="false" hidden="false" ht="13.8" outlineLevel="0" r="4">
      <c r="A4" s="0" t="s">
        <v>34</v>
      </c>
      <c r="B4" s="0" t="s">
        <v>35</v>
      </c>
      <c r="C4" s="0" t="s">
        <v>36</v>
      </c>
      <c r="D4" s="0" t="s">
        <v>37</v>
      </c>
      <c r="E4" s="0" t="s">
        <v>38</v>
      </c>
      <c r="F4" s="0" t="s">
        <v>39</v>
      </c>
      <c r="G4" s="0" t="s">
        <v>8</v>
      </c>
      <c r="H4" s="0" t="s">
        <v>40</v>
      </c>
      <c r="I4" s="0" t="s">
        <v>41</v>
      </c>
      <c r="J4" s="0" t="s">
        <v>42</v>
      </c>
      <c r="K4" s="0" t="s">
        <v>43</v>
      </c>
      <c r="L4" s="0" t="s">
        <v>44</v>
      </c>
      <c r="M4" s="0" t="s">
        <v>45</v>
      </c>
      <c r="N4" s="0" t="s">
        <v>46</v>
      </c>
      <c r="O4" s="0" t="s">
        <v>47</v>
      </c>
      <c r="P4" s="0" t="s">
        <v>48</v>
      </c>
      <c r="Q4" s="0" t="s">
        <v>49</v>
      </c>
      <c r="R4" s="0" t="s">
        <v>50</v>
      </c>
      <c r="S4" s="0" t="s">
        <v>51</v>
      </c>
      <c r="T4" s="0" t="s">
        <v>52</v>
      </c>
    </row>
    <row collapsed="false" customFormat="false" customHeight="false" hidden="false" ht="12.8" outlineLevel="0" r="5">
      <c r="A5" s="0" t="s">
        <v>417</v>
      </c>
      <c r="B5" s="0" t="n">
        <f aca="false">A13</f>
        <v>1709</v>
      </c>
      <c r="C5" s="0" t="s">
        <v>195</v>
      </c>
      <c r="D5" s="11" t="n">
        <v>58.6934</v>
      </c>
      <c r="E5" s="11" t="n">
        <f aca="false">F13</f>
        <v>58493.0772002655</v>
      </c>
      <c r="F5" s="11" t="n">
        <f aca="false">G13</f>
        <v>0.004</v>
      </c>
      <c r="G5" s="14" t="n">
        <v>0</v>
      </c>
      <c r="H5" s="0" t="s">
        <v>418</v>
      </c>
      <c r="I5" s="45" t="n">
        <f aca="false">I13</f>
        <v>1709.60402130367</v>
      </c>
      <c r="J5" s="45" t="n">
        <f aca="false">J13</f>
        <v>0.000116909836386307</v>
      </c>
      <c r="K5" s="30" t="n">
        <f aca="false">299792458*J5/I5</f>
        <v>20.5010556701325</v>
      </c>
      <c r="L5" s="0" t="s">
        <v>419</v>
      </c>
      <c r="M5" s="0" t="s">
        <v>420</v>
      </c>
      <c r="N5" s="0" t="s">
        <v>421</v>
      </c>
      <c r="O5" s="15" t="n">
        <v>7.64</v>
      </c>
      <c r="P5" s="15" t="n">
        <v>18.17</v>
      </c>
      <c r="Q5" s="11" t="n">
        <v>0.0324</v>
      </c>
      <c r="R5" s="18" t="n">
        <v>435000000</v>
      </c>
      <c r="S5" s="14" t="n">
        <v>-20</v>
      </c>
      <c r="T5" s="14" t="n">
        <v>250</v>
      </c>
    </row>
    <row collapsed="false" customFormat="true" customHeight="false" hidden="false" ht="12.8" outlineLevel="0" r="6" s="5">
      <c r="B6" s="0" t="n">
        <f aca="false">A14</f>
        <v>1741</v>
      </c>
      <c r="C6" s="0" t="s">
        <v>195</v>
      </c>
      <c r="D6" s="11" t="n">
        <f aca="false">$D$5</f>
        <v>58.6934</v>
      </c>
      <c r="E6" s="11" t="n">
        <f aca="false">F14</f>
        <v>57420.0190865214</v>
      </c>
      <c r="F6" s="11" t="n">
        <f aca="false">G14</f>
        <v>0.004</v>
      </c>
      <c r="G6" s="5" t="n">
        <v>0</v>
      </c>
      <c r="H6" s="0" t="n">
        <f aca="false">H5</f>
        <v>0</v>
      </c>
      <c r="I6" s="45" t="n">
        <f aca="false">I14</f>
        <v>1741.55288679578</v>
      </c>
      <c r="J6" s="45" t="n">
        <f aca="false">J14</f>
        <v>0.000121320258300268</v>
      </c>
      <c r="K6" s="30" t="n">
        <f aca="false">299792458*J6/I6</f>
        <v>20.8841768267801</v>
      </c>
      <c r="M6" s="5" t="s">
        <v>422</v>
      </c>
      <c r="N6" s="5" t="s">
        <v>423</v>
      </c>
      <c r="Q6" s="69" t="n">
        <v>0.0427</v>
      </c>
      <c r="R6" s="84" t="n">
        <v>500000000</v>
      </c>
      <c r="S6" s="5" t="n">
        <v>-1400</v>
      </c>
      <c r="T6" s="5" t="n">
        <v>250</v>
      </c>
    </row>
    <row collapsed="false" customFormat="true" customHeight="false" hidden="false" ht="12.8" outlineLevel="0" r="7" s="5">
      <c r="B7" s="0" t="n">
        <f aca="false">A15</f>
        <v>1751</v>
      </c>
      <c r="C7" s="0" t="s">
        <v>195</v>
      </c>
      <c r="D7" s="11" t="n">
        <f aca="false">$D$5</f>
        <v>58.6934</v>
      </c>
      <c r="E7" s="11" t="n">
        <f aca="false">F15</f>
        <v>57080.3790505195</v>
      </c>
      <c r="F7" s="11" t="n">
        <f aca="false">G15</f>
        <v>0.004</v>
      </c>
      <c r="G7" s="5" t="n">
        <v>0</v>
      </c>
      <c r="H7" s="0" t="n">
        <f aca="false">H6</f>
        <v>0</v>
      </c>
      <c r="I7" s="45" t="n">
        <f aca="false">I15</f>
        <v>1751.91548590618</v>
      </c>
      <c r="J7" s="45" t="n">
        <f aca="false">J15</f>
        <v>0.000122768314790316</v>
      </c>
      <c r="K7" s="30" t="n">
        <f aca="false">299792458*J7/I7</f>
        <v>21.0084419891231</v>
      </c>
      <c r="M7" s="5" t="s">
        <v>424</v>
      </c>
      <c r="N7" s="5" t="s">
        <v>425</v>
      </c>
      <c r="Q7" s="69" t="n">
        <v>0.0277</v>
      </c>
      <c r="R7" s="84" t="n">
        <v>370000000</v>
      </c>
      <c r="S7" s="5" t="n">
        <v>-700</v>
      </c>
      <c r="T7" s="5" t="n">
        <v>250</v>
      </c>
    </row>
    <row collapsed="false" customFormat="true" customHeight="false" hidden="false" ht="12.8" outlineLevel="0" r="8" s="5">
      <c r="A8" s="5" t="s">
        <v>69</v>
      </c>
      <c r="B8" s="10"/>
    </row>
    <row collapsed="false" customFormat="true" customHeight="false" hidden="false" ht="12.8" outlineLevel="0" r="9" s="5">
      <c r="B9" s="10"/>
    </row>
    <row collapsed="false" customFormat="true" customHeight="false" hidden="false" ht="12.8" outlineLevel="0" r="10" s="5">
      <c r="A10" s="5" t="s">
        <v>70</v>
      </c>
      <c r="B10" s="10"/>
    </row>
    <row collapsed="false" customFormat="true" customHeight="false" hidden="false" ht="103.25" outlineLevel="0" r="11" s="26">
      <c r="A11" s="26" t="s">
        <v>77</v>
      </c>
      <c r="B11" s="25" t="s">
        <v>38</v>
      </c>
      <c r="C11" s="26" t="s">
        <v>39</v>
      </c>
      <c r="D11" s="26" t="s">
        <v>150</v>
      </c>
      <c r="E11" s="26" t="s">
        <v>346</v>
      </c>
      <c r="F11" s="25" t="s">
        <v>38</v>
      </c>
      <c r="G11" s="26" t="s">
        <v>39</v>
      </c>
      <c r="H11" s="26" t="s">
        <v>151</v>
      </c>
      <c r="I11" s="26" t="s">
        <v>79</v>
      </c>
      <c r="J11" s="26" t="s">
        <v>80</v>
      </c>
    </row>
    <row collapsed="false" customFormat="true" customHeight="false" hidden="false" ht="13.8" outlineLevel="0" r="12" s="26">
      <c r="A12" s="26" t="n">
        <v>1703</v>
      </c>
      <c r="B12" s="86" t="n">
        <f aca="false">58705.707</f>
        <v>58705.707</v>
      </c>
      <c r="C12" s="68" t="n">
        <f aca="false">0.015</f>
        <v>0.015</v>
      </c>
      <c r="D12" s="68" t="n">
        <f aca="false">A19</f>
        <v>0</v>
      </c>
      <c r="E12" s="69" t="n">
        <f aca="false">B12*(1+0.000000106)</f>
        <v>58705.713222805</v>
      </c>
      <c r="F12" s="69" t="n">
        <f aca="false">E12</f>
        <v>58705.713222805</v>
      </c>
      <c r="G12" s="69" t="n">
        <f aca="false">C12</f>
        <v>0.015</v>
      </c>
      <c r="H12" s="5" t="n">
        <f aca="false">D12</f>
        <v>0</v>
      </c>
      <c r="I12" s="44" t="n">
        <f aca="false">100000000/F12</f>
        <v>1703.41172111258</v>
      </c>
      <c r="J12" s="44" t="n">
        <f aca="false">G12/F12*I12</f>
        <v>0.000435241723743561</v>
      </c>
    </row>
    <row collapsed="false" customFormat="true" customHeight="false" hidden="false" ht="12.8" outlineLevel="0" r="13" s="5">
      <c r="A13" s="5" t="n">
        <v>1709</v>
      </c>
      <c r="B13" s="68" t="n">
        <f aca="false">58493.071</f>
        <v>58493.071</v>
      </c>
      <c r="C13" s="68" t="n">
        <f aca="false">0.004</f>
        <v>0.004</v>
      </c>
      <c r="D13" s="68" t="n">
        <f aca="false">A19</f>
        <v>0</v>
      </c>
      <c r="E13" s="69" t="n">
        <f aca="false">B13*(1+0.000000106)</f>
        <v>58493.0772002655</v>
      </c>
      <c r="F13" s="69" t="n">
        <f aca="false">E13</f>
        <v>58493.0772002655</v>
      </c>
      <c r="G13" s="69" t="n">
        <f aca="false">C13</f>
        <v>0.004</v>
      </c>
      <c r="H13" s="5" t="n">
        <f aca="false">D13</f>
        <v>0</v>
      </c>
      <c r="I13" s="44" t="n">
        <f aca="false">100000000/F13</f>
        <v>1709.60402130367</v>
      </c>
      <c r="J13" s="44" t="n">
        <f aca="false">G13/F13*I13</f>
        <v>0.000116909836386307</v>
      </c>
      <c r="AMG13" s="0"/>
      <c r="AMH13" s="0"/>
      <c r="AMI13" s="0"/>
      <c r="AMJ13" s="0"/>
    </row>
    <row collapsed="false" customFormat="true" customHeight="false" hidden="false" ht="12.8" outlineLevel="0" r="14" s="5">
      <c r="A14" s="5" t="n">
        <v>1741</v>
      </c>
      <c r="B14" s="68" t="n">
        <f aca="false">57420.013</f>
        <v>57420.013</v>
      </c>
      <c r="C14" s="68" t="n">
        <f aca="false">0.004</f>
        <v>0.004</v>
      </c>
      <c r="D14" s="68" t="n">
        <f aca="false">D13</f>
        <v>0</v>
      </c>
      <c r="E14" s="69" t="n">
        <f aca="false">B14*(1+0.000000106)</f>
        <v>57420.0190865214</v>
      </c>
      <c r="F14" s="69" t="n">
        <f aca="false">E14</f>
        <v>57420.0190865214</v>
      </c>
      <c r="G14" s="69" t="n">
        <f aca="false">C14</f>
        <v>0.004</v>
      </c>
      <c r="H14" s="5" t="n">
        <f aca="false">D14</f>
        <v>0</v>
      </c>
      <c r="I14" s="44" t="n">
        <f aca="false">100000000/F14</f>
        <v>1741.55288679578</v>
      </c>
      <c r="J14" s="44" t="n">
        <f aca="false">G14/F14*I14</f>
        <v>0.000121320258300268</v>
      </c>
      <c r="AMG14" s="0"/>
      <c r="AMH14" s="0"/>
      <c r="AMI14" s="0"/>
      <c r="AMJ14" s="0"/>
    </row>
    <row collapsed="false" customFormat="true" customHeight="false" hidden="false" ht="12.8" outlineLevel="0" r="15" s="5">
      <c r="A15" s="5" t="n">
        <v>1751</v>
      </c>
      <c r="B15" s="68" t="n">
        <f aca="false">57080.373</f>
        <v>57080.373</v>
      </c>
      <c r="C15" s="68" t="n">
        <f aca="false">0.004</f>
        <v>0.004</v>
      </c>
      <c r="D15" s="68" t="n">
        <f aca="false">D14</f>
        <v>0</v>
      </c>
      <c r="E15" s="69" t="n">
        <f aca="false">B15*(1+0.000000106)</f>
        <v>57080.3790505195</v>
      </c>
      <c r="F15" s="69" t="n">
        <f aca="false">E15</f>
        <v>57080.3790505195</v>
      </c>
      <c r="G15" s="69" t="n">
        <f aca="false">C15</f>
        <v>0.004</v>
      </c>
      <c r="H15" s="5" t="n">
        <f aca="false">D15</f>
        <v>0</v>
      </c>
      <c r="I15" s="44" t="n">
        <f aca="false">100000000/F15</f>
        <v>1751.91548590618</v>
      </c>
      <c r="J15" s="44" t="n">
        <f aca="false">G15/F15*I15</f>
        <v>0.000122768314790316</v>
      </c>
      <c r="AMG15" s="0"/>
      <c r="AMH15" s="0"/>
      <c r="AMI15" s="0"/>
      <c r="AMJ15" s="0"/>
    </row>
    <row collapsed="false" customFormat="true" customHeight="false" hidden="false" ht="12.8" outlineLevel="0" r="17" s="5">
      <c r="A17" s="5" t="s">
        <v>18</v>
      </c>
    </row>
    <row collapsed="false" customFormat="true" customHeight="false" hidden="false" ht="13.8" outlineLevel="0" r="18" s="5">
      <c r="A18" s="5" t="s">
        <v>329</v>
      </c>
      <c r="B18" s="7" t="s">
        <v>330</v>
      </c>
    </row>
    <row collapsed="false" customFormat="true" customHeight="false" hidden="false" ht="13.8" outlineLevel="0" r="19" s="5">
      <c r="A19" s="0" t="s">
        <v>350</v>
      </c>
      <c r="B19" s="7" t="s">
        <v>351</v>
      </c>
    </row>
  </sheetData>
  <hyperlinks>
    <hyperlink display="http://adsabs.harvard.edu/abs/2012MNRAS.420.1570N" ref="B18" r:id="rId1"/>
    <hyperlink display="http://adsabs.harvard.edu/abs/2000MNRAS.319..163P" ref="B19" r:id="rId2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I8" activeCellId="0" pane="topLeft" sqref="I8"/>
    </sheetView>
  </sheetViews>
  <cols>
    <col collapsed="false" hidden="false" max="1" min="1" style="0" width="14.0352941176471"/>
    <col collapsed="false" hidden="false" max="2" min="2" style="0" width="13.4588235294118"/>
    <col collapsed="false" hidden="false" max="3" min="3" style="0" width="12.7058823529412"/>
    <col collapsed="false" hidden="false" max="4" min="4" style="0" width="13.6313725490196"/>
    <col collapsed="false" hidden="false" max="5" min="5" style="0" width="12.6352941176471"/>
    <col collapsed="false" hidden="false" max="6" min="6" style="0" width="15.1411764705882"/>
    <col collapsed="false" hidden="false" max="7" min="7" style="0" width="13.0235294117647"/>
    <col collapsed="false" hidden="false" max="8" min="8" style="0" width="12.7607843137255"/>
    <col collapsed="false" hidden="false" max="9" min="9" style="0" width="12.4980392156863"/>
    <col collapsed="false" hidden="false" max="10" min="10" style="0" width="13.0235294117647"/>
    <col collapsed="false" hidden="false" max="11" min="11" style="0" width="15.2666666666667"/>
    <col collapsed="false" hidden="false" max="12" min="12" style="0" width="32.0156862745098"/>
    <col collapsed="false" hidden="false" max="13" min="13" style="0" width="31.7529411764706"/>
    <col collapsed="false" hidden="false" max="14" min="14" style="0" width="13.6588235294118"/>
    <col collapsed="false" hidden="false" max="1025" min="15" style="0" width="11.5764705882353"/>
  </cols>
  <sheetData>
    <row collapsed="false" customFormat="true" customHeight="true" hidden="false" ht="12.9" outlineLevel="0" r="1" s="5">
      <c r="A1" s="5" t="s">
        <v>31</v>
      </c>
      <c r="B1" s="59" t="s">
        <v>32</v>
      </c>
      <c r="C1" s="3"/>
    </row>
    <row collapsed="false" customFormat="true" customHeight="false" hidden="false" ht="12.8" outlineLevel="0" r="2" s="5">
      <c r="B2" s="10"/>
    </row>
    <row collapsed="false" customFormat="true" customHeight="false" hidden="false" ht="12.8" outlineLevel="0" r="3" s="5">
      <c r="A3" s="5" t="s">
        <v>33</v>
      </c>
      <c r="B3" s="10"/>
    </row>
    <row collapsed="false" customFormat="false" customHeight="false" hidden="false" ht="13.8" outlineLevel="0" r="4">
      <c r="A4" s="0" t="s">
        <v>34</v>
      </c>
      <c r="B4" s="0" t="s">
        <v>35</v>
      </c>
      <c r="C4" s="0" t="s">
        <v>36</v>
      </c>
      <c r="D4" s="0" t="s">
        <v>37</v>
      </c>
      <c r="E4" s="0" t="s">
        <v>38</v>
      </c>
      <c r="F4" s="0" t="s">
        <v>39</v>
      </c>
      <c r="G4" s="0" t="s">
        <v>8</v>
      </c>
      <c r="H4" s="0" t="s">
        <v>40</v>
      </c>
      <c r="I4" s="0" t="s">
        <v>41</v>
      </c>
      <c r="J4" s="0" t="s">
        <v>42</v>
      </c>
      <c r="K4" s="0" t="s">
        <v>43</v>
      </c>
      <c r="L4" s="0" t="s">
        <v>44</v>
      </c>
      <c r="M4" s="0" t="s">
        <v>45</v>
      </c>
      <c r="N4" s="0" t="s">
        <v>46</v>
      </c>
      <c r="O4" s="0" t="s">
        <v>47</v>
      </c>
      <c r="P4" s="0" t="s">
        <v>48</v>
      </c>
      <c r="Q4" s="0" t="s">
        <v>49</v>
      </c>
      <c r="R4" s="0" t="s">
        <v>50</v>
      </c>
      <c r="S4" s="0" t="s">
        <v>51</v>
      </c>
      <c r="T4" s="0" t="s">
        <v>52</v>
      </c>
    </row>
    <row collapsed="false" customFormat="false" customHeight="false" hidden="false" ht="13.8" outlineLevel="0" r="5">
      <c r="A5" s="0" t="s">
        <v>426</v>
      </c>
      <c r="B5" s="0" t="n">
        <f aca="false">A23</f>
        <v>2026</v>
      </c>
      <c r="C5" s="0" t="s">
        <v>54</v>
      </c>
      <c r="D5" s="15" t="n">
        <v>65.38</v>
      </c>
      <c r="E5" s="45" t="n">
        <f aca="false">E74</f>
        <v>49355.005443379</v>
      </c>
      <c r="F5" s="45" t="n">
        <f aca="false">F74</f>
        <v>0.000759284173097276</v>
      </c>
      <c r="G5" s="14" t="n">
        <v>0</v>
      </c>
      <c r="H5" s="0" t="s">
        <v>427</v>
      </c>
      <c r="I5" s="13" t="n">
        <f aca="false">G74</f>
        <v>2026.13694602307</v>
      </c>
      <c r="J5" s="13" t="n">
        <f aca="false">H74</f>
        <v>3.11703686753285E-005</v>
      </c>
      <c r="K5" s="30" t="n">
        <f aca="false">299792458*J5/I5</f>
        <v>4.61204829233518</v>
      </c>
      <c r="L5" s="0" t="s">
        <v>428</v>
      </c>
      <c r="M5" s="0" t="s">
        <v>429</v>
      </c>
      <c r="N5" s="0" t="s">
        <v>430</v>
      </c>
      <c r="O5" s="15" t="n">
        <v>9.39</v>
      </c>
      <c r="P5" s="15" t="n">
        <v>17.96</v>
      </c>
      <c r="Q5" s="32" t="n">
        <v>0.501</v>
      </c>
      <c r="R5" s="16" t="n">
        <v>407000000</v>
      </c>
      <c r="S5" s="14" t="n">
        <v>2470</v>
      </c>
      <c r="T5" s="14" t="n">
        <v>25</v>
      </c>
    </row>
    <row collapsed="false" customFormat="false" customHeight="false" hidden="false" ht="12.8" outlineLevel="0" r="6">
      <c r="C6" s="0" t="s">
        <v>143</v>
      </c>
      <c r="D6" s="14" t="s">
        <v>431</v>
      </c>
      <c r="E6" s="45" t="n">
        <f aca="false">E75</f>
        <v>49355.0526754807</v>
      </c>
      <c r="F6" s="45" t="n">
        <f aca="false">F75</f>
        <v>0.000863501745242107</v>
      </c>
      <c r="G6" s="14" t="n">
        <v>2</v>
      </c>
      <c r="H6" s="0" t="n">
        <f aca="false">K30</f>
        <v>0</v>
      </c>
      <c r="I6" s="13" t="n">
        <f aca="false">G75</f>
        <v>2026.13500703808</v>
      </c>
      <c r="J6" s="13" t="n">
        <f aca="false">H75</f>
        <v>3.54486728274264E-005</v>
      </c>
      <c r="K6" s="30" t="n">
        <f aca="false">299792458*J6/I6</f>
        <v>5.24508224913772</v>
      </c>
      <c r="O6" s="15"/>
      <c r="P6" s="15"/>
      <c r="Q6" s="22" t="n">
        <f aca="false">B75</f>
        <v>0.0062</v>
      </c>
      <c r="R6" s="18"/>
      <c r="S6" s="14"/>
      <c r="T6" s="14"/>
    </row>
    <row collapsed="false" customFormat="false" customHeight="false" hidden="false" ht="12.8" outlineLevel="0" r="7">
      <c r="C7" s="0" t="s">
        <v>143</v>
      </c>
      <c r="D7" s="14" t="s">
        <v>432</v>
      </c>
      <c r="E7" s="45" t="n">
        <f aca="false">E76</f>
        <v>49355.0337290401</v>
      </c>
      <c r="F7" s="45" t="n">
        <f aca="false">F76</f>
        <v>0.000796473639507801</v>
      </c>
      <c r="G7" s="14" t="n">
        <v>2</v>
      </c>
      <c r="H7" s="0" t="n">
        <f aca="false">K31</f>
        <v>0</v>
      </c>
      <c r="I7" s="13" t="n">
        <f aca="false">G76</f>
        <v>2026.13578483203</v>
      </c>
      <c r="J7" s="13" t="n">
        <f aca="false">H76</f>
        <v>3.2697044673128E-005</v>
      </c>
      <c r="K7" s="30" t="n">
        <f aca="false">299792458*J7/I7</f>
        <v>4.83794199049965</v>
      </c>
      <c r="O7" s="15"/>
      <c r="P7" s="15"/>
      <c r="Q7" s="22" t="n">
        <f aca="false">B76</f>
        <v>0.1875</v>
      </c>
      <c r="R7" s="18"/>
      <c r="S7" s="14"/>
      <c r="T7" s="14"/>
    </row>
    <row collapsed="false" customFormat="false" customHeight="false" hidden="false" ht="13.15" outlineLevel="0" r="8">
      <c r="C8" s="0" t="s">
        <v>58</v>
      </c>
      <c r="D8" s="14" t="s">
        <v>433</v>
      </c>
      <c r="E8" s="11" t="n">
        <f aca="false">E77</f>
        <v>49355.1572149728</v>
      </c>
      <c r="F8" s="11" t="n">
        <f aca="false">F77</f>
        <v>0.00500723953712264</v>
      </c>
      <c r="G8" s="14" t="n">
        <v>3</v>
      </c>
      <c r="H8" s="0" t="s">
        <v>434</v>
      </c>
      <c r="I8" s="45" t="n">
        <f aca="false">G77</f>
        <v>2026.13071546783</v>
      </c>
      <c r="J8" s="45" t="n">
        <f aca="false">H77</f>
        <v>0.000205557481696995</v>
      </c>
      <c r="K8" s="30" t="n">
        <f aca="false">299792458*J8/I8</f>
        <v>30.4149096737834</v>
      </c>
      <c r="L8" s="0" t="s">
        <v>63</v>
      </c>
      <c r="M8" s="0" t="s">
        <v>64</v>
      </c>
      <c r="O8" s="15"/>
      <c r="P8" s="15"/>
      <c r="Q8" s="22" t="n">
        <f aca="false">B77</f>
        <v>0.0170833333333333</v>
      </c>
      <c r="R8" s="18"/>
      <c r="S8" s="14"/>
      <c r="T8" s="14"/>
    </row>
    <row collapsed="false" customFormat="false" customHeight="false" hidden="false" ht="12.8" outlineLevel="0" r="9">
      <c r="C9" s="0" t="s">
        <v>58</v>
      </c>
      <c r="D9" s="14" t="s">
        <v>433</v>
      </c>
      <c r="E9" s="11" t="n">
        <f aca="false">E78</f>
        <v>49354.9315575282</v>
      </c>
      <c r="F9" s="11" t="n">
        <f aca="false">F78</f>
        <v>0.00184676798125977</v>
      </c>
      <c r="G9" s="14" t="n">
        <v>3</v>
      </c>
      <c r="H9" s="0" t="n">
        <f aca="false">H8</f>
        <v>0</v>
      </c>
      <c r="I9" s="13" t="n">
        <f aca="false">G78</f>
        <v>2026.13997921241</v>
      </c>
      <c r="J9" s="13" t="n">
        <f aca="false">H78</f>
        <v>7.58143172541603E-005</v>
      </c>
      <c r="K9" s="30" t="n">
        <f aca="false">299792458*J9/I9</f>
        <v>11.2176654892578</v>
      </c>
      <c r="L9" s="0" t="s">
        <v>164</v>
      </c>
      <c r="M9" s="0" t="s">
        <v>165</v>
      </c>
      <c r="O9" s="15"/>
      <c r="P9" s="15"/>
      <c r="Q9" s="22" t="n">
        <f aca="false">B78</f>
        <v>0.0239166666666667</v>
      </c>
      <c r="R9" s="18"/>
      <c r="S9" s="14"/>
      <c r="T9" s="14"/>
    </row>
    <row collapsed="false" customFormat="false" customHeight="false" hidden="false" ht="12.8" outlineLevel="0" r="10">
      <c r="C10" s="0" t="s">
        <v>143</v>
      </c>
      <c r="D10" s="14" t="s">
        <v>435</v>
      </c>
      <c r="E10" s="45" t="n">
        <f aca="false">E79</f>
        <v>49355.0113802457</v>
      </c>
      <c r="F10" s="45" t="n">
        <f aca="false">F79</f>
        <v>0.000785218350227467</v>
      </c>
      <c r="G10" s="14" t="n">
        <v>2</v>
      </c>
      <c r="H10" s="0" t="n">
        <f aca="false">K33</f>
        <v>0</v>
      </c>
      <c r="I10" s="13" t="n">
        <f aca="false">G79</f>
        <v>2026.13670230101</v>
      </c>
      <c r="J10" s="13" t="n">
        <f aca="false">H79</f>
        <v>3.22350187797323E-005</v>
      </c>
      <c r="K10" s="30" t="n">
        <f aca="false">299792458*J10/I10</f>
        <v>4.76957724652895</v>
      </c>
      <c r="O10" s="15"/>
      <c r="P10" s="15"/>
      <c r="Q10" s="22" t="n">
        <f aca="false">B79</f>
        <v>0.279</v>
      </c>
      <c r="R10" s="18"/>
      <c r="S10" s="14"/>
      <c r="T10" s="14"/>
    </row>
    <row collapsed="false" customFormat="false" customHeight="false" hidden="false" ht="12.8" outlineLevel="0" r="11">
      <c r="C11" s="0" t="s">
        <v>143</v>
      </c>
      <c r="D11" s="14" t="s">
        <v>436</v>
      </c>
      <c r="E11" s="11" t="n">
        <f aca="false">E80</f>
        <v>49354.9888313129</v>
      </c>
      <c r="F11" s="11" t="n">
        <f aca="false">F80</f>
        <v>0.00104203542126967</v>
      </c>
      <c r="G11" s="14" t="n">
        <v>2</v>
      </c>
      <c r="H11" s="0" t="n">
        <f aca="false">H10</f>
        <v>0</v>
      </c>
      <c r="I11" s="13" t="n">
        <f aca="false">G80</f>
        <v>2026.13762798698</v>
      </c>
      <c r="J11" s="13" t="n">
        <f aca="false">H80</f>
        <v>4.27779891501108E-005</v>
      </c>
      <c r="K11" s="30" t="n">
        <f aca="false">299792458*J11/I11</f>
        <v>6.3295396810485</v>
      </c>
      <c r="O11" s="15"/>
      <c r="P11" s="15"/>
      <c r="Q11" s="22" t="n">
        <f aca="false">B80</f>
        <v>0.4863</v>
      </c>
      <c r="R11" s="18"/>
      <c r="S11" s="14"/>
      <c r="T11" s="14"/>
    </row>
    <row collapsed="false" customFormat="false" customHeight="false" hidden="false" ht="12.8" outlineLevel="0" r="12">
      <c r="B12" s="0" t="n">
        <f aca="false">A24</f>
        <v>2062</v>
      </c>
      <c r="C12" s="0" t="s">
        <v>54</v>
      </c>
      <c r="D12" s="15" t="n">
        <f aca="false">$D$5</f>
        <v>65.38</v>
      </c>
      <c r="E12" s="45" t="n">
        <f aca="false">E90</f>
        <v>48481.0806965415</v>
      </c>
      <c r="F12" s="45" t="n">
        <f aca="false">F90</f>
        <v>0.000759284173097276</v>
      </c>
      <c r="G12" s="14" t="n">
        <v>0</v>
      </c>
      <c r="H12" s="0" t="n">
        <f aca="false">H5</f>
        <v>0</v>
      </c>
      <c r="I12" s="13" t="n">
        <f aca="false">G90</f>
        <v>2062.66029063856</v>
      </c>
      <c r="J12" s="13" t="n">
        <f aca="false">H90</f>
        <v>3.23042574682089E-005</v>
      </c>
      <c r="K12" s="30" t="n">
        <f aca="false">299792458*J12/I12</f>
        <v>4.69518553016843</v>
      </c>
      <c r="M12" s="0" t="s">
        <v>437</v>
      </c>
      <c r="N12" s="0" t="s">
        <v>438</v>
      </c>
      <c r="O12" s="15"/>
      <c r="P12" s="11"/>
      <c r="Q12" s="32" t="n">
        <v>0.246</v>
      </c>
      <c r="R12" s="16" t="n">
        <v>386000000</v>
      </c>
      <c r="S12" s="14" t="n">
        <v>1560</v>
      </c>
      <c r="T12" s="14" t="n">
        <v>25</v>
      </c>
    </row>
    <row collapsed="false" customFormat="false" customHeight="false" hidden="false" ht="13.8" outlineLevel="0" r="13">
      <c r="C13" s="0" t="s">
        <v>143</v>
      </c>
      <c r="D13" s="14" t="s">
        <v>431</v>
      </c>
      <c r="E13" s="45" t="n">
        <f aca="false">E91</f>
        <v>48481.1289911307</v>
      </c>
      <c r="F13" s="11"/>
      <c r="G13" s="14" t="n">
        <v>3</v>
      </c>
      <c r="H13" s="0" t="s">
        <v>439</v>
      </c>
      <c r="I13" s="13" t="n">
        <f aca="false">G91</f>
        <v>2062.65823591473</v>
      </c>
      <c r="J13" s="45"/>
      <c r="K13" s="30"/>
      <c r="O13" s="15"/>
      <c r="P13" s="15"/>
      <c r="Q13" s="22" t="n">
        <f aca="false">B91</f>
        <v>0.0062</v>
      </c>
      <c r="R13" s="18"/>
      <c r="S13" s="14"/>
      <c r="T13" s="14"/>
    </row>
    <row collapsed="false" customFormat="false" customHeight="false" hidden="false" ht="12.8" outlineLevel="0" r="14">
      <c r="C14" s="0" t="s">
        <v>143</v>
      </c>
      <c r="D14" s="14" t="s">
        <v>432</v>
      </c>
      <c r="E14" s="45" t="n">
        <f aca="false">E92</f>
        <v>48481.1096954092</v>
      </c>
      <c r="F14" s="11"/>
      <c r="G14" s="14" t="n">
        <v>3</v>
      </c>
      <c r="H14" s="0" t="n">
        <f aca="false">H13</f>
        <v>0</v>
      </c>
      <c r="I14" s="13" t="n">
        <f aca="false">G92</f>
        <v>2062.65905686291</v>
      </c>
      <c r="J14" s="45"/>
      <c r="K14" s="30"/>
      <c r="O14" s="15"/>
      <c r="P14" s="15"/>
      <c r="Q14" s="22" t="n">
        <f aca="false">B92</f>
        <v>0.1875</v>
      </c>
      <c r="R14" s="18"/>
      <c r="S14" s="14"/>
      <c r="T14" s="14"/>
    </row>
    <row collapsed="false" customFormat="false" customHeight="false" hidden="false" ht="13.8" outlineLevel="0" r="15">
      <c r="C15" s="0" t="s">
        <v>58</v>
      </c>
      <c r="D15" s="14" t="s">
        <v>433</v>
      </c>
      <c r="E15" s="45" t="n">
        <f aca="false">E93</f>
        <v>48481.2481235996</v>
      </c>
      <c r="F15" s="11"/>
      <c r="G15" s="14" t="n">
        <v>3</v>
      </c>
      <c r="H15" s="0" t="s">
        <v>440</v>
      </c>
      <c r="I15" s="13" t="n">
        <f aca="false">G93</f>
        <v>2062.65316736601</v>
      </c>
      <c r="J15" s="45"/>
      <c r="K15" s="30"/>
      <c r="L15" s="0" t="s">
        <v>63</v>
      </c>
      <c r="M15" s="0" t="s">
        <v>167</v>
      </c>
      <c r="O15" s="15"/>
      <c r="P15" s="15"/>
      <c r="Q15" s="22" t="n">
        <f aca="false">B93</f>
        <v>0.0170833333333333</v>
      </c>
      <c r="R15" s="18"/>
      <c r="S15" s="14"/>
      <c r="T15" s="14"/>
    </row>
    <row collapsed="false" customFormat="false" customHeight="false" hidden="false" ht="12.8" outlineLevel="0" r="16">
      <c r="C16" s="0" t="s">
        <v>58</v>
      </c>
      <c r="D16" s="14" t="s">
        <v>433</v>
      </c>
      <c r="E16" s="45" t="n">
        <f aca="false">E94</f>
        <v>48480.99643548</v>
      </c>
      <c r="F16" s="11"/>
      <c r="G16" s="14" t="n">
        <v>3</v>
      </c>
      <c r="H16" s="0" t="n">
        <f aca="false">H15</f>
        <v>0</v>
      </c>
      <c r="I16" s="13" t="n">
        <f aca="false">G94</f>
        <v>2062.66387558851</v>
      </c>
      <c r="J16" s="45"/>
      <c r="K16" s="30"/>
      <c r="L16" s="0" t="s">
        <v>164</v>
      </c>
      <c r="M16" s="0" t="s">
        <v>167</v>
      </c>
      <c r="O16" s="15"/>
      <c r="P16" s="15"/>
      <c r="Q16" s="22" t="n">
        <f aca="false">B94</f>
        <v>0.0239166666666667</v>
      </c>
      <c r="R16" s="18"/>
      <c r="S16" s="14"/>
      <c r="T16" s="14"/>
    </row>
    <row collapsed="false" customFormat="false" customHeight="false" hidden="false" ht="12.8" outlineLevel="0" r="17">
      <c r="C17" s="0" t="s">
        <v>143</v>
      </c>
      <c r="D17" s="14" t="s">
        <v>435</v>
      </c>
      <c r="E17" s="45" t="n">
        <f aca="false">E95</f>
        <v>48481.0868548694</v>
      </c>
      <c r="F17" s="11"/>
      <c r="G17" s="0" t="n">
        <v>3</v>
      </c>
      <c r="H17" s="0" t="n">
        <f aca="false">H14</f>
        <v>0</v>
      </c>
      <c r="I17" s="13" t="n">
        <f aca="false">G95</f>
        <v>2062.66002862838</v>
      </c>
      <c r="J17" s="45"/>
      <c r="K17" s="30"/>
      <c r="Q17" s="22" t="n">
        <f aca="false">B95</f>
        <v>0.279</v>
      </c>
    </row>
    <row collapsed="false" customFormat="true" customHeight="false" hidden="false" ht="12.8" outlineLevel="0" r="18" s="5">
      <c r="B18" s="10"/>
      <c r="C18" s="0" t="s">
        <v>143</v>
      </c>
      <c r="D18" s="14" t="s">
        <v>436</v>
      </c>
      <c r="E18" s="45" t="n">
        <f aca="false">E96</f>
        <v>48481.0636291836</v>
      </c>
      <c r="F18" s="11"/>
      <c r="G18" s="5" t="n">
        <v>3</v>
      </c>
      <c r="H18" s="0" t="n">
        <f aca="false">H17</f>
        <v>0</v>
      </c>
      <c r="I18" s="13" t="n">
        <f aca="false">G96</f>
        <v>2062.66101678108</v>
      </c>
      <c r="J18" s="45"/>
      <c r="K18" s="30"/>
      <c r="Q18" s="22" t="n">
        <f aca="false">B96</f>
        <v>0.4863</v>
      </c>
    </row>
    <row collapsed="false" customFormat="false" customHeight="false" hidden="false" ht="12.8" outlineLevel="0" r="19">
      <c r="A19" s="0" t="s">
        <v>69</v>
      </c>
      <c r="C19" s="14"/>
      <c r="D19" s="19"/>
      <c r="E19" s="19"/>
      <c r="F19" s="14"/>
      <c r="H19" s="20"/>
      <c r="I19" s="20"/>
      <c r="J19" s="21"/>
      <c r="N19" s="15"/>
      <c r="O19" s="15"/>
      <c r="P19" s="22"/>
      <c r="Q19" s="18"/>
      <c r="R19" s="14"/>
      <c r="S19" s="14"/>
    </row>
    <row collapsed="false" customFormat="true" customHeight="false" hidden="false" ht="12.8" outlineLevel="0" r="20" s="5">
      <c r="B20" s="10"/>
    </row>
    <row collapsed="false" customFormat="true" customHeight="false" hidden="false" ht="12.8" outlineLevel="0" r="21" s="5">
      <c r="A21" s="5" t="s">
        <v>70</v>
      </c>
      <c r="B21" s="10"/>
    </row>
    <row collapsed="false" customFormat="true" customHeight="false" hidden="false" ht="92.1" outlineLevel="0" r="22" s="26">
      <c r="A22" s="5" t="s">
        <v>77</v>
      </c>
      <c r="B22" s="25" t="s">
        <v>38</v>
      </c>
      <c r="C22" s="26" t="s">
        <v>39</v>
      </c>
      <c r="D22" s="26" t="s">
        <v>150</v>
      </c>
      <c r="E22" s="26" t="s">
        <v>315</v>
      </c>
      <c r="F22" s="25" t="s">
        <v>38</v>
      </c>
      <c r="G22" s="26" t="s">
        <v>39</v>
      </c>
      <c r="H22" s="26" t="s">
        <v>150</v>
      </c>
      <c r="I22" s="26" t="s">
        <v>346</v>
      </c>
      <c r="J22" s="25" t="s">
        <v>38</v>
      </c>
      <c r="K22" s="26" t="s">
        <v>39</v>
      </c>
      <c r="L22" s="26" t="s">
        <v>150</v>
      </c>
      <c r="M22" s="25" t="s">
        <v>38</v>
      </c>
      <c r="N22" s="26" t="s">
        <v>39</v>
      </c>
      <c r="O22" s="26" t="s">
        <v>151</v>
      </c>
      <c r="P22" s="26" t="s">
        <v>79</v>
      </c>
      <c r="Q22" s="26" t="s">
        <v>80</v>
      </c>
    </row>
    <row collapsed="false" customFormat="true" customHeight="false" hidden="false" ht="12.8" outlineLevel="0" r="23" s="5">
      <c r="A23" s="5" t="n">
        <v>2026</v>
      </c>
      <c r="B23" s="69" t="n">
        <f aca="false">49355.0055</f>
        <v>49355.0055</v>
      </c>
      <c r="C23" s="69" t="n">
        <f aca="false">0.002</f>
        <v>0.002</v>
      </c>
      <c r="D23" s="5" t="n">
        <f aca="false">A99</f>
        <v>0</v>
      </c>
      <c r="E23" s="69" t="n">
        <f aca="false">B23*(1+0.000000037)</f>
        <v>49355.0073261352</v>
      </c>
      <c r="F23" s="68" t="n">
        <f aca="false">49355.002</f>
        <v>49355.002</v>
      </c>
      <c r="G23" s="68" t="n">
        <f aca="false">0.002</f>
        <v>0.002</v>
      </c>
      <c r="H23" s="68" t="n">
        <f aca="false">A104</f>
        <v>0</v>
      </c>
      <c r="I23" s="69" t="n">
        <f aca="false">F23*(1+0.000000106)</f>
        <v>49355.0072316302</v>
      </c>
      <c r="J23" s="69" t="n">
        <f aca="false">49355.0047</f>
        <v>49355.0047</v>
      </c>
      <c r="K23" s="69" t="n">
        <f aca="false">0.0009</f>
        <v>0.0009</v>
      </c>
      <c r="L23" s="68" t="n">
        <f aca="false">A107</f>
        <v>0</v>
      </c>
      <c r="M23" s="44" t="n">
        <f aca="false">(E23/C23/C23+I23/G23/G23+J23/K23/K23)/(1/C23/C23+1/G23/G23+1/K23/K23)</f>
        <v>49355.005443379</v>
      </c>
      <c r="N23" s="44" t="n">
        <f aca="false">SQRT(1/(1/C23/C23+1/G23/G23+1/K23/K23))</f>
        <v>0.000759284173097276</v>
      </c>
      <c r="O23" s="5" t="s">
        <v>316</v>
      </c>
      <c r="P23" s="38" t="n">
        <f aca="false">100000000/M23</f>
        <v>2026.13694602307</v>
      </c>
      <c r="Q23" s="38" t="n">
        <f aca="false">N23/M23*P23</f>
        <v>3.11703686753285E-005</v>
      </c>
    </row>
    <row collapsed="false" customFormat="true" customHeight="false" hidden="false" ht="12.8" outlineLevel="0" r="24" s="5">
      <c r="A24" s="5" t="n">
        <v>2062</v>
      </c>
      <c r="B24" s="69" t="n">
        <f aca="false">48481.0809</f>
        <v>48481.0809</v>
      </c>
      <c r="C24" s="69" t="n">
        <f aca="false">0.002</f>
        <v>0.002</v>
      </c>
      <c r="D24" s="5" t="n">
        <f aca="false">D23</f>
        <v>0</v>
      </c>
      <c r="E24" s="69" t="n">
        <f aca="false">B24*(1+0.000000037)</f>
        <v>48481.0826938</v>
      </c>
      <c r="F24" s="68" t="n">
        <f aca="false">48481.077</f>
        <v>48481.077</v>
      </c>
      <c r="G24" s="68" t="n">
        <f aca="false">0.002</f>
        <v>0.002</v>
      </c>
      <c r="H24" s="68" t="n">
        <f aca="false">H23</f>
        <v>0</v>
      </c>
      <c r="I24" s="69" t="n">
        <f aca="false">F24*(1+0.000000106)</f>
        <v>48481.0821389942</v>
      </c>
      <c r="J24" s="69" t="n">
        <f aca="false">48481.08</f>
        <v>48481.08</v>
      </c>
      <c r="K24" s="69" t="n">
        <f aca="false">0.0009</f>
        <v>0.0009</v>
      </c>
      <c r="L24" s="68" t="n">
        <f aca="false">L23</f>
        <v>0</v>
      </c>
      <c r="M24" s="44" t="n">
        <f aca="false">(E24/C24/C24+I24/G24/G24+J24/K24/K24)/(1/C24/C24+1/G24/G24+1/K24/K24)</f>
        <v>48481.0806965415</v>
      </c>
      <c r="N24" s="44" t="n">
        <f aca="false">SQRT(1/(1/C24/C24+1/G24/G24+1/K24/K24))</f>
        <v>0.000759284173097276</v>
      </c>
      <c r="O24" s="5" t="s">
        <v>316</v>
      </c>
      <c r="P24" s="38" t="n">
        <f aca="false">100000000/M24</f>
        <v>2062.66029063856</v>
      </c>
      <c r="Q24" s="38" t="n">
        <f aca="false">N24/M24*P24</f>
        <v>3.23042574682089E-005</v>
      </c>
    </row>
    <row collapsed="false" customFormat="true" customHeight="false" hidden="false" ht="12.8" outlineLevel="0" r="25" s="5">
      <c r="B25" s="69"/>
      <c r="C25" s="69"/>
      <c r="D25" s="69"/>
      <c r="M25" s="44"/>
      <c r="N25" s="44"/>
    </row>
    <row collapsed="false" customFormat="true" customHeight="false" hidden="false" ht="12.8" outlineLevel="0" r="26" s="5">
      <c r="A26" s="5" t="s">
        <v>169</v>
      </c>
      <c r="B26" s="10"/>
      <c r="M26" s="44"/>
      <c r="N26" s="44"/>
    </row>
    <row collapsed="false" customFormat="true" customHeight="true" hidden="false" ht="36" outlineLevel="0" r="27" s="5">
      <c r="B27" s="10"/>
      <c r="C27" s="24" t="s">
        <v>441</v>
      </c>
      <c r="D27" s="24"/>
      <c r="E27" s="24"/>
      <c r="F27" s="24"/>
      <c r="G27" s="24"/>
      <c r="H27" s="24"/>
      <c r="M27" s="44"/>
      <c r="N27" s="44"/>
    </row>
    <row collapsed="false" customFormat="true" customHeight="false" hidden="false" ht="47.35" outlineLevel="0" r="28" s="26">
      <c r="A28" s="26" t="s">
        <v>126</v>
      </c>
      <c r="B28" s="26" t="s">
        <v>170</v>
      </c>
      <c r="C28" s="26" t="s">
        <v>217</v>
      </c>
      <c r="D28" s="26" t="s">
        <v>218</v>
      </c>
      <c r="E28" s="26" t="s">
        <v>442</v>
      </c>
      <c r="F28" s="26" t="s">
        <v>219</v>
      </c>
      <c r="G28" s="26" t="s">
        <v>443</v>
      </c>
      <c r="H28" s="26" t="s">
        <v>444</v>
      </c>
      <c r="I28" s="60" t="s">
        <v>171</v>
      </c>
      <c r="J28" s="26" t="s">
        <v>172</v>
      </c>
      <c r="K28" s="26" t="s">
        <v>93</v>
      </c>
      <c r="L28" s="26" t="s">
        <v>38</v>
      </c>
      <c r="M28" s="26" t="s">
        <v>39</v>
      </c>
      <c r="N28" s="26" t="s">
        <v>79</v>
      </c>
      <c r="O28" s="26" t="s">
        <v>80</v>
      </c>
      <c r="U28" s="5"/>
    </row>
    <row collapsed="false" customFormat="true" customHeight="false" hidden="false" ht="12.8" outlineLevel="0" r="29" s="8">
      <c r="A29" s="0" t="n">
        <v>2026</v>
      </c>
      <c r="B29" s="22"/>
      <c r="C29" s="78" t="n">
        <f aca="false">-M23*299792458/10000000/1822.888</f>
        <v>-811.693225062317</v>
      </c>
      <c r="D29" s="78" t="n">
        <f aca="false">INT(D31)</f>
        <v>-1365</v>
      </c>
      <c r="E29" s="78" t="n">
        <v>20</v>
      </c>
      <c r="F29" s="78" t="n">
        <f aca="false">SUM(C29:D29)</f>
        <v>-2176.69322506232</v>
      </c>
      <c r="G29" s="5"/>
      <c r="H29" s="5"/>
      <c r="I29" s="5"/>
      <c r="J29" s="5"/>
      <c r="K29" s="61"/>
      <c r="L29" s="45" t="n">
        <f aca="false">M23</f>
        <v>49355.005443379</v>
      </c>
      <c r="M29" s="45" t="n">
        <f aca="false">N23</f>
        <v>0.000759284173097276</v>
      </c>
      <c r="N29" s="13" t="n">
        <f aca="false">100000000/L29</f>
        <v>2026.13694602307</v>
      </c>
      <c r="O29" s="13" t="n">
        <f aca="false">M29/L29*N29</f>
        <v>3.11703686753285E-005</v>
      </c>
      <c r="P29" s="52"/>
      <c r="Q29" s="52"/>
      <c r="R29" s="52"/>
      <c r="S29" s="52"/>
      <c r="T29" s="52"/>
    </row>
    <row collapsed="false" customFormat="true" customHeight="false" hidden="false" ht="12.8" outlineLevel="0" r="30" s="8">
      <c r="A30" s="0" t="n">
        <v>70</v>
      </c>
      <c r="B30" s="22" t="n">
        <f aca="false">0.0062</f>
        <v>0.0062</v>
      </c>
      <c r="C30" s="78"/>
      <c r="D30" s="78" t="n">
        <f aca="false">(0.568-(G30-G31)/1000)/(1/$A30-1/$A$31)-$C$29</f>
        <v>-1373.14677493768</v>
      </c>
      <c r="E30" s="78"/>
      <c r="F30" s="78"/>
      <c r="G30" s="78" t="n">
        <f aca="false">G31-350</f>
        <v>-1000</v>
      </c>
      <c r="H30" s="78"/>
      <c r="I30" s="78" t="n">
        <f aca="false">568+I31</f>
        <v>1914</v>
      </c>
      <c r="J30" s="78" t="n">
        <f aca="false">SQRT(10*10+J31*J31)</f>
        <v>12.328828005938</v>
      </c>
      <c r="K30" s="61" t="str">
        <f aca="false">A105</f>
        <v>Matsubara:2003:209</v>
      </c>
      <c r="L30" s="13" t="n">
        <f aca="false">$L$34+10000/299792458*I30</f>
        <v>49355.0526754807</v>
      </c>
      <c r="M30" s="0"/>
      <c r="N30" s="19" t="n">
        <f aca="false">100000000/L30</f>
        <v>2026.13500703808</v>
      </c>
      <c r="O30" s="0"/>
      <c r="P30" s="52"/>
      <c r="Q30" s="52"/>
      <c r="R30" s="52"/>
      <c r="S30" s="52"/>
      <c r="T30" s="52"/>
    </row>
    <row collapsed="false" customFormat="true" customHeight="false" hidden="false" ht="12.8" outlineLevel="0" r="31" s="8">
      <c r="A31" s="0" t="n">
        <v>68</v>
      </c>
      <c r="B31" s="22" t="n">
        <f aca="false">0.1875</f>
        <v>0.1875</v>
      </c>
      <c r="C31" s="78"/>
      <c r="D31" s="78" t="n">
        <f aca="false">(0.67-(G31-G33)/1000)/(1/$A31-1/$A$33)-$C$29</f>
        <v>-1364.98677493768</v>
      </c>
      <c r="E31" s="78"/>
      <c r="F31" s="78"/>
      <c r="G31" s="78" t="n">
        <f aca="false">G33-300</f>
        <v>-650</v>
      </c>
      <c r="H31" s="78"/>
      <c r="I31" s="78" t="n">
        <f aca="false">670+I33</f>
        <v>1346</v>
      </c>
      <c r="J31" s="78" t="n">
        <f aca="false">SQRT(4*4+J33*J33)</f>
        <v>7.21110255092798</v>
      </c>
      <c r="K31" s="61" t="str">
        <f aca="false">A105</f>
        <v>Matsubara:2003:209</v>
      </c>
      <c r="L31" s="13" t="n">
        <f aca="false">$L$34+10000/299792458*I31</f>
        <v>49355.0337290401</v>
      </c>
      <c r="M31" s="0"/>
      <c r="N31" s="19" t="n">
        <f aca="false">100000000/L31</f>
        <v>2026.13578483203</v>
      </c>
      <c r="O31" s="0"/>
      <c r="P31" s="52"/>
      <c r="Q31" s="52"/>
      <c r="R31" s="52"/>
      <c r="S31" s="52"/>
      <c r="T31" s="52"/>
    </row>
    <row collapsed="false" customFormat="true" customHeight="false" hidden="false" ht="13.8" outlineLevel="0" r="32" s="8">
      <c r="A32" s="0" t="n">
        <v>67</v>
      </c>
      <c r="B32" s="22" t="n">
        <f aca="false">0.041</f>
        <v>0.041</v>
      </c>
      <c r="C32" s="78"/>
      <c r="D32" s="78"/>
      <c r="E32" s="78"/>
      <c r="F32" s="78"/>
      <c r="G32" s="78" t="n">
        <f aca="false">-350*0.19</f>
        <v>-66.5</v>
      </c>
      <c r="H32" s="78" t="n">
        <f aca="false">350*0.09</f>
        <v>31.5</v>
      </c>
      <c r="I32" s="78" t="n">
        <f aca="false">I33+1000*F29*(1/A32-1/A33)+G32</f>
        <v>1101.74179671242</v>
      </c>
      <c r="J32" s="78" t="n">
        <f aca="false">SQRT(J33*J33+1000*E29*(1/A32-1/A33)*1000*E29*(1/A32-1/A33)+H32*H32)</f>
        <v>32.3837317919804</v>
      </c>
      <c r="K32" s="0" t="s">
        <v>445</v>
      </c>
      <c r="L32" s="13" t="n">
        <f aca="false">$L$34+10000/299792458*I32</f>
        <v>49355.0255814634</v>
      </c>
      <c r="M32" s="0"/>
      <c r="N32" s="19" t="n">
        <f aca="false">100000000/L32</f>
        <v>2026.13611930854</v>
      </c>
      <c r="O32" s="0"/>
      <c r="P32" s="52"/>
      <c r="Q32" s="52"/>
      <c r="R32" s="52"/>
      <c r="S32" s="52"/>
      <c r="T32" s="52"/>
    </row>
    <row collapsed="false" customFormat="true" customHeight="false" hidden="false" ht="12.8" outlineLevel="0" r="33" s="8">
      <c r="A33" s="0" t="n">
        <v>66</v>
      </c>
      <c r="B33" s="22" t="n">
        <f aca="false">0.279</f>
        <v>0.279</v>
      </c>
      <c r="C33" s="78"/>
      <c r="D33" s="78" t="n">
        <f aca="false">(0.676-G33/1000)/(1/$A33-1/$A$34)-$C$29</f>
        <v>-1355.21877493769</v>
      </c>
      <c r="E33" s="78"/>
      <c r="F33" s="78"/>
      <c r="G33" s="78" t="n">
        <v>-350</v>
      </c>
      <c r="H33" s="78"/>
      <c r="I33" s="78" t="n">
        <v>676</v>
      </c>
      <c r="J33" s="78" t="n">
        <v>6</v>
      </c>
      <c r="K33" s="61" t="str">
        <f aca="false">A105</f>
        <v>Matsubara:2003:209</v>
      </c>
      <c r="L33" s="13" t="n">
        <f aca="false">$L$34+10000/299792458*I33</f>
        <v>49355.0113802457</v>
      </c>
      <c r="M33" s="0"/>
      <c r="N33" s="19" t="n">
        <f aca="false">100000000/L33</f>
        <v>2026.13670230101</v>
      </c>
      <c r="O33" s="0"/>
      <c r="P33" s="52"/>
      <c r="Q33" s="52"/>
      <c r="R33" s="52"/>
      <c r="S33" s="52"/>
      <c r="T33" s="52"/>
    </row>
    <row collapsed="false" customFormat="true" customHeight="false" hidden="false" ht="12.8" outlineLevel="0" r="34" s="8">
      <c r="A34" s="0" t="n">
        <v>64</v>
      </c>
      <c r="B34" s="22" t="n">
        <f aca="false">0.4863</f>
        <v>0.4863</v>
      </c>
      <c r="C34" s="78"/>
      <c r="D34" s="78"/>
      <c r="E34" s="78"/>
      <c r="F34" s="78"/>
      <c r="G34" s="78"/>
      <c r="H34" s="78"/>
      <c r="I34" s="78" t="n">
        <v>0</v>
      </c>
      <c r="J34" s="78" t="n">
        <v>0</v>
      </c>
      <c r="K34" s="61"/>
      <c r="L34" s="13" t="n">
        <f aca="false">L29-10000/299792458*SUMPRODUCT(B30:B33,I30:I33)</f>
        <v>49354.9888313129</v>
      </c>
      <c r="M34" s="0"/>
      <c r="N34" s="19" t="n">
        <f aca="false">100000000/L34</f>
        <v>2026.13762798698</v>
      </c>
      <c r="O34" s="0"/>
      <c r="P34" s="52"/>
      <c r="Q34" s="52"/>
      <c r="R34" s="52"/>
      <c r="S34" s="52"/>
      <c r="T34" s="52"/>
    </row>
    <row collapsed="false" customFormat="true" customHeight="false" hidden="false" ht="12.8" outlineLevel="0" r="35" s="8">
      <c r="A35" s="0" t="n">
        <v>2062</v>
      </c>
      <c r="B35" s="22"/>
      <c r="C35" s="78" t="n">
        <f aca="false">-M24*299792458/10000000/1822.888</f>
        <v>-797.320644412193</v>
      </c>
      <c r="D35" s="78" t="n">
        <f aca="false">D29/(-1266)*-1310</f>
        <v>-1412.44075829384</v>
      </c>
      <c r="E35" s="78" t="n">
        <f aca="false">D29/(-1266)*69</f>
        <v>74.3957345971564</v>
      </c>
      <c r="F35" s="78" t="n">
        <f aca="false">SUM(C35:D35)</f>
        <v>-2209.76140270603</v>
      </c>
      <c r="G35" s="78"/>
      <c r="H35" s="78"/>
      <c r="I35" s="78"/>
      <c r="J35" s="78"/>
      <c r="K35" s="61"/>
      <c r="L35" s="45" t="n">
        <f aca="false">M24</f>
        <v>48481.0806965415</v>
      </c>
      <c r="M35" s="45" t="n">
        <f aca="false">N24</f>
        <v>0.000759284173097276</v>
      </c>
      <c r="N35" s="13" t="n">
        <f aca="false">100000000/L35</f>
        <v>2062.66029063856</v>
      </c>
      <c r="O35" s="13" t="n">
        <f aca="false">M35/L35*N35</f>
        <v>3.23042574682089E-005</v>
      </c>
      <c r="P35" s="52"/>
      <c r="Q35" s="52"/>
      <c r="R35" s="52"/>
      <c r="S35" s="52"/>
      <c r="T35" s="52"/>
    </row>
    <row collapsed="false" customFormat="true" customHeight="false" hidden="false" ht="12.8" outlineLevel="0" r="36" s="8">
      <c r="A36" s="0" t="n">
        <v>70</v>
      </c>
      <c r="B36" s="22" t="inlineStr">
        <f aca="false">B30</f>
        <is>
          <t/>
        </is>
      </c>
      <c r="C36" s="78"/>
      <c r="D36" s="78"/>
      <c r="E36" s="78"/>
      <c r="F36" s="78"/>
      <c r="G36" s="78" t="n">
        <f aca="false">G30</f>
        <v>-1000</v>
      </c>
      <c r="H36" s="78"/>
      <c r="I36" s="78" t="n">
        <f aca="false">1000*$F$35*(1/A36-1/$A$40)+G36</f>
        <v>1959.50187862415</v>
      </c>
      <c r="J36" s="78"/>
      <c r="K36" s="0" t="s">
        <v>446</v>
      </c>
      <c r="L36" s="13" t="n">
        <f aca="false">$L$40+10000/299792458*I36</f>
        <v>48481.1289911307</v>
      </c>
      <c r="M36" s="0"/>
      <c r="N36" s="19" t="n">
        <f aca="false">100000000/L36</f>
        <v>2062.65823591473</v>
      </c>
      <c r="O36" s="0"/>
      <c r="P36" s="52"/>
      <c r="Q36" s="52"/>
      <c r="R36" s="52"/>
      <c r="S36" s="52"/>
      <c r="T36" s="52"/>
    </row>
    <row collapsed="false" customFormat="true" customHeight="false" hidden="false" ht="12.8" outlineLevel="0" r="37" s="8">
      <c r="A37" s="0" t="n">
        <v>68</v>
      </c>
      <c r="B37" s="22" t="inlineStr">
        <f aca="false">B31</f>
        <is>
          <t/>
        </is>
      </c>
      <c r="C37" s="78"/>
      <c r="D37" s="78"/>
      <c r="E37" s="78"/>
      <c r="F37" s="78"/>
      <c r="G37" s="78" t="n">
        <f aca="false">G31</f>
        <v>-650</v>
      </c>
      <c r="H37" s="78"/>
      <c r="I37" s="78" t="n">
        <f aca="false">1000*$F$35*(1/A37-1/$A$40)+G37</f>
        <v>1381.03070101657</v>
      </c>
      <c r="J37" s="78"/>
      <c r="K37" s="0" t="s">
        <v>446</v>
      </c>
      <c r="L37" s="13" t="n">
        <f aca="false">$L$40+10000/299792458*I37</f>
        <v>48481.1096954092</v>
      </c>
      <c r="M37" s="0"/>
      <c r="N37" s="19" t="n">
        <f aca="false">100000000/L37</f>
        <v>2062.65905686291</v>
      </c>
      <c r="O37" s="0"/>
      <c r="P37" s="52"/>
      <c r="Q37" s="52"/>
      <c r="R37" s="52"/>
      <c r="S37" s="52"/>
      <c r="T37" s="52"/>
    </row>
    <row collapsed="false" customFormat="true" customHeight="false" hidden="false" ht="12.8" outlineLevel="0" r="38" s="8">
      <c r="A38" s="0" t="n">
        <v>67</v>
      </c>
      <c r="B38" s="22" t="inlineStr">
        <f aca="false">B32</f>
        <is>
          <t/>
        </is>
      </c>
      <c r="C38" s="78"/>
      <c r="D38" s="78"/>
      <c r="E38" s="78"/>
      <c r="F38" s="78"/>
      <c r="G38" s="78" t="n">
        <f aca="false">G32</f>
        <v>-66.5</v>
      </c>
      <c r="H38" s="78"/>
      <c r="I38" s="78" t="n">
        <f aca="false">I39+1000*$F$35*(1/A38-1/A39)+G38</f>
        <v>1129.50844405739</v>
      </c>
      <c r="J38" s="78"/>
      <c r="K38" s="0" t="s">
        <v>446</v>
      </c>
      <c r="L38" s="13" t="n">
        <f aca="false">$L$40+10000/299792458*I38</f>
        <v>48481.1013055298</v>
      </c>
      <c r="M38" s="0"/>
      <c r="N38" s="19" t="n">
        <f aca="false">100000000/L38</f>
        <v>2062.65941381562</v>
      </c>
      <c r="O38" s="0"/>
      <c r="P38" s="52"/>
      <c r="Q38" s="52"/>
      <c r="R38" s="52"/>
      <c r="S38" s="52"/>
      <c r="T38" s="52"/>
    </row>
    <row collapsed="false" customFormat="true" customHeight="false" hidden="false" ht="12.8" outlineLevel="0" r="39" s="8">
      <c r="A39" s="0" t="n">
        <v>66</v>
      </c>
      <c r="B39" s="22" t="inlineStr">
        <f aca="false">B33</f>
        <is>
          <t/>
        </is>
      </c>
      <c r="C39" s="78"/>
      <c r="D39" s="78"/>
      <c r="E39" s="78"/>
      <c r="F39" s="78"/>
      <c r="G39" s="78" t="n">
        <f aca="false">G33</f>
        <v>-350</v>
      </c>
      <c r="H39" s="78"/>
      <c r="I39" s="78" t="n">
        <f aca="false">1000*$F$35*(1/A39-1/$A$40)+G39</f>
        <v>696.288542947931</v>
      </c>
      <c r="J39" s="78"/>
      <c r="K39" s="0" t="s">
        <v>446</v>
      </c>
      <c r="L39" s="13" t="n">
        <f aca="false">$L$40+10000/299792458*I39</f>
        <v>48481.0868548694</v>
      </c>
      <c r="M39" s="0"/>
      <c r="N39" s="19" t="n">
        <f aca="false">100000000/L39</f>
        <v>2062.66002862838</v>
      </c>
      <c r="O39" s="0"/>
      <c r="P39" s="52"/>
      <c r="Q39" s="52"/>
      <c r="R39" s="52"/>
      <c r="S39" s="52"/>
      <c r="T39" s="52"/>
    </row>
    <row collapsed="false" customFormat="true" customHeight="false" hidden="false" ht="12.8" outlineLevel="0" r="40" s="8">
      <c r="A40" s="0" t="n">
        <v>64</v>
      </c>
      <c r="B40" s="22" t="inlineStr">
        <f aca="false">B34</f>
        <is>
          <t/>
        </is>
      </c>
      <c r="C40" s="78"/>
      <c r="D40" s="78"/>
      <c r="E40" s="78"/>
      <c r="F40" s="78"/>
      <c r="G40" s="78"/>
      <c r="H40" s="78"/>
      <c r="I40" s="78" t="n">
        <f aca="false">I34*653/632</f>
        <v>0</v>
      </c>
      <c r="J40" s="78"/>
      <c r="K40" s="81"/>
      <c r="L40" s="13" t="n">
        <f aca="false">L35-10000/299792458*SUMPRODUCT(B36:B39,I36:I39)</f>
        <v>48481.0636291836</v>
      </c>
      <c r="M40" s="0"/>
      <c r="N40" s="19" t="n">
        <f aca="false">100000000/L40</f>
        <v>2062.66101678108</v>
      </c>
      <c r="O40" s="0"/>
      <c r="P40" s="52"/>
    </row>
    <row collapsed="false" customFormat="true" customHeight="false" hidden="false" ht="12.8" outlineLevel="0" r="41" s="8">
      <c r="B41" s="72"/>
      <c r="C41" s="61"/>
      <c r="D41" s="52"/>
      <c r="E41" s="61"/>
      <c r="F41" s="56"/>
      <c r="G41" s="52"/>
      <c r="H41" s="52"/>
      <c r="I41" s="52"/>
      <c r="J41" s="52"/>
      <c r="K41" s="52"/>
      <c r="L41" s="52"/>
    </row>
    <row collapsed="false" customFormat="false" customHeight="false" hidden="false" ht="12.8" outlineLevel="0" r="42">
      <c r="A42" s="0" t="s">
        <v>88</v>
      </c>
      <c r="B42" s="15"/>
      <c r="C42" s="15"/>
      <c r="D42" s="52"/>
    </row>
    <row collapsed="false" customFormat="false" customHeight="false" hidden="false" ht="12.8" outlineLevel="0" r="43">
      <c r="B43" s="15"/>
      <c r="C43" s="15"/>
      <c r="D43" s="52"/>
    </row>
    <row collapsed="false" customFormat="false" customHeight="false" hidden="false" ht="12.8" outlineLevel="0" r="44">
      <c r="A44" s="0" t="s">
        <v>89</v>
      </c>
    </row>
    <row collapsed="false" customFormat="false" customHeight="false" hidden="false" ht="12.8" outlineLevel="0" r="45">
      <c r="A45" s="0" t="s">
        <v>90</v>
      </c>
      <c r="B45" s="0" t="s">
        <v>91</v>
      </c>
      <c r="C45" s="0" t="s">
        <v>93</v>
      </c>
    </row>
    <row collapsed="false" customFormat="false" customHeight="false" hidden="false" ht="13.8" outlineLevel="0" r="46">
      <c r="A46" s="0" t="s">
        <v>447</v>
      </c>
      <c r="B46" s="15" t="n">
        <v>2339.58</v>
      </c>
      <c r="C46" s="0" t="s">
        <v>448</v>
      </c>
    </row>
    <row collapsed="false" customFormat="false" customHeight="false" hidden="false" ht="12.8" outlineLevel="0" r="47">
      <c r="A47" s="0" t="s">
        <v>449</v>
      </c>
      <c r="B47" s="15" t="n">
        <v>526.68</v>
      </c>
      <c r="C47" s="0" t="s">
        <v>450</v>
      </c>
    </row>
    <row collapsed="false" customFormat="false" customHeight="false" hidden="false" ht="12.8" outlineLevel="0" r="48">
      <c r="A48" s="0" t="s">
        <v>451</v>
      </c>
      <c r="B48" s="15" t="n">
        <v>50.74</v>
      </c>
      <c r="C48" s="0" t="s">
        <v>450</v>
      </c>
    </row>
    <row collapsed="false" customFormat="false" customHeight="false" hidden="false" ht="12.8" outlineLevel="0" r="49">
      <c r="A49" s="0" t="s">
        <v>451</v>
      </c>
      <c r="B49" s="15" t="n">
        <v>61.74</v>
      </c>
      <c r="C49" s="0" t="s">
        <v>452</v>
      </c>
    </row>
    <row collapsed="false" customFormat="false" customHeight="false" hidden="false" ht="12.8" outlineLevel="0" r="51">
      <c r="A51" s="0" t="s">
        <v>101</v>
      </c>
    </row>
    <row collapsed="false" customFormat="false" customHeight="false" hidden="false" ht="12.8" outlineLevel="0" r="52">
      <c r="A52" s="0" t="s">
        <v>102</v>
      </c>
      <c r="B52" s="0" t="s">
        <v>103</v>
      </c>
      <c r="C52" s="0" t="s">
        <v>104</v>
      </c>
      <c r="D52" s="0" t="s">
        <v>105</v>
      </c>
      <c r="E52" s="0" t="s">
        <v>106</v>
      </c>
      <c r="F52" s="0" t="s">
        <v>107</v>
      </c>
      <c r="G52" s="0" t="s">
        <v>109</v>
      </c>
      <c r="H52" s="0" t="s">
        <v>111</v>
      </c>
    </row>
    <row collapsed="false" customFormat="false" customHeight="false" hidden="false" ht="12.8" outlineLevel="0" r="53">
      <c r="A53" s="0" t="n">
        <f aca="false">3/2</f>
        <v>1.5</v>
      </c>
      <c r="B53" s="0" t="n">
        <f aca="false">4</f>
        <v>4</v>
      </c>
      <c r="C53" s="0" t="n">
        <f aca="false">5/2</f>
        <v>2.5</v>
      </c>
      <c r="D53" s="0" t="n">
        <f aca="false">B53*(B53+1)-C53*(C53+1)-A53*(A53+1)</f>
        <v>7.5</v>
      </c>
      <c r="E53" s="30" t="n">
        <f aca="false">(3*D53*(D53+1)-4*C53*(C53+1)*A53*(A53+1))/(2*C53*(2*C53-1)*2*A53*(2*A53-1))</f>
        <v>0.5</v>
      </c>
      <c r="F53" s="32" t="n">
        <f aca="false">B48*D53/2</f>
        <v>190.275</v>
      </c>
      <c r="G53" s="32" t="n">
        <f aca="false">B49*E53/2</f>
        <v>15.435</v>
      </c>
      <c r="H53" s="32" t="n">
        <f aca="false">F53+G53</f>
        <v>205.71</v>
      </c>
    </row>
    <row collapsed="false" customFormat="false" customHeight="false" hidden="false" ht="12.8" outlineLevel="0" r="54">
      <c r="A54" s="0" t="n">
        <f aca="false">3/2</f>
        <v>1.5</v>
      </c>
      <c r="B54" s="0" t="n">
        <v>3</v>
      </c>
      <c r="C54" s="0" t="n">
        <f aca="false">5/2</f>
        <v>2.5</v>
      </c>
      <c r="D54" s="0" t="n">
        <f aca="false">B54*(B54+1)-C54*(C54+1)-A54*(A54+1)</f>
        <v>-0.5</v>
      </c>
      <c r="E54" s="30" t="n">
        <f aca="false">(3*D54*(D54+1)-4*C54*(C54+1)*A54*(A54+1))/(2*C54*(2*C54-1)*2*A54*(2*A54-1))</f>
        <v>-1.1</v>
      </c>
      <c r="F54" s="32" t="n">
        <f aca="false">B48*D54/2</f>
        <v>-12.685</v>
      </c>
      <c r="G54" s="32" t="n">
        <f aca="false">B49*E54/2</f>
        <v>-33.957</v>
      </c>
      <c r="H54" s="32" t="n">
        <f aca="false">F54+G54</f>
        <v>-46.642</v>
      </c>
    </row>
    <row collapsed="false" customFormat="false" customHeight="false" hidden="false" ht="12.8" outlineLevel="0" r="55">
      <c r="A55" s="0" t="n">
        <f aca="false">3/2</f>
        <v>1.5</v>
      </c>
      <c r="B55" s="0" t="n">
        <v>2</v>
      </c>
      <c r="C55" s="0" t="n">
        <f aca="false">5/2</f>
        <v>2.5</v>
      </c>
      <c r="D55" s="0" t="n">
        <f aca="false">B55*(B55+1)-C55*(C55+1)-A55*(A55+1)</f>
        <v>-6.5</v>
      </c>
      <c r="E55" s="30" t="n">
        <f aca="false">(3*D55*(D55+1)-4*C55*(C55+1)*A55*(A55+1))/(2*C55*(2*C55-1)*2*A55*(2*A55-1))</f>
        <v>-0.2</v>
      </c>
      <c r="F55" s="32" t="n">
        <f aca="false">B48*D55/2</f>
        <v>-164.905</v>
      </c>
      <c r="G55" s="32" t="n">
        <f aca="false">B49*E55/2</f>
        <v>-6.174</v>
      </c>
      <c r="H55" s="32" t="n">
        <f aca="false">F55+G55</f>
        <v>-171.079</v>
      </c>
    </row>
    <row collapsed="false" customFormat="false" customHeight="false" hidden="false" ht="12.8" outlineLevel="0" r="56">
      <c r="A56" s="0" t="n">
        <f aca="false">3/2</f>
        <v>1.5</v>
      </c>
      <c r="B56" s="0" t="n">
        <v>1</v>
      </c>
      <c r="C56" s="0" t="n">
        <f aca="false">5/2</f>
        <v>2.5</v>
      </c>
      <c r="D56" s="0" t="n">
        <f aca="false">B56*(B56+1)-C56*(C56+1)-A56*(A56+1)</f>
        <v>-10.5</v>
      </c>
      <c r="E56" s="30" t="n">
        <f aca="false">(3*D56*(D56+1)-4*C56*(C56+1)*A56*(A56+1))/(2*C56*(2*C56-1)*2*A56*(2*A56-1))</f>
        <v>1.4</v>
      </c>
      <c r="F56" s="32" t="n">
        <f aca="false">B48*D56/2</f>
        <v>-266.385</v>
      </c>
      <c r="G56" s="32" t="n">
        <f aca="false">B49*E56/2</f>
        <v>43.218</v>
      </c>
      <c r="H56" s="32" t="n">
        <f aca="false">F56+G56</f>
        <v>-223.167</v>
      </c>
    </row>
    <row collapsed="false" customFormat="false" customHeight="false" hidden="false" ht="12.8" outlineLevel="0" r="57">
      <c r="A57" s="0" t="n">
        <f aca="false">1/2</f>
        <v>0.5</v>
      </c>
      <c r="B57" s="0" t="n">
        <v>3</v>
      </c>
      <c r="C57" s="0" t="n">
        <f aca="false">5/2</f>
        <v>2.5</v>
      </c>
      <c r="D57" s="0" t="n">
        <f aca="false">B57*(B57+1)-C57*(C57+1)-A57*(A57+1)</f>
        <v>2.5</v>
      </c>
      <c r="E57" s="30" t="n">
        <f aca="false">0</f>
        <v>0</v>
      </c>
      <c r="F57" s="32" t="n">
        <f aca="false">B47*D57/2</f>
        <v>658.35</v>
      </c>
      <c r="G57" s="32" t="n">
        <f aca="false">0</f>
        <v>0</v>
      </c>
      <c r="H57" s="32" t="n">
        <f aca="false">F57+G57</f>
        <v>658.35</v>
      </c>
    </row>
    <row collapsed="false" customFormat="false" customHeight="false" hidden="false" ht="12.8" outlineLevel="0" r="58">
      <c r="A58" s="0" t="n">
        <f aca="false">1/2</f>
        <v>0.5</v>
      </c>
      <c r="B58" s="0" t="n">
        <v>2</v>
      </c>
      <c r="C58" s="0" t="n">
        <f aca="false">5/2</f>
        <v>2.5</v>
      </c>
      <c r="D58" s="0" t="n">
        <f aca="false">B58*(B58+1)-C58*(C58+1)-A58*(A58+1)</f>
        <v>-3.5</v>
      </c>
      <c r="E58" s="30" t="n">
        <f aca="false">0</f>
        <v>0</v>
      </c>
      <c r="F58" s="32" t="n">
        <f aca="false">B47*D58/2</f>
        <v>-921.69</v>
      </c>
      <c r="G58" s="32" t="n">
        <f aca="false">0</f>
        <v>0</v>
      </c>
      <c r="H58" s="32" t="n">
        <f aca="false">F58+G58</f>
        <v>-921.69</v>
      </c>
    </row>
    <row collapsed="false" customFormat="false" customHeight="false" hidden="false" ht="12.8" outlineLevel="0" r="59">
      <c r="A59" s="0" t="n">
        <f aca="false">1/2</f>
        <v>0.5</v>
      </c>
      <c r="B59" s="0" t="n">
        <v>3</v>
      </c>
      <c r="C59" s="0" t="n">
        <f aca="false">5/2</f>
        <v>2.5</v>
      </c>
      <c r="D59" s="0" t="n">
        <f aca="false">B59*(B59+1)-C59*(C59+1)-A59*(A59+1)</f>
        <v>2.5</v>
      </c>
      <c r="E59" s="30" t="n">
        <f aca="false">0</f>
        <v>0</v>
      </c>
      <c r="F59" s="32" t="n">
        <f aca="false">B46*D59/2</f>
        <v>2924.475</v>
      </c>
      <c r="G59" s="32" t="n">
        <f aca="false">0</f>
        <v>0</v>
      </c>
      <c r="H59" s="32" t="n">
        <f aca="false">F59+G59</f>
        <v>2924.475</v>
      </c>
    </row>
    <row collapsed="false" customFormat="false" customHeight="false" hidden="false" ht="12.8" outlineLevel="0" r="60">
      <c r="A60" s="0" t="n">
        <f aca="false">1/2</f>
        <v>0.5</v>
      </c>
      <c r="B60" s="0" t="n">
        <v>2</v>
      </c>
      <c r="C60" s="0" t="n">
        <f aca="false">5/2</f>
        <v>2.5</v>
      </c>
      <c r="D60" s="0" t="n">
        <f aca="false">B60*(B60+1)-C60*(C60+1)-A60*(A60+1)</f>
        <v>-3.5</v>
      </c>
      <c r="E60" s="30" t="n">
        <f aca="false">0</f>
        <v>0</v>
      </c>
      <c r="F60" s="32" t="n">
        <f aca="false">B46*D60/2</f>
        <v>-4094.265</v>
      </c>
      <c r="G60" s="32" t="n">
        <f aca="false">0</f>
        <v>0</v>
      </c>
      <c r="H60" s="32" t="n">
        <f aca="false">F60+G60</f>
        <v>-4094.265</v>
      </c>
    </row>
    <row collapsed="false" customFormat="false" customHeight="false" hidden="false" ht="12.8" outlineLevel="0" r="62">
      <c r="A62" s="0" t="s">
        <v>453</v>
      </c>
    </row>
    <row collapsed="false" customFormat="false" customHeight="false" hidden="false" ht="36.15" outlineLevel="0" r="63">
      <c r="A63" s="0" t="s">
        <v>114</v>
      </c>
      <c r="B63" s="0" t="s">
        <v>115</v>
      </c>
      <c r="C63" s="6" t="s">
        <v>83</v>
      </c>
      <c r="D63" s="0" t="s">
        <v>454</v>
      </c>
      <c r="E63" s="0" t="s">
        <v>118</v>
      </c>
      <c r="F63" s="26" t="s">
        <v>119</v>
      </c>
      <c r="G63" s="26" t="s">
        <v>120</v>
      </c>
      <c r="H63" s="26" t="s">
        <v>121</v>
      </c>
      <c r="I63" s="0" t="s">
        <v>454</v>
      </c>
    </row>
    <row collapsed="false" customFormat="false" customHeight="false" hidden="false" ht="12.8" outlineLevel="0" r="64">
      <c r="A64" s="0" t="n">
        <f aca="false">2</f>
        <v>2</v>
      </c>
      <c r="B64" s="0" t="n">
        <v>4</v>
      </c>
      <c r="C64" s="36" t="n">
        <f aca="false">I32+H53-H60</f>
        <v>5401.71679671242</v>
      </c>
      <c r="D64" s="45" t="n">
        <f aca="false">C64*10000/299792458</f>
        <v>0.180181877581204</v>
      </c>
      <c r="E64" s="0" t="s">
        <v>123</v>
      </c>
      <c r="F64" s="37"/>
      <c r="G64" s="37"/>
      <c r="H64" s="37"/>
      <c r="I64" s="13"/>
    </row>
    <row collapsed="false" customFormat="false" customHeight="false" hidden="false" ht="12.8" outlineLevel="0" r="65">
      <c r="A65" s="0" t="n">
        <f aca="false">2</f>
        <v>2</v>
      </c>
      <c r="B65" s="0" t="n">
        <v>3</v>
      </c>
      <c r="C65" s="36" t="n">
        <f aca="false">I32+H54-H60</f>
        <v>5149.36479671242</v>
      </c>
      <c r="D65" s="45" t="n">
        <f aca="false">C65*10000/299792458</f>
        <v>0.171764320926059</v>
      </c>
      <c r="F65" s="39" t="n">
        <f aca="false">6JSymbols!G19</f>
        <v>0.0222222222222222</v>
      </c>
      <c r="G65" s="39" t="n">
        <f aca="false">(2*A65+1)*(2*B65+1)*F65</f>
        <v>0.777777777777778</v>
      </c>
      <c r="H65" s="40" t="n">
        <f aca="false">G65/SUM($G$65:$G$70)</f>
        <v>0.12962962962963</v>
      </c>
      <c r="I65" s="41" t="n">
        <f aca="false">SUMPRODUCT(D65:D67,H65:H67)/SUM(H65:H67)</f>
        <v>0.168383659940029</v>
      </c>
    </row>
    <row collapsed="false" customFormat="false" customHeight="false" hidden="false" ht="12.8" outlineLevel="0" r="66">
      <c r="A66" s="0" t="n">
        <f aca="false">2</f>
        <v>2</v>
      </c>
      <c r="B66" s="0" t="n">
        <v>2</v>
      </c>
      <c r="C66" s="36" t="n">
        <f aca="false">I32+H55-H60</f>
        <v>5024.92779671242</v>
      </c>
      <c r="D66" s="45" t="n">
        <f aca="false">C66*10000/299792458</f>
        <v>0.167613549394642</v>
      </c>
      <c r="F66" s="43" t="n">
        <f aca="false">6JSymbols!G18</f>
        <v>0.0388888888888889</v>
      </c>
      <c r="G66" s="39" t="n">
        <f aca="false">(2*A66+1)*(2*B66+1)*F66</f>
        <v>0.972222222222222</v>
      </c>
      <c r="H66" s="40" t="n">
        <f aca="false">G66/SUM($G$65:$G$70)</f>
        <v>0.162037037037037</v>
      </c>
      <c r="I66" s="41"/>
    </row>
    <row collapsed="false" customFormat="false" customHeight="false" hidden="false" ht="12.8" outlineLevel="0" r="67">
      <c r="A67" s="0" t="n">
        <f aca="false">2</f>
        <v>2</v>
      </c>
      <c r="B67" s="0" t="n">
        <v>1</v>
      </c>
      <c r="C67" s="36" t="n">
        <f aca="false">I32+H56-H60</f>
        <v>4972.83979671242</v>
      </c>
      <c r="D67" s="45" t="n">
        <f aca="false">C67*10000/299792458</f>
        <v>0.165876080735574</v>
      </c>
      <c r="F67" s="43" t="n">
        <f aca="false">6JSymbols!G17</f>
        <v>0.05</v>
      </c>
      <c r="G67" s="39" t="n">
        <f aca="false">(2*A67+1)*(2*B67+1)*F67</f>
        <v>0.75</v>
      </c>
      <c r="H67" s="40" t="n">
        <f aca="false">G67/SUM($G$65:$G$70)</f>
        <v>0.125</v>
      </c>
      <c r="I67" s="41"/>
    </row>
    <row collapsed="false" customFormat="false" customHeight="false" hidden="false" ht="12.8" outlineLevel="0" r="68">
      <c r="A68" s="0" t="n">
        <f aca="false">3</f>
        <v>3</v>
      </c>
      <c r="B68" s="0" t="n">
        <v>4</v>
      </c>
      <c r="C68" s="36" t="n">
        <f aca="false">I32+H53-H59</f>
        <v>-1617.02320328758</v>
      </c>
      <c r="D68" s="45" t="n">
        <f aca="false">C68*10000/299792458</f>
        <v>-0.0539380881719039</v>
      </c>
      <c r="F68" s="39" t="n">
        <f aca="false">6JSymbols!G22</f>
        <v>0.0357142857142857</v>
      </c>
      <c r="G68" s="39" t="n">
        <f aca="false">(2*A68+1)*(2*B68+1)*F68</f>
        <v>2.25</v>
      </c>
      <c r="H68" s="40" t="n">
        <f aca="false">G68/SUM($G$65:$G$70)</f>
        <v>0.375</v>
      </c>
      <c r="I68" s="41" t="n">
        <f aca="false">SUMPRODUCT(D68:D70,H68:H70)/SUM(H68:H70)</f>
        <v>-0.0572737847179013</v>
      </c>
    </row>
    <row collapsed="false" customFormat="false" customHeight="false" hidden="false" ht="12.8" outlineLevel="0" r="69">
      <c r="A69" s="0" t="n">
        <f aca="false">3</f>
        <v>3</v>
      </c>
      <c r="B69" s="0" t="n">
        <v>3</v>
      </c>
      <c r="C69" s="36" t="n">
        <f aca="false">I32+H54-H59</f>
        <v>-1869.37520328758</v>
      </c>
      <c r="D69" s="45" t="n">
        <f aca="false">C69*10000/299792458</f>
        <v>-0.0623556448270483</v>
      </c>
      <c r="F69" s="43" t="n">
        <f aca="false">6JSymbols!G21</f>
        <v>0.0198412698412698</v>
      </c>
      <c r="G69" s="39" t="n">
        <f aca="false">(2*A69+1)*(2*B69+1)*F69</f>
        <v>0.972222222222222</v>
      </c>
      <c r="H69" s="40" t="n">
        <f aca="false">G69/SUM($G$65:$G$70)</f>
        <v>0.162037037037037</v>
      </c>
      <c r="I69" s="41"/>
    </row>
    <row collapsed="false" customFormat="false" customHeight="false" hidden="false" ht="12.8" outlineLevel="0" r="70">
      <c r="A70" s="0" t="n">
        <f aca="false">3</f>
        <v>3</v>
      </c>
      <c r="B70" s="0" t="n">
        <v>2</v>
      </c>
      <c r="C70" s="36" t="n">
        <f aca="false">I32+H55-H59</f>
        <v>-1993.81220328758</v>
      </c>
      <c r="D70" s="45" t="n">
        <f aca="false">C70*10000/299792458</f>
        <v>-0.0665064163584655</v>
      </c>
      <c r="F70" s="43" t="n">
        <f aca="false">6JSymbols!G20</f>
        <v>0.00793650793650794</v>
      </c>
      <c r="G70" s="39" t="n">
        <f aca="false">(2*A70+1)*(2*B70+1)*F70</f>
        <v>0.277777777777778</v>
      </c>
      <c r="H70" s="40" t="n">
        <f aca="false">G70/SUM($G$65:$G$70)</f>
        <v>0.0462962962962963</v>
      </c>
      <c r="I70" s="41"/>
    </row>
    <row collapsed="false" customFormat="false" customHeight="false" hidden="false" ht="12.8" outlineLevel="0" r="71">
      <c r="A71" s="0" t="n">
        <f aca="false">3</f>
        <v>3</v>
      </c>
      <c r="B71" s="0" t="n">
        <v>1</v>
      </c>
      <c r="C71" s="36" t="n">
        <f aca="false">I32+H56-H59</f>
        <v>-2045.90020328758</v>
      </c>
      <c r="D71" s="45" t="n">
        <f aca="false">C71*10000/299792458</f>
        <v>-0.0682438850175337</v>
      </c>
      <c r="E71" s="0" t="s">
        <v>123</v>
      </c>
      <c r="F71" s="43"/>
      <c r="G71" s="43"/>
      <c r="H71" s="44"/>
      <c r="J71" s="13"/>
      <c r="K71" s="15"/>
    </row>
    <row collapsed="false" customFormat="false" customHeight="false" hidden="false" ht="12.8" outlineLevel="0" r="72">
      <c r="C72" s="36"/>
      <c r="D72" s="45"/>
      <c r="G72" s="13"/>
      <c r="H72" s="15"/>
    </row>
    <row collapsed="false" customFormat="true" customHeight="false" hidden="false" ht="47.35" outlineLevel="0" r="73" s="26">
      <c r="A73" s="26" t="s">
        <v>149</v>
      </c>
      <c r="B73" s="26" t="n">
        <f aca="false">$B$28</f>
        <v>0</v>
      </c>
      <c r="C73" s="91" t="s">
        <v>455</v>
      </c>
      <c r="D73" s="26" t="s">
        <v>456</v>
      </c>
      <c r="E73" s="49" t="s">
        <v>73</v>
      </c>
      <c r="F73" s="26" t="s">
        <v>74</v>
      </c>
      <c r="G73" s="26" t="s">
        <v>128</v>
      </c>
      <c r="H73" s="50" t="s">
        <v>129</v>
      </c>
    </row>
    <row collapsed="false" customFormat="false" customHeight="false" hidden="false" ht="12.8" outlineLevel="0" r="74">
      <c r="A74" s="0" t="s">
        <v>130</v>
      </c>
      <c r="E74" s="92" t="n">
        <f aca="false">M23</f>
        <v>49355.005443379</v>
      </c>
      <c r="F74" s="45" t="n">
        <f aca="false">N23</f>
        <v>0.000759284173097276</v>
      </c>
      <c r="G74" s="13" t="n">
        <f aca="false">100000000/E74</f>
        <v>2026.13694602307</v>
      </c>
      <c r="H74" s="13" t="n">
        <f aca="false">F74/E74*G74</f>
        <v>3.11703686753285E-005</v>
      </c>
    </row>
    <row collapsed="false" customFormat="false" customHeight="false" hidden="false" ht="12.8" outlineLevel="0" r="75">
      <c r="A75" s="0" t="n">
        <v>70</v>
      </c>
      <c r="B75" s="22" t="inlineStr">
        <f aca="false">B30</f>
        <is>
          <t/>
        </is>
      </c>
      <c r="C75" s="93" t="n">
        <f aca="false">I30*10000/299792458</f>
        <v>0.0638441678209263</v>
      </c>
      <c r="D75" s="45" t="n">
        <f aca="false">J30*10000/299792458</f>
        <v>0.000411245435865433</v>
      </c>
      <c r="E75" s="45" t="n">
        <f aca="false">E80+C75</f>
        <v>49355.0526754807</v>
      </c>
      <c r="F75" s="45" t="n">
        <f aca="false">SQRT(F74*F74+D75*D75)</f>
        <v>0.000863501745242107</v>
      </c>
      <c r="G75" s="13" t="n">
        <f aca="false">100000000/E75</f>
        <v>2026.13500703808</v>
      </c>
      <c r="H75" s="13" t="n">
        <f aca="false">F75/E75*G75</f>
        <v>3.54486728274264E-005</v>
      </c>
    </row>
    <row collapsed="false" customFormat="false" customHeight="false" hidden="false" ht="12.8" outlineLevel="0" r="76">
      <c r="A76" s="0" t="n">
        <v>68</v>
      </c>
      <c r="B76" s="22" t="inlineStr">
        <f aca="false">B31</f>
        <is>
          <t/>
        </is>
      </c>
      <c r="C76" s="93" t="n">
        <f aca="false">I31*10000/299792458</f>
        <v>0.0448977272136713</v>
      </c>
      <c r="D76" s="45" t="n">
        <f aca="false">J31*10000/299792458</f>
        <v>0.000240536489778138</v>
      </c>
      <c r="E76" s="45" t="n">
        <f aca="false">E80+C76</f>
        <v>49355.0337290401</v>
      </c>
      <c r="F76" s="45" t="n">
        <f aca="false">SQRT(F74*F74+D76*D76)</f>
        <v>0.000796473639507801</v>
      </c>
      <c r="G76" s="13" t="n">
        <f aca="false">100000000/E76</f>
        <v>2026.13578483203</v>
      </c>
      <c r="H76" s="13" t="n">
        <f aca="false">F76/E76*G76</f>
        <v>3.2697044673128E-005</v>
      </c>
    </row>
    <row collapsed="false" customFormat="false" customHeight="false" hidden="false" ht="12.8" outlineLevel="0" r="77">
      <c r="A77" s="0" t="n">
        <v>67</v>
      </c>
      <c r="B77" s="54" t="n">
        <f aca="false">$B$32*SUM(H65:H67)/SUM($H$65:$H$70)</f>
        <v>0.0170833333333333</v>
      </c>
      <c r="C77" s="93" t="n">
        <f aca="false">I65</f>
        <v>0.168383659940029</v>
      </c>
      <c r="D77" s="45" t="n">
        <f aca="false">ABS(J32/I32*C77)</f>
        <v>0.00494933685725756</v>
      </c>
      <c r="E77" s="45" t="n">
        <f aca="false">E80+C77</f>
        <v>49355.1572149728</v>
      </c>
      <c r="F77" s="44" t="n">
        <f aca="false">SQRT(F74*F74+D77*D77)</f>
        <v>0.00500723953712264</v>
      </c>
      <c r="G77" s="13" t="n">
        <f aca="false">100000000/E77</f>
        <v>2026.13071546783</v>
      </c>
      <c r="H77" s="13" t="n">
        <f aca="false">F77/E77*G77</f>
        <v>0.000205557481696995</v>
      </c>
    </row>
    <row collapsed="false" customFormat="false" customHeight="false" hidden="false" ht="12.8" outlineLevel="0" r="78">
      <c r="A78" s="0" t="n">
        <v>67</v>
      </c>
      <c r="B78" s="54" t="n">
        <f aca="false">$B$32*SUM(H68:H70)/SUM($H$65:$H$70)</f>
        <v>0.0239166666666667</v>
      </c>
      <c r="C78" s="93" t="n">
        <f aca="false">I68</f>
        <v>-0.0572737847179013</v>
      </c>
      <c r="D78" s="44" t="n">
        <f aca="false">ABS(J32/I32*C78)</f>
        <v>0.00168346057901284</v>
      </c>
      <c r="E78" s="45" t="n">
        <f aca="false">E80+C78</f>
        <v>49354.9315575282</v>
      </c>
      <c r="F78" s="44" t="n">
        <f aca="false">SQRT(F74*F74+D78*D78)</f>
        <v>0.00184676798125977</v>
      </c>
      <c r="G78" s="13" t="n">
        <f aca="false">100000000/E78</f>
        <v>2026.13997921241</v>
      </c>
      <c r="H78" s="13" t="n">
        <f aca="false">F78/E78*G78</f>
        <v>7.58143172541603E-005</v>
      </c>
    </row>
    <row collapsed="false" customFormat="false" customHeight="false" hidden="false" ht="12.8" outlineLevel="0" r="79">
      <c r="A79" s="0" t="n">
        <v>66</v>
      </c>
      <c r="B79" s="22" t="inlineStr">
        <f aca="false">B33</f>
        <is>
          <t/>
        </is>
      </c>
      <c r="C79" s="93" t="n">
        <f aca="false">I33*10000/299792458</f>
        <v>0.0225489328353951</v>
      </c>
      <c r="D79" s="45" t="n">
        <f aca="false">J33*10000/299792458</f>
        <v>0.000200138457118891</v>
      </c>
      <c r="E79" s="45" t="n">
        <f aca="false">E80+C79</f>
        <v>49355.0113802457</v>
      </c>
      <c r="F79" s="44" t="n">
        <f aca="false">SQRT(F74*F74+D79*D79)</f>
        <v>0.000785218350227467</v>
      </c>
      <c r="G79" s="13" t="n">
        <f aca="false">100000000/E79</f>
        <v>2026.13670230101</v>
      </c>
      <c r="H79" s="13" t="n">
        <f aca="false">F79/E79*G79</f>
        <v>3.22350187797323E-005</v>
      </c>
    </row>
    <row collapsed="false" customFormat="false" customHeight="false" hidden="false" ht="12.8" outlineLevel="0" r="80">
      <c r="A80" s="0" t="n">
        <v>64</v>
      </c>
      <c r="B80" s="22" t="inlineStr">
        <f aca="false">B34</f>
        <is>
          <t/>
        </is>
      </c>
      <c r="C80" s="93"/>
      <c r="D80" s="45"/>
      <c r="E80" s="45" t="n">
        <f aca="false">E74-SUMPRODUCT(B75:B79,C75:C79)</f>
        <v>49354.9888313129</v>
      </c>
      <c r="F80" s="44" t="n">
        <f aca="false">SQRT(F74*F74+D75*D75*B75+D76*D76*B76+D77*D77*B77+D78*D78*B78+D79*D79*B79)</f>
        <v>0.00104203542126967</v>
      </c>
      <c r="G80" s="13" t="n">
        <f aca="false">100000000/E80</f>
        <v>2026.13762798698</v>
      </c>
      <c r="H80" s="13" t="n">
        <f aca="false">F80/E80*G80</f>
        <v>4.27779891501108E-005</v>
      </c>
    </row>
    <row collapsed="false" customFormat="false" customHeight="false" hidden="false" ht="12.8" outlineLevel="0" r="81">
      <c r="B81" s="11"/>
      <c r="E81" s="45"/>
    </row>
    <row collapsed="false" customFormat="false" customHeight="false" hidden="false" ht="12.8" outlineLevel="0" r="82">
      <c r="A82" s="0" t="s">
        <v>457</v>
      </c>
    </row>
    <row collapsed="false" customFormat="false" customHeight="false" hidden="false" ht="36" outlineLevel="0" r="83">
      <c r="A83" s="0" t="s">
        <v>114</v>
      </c>
      <c r="B83" s="0" t="s">
        <v>115</v>
      </c>
      <c r="C83" s="0" t="s">
        <v>83</v>
      </c>
      <c r="D83" s="0" t="s">
        <v>454</v>
      </c>
      <c r="E83" s="0" t="s">
        <v>118</v>
      </c>
      <c r="F83" s="26" t="s">
        <v>119</v>
      </c>
      <c r="G83" s="26" t="s">
        <v>120</v>
      </c>
      <c r="H83" s="26" t="s">
        <v>121</v>
      </c>
      <c r="I83" s="0" t="s">
        <v>458</v>
      </c>
      <c r="J83" s="0" t="s">
        <v>454</v>
      </c>
      <c r="K83" s="0" t="s">
        <v>459</v>
      </c>
    </row>
    <row collapsed="false" customFormat="false" customHeight="false" hidden="false" ht="12.8" outlineLevel="0" r="84">
      <c r="A84" s="0" t="n">
        <f aca="false">2</f>
        <v>2</v>
      </c>
      <c r="B84" s="0" t="n">
        <f aca="false">3</f>
        <v>3</v>
      </c>
      <c r="C84" s="36" t="n">
        <f aca="false">I38+H57-H60</f>
        <v>5882.12344405739</v>
      </c>
      <c r="D84" s="45" t="n">
        <f aca="false">C84*10000/299792458</f>
        <v>0.196206518446084</v>
      </c>
      <c r="F84" s="39" t="n">
        <f aca="false">6JSymbols!G14</f>
        <v>0.0555555555555556</v>
      </c>
      <c r="G84" s="39" t="n">
        <f aca="false">(2*A84+1)*(2*B84+1)*F84</f>
        <v>1.94444444444444</v>
      </c>
      <c r="H84" s="40" t="n">
        <f aca="false">G84/SUM($G$84:$G$87)</f>
        <v>0.324074074074074</v>
      </c>
      <c r="I84" s="0" t="n">
        <f aca="false">2*B84+1</f>
        <v>7</v>
      </c>
      <c r="J84" s="47" t="n">
        <f aca="false">SUMPRODUCT(D84:D85,H84:H85)/SUM(H84:H85)</f>
        <v>0.184494415935487</v>
      </c>
      <c r="K84" s="94" t="n">
        <f aca="false">2*A84+1</f>
        <v>5</v>
      </c>
    </row>
    <row collapsed="false" customFormat="false" customHeight="false" hidden="false" ht="12.8" outlineLevel="0" r="85">
      <c r="A85" s="0" t="n">
        <f aca="false">2</f>
        <v>2</v>
      </c>
      <c r="B85" s="0" t="n">
        <f aca="false">2</f>
        <v>2</v>
      </c>
      <c r="C85" s="36" t="n">
        <f aca="false">I38+H58-H60</f>
        <v>4302.08344405739</v>
      </c>
      <c r="D85" s="45" t="n">
        <f aca="false">C85*10000/299792458</f>
        <v>0.143502057148395</v>
      </c>
      <c r="F85" s="43" t="n">
        <f aca="false">6JSymbols!G13</f>
        <v>0.0222222222222222</v>
      </c>
      <c r="G85" s="39" t="n">
        <f aca="false">(2*A85+1)*(2*B85+1)*F85</f>
        <v>0.555555555555555</v>
      </c>
      <c r="H85" s="40" t="n">
        <f aca="false">G85/SUM($G$84:$G$87)</f>
        <v>0.0925925925925926</v>
      </c>
      <c r="I85" s="0" t="n">
        <f aca="false">2*B85+1</f>
        <v>5</v>
      </c>
      <c r="J85" s="47"/>
      <c r="K85" s="47"/>
    </row>
    <row collapsed="false" customFormat="false" customHeight="false" hidden="false" ht="12.8" outlineLevel="0" r="86">
      <c r="A86" s="0" t="n">
        <f aca="false">3</f>
        <v>3</v>
      </c>
      <c r="B86" s="0" t="n">
        <f aca="false">3</f>
        <v>3</v>
      </c>
      <c r="C86" s="36" t="n">
        <f aca="false">I38+H57-H59</f>
        <v>-1136.61655594261</v>
      </c>
      <c r="D86" s="45" t="n">
        <f aca="false">C86*10000/299792458</f>
        <v>-0.0379134473070236</v>
      </c>
      <c r="F86" s="39" t="n">
        <f aca="false">6JSymbols!G16</f>
        <v>0.0317460317460317</v>
      </c>
      <c r="G86" s="39" t="n">
        <f aca="false">(2*A86+1)*(2*B86+1)*F86</f>
        <v>1.55555555555556</v>
      </c>
      <c r="H86" s="40" t="n">
        <f aca="false">G86/SUM($G$84:$G$87)</f>
        <v>0.259259259259259</v>
      </c>
      <c r="I86" s="0" t="n">
        <f aca="false">2*B86+1</f>
        <v>7</v>
      </c>
      <c r="J86" s="47" t="n">
        <f aca="false">SUMPRODUCT(D86:D87,H86:H87)/SUM(H86:H87)</f>
        <v>-0.0671937035835174</v>
      </c>
      <c r="K86" s="94" t="n">
        <f aca="false">2*A86+1</f>
        <v>7</v>
      </c>
    </row>
    <row collapsed="false" customFormat="false" customHeight="false" hidden="false" ht="12.8" outlineLevel="0" r="87">
      <c r="A87" s="0" t="n">
        <f aca="false">3</f>
        <v>3</v>
      </c>
      <c r="B87" s="0" t="n">
        <f aca="false">2</f>
        <v>2</v>
      </c>
      <c r="C87" s="36" t="n">
        <f aca="false">I38+H58-H59</f>
        <v>-2716.65655594261</v>
      </c>
      <c r="D87" s="45" t="n">
        <f aca="false">C87*10000/299792458</f>
        <v>-0.0906179086047124</v>
      </c>
      <c r="F87" s="43" t="n">
        <f aca="false">6JSymbols!G15</f>
        <v>0.0555555555555556</v>
      </c>
      <c r="G87" s="39" t="n">
        <f aca="false">(2*A87+1)*(2*B87+1)*F87</f>
        <v>1.94444444444444</v>
      </c>
      <c r="H87" s="40" t="n">
        <f aca="false">G87/SUM($G$84:$G$87)</f>
        <v>0.324074074074074</v>
      </c>
      <c r="I87" s="0" t="n">
        <f aca="false">2*B87+1</f>
        <v>5</v>
      </c>
      <c r="J87" s="47"/>
      <c r="K87" s="47"/>
    </row>
    <row collapsed="false" customFormat="false" customHeight="false" hidden="false" ht="12.8" outlineLevel="0" r="88">
      <c r="E88" s="45"/>
    </row>
    <row collapsed="false" customFormat="false" customHeight="false" hidden="false" ht="47.35" outlineLevel="0" r="89">
      <c r="B89" s="26" t="n">
        <f aca="false">$B$28</f>
        <v>0</v>
      </c>
      <c r="C89" s="91" t="s">
        <v>455</v>
      </c>
      <c r="D89" s="26" t="s">
        <v>456</v>
      </c>
      <c r="E89" s="49" t="s">
        <v>73</v>
      </c>
      <c r="F89" s="26" t="s">
        <v>74</v>
      </c>
      <c r="G89" s="26" t="s">
        <v>128</v>
      </c>
      <c r="H89" s="50" t="s">
        <v>129</v>
      </c>
    </row>
    <row collapsed="false" customFormat="false" customHeight="false" hidden="false" ht="12.8" outlineLevel="0" r="90">
      <c r="A90" s="0" t="s">
        <v>130</v>
      </c>
      <c r="E90" s="92" t="n">
        <f aca="false">M24</f>
        <v>48481.0806965415</v>
      </c>
      <c r="F90" s="45" t="n">
        <f aca="false">N24</f>
        <v>0.000759284173097276</v>
      </c>
      <c r="G90" s="13" t="n">
        <f aca="false">100000000/E90</f>
        <v>2062.66029063856</v>
      </c>
      <c r="H90" s="13" t="n">
        <f aca="false">F90/E90*G90</f>
        <v>3.23042574682089E-005</v>
      </c>
    </row>
    <row collapsed="false" customFormat="false" customHeight="false" hidden="false" ht="12.8" outlineLevel="0" r="91">
      <c r="A91" s="0" t="n">
        <v>70</v>
      </c>
      <c r="B91" s="22" t="inlineStr">
        <f aca="false">B36</f>
        <is>
          <t/>
        </is>
      </c>
      <c r="C91" s="93" t="n">
        <f aca="false">I36*10000/299792458</f>
        <v>0.0653619471182344</v>
      </c>
      <c r="D91" s="93"/>
      <c r="E91" s="45" t="n">
        <f aca="false">E96+C91</f>
        <v>48481.1289911307</v>
      </c>
      <c r="F91" s="45"/>
      <c r="G91" s="13" t="n">
        <f aca="false">100000000/E91</f>
        <v>2062.65823591473</v>
      </c>
      <c r="H91" s="13"/>
    </row>
    <row collapsed="false" customFormat="false" customHeight="false" hidden="false" ht="12.8" outlineLevel="0" r="92">
      <c r="A92" s="0" t="n">
        <v>68</v>
      </c>
      <c r="B92" s="22" t="inlineStr">
        <f aca="false">B37</f>
        <is>
          <t/>
        </is>
      </c>
      <c r="C92" s="93" t="n">
        <f aca="false">I37*10000/299792458</f>
        <v>0.0460662256225463</v>
      </c>
      <c r="D92" s="93"/>
      <c r="E92" s="45" t="n">
        <f aca="false">E96+C92</f>
        <v>48481.1096954092</v>
      </c>
      <c r="F92" s="45"/>
      <c r="G92" s="13" t="n">
        <f aca="false">100000000/E92</f>
        <v>2062.65905686291</v>
      </c>
      <c r="H92" s="13"/>
    </row>
    <row collapsed="false" customFormat="false" customHeight="false" hidden="false" ht="12.8" outlineLevel="0" r="93">
      <c r="A93" s="0" t="n">
        <v>67</v>
      </c>
      <c r="B93" s="54" t="n">
        <f aca="false">$B$38*SUM(H84:H85)/SUM($H$84:$H$87)</f>
        <v>0.0170833333333333</v>
      </c>
      <c r="C93" s="93" t="n">
        <f aca="false">J84</f>
        <v>0.184494415935487</v>
      </c>
      <c r="D93" s="13"/>
      <c r="E93" s="45" t="n">
        <f aca="false">E96+C93</f>
        <v>48481.2481235996</v>
      </c>
      <c r="F93" s="44"/>
      <c r="G93" s="13" t="n">
        <f aca="false">100000000/E93</f>
        <v>2062.65316736601</v>
      </c>
      <c r="H93" s="13"/>
    </row>
    <row collapsed="false" customFormat="false" customHeight="false" hidden="false" ht="12.8" outlineLevel="0" r="94">
      <c r="A94" s="0" t="n">
        <v>67</v>
      </c>
      <c r="B94" s="54" t="n">
        <f aca="false">$B$38*SUM(H86:H87)/SUM($H$84:$H$87)</f>
        <v>0.0239166666666667</v>
      </c>
      <c r="C94" s="93" t="n">
        <f aca="false">J86</f>
        <v>-0.0671937035835174</v>
      </c>
      <c r="D94" s="38"/>
      <c r="E94" s="45" t="n">
        <f aca="false">E96+C94</f>
        <v>48480.99643548</v>
      </c>
      <c r="F94" s="44"/>
      <c r="G94" s="13" t="n">
        <f aca="false">100000000/E94</f>
        <v>2062.66387558851</v>
      </c>
      <c r="H94" s="13"/>
    </row>
    <row collapsed="false" customFormat="false" customHeight="false" hidden="false" ht="12.8" outlineLevel="0" r="95">
      <c r="A95" s="0" t="n">
        <v>66</v>
      </c>
      <c r="B95" s="22" t="inlineStr">
        <f aca="false">B39</f>
        <is>
          <t/>
        </is>
      </c>
      <c r="C95" s="93" t="n">
        <f aca="false">I39*10000/299792458</f>
        <v>0.0232256857825266</v>
      </c>
      <c r="D95" s="93"/>
      <c r="E95" s="45" t="n">
        <f aca="false">E96+C95</f>
        <v>48481.0868548694</v>
      </c>
      <c r="F95" s="44"/>
      <c r="G95" s="13" t="n">
        <f aca="false">100000000/E95</f>
        <v>2062.66002862838</v>
      </c>
      <c r="H95" s="13"/>
    </row>
    <row collapsed="false" customFormat="false" customHeight="false" hidden="false" ht="12.8" outlineLevel="0" r="96">
      <c r="A96" s="0" t="n">
        <v>64</v>
      </c>
      <c r="B96" s="22" t="inlineStr">
        <f aca="false">B40</f>
        <is>
          <t/>
        </is>
      </c>
      <c r="C96" s="93"/>
      <c r="D96" s="45"/>
      <c r="E96" s="45" t="n">
        <f aca="false">E90-SUMPRODUCT(B91:B95,C91:C95)</f>
        <v>48481.0636291836</v>
      </c>
      <c r="F96" s="44"/>
      <c r="G96" s="13" t="n">
        <f aca="false">100000000/E96</f>
        <v>2062.66101678108</v>
      </c>
      <c r="H96" s="13"/>
    </row>
    <row collapsed="false" customFormat="false" customHeight="false" hidden="false" ht="12.8" outlineLevel="0" r="97">
      <c r="B97" s="33"/>
      <c r="C97" s="93"/>
      <c r="D97" s="45"/>
      <c r="E97" s="13"/>
      <c r="F97" s="38"/>
      <c r="G97" s="19"/>
      <c r="H97" s="19"/>
    </row>
    <row collapsed="false" customFormat="true" customHeight="false" hidden="false" ht="12.8" outlineLevel="0" r="98" s="5">
      <c r="A98" s="5" t="s">
        <v>18</v>
      </c>
    </row>
    <row collapsed="false" customFormat="true" customHeight="false" hidden="false" ht="13.8" outlineLevel="0" r="99" s="5">
      <c r="A99" s="5" t="s">
        <v>325</v>
      </c>
      <c r="B99" s="7" t="s">
        <v>326</v>
      </c>
    </row>
    <row collapsed="false" customFormat="true" customHeight="false" hidden="false" ht="13.8" outlineLevel="0" r="100" s="8">
      <c r="A100" s="8" t="s">
        <v>230</v>
      </c>
      <c r="B100" s="76" t="s">
        <v>231</v>
      </c>
      <c r="C100" s="61"/>
      <c r="D100" s="61"/>
      <c r="E100" s="61"/>
      <c r="F100" s="61"/>
      <c r="G100" s="61"/>
      <c r="H100" s="52"/>
      <c r="I100" s="52"/>
      <c r="J100" s="52"/>
      <c r="K100" s="52"/>
    </row>
    <row collapsed="false" customFormat="true" customHeight="false" hidden="false" ht="13.8" outlineLevel="0" r="101" s="8">
      <c r="A101" s="8" t="s">
        <v>460</v>
      </c>
      <c r="B101" s="76" t="s">
        <v>461</v>
      </c>
      <c r="C101" s="61"/>
      <c r="D101" s="61"/>
      <c r="E101" s="61"/>
      <c r="F101" s="61"/>
      <c r="G101" s="61"/>
      <c r="H101" s="52"/>
      <c r="I101" s="52"/>
      <c r="J101" s="52"/>
      <c r="K101" s="52"/>
    </row>
    <row collapsed="false" customFormat="true" customHeight="false" hidden="false" ht="13.8" outlineLevel="0" r="102" s="8">
      <c r="A102" s="8" t="s">
        <v>462</v>
      </c>
      <c r="B102" s="76" t="s">
        <v>463</v>
      </c>
      <c r="C102" s="61"/>
      <c r="D102" s="61"/>
      <c r="E102" s="61"/>
      <c r="F102" s="61"/>
      <c r="G102" s="61"/>
      <c r="H102" s="52"/>
      <c r="I102" s="52"/>
      <c r="J102" s="52"/>
      <c r="K102" s="52"/>
    </row>
    <row collapsed="false" customFormat="true" customHeight="false" hidden="false" ht="13.8" outlineLevel="0" r="103" s="5">
      <c r="A103" s="5" t="s">
        <v>329</v>
      </c>
      <c r="B103" s="7" t="s">
        <v>330</v>
      </c>
    </row>
    <row collapsed="false" customFormat="true" customHeight="false" hidden="false" ht="13.8" outlineLevel="0" r="104" s="5">
      <c r="A104" s="0" t="s">
        <v>350</v>
      </c>
      <c r="B104" s="7" t="s">
        <v>351</v>
      </c>
    </row>
    <row collapsed="false" customFormat="true" customHeight="false" hidden="false" ht="13.8" outlineLevel="0" r="105" s="5">
      <c r="A105" s="0" t="s">
        <v>464</v>
      </c>
      <c r="B105" s="7" t="s">
        <v>465</v>
      </c>
    </row>
    <row collapsed="false" customFormat="false" customHeight="false" hidden="false" ht="13.8" outlineLevel="0" r="106">
      <c r="A106" s="5" t="s">
        <v>157</v>
      </c>
      <c r="B106" s="7" t="s">
        <v>158</v>
      </c>
    </row>
    <row collapsed="false" customFormat="true" customHeight="false" hidden="false" ht="13.8" outlineLevel="0" r="107" s="5">
      <c r="A107" s="5" t="s">
        <v>331</v>
      </c>
      <c r="B107" s="7" t="s">
        <v>332</v>
      </c>
    </row>
  </sheetData>
  <mergeCells count="7">
    <mergeCell ref="C27:H27"/>
    <mergeCell ref="I65:I67"/>
    <mergeCell ref="I68:I70"/>
    <mergeCell ref="J84:J85"/>
    <mergeCell ref="K84:K85"/>
    <mergeCell ref="J86:J87"/>
    <mergeCell ref="K86:K87"/>
  </mergeCells>
  <hyperlinks>
    <hyperlink display="http://adsabs.harvard.edu/abs/2009PhST..134a4008A" ref="B99" r:id="rId1"/>
    <hyperlink display="http://adsabs.harvard.edu/abs/2003PhRvA..68b2502B" ref="B100" r:id="rId2"/>
    <hyperlink display="http://adsabs.harvard.edu/abs/1997JPhB...30.2351C" ref="B101" r:id="rId3"/>
    <hyperlink display="http://adsabs.harvard.edu/abs/2008JPhB...41b5001D" ref="B102" r:id="rId4"/>
    <hyperlink display="http://adsabs.harvard.edu/abs/2012MNRAS.420.1570N" ref="B103" r:id="rId5"/>
    <hyperlink display="http://adsabs.harvard.edu/abs/2000MNRAS.319..163P" ref="B104" r:id="rId6"/>
    <hyperlink display="http://adsabs.harvard.edu/abs/2003ApPhB..76..209M" ref="B105" r:id="rId7"/>
    <hyperlink display="http://adsabs.harvard.edu/abs/1998JPCRD..27.1275R" ref="B106" r:id="rId8"/>
    <hyperlink display="http://adsabs.harvard.edu/abs/2010ApJ...725..424R" ref="B107" r:id="rId9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A22" activeCellId="0" pane="topLeft" sqref="A22"/>
    </sheetView>
  </sheetViews>
  <cols>
    <col collapsed="false" hidden="false" max="1025" min="1" style="0" width="11.5764705882353"/>
  </cols>
  <sheetData>
    <row collapsed="false" customFormat="false" customHeight="false" hidden="false" ht="12.8" outlineLevel="0" r="1">
      <c r="A1" s="0" t="s">
        <v>466</v>
      </c>
    </row>
    <row collapsed="false" customFormat="false" customHeight="false" hidden="false" ht="12.8" outlineLevel="0" r="2">
      <c r="A2" s="0" t="s">
        <v>104</v>
      </c>
      <c r="B2" s="0" t="s">
        <v>467</v>
      </c>
      <c r="C2" s="0" t="s">
        <v>114</v>
      </c>
      <c r="D2" s="0" t="s">
        <v>468</v>
      </c>
      <c r="E2" s="0" t="s">
        <v>469</v>
      </c>
      <c r="F2" s="0" t="s">
        <v>470</v>
      </c>
      <c r="G2" s="0" t="s">
        <v>119</v>
      </c>
    </row>
    <row collapsed="false" customFormat="false" customHeight="false" hidden="false" ht="12.8" outlineLevel="0" r="3">
      <c r="A3" s="0" t="n">
        <f aca="false">3/2</f>
        <v>1.5</v>
      </c>
      <c r="B3" s="0" t="n">
        <f aca="false">1/2</f>
        <v>0.5</v>
      </c>
      <c r="C3" s="0" t="n">
        <f aca="false">1</f>
        <v>1</v>
      </c>
      <c r="D3" s="0" t="n">
        <v>0.5</v>
      </c>
      <c r="E3" s="0" t="n">
        <f aca="false">1</f>
        <v>1</v>
      </c>
      <c r="F3" s="11" t="n">
        <f aca="false">-1/6</f>
        <v>-0.166666666666667</v>
      </c>
      <c r="G3" s="11" t="n">
        <f aca="false">F3*F3</f>
        <v>0.0277777777777778</v>
      </c>
      <c r="H3" s="11"/>
      <c r="I3" s="11"/>
    </row>
    <row collapsed="false" customFormat="false" customHeight="false" hidden="false" ht="12.8" outlineLevel="0" r="4">
      <c r="A4" s="0" t="n">
        <f aca="false">3/2</f>
        <v>1.5</v>
      </c>
      <c r="B4" s="0" t="n">
        <f aca="false">1/2</f>
        <v>0.5</v>
      </c>
      <c r="C4" s="0" t="n">
        <f aca="false">1</f>
        <v>1</v>
      </c>
      <c r="D4" s="0" t="n">
        <v>0.5</v>
      </c>
      <c r="E4" s="0" t="n">
        <f aca="false">2</f>
        <v>2</v>
      </c>
      <c r="F4" s="11" t="n">
        <f aca="false">(1/2)*SQRT(1/3)</f>
        <v>0.288675134594813</v>
      </c>
      <c r="G4" s="11" t="n">
        <f aca="false">F4*F4</f>
        <v>0.0833333333333333</v>
      </c>
      <c r="H4" s="11"/>
      <c r="I4" s="11"/>
    </row>
    <row collapsed="false" customFormat="false" customHeight="false" hidden="false" ht="12.8" outlineLevel="0" r="5">
      <c r="A5" s="0" t="n">
        <f aca="false">3/2</f>
        <v>1.5</v>
      </c>
      <c r="B5" s="0" t="n">
        <f aca="false">1/2</f>
        <v>0.5</v>
      </c>
      <c r="C5" s="0" t="n">
        <f aca="false">2</f>
        <v>2</v>
      </c>
      <c r="D5" s="0" t="n">
        <v>0.5</v>
      </c>
      <c r="E5" s="0" t="n">
        <f aca="false">1</f>
        <v>1</v>
      </c>
      <c r="F5" s="11" t="n">
        <f aca="false">(1/2)*SQRT(1/3)</f>
        <v>0.288675134594813</v>
      </c>
      <c r="G5" s="11" t="n">
        <f aca="false">F5*F5</f>
        <v>0.0833333333333333</v>
      </c>
      <c r="H5" s="11"/>
      <c r="I5" s="11"/>
    </row>
    <row collapsed="false" customFormat="false" customHeight="false" hidden="false" ht="12.8" outlineLevel="0" r="6">
      <c r="A6" s="0" t="n">
        <f aca="false">3/2</f>
        <v>1.5</v>
      </c>
      <c r="B6" s="0" t="n">
        <f aca="false">1/2</f>
        <v>0.5</v>
      </c>
      <c r="C6" s="0" t="n">
        <f aca="false">2</f>
        <v>2</v>
      </c>
      <c r="D6" s="0" t="n">
        <v>0.5</v>
      </c>
      <c r="E6" s="0" t="n">
        <f aca="false">2</f>
        <v>2</v>
      </c>
      <c r="F6" s="11" t="n">
        <f aca="false">-(1/2)*SQRT(1/5)</f>
        <v>-0.223606797749979</v>
      </c>
      <c r="G6" s="11" t="n">
        <f aca="false">F6*F6</f>
        <v>0.05</v>
      </c>
      <c r="H6" s="11"/>
      <c r="I6" s="11"/>
    </row>
    <row collapsed="false" customFormat="false" customHeight="false" hidden="false" ht="12.8" outlineLevel="0" r="7">
      <c r="A7" s="0" t="n">
        <f aca="false">3/2</f>
        <v>1.5</v>
      </c>
      <c r="B7" s="0" t="n">
        <f aca="false">1/2</f>
        <v>0.5</v>
      </c>
      <c r="C7" s="0" t="n">
        <f aca="false">1</f>
        <v>1</v>
      </c>
      <c r="D7" s="0" t="n">
        <f aca="false">3/2</f>
        <v>1.5</v>
      </c>
      <c r="E7" s="0" t="n">
        <f aca="false">0</f>
        <v>0</v>
      </c>
      <c r="F7" s="11" t="n">
        <f aca="false">-(1/2)*SQRT(1/3)</f>
        <v>-0.288675134594813</v>
      </c>
      <c r="G7" s="11" t="n">
        <f aca="false">F7*F7</f>
        <v>0.0833333333333333</v>
      </c>
      <c r="H7" s="11"/>
      <c r="I7" s="11"/>
    </row>
    <row collapsed="false" customFormat="false" customHeight="false" hidden="false" ht="12.8" outlineLevel="0" r="8">
      <c r="A8" s="0" t="n">
        <f aca="false">3/2</f>
        <v>1.5</v>
      </c>
      <c r="B8" s="0" t="n">
        <f aca="false">1/2</f>
        <v>0.5</v>
      </c>
      <c r="C8" s="0" t="n">
        <f aca="false">1</f>
        <v>1</v>
      </c>
      <c r="D8" s="0" t="n">
        <f aca="false">3/2</f>
        <v>1.5</v>
      </c>
      <c r="E8" s="0" t="n">
        <f aca="false">1</f>
        <v>1</v>
      </c>
      <c r="F8" s="11" t="n">
        <f aca="false">(1/6)*SQRT(5/2)</f>
        <v>0.263523138347365</v>
      </c>
      <c r="G8" s="11" t="n">
        <f aca="false">F8*F8</f>
        <v>0.0694444444444444</v>
      </c>
      <c r="H8" s="11"/>
      <c r="I8" s="11"/>
    </row>
    <row collapsed="false" customFormat="false" customHeight="false" hidden="false" ht="12.8" outlineLevel="0" r="9">
      <c r="A9" s="0" t="n">
        <f aca="false">3/2</f>
        <v>1.5</v>
      </c>
      <c r="B9" s="0" t="n">
        <f aca="false">1/2</f>
        <v>0.5</v>
      </c>
      <c r="C9" s="0" t="n">
        <f aca="false">1</f>
        <v>1</v>
      </c>
      <c r="D9" s="0" t="n">
        <f aca="false">3/2</f>
        <v>1.5</v>
      </c>
      <c r="E9" s="0" t="n">
        <f aca="false">2</f>
        <v>2</v>
      </c>
      <c r="F9" s="11" t="n">
        <f aca="false">-(1/2)*SQRT(1/6)</f>
        <v>-0.204124145231931</v>
      </c>
      <c r="G9" s="11" t="n">
        <f aca="false">F9*F9</f>
        <v>0.0416666666666667</v>
      </c>
      <c r="H9" s="11"/>
      <c r="I9" s="11"/>
    </row>
    <row collapsed="false" customFormat="false" customHeight="false" hidden="false" ht="12.8" outlineLevel="0" r="10">
      <c r="A10" s="0" t="n">
        <f aca="false">3/2</f>
        <v>1.5</v>
      </c>
      <c r="B10" s="0" t="n">
        <f aca="false">1/2</f>
        <v>0.5</v>
      </c>
      <c r="C10" s="0" t="n">
        <f aca="false">2</f>
        <v>2</v>
      </c>
      <c r="D10" s="0" t="n">
        <f aca="false">3/2</f>
        <v>1.5</v>
      </c>
      <c r="E10" s="0" t="n">
        <v>1</v>
      </c>
      <c r="F10" s="11" t="n">
        <f aca="false">(1/2)*SQRT(1/30)</f>
        <v>0.0912870929175277</v>
      </c>
      <c r="G10" s="11" t="n">
        <f aca="false">F10*F10</f>
        <v>0.00833333333333333</v>
      </c>
      <c r="H10" s="11"/>
      <c r="I10" s="11"/>
    </row>
    <row collapsed="false" customFormat="false" customHeight="false" hidden="false" ht="12.8" outlineLevel="0" r="11">
      <c r="A11" s="0" t="n">
        <f aca="false">3/2</f>
        <v>1.5</v>
      </c>
      <c r="B11" s="0" t="n">
        <f aca="false">1/2</f>
        <v>0.5</v>
      </c>
      <c r="C11" s="0" t="n">
        <f aca="false">2</f>
        <v>2</v>
      </c>
      <c r="D11" s="0" t="n">
        <f aca="false">3/2</f>
        <v>1.5</v>
      </c>
      <c r="E11" s="0" t="n">
        <f aca="false">2</f>
        <v>2</v>
      </c>
      <c r="F11" s="11" t="n">
        <f aca="false">-(1/2)*SQRT(1/10)</f>
        <v>-0.158113883008419</v>
      </c>
      <c r="G11" s="11" t="n">
        <f aca="false">F11*F11</f>
        <v>0.025</v>
      </c>
      <c r="H11" s="11"/>
      <c r="I11" s="11"/>
    </row>
    <row collapsed="false" customFormat="false" customHeight="false" hidden="false" ht="12.8" outlineLevel="0" r="12">
      <c r="A12" s="0" t="n">
        <f aca="false">3/2</f>
        <v>1.5</v>
      </c>
      <c r="B12" s="0" t="n">
        <f aca="false">1/2</f>
        <v>0.5</v>
      </c>
      <c r="C12" s="0" t="n">
        <f aca="false">2</f>
        <v>2</v>
      </c>
      <c r="D12" s="0" t="n">
        <f aca="false">3/2</f>
        <v>1.5</v>
      </c>
      <c r="E12" s="0" t="n">
        <f aca="false">3</f>
        <v>3</v>
      </c>
      <c r="F12" s="11" t="n">
        <f aca="false">(1/2)*SQRT(1/5)</f>
        <v>0.223606797749979</v>
      </c>
      <c r="G12" s="11" t="n">
        <f aca="false">F12*F12</f>
        <v>0.05</v>
      </c>
      <c r="H12" s="11"/>
      <c r="I12" s="11"/>
    </row>
    <row collapsed="false" customFormat="false" customHeight="false" hidden="false" ht="12.8" outlineLevel="0" r="13">
      <c r="A13" s="0" t="n">
        <f aca="false">5/2</f>
        <v>2.5</v>
      </c>
      <c r="B13" s="0" t="n">
        <f aca="false">1/2</f>
        <v>0.5</v>
      </c>
      <c r="C13" s="0" t="n">
        <f aca="false">2</f>
        <v>2</v>
      </c>
      <c r="D13" s="0" t="n">
        <v>0.5</v>
      </c>
      <c r="E13" s="0" t="n">
        <f aca="false">2</f>
        <v>2</v>
      </c>
      <c r="F13" s="11" t="n">
        <f aca="false">-(1/3)*SQRT(1/5)</f>
        <v>-0.149071198499986</v>
      </c>
      <c r="G13" s="11" t="n">
        <f aca="false">F13*F13</f>
        <v>0.0222222222222222</v>
      </c>
      <c r="H13" s="11"/>
      <c r="I13" s="11"/>
    </row>
    <row collapsed="false" customFormat="false" customHeight="false" hidden="false" ht="12.8" outlineLevel="0" r="14">
      <c r="A14" s="0" t="n">
        <f aca="false">5/2</f>
        <v>2.5</v>
      </c>
      <c r="B14" s="0" t="n">
        <f aca="false">1/2</f>
        <v>0.5</v>
      </c>
      <c r="C14" s="0" t="n">
        <f aca="false">2</f>
        <v>2</v>
      </c>
      <c r="D14" s="0" t="n">
        <v>0.5</v>
      </c>
      <c r="E14" s="0" t="n">
        <f aca="false">3</f>
        <v>3</v>
      </c>
      <c r="F14" s="11" t="n">
        <f aca="false">(1/3)*SQRT(1/2)</f>
        <v>0.235702260395516</v>
      </c>
      <c r="G14" s="11" t="n">
        <f aca="false">F14*F14</f>
        <v>0.0555555555555556</v>
      </c>
      <c r="H14" s="11"/>
      <c r="I14" s="11"/>
    </row>
    <row collapsed="false" customFormat="false" customHeight="false" hidden="false" ht="12.8" outlineLevel="0" r="15">
      <c r="A15" s="0" t="n">
        <f aca="false">5/2</f>
        <v>2.5</v>
      </c>
      <c r="B15" s="0" t="n">
        <f aca="false">1/2</f>
        <v>0.5</v>
      </c>
      <c r="C15" s="0" t="n">
        <f aca="false">3</f>
        <v>3</v>
      </c>
      <c r="D15" s="0" t="n">
        <v>0.5</v>
      </c>
      <c r="E15" s="0" t="n">
        <f aca="false">2</f>
        <v>2</v>
      </c>
      <c r="F15" s="11" t="n">
        <f aca="false">(1/3)*SQRT(1/2)</f>
        <v>0.235702260395516</v>
      </c>
      <c r="G15" s="11" t="n">
        <f aca="false">F15*F15</f>
        <v>0.0555555555555556</v>
      </c>
      <c r="H15" s="11"/>
      <c r="I15" s="11"/>
    </row>
    <row collapsed="false" customFormat="false" customHeight="false" hidden="false" ht="12.8" outlineLevel="0" r="16">
      <c r="A16" s="0" t="n">
        <f aca="false">5/2</f>
        <v>2.5</v>
      </c>
      <c r="B16" s="0" t="n">
        <f aca="false">1/2</f>
        <v>0.5</v>
      </c>
      <c r="C16" s="0" t="n">
        <f aca="false">3</f>
        <v>3</v>
      </c>
      <c r="D16" s="0" t="n">
        <v>0.5</v>
      </c>
      <c r="E16" s="0" t="n">
        <f aca="false">3</f>
        <v>3</v>
      </c>
      <c r="F16" s="11" t="n">
        <f aca="false">-(1/3)*SQRT(2/7)</f>
        <v>-0.17817416127495</v>
      </c>
      <c r="G16" s="11" t="n">
        <f aca="false">F16*F16</f>
        <v>0.0317460317460317</v>
      </c>
      <c r="H16" s="11"/>
      <c r="I16" s="11"/>
    </row>
    <row collapsed="false" customFormat="false" customHeight="false" hidden="false" ht="12.8" outlineLevel="0" r="17">
      <c r="A17" s="0" t="n">
        <f aca="false">5/2</f>
        <v>2.5</v>
      </c>
      <c r="B17" s="0" t="n">
        <f aca="false">1/2</f>
        <v>0.5</v>
      </c>
      <c r="C17" s="0" t="n">
        <f aca="false">2</f>
        <v>2</v>
      </c>
      <c r="D17" s="0" t="n">
        <f aca="false">3/2</f>
        <v>1.5</v>
      </c>
      <c r="E17" s="0" t="n">
        <f aca="false">1</f>
        <v>1</v>
      </c>
      <c r="F17" s="11" t="n">
        <f aca="false">-(1/2)*SQRT(1/5)</f>
        <v>-0.223606797749979</v>
      </c>
      <c r="G17" s="11" t="n">
        <f aca="false">F17*F17</f>
        <v>0.05</v>
      </c>
      <c r="H17" s="11"/>
      <c r="I17" s="11"/>
    </row>
    <row collapsed="false" customFormat="false" customHeight="false" hidden="false" ht="12.8" outlineLevel="0" r="18">
      <c r="A18" s="0" t="n">
        <f aca="false">5/2</f>
        <v>2.5</v>
      </c>
      <c r="B18" s="0" t="n">
        <f aca="false">1/2</f>
        <v>0.5</v>
      </c>
      <c r="C18" s="0" t="n">
        <f aca="false">2</f>
        <v>2</v>
      </c>
      <c r="D18" s="0" t="n">
        <f aca="false">3/2</f>
        <v>1.5</v>
      </c>
      <c r="E18" s="0" t="n">
        <f aca="false">2</f>
        <v>2</v>
      </c>
      <c r="F18" s="11" t="n">
        <f aca="false">(1/6)*SQRT(7/5)</f>
        <v>0.197202659436654</v>
      </c>
      <c r="G18" s="11" t="n">
        <f aca="false">F18*F18</f>
        <v>0.0388888888888889</v>
      </c>
      <c r="H18" s="11"/>
      <c r="I18" s="11"/>
    </row>
    <row collapsed="false" customFormat="false" customHeight="false" hidden="false" ht="12.8" outlineLevel="0" r="19">
      <c r="A19" s="0" t="n">
        <f aca="false">5/2</f>
        <v>2.5</v>
      </c>
      <c r="B19" s="0" t="n">
        <f aca="false">1/2</f>
        <v>0.5</v>
      </c>
      <c r="C19" s="0" t="n">
        <f aca="false">2</f>
        <v>2</v>
      </c>
      <c r="D19" s="0" t="n">
        <f aca="false">3/2</f>
        <v>1.5</v>
      </c>
      <c r="E19" s="0" t="n">
        <f aca="false">3</f>
        <v>3</v>
      </c>
      <c r="F19" s="11" t="n">
        <f aca="false">-(1/3)*SQRT(1/5)</f>
        <v>-0.149071198499986</v>
      </c>
      <c r="G19" s="11" t="n">
        <f aca="false">F19*F19</f>
        <v>0.0222222222222222</v>
      </c>
      <c r="H19" s="11"/>
      <c r="I19" s="11"/>
    </row>
    <row collapsed="false" customFormat="false" customHeight="false" hidden="false" ht="12.8" outlineLevel="0" r="20">
      <c r="A20" s="0" t="n">
        <f aca="false">5/2</f>
        <v>2.5</v>
      </c>
      <c r="B20" s="0" t="n">
        <f aca="false">1/2</f>
        <v>0.5</v>
      </c>
      <c r="C20" s="0" t="n">
        <f aca="false">3</f>
        <v>3</v>
      </c>
      <c r="D20" s="0" t="n">
        <f aca="false">3/2</f>
        <v>1.5</v>
      </c>
      <c r="E20" s="0" t="n">
        <f aca="false">2</f>
        <v>2</v>
      </c>
      <c r="F20" s="11" t="n">
        <f aca="false">(1/3)*SQRT(1/14)</f>
        <v>0.0890870806374748</v>
      </c>
      <c r="G20" s="11" t="n">
        <f aca="false">F20*F20</f>
        <v>0.00793650793650794</v>
      </c>
      <c r="H20" s="11"/>
      <c r="I20" s="11"/>
    </row>
    <row collapsed="false" customFormat="false" customHeight="false" hidden="false" ht="12.8" outlineLevel="0" r="21">
      <c r="A21" s="0" t="n">
        <f aca="false">5/2</f>
        <v>2.5</v>
      </c>
      <c r="B21" s="0" t="n">
        <f aca="false">1/2</f>
        <v>0.5</v>
      </c>
      <c r="C21" s="0" t="n">
        <f aca="false">3</f>
        <v>3</v>
      </c>
      <c r="D21" s="0" t="n">
        <f aca="false">3/2</f>
        <v>1.5</v>
      </c>
      <c r="E21" s="0" t="n">
        <f aca="false">3</f>
        <v>3</v>
      </c>
      <c r="F21" s="11" t="n">
        <f aca="false">-(1/6)*SQRT(5/7)</f>
        <v>-0.140859042454753</v>
      </c>
      <c r="G21" s="11" t="n">
        <f aca="false">F21*F21</f>
        <v>0.0198412698412698</v>
      </c>
      <c r="H21" s="11"/>
      <c r="I21" s="11"/>
    </row>
    <row collapsed="false" customFormat="false" customHeight="false" hidden="false" ht="12.8" outlineLevel="0" r="22">
      <c r="A22" s="0" t="n">
        <f aca="false">5/2</f>
        <v>2.5</v>
      </c>
      <c r="B22" s="0" t="n">
        <f aca="false">1/2</f>
        <v>0.5</v>
      </c>
      <c r="C22" s="0" t="n">
        <f aca="false">3</f>
        <v>3</v>
      </c>
      <c r="D22" s="0" t="n">
        <f aca="false">3/2</f>
        <v>1.5</v>
      </c>
      <c r="E22" s="0" t="n">
        <f aca="false">4</f>
        <v>4</v>
      </c>
      <c r="F22" s="11" t="n">
        <f aca="false">(1/2)*SQRT(1/7)</f>
        <v>0.188982236504614</v>
      </c>
      <c r="G22" s="11" t="n">
        <f aca="false">F22*F22</f>
        <v>0.0357142857142857</v>
      </c>
      <c r="H22" s="11"/>
      <c r="I22" s="11"/>
    </row>
    <row collapsed="false" customFormat="false" customHeight="false" hidden="false" ht="12.8" outlineLevel="0" r="23">
      <c r="A23" s="0" t="n">
        <f aca="false">7/2</f>
        <v>3.5</v>
      </c>
      <c r="B23" s="0" t="n">
        <f aca="false">1/2</f>
        <v>0.5</v>
      </c>
      <c r="C23" s="0" t="n">
        <f aca="false">3</f>
        <v>3</v>
      </c>
      <c r="D23" s="0" t="n">
        <v>0.5</v>
      </c>
      <c r="E23" s="0" t="n">
        <f aca="false">3</f>
        <v>3</v>
      </c>
      <c r="F23" s="11" t="n">
        <f aca="false">-(1/2)*SQRT(1/14)</f>
        <v>-0.133630620956212</v>
      </c>
      <c r="G23" s="11" t="n">
        <f aca="false">F23*F23</f>
        <v>0.0178571428571429</v>
      </c>
      <c r="H23" s="11"/>
      <c r="I23" s="11"/>
    </row>
    <row collapsed="false" customFormat="false" customHeight="false" hidden="false" ht="12.8" outlineLevel="0" r="24">
      <c r="A24" s="0" t="n">
        <f aca="false">7/2</f>
        <v>3.5</v>
      </c>
      <c r="B24" s="0" t="n">
        <f aca="false">1/2</f>
        <v>0.5</v>
      </c>
      <c r="C24" s="0" t="n">
        <f aca="false">3</f>
        <v>3</v>
      </c>
      <c r="D24" s="0" t="n">
        <v>0.5</v>
      </c>
      <c r="E24" s="0" t="n">
        <f aca="false">4</f>
        <v>4</v>
      </c>
      <c r="F24" s="11" t="n">
        <f aca="false">(1/2)*SQRT(1/6)</f>
        <v>0.204124145231931</v>
      </c>
      <c r="G24" s="11" t="n">
        <f aca="false">F24*F24</f>
        <v>0.0416666666666667</v>
      </c>
      <c r="H24" s="11"/>
      <c r="I24" s="11"/>
    </row>
    <row collapsed="false" customFormat="false" customHeight="false" hidden="false" ht="12.8" outlineLevel="0" r="25">
      <c r="A25" s="0" t="n">
        <f aca="false">7/2</f>
        <v>3.5</v>
      </c>
      <c r="B25" s="0" t="n">
        <f aca="false">1/2</f>
        <v>0.5</v>
      </c>
      <c r="C25" s="0" t="n">
        <f aca="false">4</f>
        <v>4</v>
      </c>
      <c r="D25" s="0" t="n">
        <v>0.5</v>
      </c>
      <c r="E25" s="0" t="n">
        <f aca="false">3</f>
        <v>3</v>
      </c>
      <c r="F25" s="11" t="n">
        <f aca="false">(1/2)*SQRT(1/6)</f>
        <v>0.204124145231931</v>
      </c>
      <c r="G25" s="11" t="n">
        <f aca="false">F25*F25</f>
        <v>0.0416666666666667</v>
      </c>
      <c r="H25" s="11"/>
      <c r="I25" s="11"/>
    </row>
    <row collapsed="false" customFormat="false" customHeight="false" hidden="false" ht="12.8" outlineLevel="0" r="26">
      <c r="A26" s="0" t="n">
        <f aca="false">7/2</f>
        <v>3.5</v>
      </c>
      <c r="B26" s="0" t="n">
        <f aca="false">1/2</f>
        <v>0.5</v>
      </c>
      <c r="C26" s="0" t="n">
        <f aca="false">4</f>
        <v>4</v>
      </c>
      <c r="D26" s="0" t="n">
        <v>0.5</v>
      </c>
      <c r="E26" s="0" t="n">
        <f aca="false">4</f>
        <v>4</v>
      </c>
      <c r="F26" s="11" t="n">
        <f aca="false">-(1/6)*SQRT(5/6)</f>
        <v>-0.152145154862546</v>
      </c>
      <c r="G26" s="11" t="n">
        <f aca="false">F26*F26</f>
        <v>0.0231481481481481</v>
      </c>
      <c r="H26" s="11"/>
      <c r="I26" s="11"/>
    </row>
    <row collapsed="false" customFormat="false" customHeight="false" hidden="false" ht="12.8" outlineLevel="0" r="27">
      <c r="A27" s="0" t="n">
        <f aca="false">7/2</f>
        <v>3.5</v>
      </c>
      <c r="B27" s="0" t="n">
        <f aca="false">1/2</f>
        <v>0.5</v>
      </c>
      <c r="C27" s="0" t="n">
        <f aca="false">3</f>
        <v>3</v>
      </c>
      <c r="D27" s="0" t="n">
        <f aca="false">3/2</f>
        <v>1.5</v>
      </c>
      <c r="E27" s="0" t="n">
        <f aca="false">2</f>
        <v>2</v>
      </c>
      <c r="F27" s="11" t="n">
        <f aca="false">-(1/2)*SQRT(1/7)</f>
        <v>-0.188982236504614</v>
      </c>
      <c r="G27" s="11" t="n">
        <f aca="false">F27*F27</f>
        <v>0.0357142857142857</v>
      </c>
      <c r="H27" s="11"/>
      <c r="I27" s="11"/>
    </row>
    <row collapsed="false" customFormat="false" customHeight="false" hidden="false" ht="12.8" outlineLevel="0" r="28">
      <c r="A28" s="0" t="n">
        <f aca="false">7/2</f>
        <v>3.5</v>
      </c>
      <c r="B28" s="0" t="n">
        <f aca="false">1/2</f>
        <v>0.5</v>
      </c>
      <c r="C28" s="0" t="n">
        <f aca="false">3</f>
        <v>3</v>
      </c>
      <c r="D28" s="0" t="n">
        <f aca="false">3/2</f>
        <v>1.5</v>
      </c>
      <c r="E28" s="0" t="n">
        <f aca="false">3</f>
        <v>3</v>
      </c>
      <c r="F28" s="11" t="n">
        <f aca="false">(1/4)*SQRT(3/7)</f>
        <v>0.163663417676994</v>
      </c>
      <c r="G28" s="11" t="n">
        <f aca="false">F28*F28</f>
        <v>0.0267857142857143</v>
      </c>
      <c r="H28" s="11"/>
      <c r="I28" s="11"/>
    </row>
    <row collapsed="false" customFormat="false" customHeight="false" hidden="false" ht="12.8" outlineLevel="0" r="29">
      <c r="A29" s="0" t="n">
        <f aca="false">7/2</f>
        <v>3.5</v>
      </c>
      <c r="B29" s="0" t="n">
        <f aca="false">1/2</f>
        <v>0.5</v>
      </c>
      <c r="C29" s="0" t="n">
        <f aca="false">3</f>
        <v>3</v>
      </c>
      <c r="D29" s="0" t="n">
        <f aca="false">3/2</f>
        <v>1.5</v>
      </c>
      <c r="E29" s="0" t="n">
        <f aca="false">4</f>
        <v>4</v>
      </c>
      <c r="F29" s="11" t="n">
        <f aca="false">-(1/4)*SQRT(5/21)</f>
        <v>-0.121987509118567</v>
      </c>
      <c r="G29" s="11" t="n">
        <f aca="false">F29*F29</f>
        <v>0.0148809523809524</v>
      </c>
      <c r="H29" s="11"/>
      <c r="I29" s="11"/>
    </row>
    <row collapsed="false" customFormat="false" customHeight="false" hidden="false" ht="12.8" outlineLevel="0" r="30">
      <c r="A30" s="0" t="n">
        <f aca="false">7/2</f>
        <v>3.5</v>
      </c>
      <c r="B30" s="0" t="n">
        <f aca="false">1/2</f>
        <v>0.5</v>
      </c>
      <c r="C30" s="0" t="n">
        <f aca="false">4</f>
        <v>4</v>
      </c>
      <c r="D30" s="0" t="n">
        <f aca="false">3/2</f>
        <v>1.5</v>
      </c>
      <c r="E30" s="0" t="n">
        <f aca="false">3</f>
        <v>3</v>
      </c>
      <c r="F30" s="11" t="n">
        <f aca="false">1/12</f>
        <v>0.0833333333333333</v>
      </c>
      <c r="G30" s="11" t="n">
        <f aca="false">F30*F30</f>
        <v>0.00694444444444444</v>
      </c>
      <c r="H30" s="11"/>
      <c r="I30" s="11"/>
    </row>
    <row collapsed="false" customFormat="false" customHeight="false" hidden="false" ht="12.8" outlineLevel="0" r="31">
      <c r="A31" s="0" t="n">
        <f aca="false">7/2</f>
        <v>3.5</v>
      </c>
      <c r="B31" s="0" t="n">
        <f aca="false">1/2</f>
        <v>0.5</v>
      </c>
      <c r="C31" s="0" t="n">
        <f aca="false">4</f>
        <v>4</v>
      </c>
      <c r="D31" s="0" t="n">
        <f aca="false">3/2</f>
        <v>1.5</v>
      </c>
      <c r="E31" s="0" t="n">
        <f aca="false">4</f>
        <v>4</v>
      </c>
      <c r="F31" s="11" t="n">
        <f aca="false">-(1/12)*SQRT(7/3)</f>
        <v>-0.127293769304329</v>
      </c>
      <c r="G31" s="11" t="n">
        <f aca="false">F31*F31</f>
        <v>0.0162037037037037</v>
      </c>
      <c r="H31" s="11"/>
      <c r="I31" s="11"/>
    </row>
    <row collapsed="false" customFormat="false" customHeight="false" hidden="false" ht="12.8" outlineLevel="0" r="32">
      <c r="A32" s="0" t="n">
        <f aca="false">7/2</f>
        <v>3.5</v>
      </c>
      <c r="B32" s="0" t="n">
        <f aca="false">1/2</f>
        <v>0.5</v>
      </c>
      <c r="C32" s="0" t="n">
        <f aca="false">4</f>
        <v>4</v>
      </c>
      <c r="D32" s="0" t="n">
        <f aca="false">3/2</f>
        <v>1.5</v>
      </c>
      <c r="E32" s="0" t="n">
        <f aca="false">5</f>
        <v>5</v>
      </c>
      <c r="F32" s="11" t="n">
        <f aca="false">1/6</f>
        <v>0.166666666666667</v>
      </c>
      <c r="G32" s="11" t="n">
        <f aca="false">F32*F32</f>
        <v>0.0277777777777778</v>
      </c>
      <c r="H32" s="11"/>
      <c r="I32" s="11"/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E6" activeCellId="0" pane="topLeft" sqref="E6"/>
    </sheetView>
  </sheetViews>
  <cols>
    <col collapsed="false" hidden="false" max="1" min="1" style="0" width="14.0352941176471"/>
    <col collapsed="false" hidden="false" max="2" min="2" style="0" width="13.4588235294118"/>
    <col collapsed="false" hidden="false" max="3" min="3" style="0" width="17.0862745098039"/>
    <col collapsed="false" hidden="false" max="4" min="4" style="0" width="15.4117647058824"/>
    <col collapsed="false" hidden="false" max="5" min="5" style="0" width="14.0352941176471"/>
    <col collapsed="false" hidden="false" max="6" min="6" style="0" width="14.443137254902"/>
    <col collapsed="false" hidden="false" max="7" min="7" style="0" width="17.121568627451"/>
    <col collapsed="false" hidden="false" max="8" min="8" style="0" width="16.3960784313725"/>
    <col collapsed="false" hidden="false" max="9" min="9" style="0" width="15.0039215686275"/>
    <col collapsed="false" hidden="false" max="10" min="10" style="0" width="14.1647058823529"/>
    <col collapsed="false" hidden="false" max="11" min="11" style="0" width="13.0588235294118"/>
    <col collapsed="false" hidden="false" max="12" min="12" style="0" width="20.4862745098039"/>
    <col collapsed="false" hidden="false" max="13" min="13" style="0" width="19.5254901960784"/>
    <col collapsed="false" hidden="false" max="14" min="14" style="0" width="13.6313725490196"/>
    <col collapsed="false" hidden="false" max="15" min="15" style="0" width="14.7058823529412"/>
    <col collapsed="false" hidden="false" max="16" min="16" style="0" width="12.5372549019608"/>
    <col collapsed="false" hidden="false" max="17" min="17" style="0" width="13.078431372549"/>
    <col collapsed="false" hidden="false" max="18" min="18" style="0" width="12.8862745098039"/>
    <col collapsed="false" hidden="false" max="19" min="19" style="0" width="12.7960784313726"/>
    <col collapsed="false" hidden="false" max="20" min="20" style="0" width="11.5764705882353"/>
    <col collapsed="false" hidden="false" max="21" min="21" style="0" width="13.5411764705882"/>
    <col collapsed="false" hidden="false" max="1025" min="22" style="0" width="11.5764705882353"/>
  </cols>
  <sheetData>
    <row collapsed="false" customFormat="true" customHeight="false" hidden="false" ht="12.8" outlineLevel="0" r="1" s="5">
      <c r="A1" s="5" t="s">
        <v>31</v>
      </c>
      <c r="B1" s="9" t="s">
        <v>32</v>
      </c>
      <c r="AMJ1" s="0"/>
    </row>
    <row collapsed="false" customFormat="true" customHeight="false" hidden="false" ht="12.8" outlineLevel="0" r="2" s="5">
      <c r="B2" s="10"/>
      <c r="AMJ2" s="0"/>
    </row>
    <row collapsed="false" customFormat="true" customHeight="false" hidden="false" ht="12.8" outlineLevel="0" r="3" s="5">
      <c r="A3" s="5" t="s">
        <v>33</v>
      </c>
      <c r="B3" s="10"/>
      <c r="AMJ3" s="0"/>
    </row>
    <row collapsed="false" customFormat="false" customHeight="false" hidden="false" ht="13.8" outlineLevel="0" r="4">
      <c r="A4" s="0" t="s">
        <v>34</v>
      </c>
      <c r="B4" s="0" t="s">
        <v>35</v>
      </c>
      <c r="C4" s="0" t="s">
        <v>36</v>
      </c>
      <c r="D4" s="0" t="s">
        <v>37</v>
      </c>
      <c r="E4" s="0" t="s">
        <v>38</v>
      </c>
      <c r="F4" s="0" t="s">
        <v>39</v>
      </c>
      <c r="G4" s="0" t="s">
        <v>8</v>
      </c>
      <c r="H4" s="0" t="s">
        <v>40</v>
      </c>
      <c r="I4" s="0" t="s">
        <v>41</v>
      </c>
      <c r="J4" s="0" t="s">
        <v>42</v>
      </c>
      <c r="K4" s="0" t="s">
        <v>43</v>
      </c>
      <c r="L4" s="0" t="s">
        <v>44</v>
      </c>
      <c r="M4" s="0" t="s">
        <v>45</v>
      </c>
      <c r="N4" s="0" t="s">
        <v>46</v>
      </c>
      <c r="O4" s="0" t="s">
        <v>47</v>
      </c>
      <c r="P4" s="0" t="s">
        <v>48</v>
      </c>
      <c r="Q4" s="0" t="s">
        <v>49</v>
      </c>
      <c r="R4" s="0" t="s">
        <v>50</v>
      </c>
      <c r="S4" s="0" t="s">
        <v>51</v>
      </c>
      <c r="T4" s="0" t="s">
        <v>52</v>
      </c>
    </row>
    <row collapsed="false" customFormat="false" customHeight="false" hidden="false" ht="12.8" outlineLevel="0" r="5">
      <c r="A5" s="0" t="s">
        <v>53</v>
      </c>
      <c r="B5" s="0" t="n">
        <v>5891</v>
      </c>
      <c r="C5" s="0" t="s">
        <v>54</v>
      </c>
      <c r="D5" s="11" t="n">
        <v>22.9897692809</v>
      </c>
      <c r="E5" s="12" t="n">
        <f aca="false">C60</f>
        <v>16973.3662062549</v>
      </c>
      <c r="F5" s="13" t="n">
        <f aca="false">D60</f>
        <v>4.32143089618256E-005</v>
      </c>
      <c r="G5" s="14" t="n">
        <v>1</v>
      </c>
      <c r="I5" s="13" t="n">
        <f aca="false">E60</f>
        <v>5891.58324782676</v>
      </c>
      <c r="J5" s="13" t="n">
        <f aca="false">F60</f>
        <v>1.5E-005</v>
      </c>
      <c r="K5" s="15" t="n">
        <f aca="false">299792458*J5/I5</f>
        <v>0.763273076326092</v>
      </c>
      <c r="L5" s="0" t="s">
        <v>55</v>
      </c>
      <c r="M5" s="0" t="s">
        <v>56</v>
      </c>
      <c r="N5" s="0" t="s">
        <v>57</v>
      </c>
      <c r="O5" s="15" t="n">
        <v>5.14</v>
      </c>
      <c r="P5" s="15" t="n">
        <v>47.29</v>
      </c>
      <c r="Q5" s="11" t="n">
        <v>0.6408</v>
      </c>
      <c r="R5" s="16" t="n">
        <v>61570000</v>
      </c>
      <c r="S5" s="14" t="n">
        <v>62</v>
      </c>
      <c r="T5" s="14" t="n">
        <v>2</v>
      </c>
    </row>
    <row collapsed="false" customFormat="false" customHeight="false" hidden="false" ht="13.8" outlineLevel="0" r="6">
      <c r="C6" s="0" t="s">
        <v>58</v>
      </c>
      <c r="D6" s="14" t="s">
        <v>59</v>
      </c>
      <c r="E6" s="12" t="n">
        <f aca="false">C61</f>
        <v>16973.4018527097</v>
      </c>
      <c r="F6" s="13"/>
      <c r="G6" s="14" t="n">
        <v>4</v>
      </c>
      <c r="H6" s="5" t="s">
        <v>60</v>
      </c>
      <c r="I6" s="13" t="n">
        <f aca="false">E61</f>
        <v>5891.57087469981</v>
      </c>
      <c r="J6" s="13"/>
      <c r="K6" s="15"/>
      <c r="L6" s="0" t="s">
        <v>61</v>
      </c>
      <c r="M6" s="0" t="s">
        <v>62</v>
      </c>
      <c r="O6" s="15"/>
      <c r="P6" s="15"/>
      <c r="Q6" s="17" t="n">
        <f aca="false">B61</f>
        <v>0.375</v>
      </c>
      <c r="R6" s="18"/>
      <c r="S6" s="14"/>
      <c r="T6" s="14"/>
    </row>
    <row collapsed="false" customFormat="false" customHeight="false" hidden="false" ht="12.8" outlineLevel="0" r="7">
      <c r="C7" s="0" t="s">
        <v>58</v>
      </c>
      <c r="D7" s="14" t="s">
        <v>59</v>
      </c>
      <c r="E7" s="12" t="n">
        <f aca="false">C62</f>
        <v>16973.344818382</v>
      </c>
      <c r="F7" s="13"/>
      <c r="G7" s="14" t="n">
        <v>4</v>
      </c>
      <c r="H7" s="5" t="n">
        <f aca="false">H6</f>
        <v>0</v>
      </c>
      <c r="I7" s="13" t="n">
        <f aca="false">E62</f>
        <v>5891.59067172788</v>
      </c>
      <c r="J7" s="13"/>
      <c r="K7" s="15"/>
      <c r="L7" s="0" t="s">
        <v>63</v>
      </c>
      <c r="M7" s="0" t="s">
        <v>64</v>
      </c>
      <c r="O7" s="15"/>
      <c r="P7" s="15"/>
      <c r="Q7" s="17" t="n">
        <f aca="false">B62</f>
        <v>0.625</v>
      </c>
      <c r="R7" s="18"/>
      <c r="S7" s="14"/>
      <c r="T7" s="14"/>
    </row>
    <row collapsed="false" customFormat="false" customHeight="false" hidden="false" ht="12.8" outlineLevel="0" r="8">
      <c r="B8" s="0" t="n">
        <v>5897</v>
      </c>
      <c r="C8" s="0" t="s">
        <v>54</v>
      </c>
      <c r="D8" s="11" t="n">
        <f aca="false">$D$5</f>
        <v>22.9897692809</v>
      </c>
      <c r="E8" s="12" t="n">
        <f aca="false">C63</f>
        <v>16956.1702469975</v>
      </c>
      <c r="F8" s="13" t="n">
        <f aca="false">D63</f>
        <v>4.31266396827659E-005</v>
      </c>
      <c r="G8" s="14" t="n">
        <v>1</v>
      </c>
      <c r="I8" s="13" t="n">
        <f aca="false">E63</f>
        <v>5897.55814805571</v>
      </c>
      <c r="J8" s="13" t="n">
        <f aca="false">F63</f>
        <v>1.5E-005</v>
      </c>
      <c r="K8" s="15" t="n">
        <f aca="false">299792458*J8/I8</f>
        <v>0.762499793492077</v>
      </c>
      <c r="M8" s="0" t="s">
        <v>65</v>
      </c>
      <c r="N8" s="0" t="s">
        <v>66</v>
      </c>
      <c r="O8" s="15"/>
      <c r="P8" s="15"/>
      <c r="Q8" s="11" t="n">
        <v>0.3201</v>
      </c>
      <c r="R8" s="16" t="n">
        <v>61390000</v>
      </c>
      <c r="S8" s="14" t="n">
        <v>45</v>
      </c>
      <c r="T8" s="14" t="n">
        <v>2</v>
      </c>
    </row>
    <row collapsed="false" customFormat="false" customHeight="false" hidden="false" ht="13.8" outlineLevel="0" r="9">
      <c r="C9" s="0" t="s">
        <v>58</v>
      </c>
      <c r="D9" s="14" t="n">
        <f aca="false">D6</f>
        <v>0</v>
      </c>
      <c r="E9" s="13" t="n">
        <f aca="false">C64</f>
        <v>16956.2084940014</v>
      </c>
      <c r="F9" s="13"/>
      <c r="G9" s="14" t="n">
        <v>4</v>
      </c>
      <c r="H9" s="5" t="s">
        <v>67</v>
      </c>
      <c r="I9" s="13" t="n">
        <f aca="false">E64</f>
        <v>5897.54484532182</v>
      </c>
      <c r="J9" s="13"/>
      <c r="K9" s="15"/>
      <c r="L9" s="0" t="s">
        <v>61</v>
      </c>
      <c r="M9" s="0" t="s">
        <v>68</v>
      </c>
      <c r="O9" s="15"/>
      <c r="P9" s="15"/>
      <c r="Q9" s="17" t="n">
        <f aca="false">B64</f>
        <v>0.375</v>
      </c>
      <c r="R9" s="18"/>
      <c r="S9" s="14"/>
      <c r="T9" s="14"/>
    </row>
    <row collapsed="false" customFormat="false" customHeight="false" hidden="false" ht="12.8" outlineLevel="0" r="10">
      <c r="C10" s="0" t="s">
        <v>58</v>
      </c>
      <c r="D10" s="14" t="n">
        <f aca="false">D7</f>
        <v>0</v>
      </c>
      <c r="E10" s="13" t="n">
        <f aca="false">C65</f>
        <v>16956.1472987952</v>
      </c>
      <c r="F10" s="13"/>
      <c r="G10" s="14" t="n">
        <v>4</v>
      </c>
      <c r="H10" s="5" t="n">
        <f aca="false">H9</f>
        <v>0</v>
      </c>
      <c r="I10" s="13" t="n">
        <f aca="false">E65</f>
        <v>5897.56612972485</v>
      </c>
      <c r="J10" s="13"/>
      <c r="K10" s="15"/>
      <c r="L10" s="0" t="s">
        <v>63</v>
      </c>
      <c r="M10" s="0" t="s">
        <v>68</v>
      </c>
      <c r="O10" s="15"/>
      <c r="P10" s="15"/>
      <c r="Q10" s="17" t="n">
        <f aca="false">B65</f>
        <v>0.625</v>
      </c>
      <c r="R10" s="18"/>
      <c r="S10" s="14"/>
      <c r="T10" s="14"/>
    </row>
    <row collapsed="false" customFormat="false" customHeight="false" hidden="false" ht="12.8" outlineLevel="0" r="11">
      <c r="A11" s="0" t="s">
        <v>69</v>
      </c>
      <c r="C11" s="14"/>
      <c r="D11" s="19"/>
      <c r="F11" s="14"/>
      <c r="H11" s="20"/>
      <c r="I11" s="20"/>
      <c r="J11" s="21"/>
      <c r="N11" s="15"/>
      <c r="O11" s="15"/>
      <c r="P11" s="22"/>
      <c r="Q11" s="18"/>
      <c r="R11" s="14"/>
      <c r="S11" s="14"/>
    </row>
    <row collapsed="false" customFormat="true" customHeight="false" hidden="false" ht="12.8" outlineLevel="0" r="12" s="5">
      <c r="B12" s="10"/>
      <c r="AMJ12" s="0"/>
    </row>
    <row collapsed="false" customFormat="true" customHeight="false" hidden="false" ht="12.8" outlineLevel="0" r="13" s="5">
      <c r="A13" s="5" t="s">
        <v>70</v>
      </c>
      <c r="B13" s="10"/>
      <c r="AMJ13" s="0"/>
    </row>
    <row collapsed="false" customFormat="true" customHeight="true" hidden="false" ht="25" outlineLevel="0" r="14" s="5">
      <c r="B14" s="23" t="s">
        <v>71</v>
      </c>
      <c r="C14" s="23"/>
      <c r="D14" s="23"/>
      <c r="E14" s="24" t="s">
        <v>72</v>
      </c>
      <c r="F14" s="24"/>
      <c r="G14" s="24"/>
      <c r="H14" s="0" t="s">
        <v>73</v>
      </c>
      <c r="I14" s="0" t="s">
        <v>74</v>
      </c>
      <c r="J14" s="0" t="s">
        <v>75</v>
      </c>
      <c r="K14" s="0" t="s">
        <v>76</v>
      </c>
    </row>
    <row collapsed="false" customFormat="false" customHeight="false" hidden="false" ht="13.8" outlineLevel="0" r="15">
      <c r="A15" s="5" t="s">
        <v>77</v>
      </c>
      <c r="B15" s="0" t="s">
        <v>78</v>
      </c>
      <c r="C15" s="0" t="s">
        <v>79</v>
      </c>
      <c r="D15" s="0" t="s">
        <v>80</v>
      </c>
      <c r="E15" s="0" t="s">
        <v>81</v>
      </c>
      <c r="F15" s="25" t="s">
        <v>82</v>
      </c>
      <c r="G15" s="26" t="s">
        <v>83</v>
      </c>
      <c r="L15" s="27"/>
      <c r="M15" s="27"/>
    </row>
    <row collapsed="false" customFormat="false" customHeight="false" hidden="false" ht="13.8" outlineLevel="0" r="16">
      <c r="A16" s="0" t="n">
        <v>5891</v>
      </c>
      <c r="B16" s="5" t="s">
        <v>84</v>
      </c>
      <c r="C16" s="28" t="n">
        <f aca="false">5891.58022</f>
        <v>5891.58022</v>
      </c>
      <c r="D16" s="13" t="n">
        <f aca="false">0.0000045</f>
        <v>4.5E-006</v>
      </c>
      <c r="E16" s="13" t="s">
        <v>85</v>
      </c>
      <c r="F16" s="29" t="n">
        <f aca="false">299792458/(C16*0.0000000001)/1000000-56</f>
        <v>508848923.060494</v>
      </c>
      <c r="G16" s="30" t="n">
        <f aca="false">0.5</f>
        <v>0.5</v>
      </c>
      <c r="H16" s="13" t="n">
        <f aca="false">F16*10000/299792458</f>
        <v>16973.3730613228</v>
      </c>
      <c r="I16" s="13" t="n">
        <f aca="false">K16/J16*H16</f>
        <v>4.32143089618256E-005</v>
      </c>
      <c r="J16" s="13" t="n">
        <f aca="false">100000000/H16</f>
        <v>5891.58086838202</v>
      </c>
      <c r="K16" s="13" t="n">
        <f aca="false">0.000015</f>
        <v>1.5E-005</v>
      </c>
      <c r="L16" s="31"/>
      <c r="M16" s="31"/>
    </row>
    <row collapsed="false" customFormat="false" customHeight="false" hidden="false" ht="13.8" outlineLevel="0" r="17">
      <c r="A17" s="0" t="n">
        <v>5897</v>
      </c>
      <c r="B17" s="5" t="s">
        <v>86</v>
      </c>
      <c r="C17" s="28" t="n">
        <f aca="false">5897.566617</f>
        <v>5897.566617</v>
      </c>
      <c r="D17" s="13" t="n">
        <f aca="false">0.000002</f>
        <v>2E-006</v>
      </c>
      <c r="E17" s="13" t="s">
        <v>87</v>
      </c>
      <c r="F17" s="29" t="n">
        <f aca="false">299792458/(C17*0.0000000001)/1000000+42</f>
        <v>508332507.691587</v>
      </c>
      <c r="G17" s="30" t="n">
        <f aca="false">0.5</f>
        <v>0.5</v>
      </c>
      <c r="H17" s="13" t="n">
        <f aca="false">F17*10000/299792458</f>
        <v>16956.1472987952</v>
      </c>
      <c r="I17" s="13" t="n">
        <f aca="false">K17/J17*H17</f>
        <v>4.31266396827659E-005</v>
      </c>
      <c r="J17" s="13" t="n">
        <f aca="false">100000000/H17</f>
        <v>5897.56612972485</v>
      </c>
      <c r="K17" s="13" t="n">
        <f aca="false">0.000015</f>
        <v>1.5E-005</v>
      </c>
      <c r="L17" s="31"/>
      <c r="M17" s="31"/>
    </row>
    <row collapsed="false" customFormat="false" customHeight="false" hidden="false" ht="12.8" outlineLevel="0" r="19">
      <c r="A19" s="0" t="s">
        <v>88</v>
      </c>
      <c r="B19" s="15"/>
      <c r="C19" s="15"/>
    </row>
    <row collapsed="false" customFormat="false" customHeight="false" hidden="false" ht="12.8" outlineLevel="0" r="21">
      <c r="A21" s="0" t="s">
        <v>89</v>
      </c>
    </row>
    <row collapsed="false" customFormat="false" customHeight="false" hidden="false" ht="12.8" outlineLevel="0" r="22">
      <c r="A22" s="0" t="s">
        <v>90</v>
      </c>
      <c r="B22" s="0" t="s">
        <v>91</v>
      </c>
      <c r="C22" s="0" t="s">
        <v>92</v>
      </c>
      <c r="D22" s="0" t="s">
        <v>93</v>
      </c>
    </row>
    <row collapsed="false" customFormat="false" customHeight="false" hidden="false" ht="12.8" outlineLevel="0" r="23">
      <c r="A23" s="0" t="s">
        <v>94</v>
      </c>
      <c r="B23" s="19" t="n">
        <f aca="false">1771.6261288*2/(2*$C$30+1)</f>
        <v>885.8130644</v>
      </c>
      <c r="C23" s="19" t="n">
        <f aca="false">0.000001*2/(2*$C$30+1)</f>
        <v>5E-007</v>
      </c>
      <c r="D23" s="0" t="s">
        <v>95</v>
      </c>
    </row>
    <row collapsed="false" customFormat="false" customHeight="false" hidden="false" ht="13.8" outlineLevel="0" r="24">
      <c r="A24" s="0" t="s">
        <v>96</v>
      </c>
      <c r="B24" s="15" t="n">
        <f aca="false">94.44</f>
        <v>94.44</v>
      </c>
      <c r="C24" s="15" t="n">
        <f aca="false">0.13</f>
        <v>0.13</v>
      </c>
      <c r="D24" s="0" t="s">
        <v>97</v>
      </c>
    </row>
    <row collapsed="false" customFormat="false" customHeight="false" hidden="false" ht="13.8" outlineLevel="0" r="25">
      <c r="A25" s="0" t="s">
        <v>98</v>
      </c>
      <c r="B25" s="32" t="n">
        <f aca="false">18.534</f>
        <v>18.534</v>
      </c>
      <c r="C25" s="32" t="n">
        <f aca="false">0.015</f>
        <v>0.015</v>
      </c>
      <c r="D25" s="0" t="s">
        <v>99</v>
      </c>
    </row>
    <row collapsed="false" customFormat="false" customHeight="false" hidden="false" ht="13.8" outlineLevel="0" r="26">
      <c r="A26" s="0" t="s">
        <v>98</v>
      </c>
      <c r="B26" s="33" t="n">
        <f aca="false">2.724</f>
        <v>2.724</v>
      </c>
      <c r="C26" s="33" t="n">
        <f aca="false">0.03</f>
        <v>0.03</v>
      </c>
      <c r="D26" s="5" t="s">
        <v>100</v>
      </c>
    </row>
    <row collapsed="false" customFormat="false" customHeight="false" hidden="false" ht="12.8" outlineLevel="0" r="28">
      <c r="A28" s="0" t="s">
        <v>101</v>
      </c>
    </row>
    <row collapsed="false" customFormat="true" customHeight="false" hidden="false" ht="13.8" outlineLevel="0" r="29" s="26">
      <c r="A29" s="26" t="s">
        <v>102</v>
      </c>
      <c r="B29" s="26" t="s">
        <v>103</v>
      </c>
      <c r="C29" s="26" t="s">
        <v>104</v>
      </c>
      <c r="D29" s="26" t="s">
        <v>105</v>
      </c>
      <c r="E29" s="26" t="s">
        <v>106</v>
      </c>
      <c r="F29" s="26" t="s">
        <v>107</v>
      </c>
      <c r="G29" s="26" t="s">
        <v>108</v>
      </c>
      <c r="H29" s="26" t="s">
        <v>109</v>
      </c>
      <c r="I29" s="26" t="s">
        <v>110</v>
      </c>
      <c r="J29" s="26" t="s">
        <v>111</v>
      </c>
      <c r="K29" s="26" t="s">
        <v>112</v>
      </c>
    </row>
    <row collapsed="false" customFormat="false" customHeight="false" hidden="false" ht="12.8" outlineLevel="0" r="30">
      <c r="A30" s="0" t="n">
        <v>1.5</v>
      </c>
      <c r="B30" s="0" t="n">
        <v>3</v>
      </c>
      <c r="C30" s="0" t="n">
        <f aca="false">3/2</f>
        <v>1.5</v>
      </c>
      <c r="D30" s="0" t="n">
        <f aca="false">B30*(B30+1)-C30*(C30+1)-A30*(A30+1)</f>
        <v>4.5</v>
      </c>
      <c r="E30" s="30" t="n">
        <f aca="false">(3*D30*(D30+1)-4*C30*(C30+1)*A30*(A30+1))/(2*C30*(2*C30-1)*2*A30*(2*A30-1))</f>
        <v>0.5</v>
      </c>
      <c r="F30" s="0" t="n">
        <f aca="false">B25*D30/2</f>
        <v>41.7015</v>
      </c>
      <c r="G30" s="15" t="n">
        <f aca="false">ABS(C25*D30/2)</f>
        <v>0.03375</v>
      </c>
      <c r="H30" s="15" t="n">
        <f aca="false">B26*E30/2</f>
        <v>0.681</v>
      </c>
      <c r="I30" s="15" t="n">
        <f aca="false">ABS(C26*E30/2)</f>
        <v>0.0075</v>
      </c>
      <c r="J30" s="32" t="n">
        <f aca="false">F30+H30</f>
        <v>42.3825</v>
      </c>
      <c r="K30" s="32" t="n">
        <f aca="false">SQRT(G30*G30+I30*I30)</f>
        <v>0.0345732917148483</v>
      </c>
    </row>
    <row collapsed="false" customFormat="false" customHeight="false" hidden="false" ht="12.8" outlineLevel="0" r="31">
      <c r="A31" s="0" t="n">
        <v>1.5</v>
      </c>
      <c r="B31" s="0" t="n">
        <v>2</v>
      </c>
      <c r="C31" s="0" t="n">
        <f aca="false">C30</f>
        <v>1.5</v>
      </c>
      <c r="D31" s="0" t="n">
        <f aca="false">B31*(B31+1)-C31*(C31+1)-A31*(A31+1)</f>
        <v>-1.5</v>
      </c>
      <c r="E31" s="30" t="n">
        <f aca="false">(3*D31*(D31+1)-4*C31*(C31+1)*A31*(A31+1))/(2*C31*(2*C31-1)*2*A31*(2*A31-1))</f>
        <v>-1.5</v>
      </c>
      <c r="F31" s="0" t="n">
        <f aca="false">B25*D31/2</f>
        <v>-13.9005</v>
      </c>
      <c r="G31" s="15" t="n">
        <f aca="false">ABS(C25*D31/2)</f>
        <v>0.01125</v>
      </c>
      <c r="H31" s="15" t="n">
        <f aca="false">B26*E31/2</f>
        <v>-2.043</v>
      </c>
      <c r="I31" s="15" t="n">
        <f aca="false">ABS(C26*E31/2)</f>
        <v>0.0225</v>
      </c>
      <c r="J31" s="32" t="n">
        <f aca="false">F31+H31</f>
        <v>-15.9435</v>
      </c>
      <c r="K31" s="32" t="n">
        <f aca="false">SQRT(G31*G31+I31*I31)</f>
        <v>0.0251557647468726</v>
      </c>
    </row>
    <row collapsed="false" customFormat="false" customHeight="false" hidden="false" ht="12.8" outlineLevel="0" r="32">
      <c r="A32" s="0" t="n">
        <v>1.5</v>
      </c>
      <c r="B32" s="0" t="n">
        <v>1</v>
      </c>
      <c r="C32" s="0" t="n">
        <f aca="false">C31</f>
        <v>1.5</v>
      </c>
      <c r="D32" s="0" t="n">
        <f aca="false">B32*(B32+1)-C32*(C32+1)-A32*(A32+1)</f>
        <v>-5.5</v>
      </c>
      <c r="E32" s="30" t="n">
        <f aca="false">(3*D32*(D32+1)-4*C32*(C32+1)*A32*(A32+1))/(2*C32*(2*C32-1)*2*A32*(2*A32-1))</f>
        <v>0.5</v>
      </c>
      <c r="F32" s="0" t="n">
        <f aca="false">B25*D32/2</f>
        <v>-50.9685</v>
      </c>
      <c r="G32" s="15" t="n">
        <f aca="false">ABS(C25*D32/2)</f>
        <v>0.04125</v>
      </c>
      <c r="H32" s="15" t="n">
        <f aca="false">B26*E32/2</f>
        <v>0.681</v>
      </c>
      <c r="I32" s="15" t="n">
        <f aca="false">ABS(C26*E32/2)</f>
        <v>0.0075</v>
      </c>
      <c r="J32" s="32" t="n">
        <f aca="false">F32+H32</f>
        <v>-50.2875</v>
      </c>
      <c r="K32" s="32" t="n">
        <f aca="false">SQRT(G32*G32+I32*I32)</f>
        <v>0.041926274578121</v>
      </c>
    </row>
    <row collapsed="false" customFormat="false" customHeight="false" hidden="false" ht="12.8" outlineLevel="0" r="33">
      <c r="A33" s="0" t="n">
        <v>1.5</v>
      </c>
      <c r="B33" s="0" t="n">
        <v>0</v>
      </c>
      <c r="C33" s="0" t="n">
        <f aca="false">C32</f>
        <v>1.5</v>
      </c>
      <c r="D33" s="0" t="n">
        <f aca="false">B33*(B33+1)-C33*(C33+1)-A33*(A33+1)</f>
        <v>-7.5</v>
      </c>
      <c r="E33" s="30" t="n">
        <f aca="false">(3*D33*(D33+1)-4*C33*(C33+1)*A33*(A33+1))/(2*C33*(2*C33-1)*2*A33*(2*A33-1))</f>
        <v>2.5</v>
      </c>
      <c r="F33" s="0" t="n">
        <f aca="false">B25*D33/2</f>
        <v>-69.5025</v>
      </c>
      <c r="G33" s="15" t="n">
        <f aca="false">ABS(C25*D33/2)</f>
        <v>0.05625</v>
      </c>
      <c r="H33" s="15" t="n">
        <f aca="false">B26*E33/2</f>
        <v>3.405</v>
      </c>
      <c r="I33" s="15" t="n">
        <f aca="false">ABS(C26*E33/2)</f>
        <v>0.0375</v>
      </c>
      <c r="J33" s="32" t="n">
        <f aca="false">F33+H33</f>
        <v>-66.0975</v>
      </c>
      <c r="K33" s="32" t="n">
        <f aca="false">SQRT(G33*G33+I33*I33)</f>
        <v>0.0676040864149498</v>
      </c>
    </row>
    <row collapsed="false" customFormat="false" customHeight="false" hidden="false" ht="12.8" outlineLevel="0" r="34">
      <c r="A34" s="0" t="n">
        <v>0.5</v>
      </c>
      <c r="B34" s="0" t="n">
        <v>2</v>
      </c>
      <c r="C34" s="0" t="n">
        <f aca="false">C33</f>
        <v>1.5</v>
      </c>
      <c r="D34" s="0" t="n">
        <f aca="false">B34*(B34+1)-C34*(C34+1)-A34*(A34+1)</f>
        <v>1.5</v>
      </c>
      <c r="E34" s="30" t="n">
        <f aca="false">0</f>
        <v>0</v>
      </c>
      <c r="F34" s="0" t="n">
        <f aca="false">B24*D34/2</f>
        <v>70.83</v>
      </c>
      <c r="G34" s="15" t="n">
        <f aca="false">ABS(C24*D34/2)</f>
        <v>0.0975</v>
      </c>
      <c r="H34" s="15" t="n">
        <f aca="false">0</f>
        <v>0</v>
      </c>
      <c r="I34" s="15" t="n">
        <f aca="false">0</f>
        <v>0</v>
      </c>
      <c r="J34" s="15" t="n">
        <f aca="false">F34+H34</f>
        <v>70.83</v>
      </c>
      <c r="K34" s="15" t="n">
        <f aca="false">SQRT(G34*G34+I34*I34)</f>
        <v>0.0975</v>
      </c>
    </row>
    <row collapsed="false" customFormat="false" customHeight="false" hidden="false" ht="12.8" outlineLevel="0" r="35">
      <c r="A35" s="0" t="n">
        <v>0.5</v>
      </c>
      <c r="B35" s="0" t="n">
        <v>1</v>
      </c>
      <c r="C35" s="0" t="n">
        <f aca="false">C34</f>
        <v>1.5</v>
      </c>
      <c r="D35" s="0" t="n">
        <f aca="false">B35*(B35+1)-C35*(C35+1)-A35*(A35+1)</f>
        <v>-2.5</v>
      </c>
      <c r="E35" s="30" t="n">
        <f aca="false">0</f>
        <v>0</v>
      </c>
      <c r="F35" s="0" t="n">
        <f aca="false">B24*D35/2</f>
        <v>-118.05</v>
      </c>
      <c r="G35" s="15" t="n">
        <f aca="false">ABS(C24*D35/2)</f>
        <v>0.1625</v>
      </c>
      <c r="H35" s="15" t="n">
        <f aca="false">0</f>
        <v>0</v>
      </c>
      <c r="I35" s="15" t="n">
        <f aca="false">0</f>
        <v>0</v>
      </c>
      <c r="J35" s="15" t="n">
        <f aca="false">F35+H35</f>
        <v>-118.05</v>
      </c>
      <c r="K35" s="15" t="n">
        <f aca="false">SQRT(G35*G35+I35*I35)</f>
        <v>0.1625</v>
      </c>
    </row>
    <row collapsed="false" customFormat="false" customHeight="false" hidden="false" ht="12.8" outlineLevel="0" r="36">
      <c r="A36" s="0" t="n">
        <v>0.5</v>
      </c>
      <c r="B36" s="0" t="n">
        <v>2</v>
      </c>
      <c r="C36" s="0" t="n">
        <f aca="false">C35</f>
        <v>1.5</v>
      </c>
      <c r="D36" s="0" t="n">
        <f aca="false">B36*(B36+1)-C36*(C36+1)-A36*(A36+1)</f>
        <v>1.5</v>
      </c>
      <c r="E36" s="30" t="n">
        <f aca="false">0</f>
        <v>0</v>
      </c>
      <c r="F36" s="19" t="n">
        <f aca="false">B23*D36/2</f>
        <v>664.3597983</v>
      </c>
      <c r="G36" s="19" t="n">
        <f aca="false">ABS(C23*D36/2)</f>
        <v>3.75E-007</v>
      </c>
      <c r="H36" s="19" t="n">
        <f aca="false">0</f>
        <v>0</v>
      </c>
      <c r="I36" s="19" t="n">
        <f aca="false">0</f>
        <v>0</v>
      </c>
      <c r="J36" s="19" t="n">
        <f aca="false">F36+H36</f>
        <v>664.3597983</v>
      </c>
      <c r="K36" s="19" t="n">
        <f aca="false">SQRT(G36*G36+I36*I36)</f>
        <v>3.75E-007</v>
      </c>
    </row>
    <row collapsed="false" customFormat="false" customHeight="false" hidden="false" ht="12.8" outlineLevel="0" r="37">
      <c r="A37" s="0" t="n">
        <v>0.5</v>
      </c>
      <c r="B37" s="0" t="n">
        <v>1</v>
      </c>
      <c r="C37" s="0" t="n">
        <f aca="false">C36</f>
        <v>1.5</v>
      </c>
      <c r="D37" s="0" t="n">
        <f aca="false">B37*(B37+1)-C37*(C37+1)-A37*(A37+1)</f>
        <v>-2.5</v>
      </c>
      <c r="E37" s="30" t="n">
        <f aca="false">0</f>
        <v>0</v>
      </c>
      <c r="F37" s="20" t="n">
        <f aca="false">B23*D37/2</f>
        <v>-1107.2663305</v>
      </c>
      <c r="G37" s="20" t="n">
        <f aca="false">ABS(C23*D37/2)</f>
        <v>6.25E-007</v>
      </c>
      <c r="H37" s="20" t="n">
        <f aca="false">0</f>
        <v>0</v>
      </c>
      <c r="I37" s="20" t="n">
        <f aca="false">0</f>
        <v>0</v>
      </c>
      <c r="J37" s="20" t="n">
        <f aca="false">F37+H37</f>
        <v>-1107.2663305</v>
      </c>
      <c r="K37" s="20" t="n">
        <f aca="false">SQRT(G37*G37+I37*I37)</f>
        <v>6.25E-007</v>
      </c>
    </row>
    <row collapsed="false" customFormat="false" customHeight="false" hidden="false" ht="12.8" outlineLevel="0" r="39">
      <c r="A39" s="0" t="s">
        <v>113</v>
      </c>
      <c r="C39" s="15"/>
      <c r="D39" s="15"/>
      <c r="E39" s="34"/>
      <c r="F39" s="15"/>
    </row>
    <row collapsed="false" customFormat="true" customHeight="false" hidden="false" ht="36.15" outlineLevel="0" r="40" s="26">
      <c r="A40" s="26" t="s">
        <v>114</v>
      </c>
      <c r="B40" s="26" t="s">
        <v>115</v>
      </c>
      <c r="C40" s="35" t="s">
        <v>82</v>
      </c>
      <c r="D40" s="26" t="s">
        <v>116</v>
      </c>
      <c r="E40" s="26" t="s">
        <v>73</v>
      </c>
      <c r="F40" s="26" t="s">
        <v>117</v>
      </c>
      <c r="G40" s="26" t="s">
        <v>75</v>
      </c>
      <c r="H40" s="26" t="s">
        <v>76</v>
      </c>
      <c r="I40" s="26" t="s">
        <v>118</v>
      </c>
      <c r="J40" s="26" t="s">
        <v>119</v>
      </c>
      <c r="K40" s="26" t="s">
        <v>120</v>
      </c>
      <c r="L40" s="26" t="s">
        <v>121</v>
      </c>
      <c r="M40" s="26" t="s">
        <v>73</v>
      </c>
      <c r="N40" s="26" t="s">
        <v>117</v>
      </c>
      <c r="O40" s="26" t="s">
        <v>75</v>
      </c>
      <c r="P40" s="26" t="s">
        <v>76</v>
      </c>
      <c r="AMI40" s="0"/>
      <c r="AMJ40" s="0"/>
    </row>
    <row collapsed="false" customFormat="true" customHeight="true" hidden="false" ht="13.8" outlineLevel="0" r="41" s="26">
      <c r="A41" s="24" t="s">
        <v>122</v>
      </c>
      <c r="B41" s="24"/>
      <c r="C41" s="20" t="n">
        <f aca="false">J36-J37</f>
        <v>1771.6261288</v>
      </c>
      <c r="D41" s="25" t="n">
        <f aca="false">SQRT(K36*K36+K37*K37)</f>
        <v>7.28868986855663E-007</v>
      </c>
      <c r="AMI41" s="0"/>
      <c r="AMJ41" s="0"/>
    </row>
    <row collapsed="false" customFormat="false" customHeight="false" hidden="false" ht="12.8" outlineLevel="0" r="42">
      <c r="A42" s="0" t="n">
        <v>1</v>
      </c>
      <c r="B42" s="0" t="n">
        <v>3</v>
      </c>
      <c r="C42" s="36" t="n">
        <f aca="false">C43-(J31-J30)</f>
        <v>508849867.199558</v>
      </c>
      <c r="D42" s="36" t="n">
        <f aca="false">$G$16</f>
        <v>0.5</v>
      </c>
      <c r="E42" s="13" t="n">
        <f aca="false">C42*10000/299792458</f>
        <v>16973.404554412</v>
      </c>
      <c r="F42" s="13" t="n">
        <f aca="false">D42*10000/299792458</f>
        <v>1.66782047599076E-005</v>
      </c>
      <c r="G42" s="19" t="n">
        <f aca="false">100000000/E42</f>
        <v>5891.56993692265</v>
      </c>
      <c r="H42" s="19" t="n">
        <f aca="false">F42/E42*G42</f>
        <v>5.78910432790987E-006</v>
      </c>
      <c r="I42" s="0" t="s">
        <v>123</v>
      </c>
      <c r="J42" s="37"/>
      <c r="K42" s="37"/>
      <c r="L42" s="37"/>
      <c r="M42" s="38"/>
      <c r="N42" s="13"/>
      <c r="O42" s="19"/>
      <c r="P42" s="19"/>
      <c r="Q42" s="38"/>
    </row>
    <row collapsed="false" customFormat="false" customHeight="false" hidden="false" ht="12.8" outlineLevel="0" r="43">
      <c r="A43" s="0" t="n">
        <v>1</v>
      </c>
      <c r="B43" s="0" t="n">
        <v>2</v>
      </c>
      <c r="C43" s="36" t="n">
        <f aca="false">F16+0.5*C41</f>
        <v>508849808.873558</v>
      </c>
      <c r="D43" s="36" t="n">
        <f aca="false">$G$16</f>
        <v>0.5</v>
      </c>
      <c r="E43" s="13" t="n">
        <f aca="false">C43*10000/299792458</f>
        <v>16973.4026088661</v>
      </c>
      <c r="F43" s="13" t="n">
        <f aca="false">D43*10000/299792458</f>
        <v>1.66782047599076E-005</v>
      </c>
      <c r="G43" s="19" t="n">
        <f aca="false">100000000/E43</f>
        <v>5891.57061223332</v>
      </c>
      <c r="H43" s="19" t="n">
        <f aca="false">F43/E43*G43</f>
        <v>5.78910565504142E-006</v>
      </c>
      <c r="J43" s="39" t="n">
        <f aca="false">6JSymbols!G9</f>
        <v>0.0416666666666667</v>
      </c>
      <c r="K43" s="39" t="n">
        <f aca="false">(2*A43+1)*(2*B43+1)*J43</f>
        <v>0.625</v>
      </c>
      <c r="L43" s="40" t="n">
        <f aca="false">K43/SUM($K$43:$K$48)</f>
        <v>0.15625</v>
      </c>
      <c r="M43" s="41" t="n">
        <f aca="false">SUMPRODUCT(E43:E45,L43:L45)/SUM(L43:L45)</f>
        <v>16973.4018527097</v>
      </c>
      <c r="N43" s="41" t="n">
        <f aca="false">SQRT(SUMPRODUCT(F43:F45,F43:F45,L43:L45)/SUM(L43:L45))</f>
        <v>1.66782047599076E-005</v>
      </c>
      <c r="O43" s="42" t="n">
        <f aca="false">100000000/M43</f>
        <v>5891.57087469981</v>
      </c>
      <c r="P43" s="42" t="n">
        <f aca="false">N43/M43*O43</f>
        <v>5.78910617084488E-006</v>
      </c>
      <c r="Q43" s="13"/>
    </row>
    <row collapsed="false" customFormat="false" customHeight="false" hidden="false" ht="12.8" outlineLevel="0" r="44">
      <c r="A44" s="0" t="n">
        <v>1</v>
      </c>
      <c r="B44" s="0" t="n">
        <v>1</v>
      </c>
      <c r="C44" s="36" t="n">
        <f aca="false">C43-(J31-J32)</f>
        <v>508849774.529558</v>
      </c>
      <c r="D44" s="36" t="n">
        <f aca="false">$G$16</f>
        <v>0.5</v>
      </c>
      <c r="E44" s="13" t="n">
        <f aca="false">C44*10000/299792458</f>
        <v>16973.4014632736</v>
      </c>
      <c r="F44" s="13" t="n">
        <f aca="false">D44*10000/299792458</f>
        <v>1.66782047599076E-005</v>
      </c>
      <c r="G44" s="19" t="n">
        <f aca="false">100000000/E44</f>
        <v>5891.57100987544</v>
      </c>
      <c r="H44" s="19" t="n">
        <f aca="false">F44/E44*G44</f>
        <v>5.78910643649426E-006</v>
      </c>
      <c r="J44" s="43" t="n">
        <f aca="false">6JSymbols!G8</f>
        <v>0.0694444444444444</v>
      </c>
      <c r="K44" s="39" t="n">
        <f aca="false">(2*A44+1)*(2*B44+1)*J44</f>
        <v>0.625</v>
      </c>
      <c r="L44" s="40" t="n">
        <f aca="false">K44/SUM($K$43:$K$48)</f>
        <v>0.15625</v>
      </c>
      <c r="M44" s="41"/>
      <c r="N44" s="41"/>
      <c r="O44" s="42"/>
      <c r="P44" s="42"/>
    </row>
    <row collapsed="false" customFormat="false" customHeight="false" hidden="false" ht="12.8" outlineLevel="0" r="45">
      <c r="A45" s="0" t="n">
        <v>1</v>
      </c>
      <c r="B45" s="0" t="n">
        <v>0</v>
      </c>
      <c r="C45" s="36" t="n">
        <f aca="false">C43-(J31-J33)</f>
        <v>508849758.719558</v>
      </c>
      <c r="D45" s="36" t="n">
        <f aca="false">$G$16</f>
        <v>0.5</v>
      </c>
      <c r="E45" s="13" t="n">
        <f aca="false">C45*10000/299792458</f>
        <v>16973.4009359087</v>
      </c>
      <c r="F45" s="13" t="n">
        <f aca="false">D45*10000/299792458</f>
        <v>1.66782047599076E-005</v>
      </c>
      <c r="G45" s="19" t="n">
        <f aca="false">100000000/E45</f>
        <v>5891.57119292699</v>
      </c>
      <c r="H45" s="19" t="n">
        <f aca="false">F45/E45*G45</f>
        <v>5.78910679623021E-006</v>
      </c>
      <c r="J45" s="43" t="n">
        <f aca="false">6JSymbols!G7</f>
        <v>0.0833333333333333</v>
      </c>
      <c r="K45" s="39" t="n">
        <f aca="false">(2*A45+1)*(2*B45+1)*J45</f>
        <v>0.25</v>
      </c>
      <c r="L45" s="40" t="n">
        <f aca="false">K45/SUM($K$43:$K$48)</f>
        <v>0.0625</v>
      </c>
      <c r="M45" s="41"/>
      <c r="N45" s="41"/>
      <c r="O45" s="42"/>
      <c r="P45" s="42"/>
    </row>
    <row collapsed="false" customFormat="false" customHeight="false" hidden="false" ht="12.8" outlineLevel="0" r="46">
      <c r="A46" s="0" t="n">
        <v>2</v>
      </c>
      <c r="B46" s="0" t="n">
        <v>3</v>
      </c>
      <c r="C46" s="36" t="n">
        <f aca="false">C47-(J31-J30)</f>
        <v>508848095.57343</v>
      </c>
      <c r="D46" s="36" t="n">
        <f aca="false">$G$16</f>
        <v>0.5</v>
      </c>
      <c r="E46" s="13" t="n">
        <f aca="false">C46*10000/299792458</f>
        <v>16973.3454593254</v>
      </c>
      <c r="F46" s="13" t="n">
        <f aca="false">D46*10000/299792458</f>
        <v>1.66782047599076E-005</v>
      </c>
      <c r="G46" s="19" t="n">
        <f aca="false">100000000/E46</f>
        <v>5891.59044925104</v>
      </c>
      <c r="H46" s="19" t="n">
        <f aca="false">F46/E46*G46</f>
        <v>5.78914463914001E-006</v>
      </c>
      <c r="J46" s="39" t="n">
        <f aca="false">6JSymbols!G12</f>
        <v>0.05</v>
      </c>
      <c r="K46" s="39" t="n">
        <f aca="false">(2*A46+1)*(2*B46+1)*J46</f>
        <v>1.75</v>
      </c>
      <c r="L46" s="40" t="n">
        <f aca="false">K46/SUM($K$43:$K$48)</f>
        <v>0.4375</v>
      </c>
      <c r="M46" s="41" t="n">
        <f aca="false">SUMPRODUCT(E46:E48,L46:L48)/SUM(L46:L48)</f>
        <v>16973.344818382</v>
      </c>
      <c r="N46" s="41" t="n">
        <f aca="false">SQRT(SUMPRODUCT(F46:F48,F46:F48,L46:L48)/SUM(L46:L48))</f>
        <v>1.66782047599076E-005</v>
      </c>
      <c r="O46" s="42" t="n">
        <f aca="false">100000000/M46</f>
        <v>5891.59067172788</v>
      </c>
      <c r="P46" s="42" t="n">
        <f aca="false">N46/M46*O46</f>
        <v>5.78914507635662E-006</v>
      </c>
    </row>
    <row collapsed="false" customFormat="false" customHeight="false" hidden="false" ht="12.8" outlineLevel="0" r="47">
      <c r="A47" s="0" t="n">
        <v>2</v>
      </c>
      <c r="B47" s="0" t="n">
        <v>2</v>
      </c>
      <c r="C47" s="36" t="n">
        <f aca="false">F16-0.5*C41</f>
        <v>508848037.247429</v>
      </c>
      <c r="D47" s="36" t="n">
        <f aca="false">$G$16</f>
        <v>0.5</v>
      </c>
      <c r="E47" s="13" t="n">
        <f aca="false">C47*10000/299792458</f>
        <v>16973.3435137794</v>
      </c>
      <c r="F47" s="13" t="n">
        <f aca="false">D47*10000/299792458</f>
        <v>1.66782047599076E-005</v>
      </c>
      <c r="G47" s="19" t="n">
        <f aca="false">100000000/E47</f>
        <v>5891.59112456642</v>
      </c>
      <c r="H47" s="19" t="n">
        <f aca="false">F47/E47*G47</f>
        <v>5.78914596628542E-006</v>
      </c>
      <c r="J47" s="43" t="n">
        <f aca="false">6JSymbols!G11</f>
        <v>0.025</v>
      </c>
      <c r="K47" s="39" t="n">
        <f aca="false">(2*A47+1)*(2*B47+1)*J47</f>
        <v>0.625</v>
      </c>
      <c r="L47" s="40" t="n">
        <f aca="false">K47/SUM($K$43:$K$48)</f>
        <v>0.15625</v>
      </c>
      <c r="M47" s="41"/>
      <c r="N47" s="41"/>
      <c r="O47" s="42"/>
      <c r="P47" s="42"/>
    </row>
    <row collapsed="false" customFormat="false" customHeight="false" hidden="false" ht="12.8" outlineLevel="0" r="48">
      <c r="A48" s="0" t="n">
        <v>2</v>
      </c>
      <c r="B48" s="0" t="n">
        <v>1</v>
      </c>
      <c r="C48" s="36" t="n">
        <f aca="false">C47-(J31-J32)</f>
        <v>508848002.903429</v>
      </c>
      <c r="D48" s="36" t="n">
        <f aca="false">$G$16</f>
        <v>0.5</v>
      </c>
      <c r="E48" s="13" t="n">
        <f aca="false">C48*10000/299792458</f>
        <v>16973.3423681869</v>
      </c>
      <c r="F48" s="13" t="n">
        <f aca="false">D48*10000/299792458</f>
        <v>1.66782047599076E-005</v>
      </c>
      <c r="G48" s="19" t="n">
        <f aca="false">100000000/E48</f>
        <v>5891.59152221131</v>
      </c>
      <c r="H48" s="19" t="n">
        <f aca="false">F48/E48*G48</f>
        <v>5.78914674774643E-006</v>
      </c>
      <c r="J48" s="43" t="n">
        <f aca="false">6JSymbols!G10</f>
        <v>0.00833333333333333</v>
      </c>
      <c r="K48" s="39" t="n">
        <f aca="false">(2*A48+1)*(2*B48+1)*J48</f>
        <v>0.125</v>
      </c>
      <c r="L48" s="40" t="n">
        <f aca="false">K48/SUM($K$43:$K$48)</f>
        <v>0.03125</v>
      </c>
      <c r="M48" s="41"/>
      <c r="N48" s="41"/>
      <c r="O48" s="42"/>
      <c r="P48" s="42"/>
    </row>
    <row collapsed="false" customFormat="false" customHeight="false" hidden="false" ht="12.8" outlineLevel="0" r="49">
      <c r="A49" s="0" t="n">
        <v>2</v>
      </c>
      <c r="B49" s="0" t="n">
        <v>0</v>
      </c>
      <c r="C49" s="36" t="n">
        <f aca="false">C48-(J31-J33)</f>
        <v>508847952.74943</v>
      </c>
      <c r="D49" s="36" t="n">
        <f aca="false">$G$16</f>
        <v>0.5</v>
      </c>
      <c r="E49" s="13" t="n">
        <f aca="false">C49*10000/299792458</f>
        <v>16973.3406952295</v>
      </c>
      <c r="F49" s="13" t="n">
        <f aca="false">D49*10000/299792458</f>
        <v>1.66782047599076E-005</v>
      </c>
      <c r="G49" s="19" t="n">
        <f aca="false">100000000/E49</f>
        <v>5891.5921029091</v>
      </c>
      <c r="H49" s="19" t="n">
        <f aca="false">F49/E49*G49</f>
        <v>5.78914788894737E-006</v>
      </c>
      <c r="I49" s="0" t="s">
        <v>123</v>
      </c>
      <c r="J49" s="43"/>
      <c r="K49" s="43"/>
      <c r="L49" s="44"/>
      <c r="M49" s="44"/>
      <c r="N49" s="38"/>
      <c r="O49" s="38"/>
      <c r="P49" s="38"/>
    </row>
    <row collapsed="false" customFormat="false" customHeight="false" hidden="false" ht="12.8" outlineLevel="0" r="50">
      <c r="C50" s="36"/>
      <c r="D50" s="36"/>
      <c r="E50" s="45"/>
      <c r="F50" s="45"/>
      <c r="G50" s="13"/>
      <c r="H50" s="13"/>
      <c r="J50" s="43"/>
      <c r="K50" s="43"/>
      <c r="L50" s="45"/>
      <c r="M50" s="19"/>
      <c r="N50" s="19"/>
    </row>
    <row collapsed="false" customFormat="false" customHeight="false" hidden="false" ht="12.8" outlineLevel="0" r="51">
      <c r="A51" s="0" t="s">
        <v>124</v>
      </c>
      <c r="J51" s="43"/>
      <c r="K51" s="43"/>
      <c r="L51" s="45"/>
    </row>
    <row collapsed="false" customFormat="false" customHeight="false" hidden="false" ht="13.8" outlineLevel="0" r="52">
      <c r="A52" s="0" t="s">
        <v>114</v>
      </c>
      <c r="B52" s="0" t="s">
        <v>115</v>
      </c>
      <c r="C52" s="0" t="s">
        <v>82</v>
      </c>
      <c r="D52" s="0" t="s">
        <v>116</v>
      </c>
      <c r="E52" s="0" t="s">
        <v>73</v>
      </c>
      <c r="F52" s="0" t="s">
        <v>74</v>
      </c>
      <c r="G52" s="0" t="s">
        <v>75</v>
      </c>
      <c r="H52" s="0" t="s">
        <v>76</v>
      </c>
      <c r="I52" s="0" t="s">
        <v>118</v>
      </c>
      <c r="J52" s="43"/>
      <c r="K52" s="43"/>
      <c r="L52" s="46"/>
      <c r="M52" s="0" t="s">
        <v>73</v>
      </c>
      <c r="N52" s="0" t="s">
        <v>117</v>
      </c>
      <c r="O52" s="0" t="s">
        <v>75</v>
      </c>
      <c r="P52" s="0" t="s">
        <v>76</v>
      </c>
    </row>
    <row collapsed="false" customFormat="false" customHeight="true" hidden="false" ht="13.8" outlineLevel="0" r="53">
      <c r="A53" s="24" t="s">
        <v>125</v>
      </c>
      <c r="B53" s="24"/>
      <c r="C53" s="0" t="n">
        <f aca="false">J34-J35</f>
        <v>188.88</v>
      </c>
      <c r="D53" s="15" t="n">
        <f aca="false">SQRT(K34*K34+K35*K35)</f>
        <v>0.189505936582472</v>
      </c>
      <c r="J53" s="43"/>
      <c r="K53" s="43"/>
      <c r="L53" s="46"/>
    </row>
    <row collapsed="false" customFormat="false" customHeight="false" hidden="false" ht="12.8" outlineLevel="0" r="54">
      <c r="A54" s="0" t="n">
        <v>1</v>
      </c>
      <c r="B54" s="0" t="n">
        <v>2</v>
      </c>
      <c r="C54" s="36" t="n">
        <f aca="false">C56+J36-J37</f>
        <v>508334373.757716</v>
      </c>
      <c r="D54" s="36" t="n">
        <f aca="false">$G$17</f>
        <v>0.5</v>
      </c>
      <c r="E54" s="19" t="n">
        <f aca="false">C54*10000/299792458</f>
        <v>16956.2095440612</v>
      </c>
      <c r="F54" s="13" t="n">
        <f aca="false">D54/C54*E54</f>
        <v>1.66782047599076E-005</v>
      </c>
      <c r="G54" s="19" t="n">
        <f aca="false">100000000/E54</f>
        <v>5897.54448010019</v>
      </c>
      <c r="H54" s="19" t="n">
        <f aca="false">F54/E54*G54</f>
        <v>5.80085155023482E-006</v>
      </c>
      <c r="J54" s="39" t="n">
        <f aca="false">6JSymbols!G4</f>
        <v>0.0833333333333333</v>
      </c>
      <c r="K54" s="39" t="n">
        <f aca="false">(2*A54+1)*(2*B54+1)*J54</f>
        <v>1.25</v>
      </c>
      <c r="L54" s="40" t="n">
        <f aca="false">K54/SUM($K$54:$K$57)</f>
        <v>0.3125</v>
      </c>
      <c r="M54" s="47" t="n">
        <f aca="false">SUMPRODUCT(E54:E55,L54:L55)/SUM(L54:L55)</f>
        <v>16956.2084940014</v>
      </c>
      <c r="N54" s="41" t="n">
        <f aca="false">SQRT(SUMPRODUCT(F54:F55,F54:F55,L54:L55)/SUM(L54:L55))</f>
        <v>1.66782047599076E-005</v>
      </c>
      <c r="O54" s="48" t="n">
        <f aca="false">100000000/M54</f>
        <v>5897.54484532182</v>
      </c>
      <c r="P54" s="48" t="n">
        <f aca="false">N54/M54*O54</f>
        <v>5.80085226870217E-006</v>
      </c>
    </row>
    <row collapsed="false" customFormat="false" customHeight="false" hidden="false" ht="12.8" outlineLevel="0" r="55">
      <c r="A55" s="0" t="n">
        <v>1</v>
      </c>
      <c r="B55" s="0" t="n">
        <v>1</v>
      </c>
      <c r="C55" s="36" t="n">
        <f aca="false">C57+J36-J37</f>
        <v>508334184.877716</v>
      </c>
      <c r="D55" s="36" t="n">
        <f aca="false">$G$17</f>
        <v>0.5</v>
      </c>
      <c r="E55" s="19" t="n">
        <f aca="false">C55*10000/299792458</f>
        <v>16956.2032437025</v>
      </c>
      <c r="F55" s="13" t="n">
        <f aca="false">D55/C55*E55</f>
        <v>1.66782047599076E-005</v>
      </c>
      <c r="G55" s="19" t="n">
        <f aca="false">100000000/E55</f>
        <v>5897.54667143068</v>
      </c>
      <c r="H55" s="19" t="n">
        <f aca="false">F55/E55*G55</f>
        <v>5.80085586104089E-006</v>
      </c>
      <c r="J55" s="43" t="n">
        <f aca="false">6JSymbols!G3</f>
        <v>0.0277777777777778</v>
      </c>
      <c r="K55" s="39" t="n">
        <f aca="false">(2*A55+1)*(2*B55+1)*J55</f>
        <v>0.25</v>
      </c>
      <c r="L55" s="40" t="n">
        <f aca="false">K55/SUM($K$54:$K$57)</f>
        <v>0.0625</v>
      </c>
      <c r="M55" s="47"/>
      <c r="N55" s="47"/>
      <c r="O55" s="48"/>
      <c r="P55" s="48"/>
    </row>
    <row collapsed="false" customFormat="false" customHeight="false" hidden="false" ht="12.8" outlineLevel="0" r="56">
      <c r="A56" s="0" t="n">
        <v>2</v>
      </c>
      <c r="B56" s="0" t="n">
        <v>2</v>
      </c>
      <c r="C56" s="36" t="n">
        <f aca="false">C57+C53</f>
        <v>508332602.131587</v>
      </c>
      <c r="D56" s="36" t="n">
        <f aca="false">$G$17</f>
        <v>0.5</v>
      </c>
      <c r="E56" s="19" t="n">
        <f aca="false">C56*10000/299792458</f>
        <v>16956.1504489745</v>
      </c>
      <c r="F56" s="13" t="n">
        <f aca="false">D56/C56*E56</f>
        <v>1.66782047599076E-005</v>
      </c>
      <c r="G56" s="19" t="n">
        <f aca="false">100000000/E56</f>
        <v>5897.56503405217</v>
      </c>
      <c r="H56" s="19" t="n">
        <f aca="false">F56/E56*G56</f>
        <v>5.80089198422643E-006</v>
      </c>
      <c r="J56" s="39" t="n">
        <f aca="false">6JSymbols!G6</f>
        <v>0.05</v>
      </c>
      <c r="K56" s="39" t="n">
        <f aca="false">(2*A56+1)*(2*B56+1)*J56</f>
        <v>1.25</v>
      </c>
      <c r="L56" s="40" t="n">
        <f aca="false">K56/SUM($K$54:$K$57)</f>
        <v>0.3125</v>
      </c>
      <c r="M56" s="47" t="n">
        <f aca="false">SUMPRODUCT(E56:E57,L56:L57)/SUM(L56:L57)</f>
        <v>16956.1472987952</v>
      </c>
      <c r="N56" s="41" t="n">
        <f aca="false">SQRT(SUMPRODUCT(F56:F57,F56:F57,L56:L57)/SUM(L56:L57))</f>
        <v>1.66782047599076E-005</v>
      </c>
      <c r="O56" s="48" t="n">
        <f aca="false">100000000/M56</f>
        <v>5897.56612972485</v>
      </c>
      <c r="P56" s="48" t="n">
        <f aca="false">N56/M56*O56</f>
        <v>5.8008941396514E-006</v>
      </c>
    </row>
    <row collapsed="false" customFormat="false" customHeight="false" hidden="false" ht="12.8" outlineLevel="0" r="57">
      <c r="A57" s="0" t="n">
        <v>2</v>
      </c>
      <c r="B57" s="0" t="n">
        <v>1</v>
      </c>
      <c r="C57" s="36" t="n">
        <f aca="false">F17-0.5*C53</f>
        <v>508332413.251587</v>
      </c>
      <c r="D57" s="36" t="n">
        <f aca="false">$G$17</f>
        <v>0.5</v>
      </c>
      <c r="E57" s="19" t="n">
        <f aca="false">C57*10000/299792458</f>
        <v>16956.1441486159</v>
      </c>
      <c r="F57" s="13" t="n">
        <f aca="false">D57/C57*E57</f>
        <v>1.66782047599076E-005</v>
      </c>
      <c r="G57" s="19" t="n">
        <f aca="false">100000000/E57</f>
        <v>5897.56722539794</v>
      </c>
      <c r="H57" s="19" t="n">
        <f aca="false">F57/E57*G57</f>
        <v>5.80089629507757E-006</v>
      </c>
      <c r="J57" s="43" t="n">
        <f aca="false">6JSymbols!G5</f>
        <v>0.0833333333333333</v>
      </c>
      <c r="K57" s="39" t="n">
        <f aca="false">(2*A57+1)*(2*B57+1)*J57</f>
        <v>1.25</v>
      </c>
      <c r="L57" s="40" t="n">
        <f aca="false">K57/SUM($K$54:$K$57)</f>
        <v>0.3125</v>
      </c>
      <c r="M57" s="47"/>
      <c r="N57" s="47"/>
      <c r="O57" s="48"/>
      <c r="P57" s="48"/>
    </row>
    <row collapsed="false" customFormat="false" customHeight="false" hidden="false" ht="12.8" outlineLevel="0" r="58">
      <c r="I58" s="30"/>
    </row>
    <row collapsed="false" customFormat="true" customHeight="false" hidden="false" ht="25" outlineLevel="0" r="59" s="26">
      <c r="A59" s="26" t="s">
        <v>126</v>
      </c>
      <c r="B59" s="26" t="s">
        <v>127</v>
      </c>
      <c r="C59" s="49" t="s">
        <v>73</v>
      </c>
      <c r="D59" s="26" t="s">
        <v>74</v>
      </c>
      <c r="E59" s="26" t="s">
        <v>128</v>
      </c>
      <c r="F59" s="50" t="s">
        <v>129</v>
      </c>
      <c r="AMI59" s="0"/>
      <c r="AMJ59" s="0"/>
    </row>
    <row collapsed="false" customFormat="true" customHeight="false" hidden="false" ht="12.8" outlineLevel="0" r="60" s="8">
      <c r="A60" s="8" t="n">
        <v>5891</v>
      </c>
      <c r="B60" s="5" t="s">
        <v>130</v>
      </c>
      <c r="C60" s="51" t="n">
        <f aca="false">SUMPRODUCT(C61:C62,B61:B62)</f>
        <v>16973.3662062549</v>
      </c>
      <c r="D60" s="52" t="n">
        <f aca="false">I16</f>
        <v>4.32143089618256E-005</v>
      </c>
      <c r="E60" s="52" t="n">
        <f aca="false">100000000/C60</f>
        <v>5891.58324782676</v>
      </c>
      <c r="F60" s="52" t="n">
        <f aca="false">K16</f>
        <v>1.5E-005</v>
      </c>
      <c r="G60" s="51"/>
      <c r="H60" s="51"/>
      <c r="I60" s="52"/>
      <c r="J60" s="52"/>
      <c r="K60" s="52"/>
      <c r="L60" s="52"/>
      <c r="AMG60" s="0"/>
      <c r="AMH60" s="0"/>
      <c r="AMI60" s="0"/>
      <c r="AMJ60" s="0"/>
    </row>
    <row collapsed="false" customFormat="true" customHeight="false" hidden="false" ht="12.8" outlineLevel="0" r="61" s="8">
      <c r="A61" s="8" t="n">
        <v>23</v>
      </c>
      <c r="B61" s="53" t="n">
        <f aca="false">SUM(L43:L45)/SUM($L$43:$L$48)</f>
        <v>0.375</v>
      </c>
      <c r="C61" s="52" t="n">
        <f aca="false">M$43</f>
        <v>16973.4018527097</v>
      </c>
      <c r="D61" s="52" t="n">
        <f aca="false">$D$60</f>
        <v>4.32143089618256E-005</v>
      </c>
      <c r="E61" s="52" t="n">
        <f aca="false">100000000/C61</f>
        <v>5891.57087469981</v>
      </c>
      <c r="F61" s="52" t="n">
        <f aca="false">D61/C61*E61</f>
        <v>1.49999491120942E-005</v>
      </c>
      <c r="G61" s="52"/>
      <c r="H61" s="52"/>
      <c r="I61" s="52"/>
      <c r="J61" s="52"/>
      <c r="K61" s="52"/>
      <c r="L61" s="52"/>
      <c r="AMG61" s="0"/>
      <c r="AMH61" s="0"/>
      <c r="AMI61" s="0"/>
      <c r="AMJ61" s="0"/>
    </row>
    <row collapsed="false" customFormat="true" customHeight="false" hidden="false" ht="12.8" outlineLevel="0" r="62" s="8">
      <c r="A62" s="8" t="n">
        <v>23</v>
      </c>
      <c r="B62" s="53" t="n">
        <f aca="false">SUM(L46:L48)/SUM($L$43:$L$48)</f>
        <v>0.625</v>
      </c>
      <c r="C62" s="52" t="n">
        <f aca="false">M$46</f>
        <v>16973.344818382</v>
      </c>
      <c r="D62" s="52" t="n">
        <f aca="false">$D$60</f>
        <v>4.32143089618256E-005</v>
      </c>
      <c r="E62" s="52" t="n">
        <f aca="false">100000000/C62</f>
        <v>5891.59067172788</v>
      </c>
      <c r="F62" s="52" t="n">
        <f aca="false">D62/C62*E62</f>
        <v>1.50000499187955E-005</v>
      </c>
      <c r="G62" s="52"/>
      <c r="H62" s="52"/>
      <c r="I62" s="52"/>
      <c r="J62" s="52"/>
      <c r="K62" s="52"/>
      <c r="L62" s="52"/>
      <c r="AMG62" s="0"/>
      <c r="AMH62" s="0"/>
      <c r="AMI62" s="0"/>
      <c r="AMJ62" s="0"/>
    </row>
    <row collapsed="false" customFormat="true" customHeight="false" hidden="false" ht="12.8" outlineLevel="0" r="63" s="8">
      <c r="A63" s="8" t="n">
        <v>5897</v>
      </c>
      <c r="B63" s="5" t="s">
        <v>130</v>
      </c>
      <c r="C63" s="51" t="n">
        <f aca="false">SUMPRODUCT(C64:C65,B64:B65)</f>
        <v>16956.1702469975</v>
      </c>
      <c r="D63" s="52" t="n">
        <f aca="false">I17</f>
        <v>4.31266396827659E-005</v>
      </c>
      <c r="E63" s="52" t="n">
        <f aca="false">100000000/C63</f>
        <v>5897.55814805571</v>
      </c>
      <c r="F63" s="52" t="n">
        <f aca="false">K17</f>
        <v>1.5E-005</v>
      </c>
      <c r="G63" s="51"/>
      <c r="H63" s="52"/>
      <c r="I63" s="52"/>
      <c r="J63" s="52"/>
      <c r="K63" s="52"/>
      <c r="L63" s="52"/>
      <c r="AMG63" s="0"/>
      <c r="AMH63" s="0"/>
      <c r="AMI63" s="0"/>
      <c r="AMJ63" s="0"/>
    </row>
    <row collapsed="false" customFormat="true" customHeight="false" hidden="false" ht="12.8" outlineLevel="0" r="64" s="8">
      <c r="A64" s="8" t="n">
        <v>23</v>
      </c>
      <c r="B64" s="53" t="n">
        <f aca="false">SUM(L54:L55)/SUM($L$54:$L$57)</f>
        <v>0.375</v>
      </c>
      <c r="C64" s="52" t="n">
        <f aca="false">M$54</f>
        <v>16956.2084940014</v>
      </c>
      <c r="D64" s="52" t="n">
        <f aca="false">$D$63</f>
        <v>4.31266396827659E-005</v>
      </c>
      <c r="E64" s="52" t="n">
        <f aca="false">100000000/C64</f>
        <v>5897.54484532182</v>
      </c>
      <c r="F64" s="52" t="n">
        <f aca="false">D64/C64*E64</f>
        <v>1.49998917297535E-005</v>
      </c>
      <c r="G64" s="52"/>
      <c r="H64" s="52"/>
      <c r="I64" s="52"/>
      <c r="J64" s="52"/>
      <c r="K64" s="52"/>
      <c r="L64" s="52"/>
      <c r="AMG64" s="0"/>
      <c r="AMH64" s="0"/>
      <c r="AMI64" s="0"/>
      <c r="AMJ64" s="0"/>
    </row>
    <row collapsed="false" customFormat="true" customHeight="false" hidden="false" ht="12.8" outlineLevel="0" r="65" s="8">
      <c r="A65" s="8" t="n">
        <v>23</v>
      </c>
      <c r="B65" s="53" t="n">
        <f aca="false">SUM(L56:L57)/SUM($L$54:$L$57)</f>
        <v>0.625</v>
      </c>
      <c r="C65" s="52" t="n">
        <f aca="false">M$56</f>
        <v>16956.1472987952</v>
      </c>
      <c r="D65" s="52" t="n">
        <f aca="false">$D$63</f>
        <v>4.31266396827659E-005</v>
      </c>
      <c r="E65" s="52" t="n">
        <f aca="false">100000000/C65</f>
        <v>5897.56612972485</v>
      </c>
      <c r="F65" s="52" t="n">
        <f aca="false">D65/C65*E65</f>
        <v>1.5E-005</v>
      </c>
      <c r="G65" s="52"/>
      <c r="H65" s="52"/>
      <c r="I65" s="52"/>
      <c r="J65" s="52"/>
      <c r="K65" s="52"/>
      <c r="L65" s="52"/>
      <c r="AMG65" s="0"/>
      <c r="AMH65" s="0"/>
      <c r="AMI65" s="0"/>
      <c r="AMJ65" s="0"/>
    </row>
    <row collapsed="false" customFormat="true" customHeight="false" hidden="false" ht="12.8" outlineLevel="0" r="66" s="8">
      <c r="B66" s="54"/>
      <c r="C66" s="55"/>
      <c r="D66" s="56"/>
      <c r="E66" s="57"/>
      <c r="F66" s="57"/>
      <c r="G66" s="52"/>
      <c r="H66" s="52"/>
      <c r="I66" s="52"/>
      <c r="J66" s="52"/>
      <c r="K66" s="52"/>
      <c r="L66" s="52"/>
      <c r="AMG66" s="0"/>
      <c r="AMH66" s="0"/>
      <c r="AMI66" s="0"/>
      <c r="AMJ66" s="0"/>
    </row>
    <row collapsed="false" customFormat="false" customHeight="false" hidden="false" ht="12.8" outlineLevel="0" r="68">
      <c r="A68" s="0" t="s">
        <v>18</v>
      </c>
    </row>
    <row collapsed="false" customFormat="false" customHeight="false" hidden="false" ht="13.8" outlineLevel="0" r="69">
      <c r="A69" s="0" t="s">
        <v>131</v>
      </c>
      <c r="B69" s="7" t="s">
        <v>132</v>
      </c>
    </row>
    <row collapsed="false" customFormat="false" customHeight="false" hidden="false" ht="13.8" outlineLevel="0" r="70">
      <c r="A70" s="0" t="s">
        <v>133</v>
      </c>
      <c r="B70" s="7" t="s">
        <v>134</v>
      </c>
    </row>
    <row collapsed="false" customFormat="false" customHeight="false" hidden="false" ht="13.8" outlineLevel="0" r="71">
      <c r="A71" s="5" t="s">
        <v>135</v>
      </c>
      <c r="B71" s="7" t="s">
        <v>136</v>
      </c>
    </row>
    <row collapsed="false" customFormat="false" customHeight="false" hidden="false" ht="13.8" outlineLevel="0" r="72">
      <c r="A72" s="5" t="s">
        <v>137</v>
      </c>
      <c r="B72" s="7" t="s">
        <v>138</v>
      </c>
    </row>
  </sheetData>
  <mergeCells count="20">
    <mergeCell ref="B14:D14"/>
    <mergeCell ref="E14:G14"/>
    <mergeCell ref="A41:B41"/>
    <mergeCell ref="M43:M45"/>
    <mergeCell ref="N43:N45"/>
    <mergeCell ref="O43:O45"/>
    <mergeCell ref="P43:P45"/>
    <mergeCell ref="M46:M48"/>
    <mergeCell ref="N46:N48"/>
    <mergeCell ref="O46:O48"/>
    <mergeCell ref="P46:P48"/>
    <mergeCell ref="A53:B53"/>
    <mergeCell ref="M54:M55"/>
    <mergeCell ref="N54:N55"/>
    <mergeCell ref="O54:O55"/>
    <mergeCell ref="P54:P55"/>
    <mergeCell ref="M56:M57"/>
    <mergeCell ref="N56:N57"/>
    <mergeCell ref="O56:O57"/>
    <mergeCell ref="P56:P57"/>
  </mergeCells>
  <hyperlinks>
    <hyperlink display="http://adsabs.harvard.edu/abs/1974ZPhy..270..173B" ref="B69" r:id="rId1"/>
    <hyperlink display="http://adsabs.harvard.edu/abs/1981Metro..17...77J" ref="B70" r:id="rId2"/>
    <hyperlink display="http://adsabs.harvard.edu/abs/1994ZPhyD..32...67W" ref="B71" r:id="rId3"/>
    <hyperlink display="http://adsabs.harvard.edu/abs/1993PhRvA..48.1909Y" ref="B72" r:id="rId4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B40" activeCellId="0" pane="topLeft" sqref="B40"/>
    </sheetView>
  </sheetViews>
  <cols>
    <col collapsed="false" hidden="false" max="2" min="1" style="0" width="11.5764705882353"/>
    <col collapsed="false" hidden="false" max="3" min="3" style="0" width="13.9843137254902"/>
    <col collapsed="false" hidden="false" max="4" min="4" style="0" width="14.1372549019608"/>
    <col collapsed="false" hidden="false" max="5" min="5" style="0" width="13.9294117647059"/>
    <col collapsed="false" hidden="false" max="6" min="6" style="0" width="13.4745098039216"/>
    <col collapsed="false" hidden="false" max="7" min="7" style="0" width="10.7176470588235"/>
    <col collapsed="false" hidden="false" max="8" min="8" style="0" width="14.4705882352941"/>
    <col collapsed="false" hidden="false" max="9" min="9" style="0" width="14.3450980392157"/>
    <col collapsed="false" hidden="false" max="10" min="10" style="0" width="11.2862745098039"/>
    <col collapsed="false" hidden="false" max="11" min="11" style="0" width="9.24313725490196"/>
    <col collapsed="false" hidden="false" max="12" min="12" style="0" width="20.9019607843137"/>
    <col collapsed="false" hidden="false" max="13" min="13" style="0" width="23.9764705882353"/>
    <col collapsed="false" hidden="false" max="14" min="14" style="0" width="7.45098039215686"/>
    <col collapsed="false" hidden="false" max="15" min="15" style="0" width="8.32941176470588"/>
    <col collapsed="false" hidden="false" max="16" min="16" style="0" width="7.34509803921569"/>
    <col collapsed="false" hidden="false" max="17" min="17" style="0" width="10.5019607843137"/>
    <col collapsed="false" hidden="false" max="18" min="18" style="0" width="9.7764705882353"/>
    <col collapsed="false" hidden="false" max="19" min="19" style="0" width="7.77647058823529"/>
    <col collapsed="false" hidden="false" max="1025" min="20" style="0" width="11.5764705882353"/>
  </cols>
  <sheetData>
    <row collapsed="false" customFormat="false" customHeight="false" hidden="false" ht="12.8" outlineLevel="0" r="1">
      <c r="A1" s="0" t="s">
        <v>31</v>
      </c>
      <c r="B1" s="2" t="n">
        <v>41530</v>
      </c>
    </row>
    <row collapsed="false" customFormat="false" customHeight="false" hidden="false" ht="12.8" outlineLevel="0" r="3">
      <c r="A3" s="0" t="s">
        <v>33</v>
      </c>
    </row>
    <row collapsed="false" customFormat="false" customHeight="false" hidden="false" ht="13.8" outlineLevel="0" r="4">
      <c r="A4" s="0" t="s">
        <v>34</v>
      </c>
      <c r="B4" s="0" t="s">
        <v>35</v>
      </c>
      <c r="C4" s="0" t="s">
        <v>36</v>
      </c>
      <c r="D4" s="0" t="s">
        <v>37</v>
      </c>
      <c r="E4" s="0" t="s">
        <v>38</v>
      </c>
      <c r="F4" s="0" t="s">
        <v>39</v>
      </c>
      <c r="G4" s="0" t="s">
        <v>8</v>
      </c>
      <c r="H4" s="0" t="s">
        <v>40</v>
      </c>
      <c r="I4" s="0" t="s">
        <v>41</v>
      </c>
      <c r="J4" s="0" t="s">
        <v>42</v>
      </c>
      <c r="K4" s="0" t="s">
        <v>43</v>
      </c>
      <c r="L4" s="0" t="s">
        <v>44</v>
      </c>
      <c r="M4" s="0" t="s">
        <v>45</v>
      </c>
      <c r="N4" s="0" t="s">
        <v>46</v>
      </c>
      <c r="O4" s="0" t="s">
        <v>47</v>
      </c>
      <c r="P4" s="0" t="s">
        <v>48</v>
      </c>
      <c r="Q4" s="0" t="s">
        <v>49</v>
      </c>
      <c r="R4" s="0" t="s">
        <v>50</v>
      </c>
      <c r="S4" s="0" t="s">
        <v>51</v>
      </c>
      <c r="T4" s="0" t="s">
        <v>52</v>
      </c>
    </row>
    <row collapsed="false" customFormat="false" customHeight="false" hidden="false" ht="12.8" outlineLevel="0" r="5">
      <c r="A5" s="0" t="s">
        <v>139</v>
      </c>
      <c r="B5" s="0" t="n">
        <f aca="false">A17</f>
        <v>2026</v>
      </c>
      <c r="C5" s="0" t="s">
        <v>54</v>
      </c>
      <c r="D5" s="11" t="n">
        <v>24.305</v>
      </c>
      <c r="E5" s="13" t="n">
        <f aca="false">F17</f>
        <v>49346.7726202764</v>
      </c>
      <c r="F5" s="13" t="n">
        <f aca="false">G17</f>
        <v>3.6107997729035E-005</v>
      </c>
      <c r="G5" s="14" t="n">
        <v>1</v>
      </c>
      <c r="I5" s="19" t="n">
        <f aca="false">I17</f>
        <v>2026.47497880967</v>
      </c>
      <c r="J5" s="19" t="n">
        <f aca="false">J17</f>
        <v>1.48281133795444E-006</v>
      </c>
      <c r="K5" s="30" t="n">
        <f aca="false">299792458*J5/I5</f>
        <v>0.219363999261786</v>
      </c>
      <c r="L5" s="0" t="s">
        <v>140</v>
      </c>
      <c r="M5" s="0" t="s">
        <v>141</v>
      </c>
      <c r="N5" s="0" t="s">
        <v>142</v>
      </c>
      <c r="O5" s="15" t="n">
        <v>0</v>
      </c>
      <c r="P5" s="15" t="n">
        <v>7.65</v>
      </c>
      <c r="Q5" s="32" t="n">
        <v>0.113</v>
      </c>
      <c r="R5" s="18" t="n">
        <v>61200000</v>
      </c>
      <c r="S5" s="14" t="n">
        <v>87</v>
      </c>
      <c r="T5" s="14" t="n">
        <v>7</v>
      </c>
    </row>
    <row collapsed="false" customFormat="false" customHeight="false" hidden="false" ht="12.8" outlineLevel="0" r="6">
      <c r="C6" s="0" t="s">
        <v>143</v>
      </c>
      <c r="D6" s="14" t="s">
        <v>144</v>
      </c>
      <c r="E6" s="13" t="n">
        <f aca="false">F18</f>
        <v>49346.854173</v>
      </c>
      <c r="F6" s="13" t="n">
        <f aca="false">G18</f>
        <v>4E-005</v>
      </c>
      <c r="G6" s="14" t="n">
        <v>0</v>
      </c>
      <c r="H6" s="0" t="n">
        <f aca="false">E18</f>
        <v>0</v>
      </c>
      <c r="I6" s="19" t="n">
        <f aca="false">I18</f>
        <v>2026.47162977037</v>
      </c>
      <c r="J6" s="19" t="n">
        <f aca="false">J18</f>
        <v>1.64263490650567E-006</v>
      </c>
      <c r="K6" s="30" t="n">
        <f aca="false">299792458*J6/I6</f>
        <v>0.24300836438245</v>
      </c>
      <c r="O6" s="15"/>
      <c r="P6" s="15"/>
      <c r="Q6" s="22" t="n">
        <f aca="false">C27</f>
        <v>0.1101</v>
      </c>
      <c r="R6" s="18"/>
      <c r="S6" s="14"/>
      <c r="T6" s="14"/>
    </row>
    <row collapsed="false" customFormat="false" customHeight="false" hidden="false" ht="12.8" outlineLevel="0" r="7">
      <c r="C7" s="0" t="s">
        <v>143</v>
      </c>
      <c r="D7" s="14" t="s">
        <v>145</v>
      </c>
      <c r="E7" s="13" t="n">
        <f aca="false">F19</f>
        <v>49346.807724</v>
      </c>
      <c r="F7" s="13" t="n">
        <f aca="false">G19</f>
        <v>4E-005</v>
      </c>
      <c r="G7" s="14" t="n">
        <v>0</v>
      </c>
      <c r="H7" s="0" t="n">
        <f aca="false">H6</f>
        <v>0</v>
      </c>
      <c r="I7" s="19" t="n">
        <f aca="false">I19</f>
        <v>2026.47353724088</v>
      </c>
      <c r="J7" s="19" t="n">
        <f aca="false">J19</f>
        <v>1.64263799885503E-006</v>
      </c>
      <c r="K7" s="30" t="n">
        <f aca="false">299792458*J7/I7</f>
        <v>0.24300859312056</v>
      </c>
      <c r="O7" s="15"/>
      <c r="P7" s="15"/>
      <c r="Q7" s="22" t="n">
        <f aca="false">C28</f>
        <v>0.1</v>
      </c>
      <c r="R7" s="18"/>
      <c r="S7" s="14"/>
      <c r="T7" s="14"/>
    </row>
    <row collapsed="false" customFormat="false" customHeight="false" hidden="false" ht="12.8" outlineLevel="0" r="8">
      <c r="C8" s="0" t="s">
        <v>143</v>
      </c>
      <c r="D8" s="14" t="s">
        <v>146</v>
      </c>
      <c r="E8" s="13" t="n">
        <f aca="false">F20</f>
        <v>49346.756809</v>
      </c>
      <c r="F8" s="13" t="n">
        <f aca="false">G20</f>
        <v>3.5E-005</v>
      </c>
      <c r="G8" s="14" t="n">
        <v>0</v>
      </c>
      <c r="H8" s="0" t="n">
        <f aca="false">H7</f>
        <v>0</v>
      </c>
      <c r="I8" s="19" t="n">
        <f aca="false">I20</f>
        <v>2026.47562811588</v>
      </c>
      <c r="J8" s="19" t="n">
        <f aca="false">J20</f>
        <v>1.43731121497168E-006</v>
      </c>
      <c r="K8" s="30" t="n">
        <f aca="false">299792458*J8/I8</f>
        <v>0.212632738370484</v>
      </c>
      <c r="O8" s="15"/>
      <c r="P8" s="15"/>
      <c r="Q8" s="22" t="n">
        <f aca="false">C29</f>
        <v>0.7899</v>
      </c>
      <c r="R8" s="18"/>
      <c r="S8" s="14"/>
      <c r="T8" s="14"/>
    </row>
    <row collapsed="false" customFormat="false" customHeight="false" hidden="false" ht="12.8" outlineLevel="0" r="9">
      <c r="B9" s="0" t="n">
        <f aca="false">A21</f>
        <v>2852</v>
      </c>
      <c r="C9" s="0" t="s">
        <v>54</v>
      </c>
      <c r="D9" s="11" t="n">
        <f aca="false">$D$5</f>
        <v>24.305</v>
      </c>
      <c r="E9" s="45" t="n">
        <f aca="false">F21</f>
        <v>35051.280762104</v>
      </c>
      <c r="F9" s="45" t="n">
        <f aca="false">G21</f>
        <v>0.00018962953356479</v>
      </c>
      <c r="G9" s="14" t="n">
        <v>1</v>
      </c>
      <c r="I9" s="13" t="n">
        <f aca="false">I21</f>
        <v>2852.96279695765</v>
      </c>
      <c r="J9" s="13" t="n">
        <f aca="false">J21</f>
        <v>1.54347000366872E-005</v>
      </c>
      <c r="K9" s="30" t="n">
        <f aca="false">299792458*J9/I9</f>
        <v>1.62189519871255</v>
      </c>
      <c r="M9" s="0" t="s">
        <v>147</v>
      </c>
      <c r="N9" s="0" t="s">
        <v>148</v>
      </c>
      <c r="O9" s="15"/>
      <c r="P9" s="15"/>
      <c r="Q9" s="15" t="n">
        <v>1.83</v>
      </c>
      <c r="R9" s="18" t="n">
        <v>500000000</v>
      </c>
      <c r="S9" s="14" t="n">
        <v>90</v>
      </c>
      <c r="T9" s="14" t="n">
        <v>10</v>
      </c>
    </row>
    <row collapsed="false" customFormat="false" customHeight="false" hidden="false" ht="12.8" outlineLevel="0" r="10">
      <c r="C10" s="0" t="s">
        <v>143</v>
      </c>
      <c r="D10" s="14" t="n">
        <f aca="false">D6</f>
        <v>0</v>
      </c>
      <c r="E10" s="45" t="n">
        <f aca="false">F22</f>
        <v>35051.32015</v>
      </c>
      <c r="F10" s="45" t="n">
        <f aca="false">G22</f>
        <v>0.00025</v>
      </c>
      <c r="G10" s="14" t="n">
        <v>0</v>
      </c>
      <c r="H10" s="0" t="n">
        <f aca="false">E22</f>
        <v>0</v>
      </c>
      <c r="I10" s="13" t="n">
        <f aca="false">I22</f>
        <v>2852.95959102413</v>
      </c>
      <c r="J10" s="13" t="n">
        <f aca="false">J22</f>
        <v>2.03484460700415E-005</v>
      </c>
      <c r="K10" s="30" t="n">
        <f aca="false">299792458*J10/I10</f>
        <v>2.1382394209195</v>
      </c>
      <c r="O10" s="15"/>
      <c r="P10" s="15"/>
      <c r="Q10" s="22" t="n">
        <f aca="false">Q6</f>
        <v>0.1101</v>
      </c>
      <c r="R10" s="18"/>
      <c r="S10" s="14"/>
      <c r="T10" s="14"/>
    </row>
    <row collapsed="false" customFormat="false" customHeight="false" hidden="false" ht="12.8" outlineLevel="0" r="11">
      <c r="C11" s="0" t="s">
        <v>143</v>
      </c>
      <c r="D11" s="14" t="n">
        <f aca="false">D7</f>
        <v>0</v>
      </c>
      <c r="E11" s="45" t="n">
        <f aca="false">F23</f>
        <v>35051.29784</v>
      </c>
      <c r="F11" s="45" t="n">
        <f aca="false">G23</f>
        <v>0.00025</v>
      </c>
      <c r="G11" s="14" t="n">
        <v>0</v>
      </c>
      <c r="H11" s="0" t="n">
        <f aca="false">H10</f>
        <v>0</v>
      </c>
      <c r="I11" s="13" t="n">
        <f aca="false">I23</f>
        <v>2852.96140692062</v>
      </c>
      <c r="J11" s="13" t="n">
        <f aca="false">J23</f>
        <v>2.03484719734462E-005</v>
      </c>
      <c r="K11" s="30" t="n">
        <f aca="false">299792458*J11/I11</f>
        <v>2.13824078189968</v>
      </c>
      <c r="O11" s="15"/>
      <c r="P11" s="15"/>
      <c r="Q11" s="22" t="n">
        <f aca="false">Q7</f>
        <v>0.1</v>
      </c>
      <c r="R11" s="18"/>
      <c r="S11" s="14"/>
      <c r="T11" s="14"/>
    </row>
    <row collapsed="false" customFormat="false" customHeight="false" hidden="false" ht="12.8" outlineLevel="0" r="12">
      <c r="C12" s="0" t="s">
        <v>143</v>
      </c>
      <c r="D12" s="14" t="n">
        <f aca="false">D8</f>
        <v>0</v>
      </c>
      <c r="E12" s="45" t="n">
        <f aca="false">F24</f>
        <v>35051.27311</v>
      </c>
      <c r="F12" s="45" t="n">
        <f aca="false">G24</f>
        <v>0.00017</v>
      </c>
      <c r="G12" s="14" t="n">
        <v>0</v>
      </c>
      <c r="H12" s="0" t="n">
        <f aca="false">H11</f>
        <v>0</v>
      </c>
      <c r="I12" s="13" t="n">
        <f aca="false">I24</f>
        <v>2852.96341979288</v>
      </c>
      <c r="J12" s="13" t="n">
        <f aca="false">J24</f>
        <v>1.38369804669497E-005</v>
      </c>
      <c r="K12" s="30" t="n">
        <f aca="false">299792458*J12/I12</f>
        <v>1.45400475754645</v>
      </c>
      <c r="O12" s="15"/>
      <c r="P12" s="15"/>
      <c r="Q12" s="22" t="n">
        <f aca="false">Q8</f>
        <v>0.7899</v>
      </c>
      <c r="R12" s="18"/>
      <c r="S12" s="14"/>
      <c r="T12" s="14"/>
    </row>
    <row collapsed="false" customFormat="false" customHeight="false" hidden="false" ht="12.8" outlineLevel="0" r="13">
      <c r="A13" s="0" t="s">
        <v>69</v>
      </c>
      <c r="C13" s="14"/>
      <c r="D13" s="45"/>
      <c r="E13" s="45"/>
      <c r="F13" s="14"/>
      <c r="H13" s="13"/>
      <c r="I13" s="13"/>
      <c r="J13" s="30"/>
      <c r="N13" s="15"/>
      <c r="O13" s="15"/>
      <c r="P13" s="22"/>
      <c r="Q13" s="18"/>
      <c r="R13" s="14"/>
      <c r="S13" s="14"/>
    </row>
    <row collapsed="false" customFormat="false" customHeight="false" hidden="false" ht="12.8" outlineLevel="0" r="15">
      <c r="A15" s="0" t="s">
        <v>70</v>
      </c>
    </row>
    <row collapsed="false" customFormat="false" customHeight="false" hidden="false" ht="13.8" outlineLevel="0" r="16">
      <c r="A16" s="5" t="s">
        <v>77</v>
      </c>
      <c r="B16" s="0" t="s">
        <v>149</v>
      </c>
      <c r="C16" s="25" t="s">
        <v>38</v>
      </c>
      <c r="D16" s="26" t="s">
        <v>39</v>
      </c>
      <c r="E16" s="0" t="s">
        <v>150</v>
      </c>
      <c r="F16" s="25" t="s">
        <v>38</v>
      </c>
      <c r="G16" s="26" t="s">
        <v>39</v>
      </c>
      <c r="H16" s="26" t="s">
        <v>151</v>
      </c>
      <c r="I16" s="26" t="s">
        <v>79</v>
      </c>
      <c r="J16" s="26" t="s">
        <v>80</v>
      </c>
    </row>
    <row collapsed="false" customFormat="false" customHeight="false" hidden="false" ht="12.8" outlineLevel="0" r="17">
      <c r="A17" s="0" t="n">
        <v>2026</v>
      </c>
      <c r="B17" s="0" t="s">
        <v>130</v>
      </c>
      <c r="F17" s="38" t="n">
        <f aca="false">SUMPRODUCT(F18:F20,C27:C29)</f>
        <v>49346.7726202764</v>
      </c>
      <c r="G17" s="38" t="n">
        <f aca="false">SQRT(C27*G18*G18+C28*G19*G19+C29*G20*G20)</f>
        <v>3.6107997729035E-005</v>
      </c>
      <c r="H17" s="5" t="s">
        <v>152</v>
      </c>
      <c r="I17" s="58" t="n">
        <f aca="false">100000000/F17</f>
        <v>2026.47497880967</v>
      </c>
      <c r="J17" s="58" t="n">
        <f aca="false">G17/F17*I17</f>
        <v>1.48281133795444E-006</v>
      </c>
    </row>
    <row collapsed="false" customFormat="false" customHeight="false" hidden="false" ht="12.8" outlineLevel="0" r="18">
      <c r="B18" s="0" t="n">
        <v>26</v>
      </c>
      <c r="C18" s="13" t="n">
        <f aca="false">49346.854173</f>
        <v>49346.854173</v>
      </c>
      <c r="D18" s="13" t="n">
        <f aca="false">0.00004</f>
        <v>4E-005</v>
      </c>
      <c r="E18" s="0" t="str">
        <f aca="false">A33</f>
        <v>Hannemann:2006:012505</v>
      </c>
      <c r="F18" s="13" t="n">
        <f aca="false">C18</f>
        <v>49346.854173</v>
      </c>
      <c r="G18" s="13" t="n">
        <f aca="false">D18</f>
        <v>4E-005</v>
      </c>
      <c r="H18" s="0" t="n">
        <f aca="false">E18</f>
        <v>0</v>
      </c>
      <c r="I18" s="58" t="n">
        <f aca="false">100000000/F18</f>
        <v>2026.47162977037</v>
      </c>
      <c r="J18" s="58" t="n">
        <f aca="false">G18/F18*I18</f>
        <v>1.64263490650567E-006</v>
      </c>
    </row>
    <row collapsed="false" customFormat="false" customHeight="false" hidden="false" ht="12.8" outlineLevel="0" r="19">
      <c r="B19" s="0" t="n">
        <v>25</v>
      </c>
      <c r="C19" s="13" t="n">
        <f aca="false">49346.807724</f>
        <v>49346.807724</v>
      </c>
      <c r="D19" s="13" t="n">
        <f aca="false">0.00004</f>
        <v>4E-005</v>
      </c>
      <c r="E19" s="0" t="n">
        <f aca="false">E18</f>
        <v>0</v>
      </c>
      <c r="F19" s="13" t="n">
        <f aca="false">C19</f>
        <v>49346.807724</v>
      </c>
      <c r="G19" s="13" t="n">
        <f aca="false">D19</f>
        <v>4E-005</v>
      </c>
      <c r="H19" s="0" t="n">
        <f aca="false">E19</f>
        <v>0</v>
      </c>
      <c r="I19" s="58" t="n">
        <f aca="false">100000000/F19</f>
        <v>2026.47353724088</v>
      </c>
      <c r="J19" s="58" t="n">
        <f aca="false">G19/F19*I19</f>
        <v>1.64263799885503E-006</v>
      </c>
    </row>
    <row collapsed="false" customFormat="false" customHeight="false" hidden="false" ht="12.8" outlineLevel="0" r="20">
      <c r="B20" s="0" t="n">
        <v>24</v>
      </c>
      <c r="C20" s="13" t="n">
        <f aca="false">49346.756809</f>
        <v>49346.756809</v>
      </c>
      <c r="D20" s="13" t="n">
        <f aca="false">0.000035</f>
        <v>3.5E-005</v>
      </c>
      <c r="E20" s="0" t="n">
        <f aca="false">E19</f>
        <v>0</v>
      </c>
      <c r="F20" s="13" t="n">
        <f aca="false">C20</f>
        <v>49346.756809</v>
      </c>
      <c r="G20" s="13" t="n">
        <f aca="false">D20</f>
        <v>3.5E-005</v>
      </c>
      <c r="H20" s="0" t="n">
        <f aca="false">E20</f>
        <v>0</v>
      </c>
      <c r="I20" s="58" t="n">
        <f aca="false">100000000/F20</f>
        <v>2026.47562811588</v>
      </c>
      <c r="J20" s="58" t="n">
        <f aca="false">G20/F20*I20</f>
        <v>1.43731121497168E-006</v>
      </c>
    </row>
    <row collapsed="false" customFormat="false" customHeight="false" hidden="false" ht="12.8" outlineLevel="0" r="21">
      <c r="A21" s="0" t="n">
        <v>2852</v>
      </c>
      <c r="B21" s="0" t="s">
        <v>130</v>
      </c>
      <c r="F21" s="44" t="n">
        <f aca="false">SUMPRODUCT(F22:F24,C27:C29)</f>
        <v>35051.280762104</v>
      </c>
      <c r="G21" s="44" t="n">
        <f aca="false">SQRT(C27*G22*G22+C28*G23*G23+C29*G24*G24)</f>
        <v>0.00018962953356479</v>
      </c>
      <c r="H21" s="5" t="s">
        <v>152</v>
      </c>
      <c r="I21" s="38" t="n">
        <f aca="false">100000000/F21</f>
        <v>2852.96279695765</v>
      </c>
      <c r="J21" s="38" t="n">
        <f aca="false">G21/F21*I21</f>
        <v>1.54347000366872E-005</v>
      </c>
    </row>
    <row collapsed="false" customFormat="false" customHeight="false" hidden="false" ht="12.8" outlineLevel="0" r="22">
      <c r="B22" s="0" t="n">
        <f aca="false">B18</f>
        <v>26</v>
      </c>
      <c r="C22" s="45" t="n">
        <f aca="false">35051.32015</f>
        <v>35051.32015</v>
      </c>
      <c r="D22" s="45" t="n">
        <f aca="false">0.00025</f>
        <v>0.00025</v>
      </c>
      <c r="E22" s="0" t="str">
        <f aca="false">A35</f>
        <v>Salumbides:2006:L41</v>
      </c>
      <c r="F22" s="45" t="n">
        <f aca="false">C22</f>
        <v>35051.32015</v>
      </c>
      <c r="G22" s="45" t="n">
        <f aca="false">D22</f>
        <v>0.00025</v>
      </c>
      <c r="H22" s="0" t="n">
        <f aca="false">E22</f>
        <v>0</v>
      </c>
      <c r="I22" s="38" t="n">
        <f aca="false">100000000/F22</f>
        <v>2852.95959102413</v>
      </c>
      <c r="J22" s="38" t="n">
        <f aca="false">G22/F22*I22</f>
        <v>2.03484460700415E-005</v>
      </c>
    </row>
    <row collapsed="false" customFormat="false" customHeight="false" hidden="false" ht="12.8" outlineLevel="0" r="23">
      <c r="B23" s="0" t="n">
        <f aca="false">B19</f>
        <v>25</v>
      </c>
      <c r="C23" s="45" t="n">
        <f aca="false">35051.29784</f>
        <v>35051.29784</v>
      </c>
      <c r="D23" s="45" t="n">
        <f aca="false">0.00025</f>
        <v>0.00025</v>
      </c>
      <c r="E23" s="0" t="n">
        <f aca="false">E22</f>
        <v>0</v>
      </c>
      <c r="F23" s="45" t="n">
        <f aca="false">C23</f>
        <v>35051.29784</v>
      </c>
      <c r="G23" s="45" t="n">
        <f aca="false">D23</f>
        <v>0.00025</v>
      </c>
      <c r="H23" s="0" t="n">
        <f aca="false">E23</f>
        <v>0</v>
      </c>
      <c r="I23" s="38" t="n">
        <f aca="false">100000000/F23</f>
        <v>2852.96140692062</v>
      </c>
      <c r="J23" s="38" t="n">
        <f aca="false">G23/F23*I23</f>
        <v>2.03484719734462E-005</v>
      </c>
    </row>
    <row collapsed="false" customFormat="false" customHeight="false" hidden="false" ht="12.8" outlineLevel="0" r="24">
      <c r="B24" s="0" t="n">
        <f aca="false">B20</f>
        <v>24</v>
      </c>
      <c r="C24" s="45" t="n">
        <f aca="false">35051.27311</f>
        <v>35051.27311</v>
      </c>
      <c r="D24" s="45" t="n">
        <f aca="false">0.00017</f>
        <v>0.00017</v>
      </c>
      <c r="E24" s="0" t="n">
        <f aca="false">E23</f>
        <v>0</v>
      </c>
      <c r="F24" s="45" t="n">
        <f aca="false">C24</f>
        <v>35051.27311</v>
      </c>
      <c r="G24" s="45" t="n">
        <f aca="false">D24</f>
        <v>0.00017</v>
      </c>
      <c r="H24" s="0" t="n">
        <f aca="false">E24</f>
        <v>0</v>
      </c>
      <c r="I24" s="38" t="n">
        <f aca="false">100000000/F24</f>
        <v>2852.96341979288</v>
      </c>
      <c r="J24" s="38" t="n">
        <f aca="false">G24/F24*I24</f>
        <v>1.38369804669497E-005</v>
      </c>
    </row>
    <row collapsed="false" customFormat="true" customHeight="false" hidden="false" ht="12.8" outlineLevel="0" r="26" s="5">
      <c r="B26" s="10" t="s">
        <v>149</v>
      </c>
      <c r="C26" s="5" t="s">
        <v>153</v>
      </c>
      <c r="D26" s="5" t="s">
        <v>150</v>
      </c>
    </row>
    <row collapsed="false" customFormat="true" customHeight="false" hidden="false" ht="12.8" outlineLevel="0" r="27" s="5">
      <c r="A27" s="10"/>
      <c r="B27" s="5" t="n">
        <v>26</v>
      </c>
      <c r="C27" s="54" t="n">
        <f aca="false">0.1101</f>
        <v>0.1101</v>
      </c>
      <c r="D27" s="5" t="n">
        <f aca="false">A34</f>
        <v>0</v>
      </c>
      <c r="K27" s="38"/>
    </row>
    <row collapsed="false" customFormat="true" customHeight="false" hidden="false" ht="12.8" outlineLevel="0" r="28" s="5">
      <c r="B28" s="5" t="n">
        <v>25</v>
      </c>
      <c r="C28" s="54" t="n">
        <f aca="false">0.1</f>
        <v>0.1</v>
      </c>
      <c r="D28" s="5" t="n">
        <f aca="false">D27</f>
        <v>0</v>
      </c>
    </row>
    <row collapsed="false" customFormat="true" customHeight="false" hidden="false" ht="12.8" outlineLevel="0" r="29" s="5">
      <c r="B29" s="5" t="n">
        <v>24</v>
      </c>
      <c r="C29" s="54" t="n">
        <f aca="false">0.7899</f>
        <v>0.7899</v>
      </c>
      <c r="D29" s="5" t="n">
        <f aca="false">D28</f>
        <v>0</v>
      </c>
    </row>
    <row collapsed="false" customFormat="true" customHeight="false" hidden="false" ht="12.8" outlineLevel="0" r="30" s="5">
      <c r="B30" s="5" t="s">
        <v>154</v>
      </c>
      <c r="C30" s="5" t="n">
        <f aca="false">SUM(C27:C29)</f>
        <v>1</v>
      </c>
    </row>
    <row collapsed="false" customFormat="false" customHeight="false" hidden="false" ht="12.8" outlineLevel="0" r="32">
      <c r="A32" s="0" t="s">
        <v>18</v>
      </c>
    </row>
    <row collapsed="false" customFormat="false" customHeight="false" hidden="false" ht="13.8" outlineLevel="0" r="33">
      <c r="A33" s="0" t="s">
        <v>155</v>
      </c>
      <c r="B33" s="7" t="s">
        <v>156</v>
      </c>
    </row>
    <row collapsed="false" customFormat="false" customHeight="false" hidden="false" ht="13.8" outlineLevel="0" r="34">
      <c r="A34" s="5" t="s">
        <v>157</v>
      </c>
      <c r="B34" s="7" t="s">
        <v>158</v>
      </c>
    </row>
    <row collapsed="false" customFormat="false" customHeight="false" hidden="false" ht="13.8" outlineLevel="0" r="35">
      <c r="A35" s="0" t="s">
        <v>159</v>
      </c>
      <c r="B35" s="7" t="s">
        <v>160</v>
      </c>
    </row>
  </sheetData>
  <hyperlinks>
    <hyperlink display="http://adsabs.harvard.edu/abs/2006PhRvA..74a2505H" ref="B33" r:id="rId1"/>
    <hyperlink display="http://adsabs.harvard.edu/abs/1998JPCRD..27.1275R" ref="B34" r:id="rId2"/>
    <hyperlink display="http://adsabs.harvard.edu/abs/2006MNRAS.373L..41S" ref="B35" r:id="rId3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G14" activeCellId="0" pane="topLeft" sqref="G14"/>
    </sheetView>
  </sheetViews>
  <cols>
    <col collapsed="false" hidden="false" max="1" min="1" style="0" width="14.0352941176471"/>
    <col collapsed="false" hidden="false" max="2" min="2" style="0" width="13.4588235294118"/>
    <col collapsed="false" hidden="false" max="3" min="3" style="0" width="14.7058823529412"/>
    <col collapsed="false" hidden="false" max="4" min="4" style="0" width="15.4117647058824"/>
    <col collapsed="false" hidden="false" max="5" min="5" style="0" width="14.5882352941176"/>
    <col collapsed="false" hidden="false" max="6" min="6" style="0" width="11.921568627451"/>
    <col collapsed="false" hidden="false" max="7" min="7" style="0" width="17.7254901960784"/>
    <col collapsed="false" hidden="false" max="8" min="8" style="0" width="15.1411764705882"/>
    <col collapsed="false" hidden="false" max="9" min="9" style="0" width="15.0039215686275"/>
    <col collapsed="false" hidden="false" max="10" min="10" style="0" width="13.0235294117647"/>
    <col collapsed="false" hidden="false" max="11" min="11" style="0" width="19.8509803921569"/>
    <col collapsed="false" hidden="false" max="13" min="12" style="0" width="20.4862745098039"/>
    <col collapsed="false" hidden="false" max="14" min="14" style="0" width="11.9490196078431"/>
    <col collapsed="false" hidden="false" max="15" min="15" style="0" width="11.5333333333333"/>
    <col collapsed="false" hidden="false" max="1025" min="16" style="0" width="11.5764705882353"/>
  </cols>
  <sheetData>
    <row collapsed="false" customFormat="true" customHeight="false" hidden="false" ht="12.8" outlineLevel="0" r="1" s="5">
      <c r="A1" s="5" t="s">
        <v>31</v>
      </c>
      <c r="B1" s="59" t="s">
        <v>32</v>
      </c>
      <c r="AMJ1" s="0"/>
    </row>
    <row collapsed="false" customFormat="true" customHeight="false" hidden="false" ht="12.8" outlineLevel="0" r="2" s="5">
      <c r="B2" s="10"/>
      <c r="AMJ2" s="0"/>
    </row>
    <row collapsed="false" customFormat="true" customHeight="false" hidden="false" ht="12.8" outlineLevel="0" r="3" s="5">
      <c r="A3" s="5" t="s">
        <v>33</v>
      </c>
      <c r="B3" s="10"/>
      <c r="AMJ3" s="0"/>
    </row>
    <row collapsed="false" customFormat="false" customHeight="false" hidden="false" ht="12.8" outlineLevel="0" r="4">
      <c r="A4" s="0" t="s">
        <v>34</v>
      </c>
      <c r="B4" s="0" t="s">
        <v>35</v>
      </c>
      <c r="C4" s="0" t="s">
        <v>36</v>
      </c>
      <c r="D4" s="0" t="s">
        <v>37</v>
      </c>
      <c r="E4" s="0" t="s">
        <v>38</v>
      </c>
      <c r="F4" s="0" t="s">
        <v>39</v>
      </c>
      <c r="G4" s="0" t="s">
        <v>8</v>
      </c>
      <c r="H4" s="0" t="s">
        <v>40</v>
      </c>
      <c r="I4" s="0" t="s">
        <v>41</v>
      </c>
      <c r="J4" s="0" t="s">
        <v>42</v>
      </c>
      <c r="K4" s="0" t="s">
        <v>43</v>
      </c>
      <c r="L4" s="0" t="s">
        <v>44</v>
      </c>
      <c r="M4" s="0" t="s">
        <v>45</v>
      </c>
      <c r="N4" s="0" t="s">
        <v>46</v>
      </c>
      <c r="O4" s="0" t="s">
        <v>47</v>
      </c>
      <c r="P4" s="0" t="s">
        <v>48</v>
      </c>
      <c r="Q4" s="0" t="s">
        <v>49</v>
      </c>
      <c r="R4" s="0" t="s">
        <v>50</v>
      </c>
      <c r="S4" s="0" t="s">
        <v>51</v>
      </c>
      <c r="T4" s="0" t="s">
        <v>52</v>
      </c>
    </row>
    <row collapsed="false" customFormat="false" customHeight="false" hidden="false" ht="12.8" outlineLevel="0" r="5">
      <c r="A5" s="0" t="s">
        <v>161</v>
      </c>
      <c r="B5" s="0" t="n">
        <f aca="false">A19</f>
        <v>2796</v>
      </c>
      <c r="C5" s="0" t="s">
        <v>54</v>
      </c>
      <c r="D5" s="11" t="n">
        <v>24.305</v>
      </c>
      <c r="E5" s="45" t="n">
        <f aca="false">C74</f>
        <v>35760.8541429803</v>
      </c>
      <c r="F5" s="45" t="n">
        <f aca="false">D74</f>
        <v>0.000203547496424319</v>
      </c>
      <c r="G5" s="14" t="n">
        <v>1</v>
      </c>
      <c r="I5" s="13" t="n">
        <f aca="false">E74</f>
        <v>2796.35378954251</v>
      </c>
      <c r="J5" s="13" t="n">
        <f aca="false">F74</f>
        <v>1.59165888684391E-005</v>
      </c>
      <c r="K5" s="30" t="n">
        <f aca="false">299792458*J5/I5</f>
        <v>1.70639112893703</v>
      </c>
      <c r="L5" s="0" t="s">
        <v>55</v>
      </c>
      <c r="M5" s="0" t="s">
        <v>56</v>
      </c>
      <c r="N5" s="0" t="s">
        <v>162</v>
      </c>
      <c r="O5" s="15" t="n">
        <v>7.65</v>
      </c>
      <c r="P5" s="15" t="n">
        <v>15.04</v>
      </c>
      <c r="Q5" s="11" t="n">
        <v>0.6155</v>
      </c>
      <c r="R5" s="16" t="n">
        <v>262500000</v>
      </c>
      <c r="S5" s="14" t="n">
        <v>212</v>
      </c>
      <c r="T5" s="14" t="n">
        <v>2</v>
      </c>
    </row>
    <row collapsed="false" customFormat="false" customHeight="false" hidden="false" ht="12.8" outlineLevel="0" r="6">
      <c r="C6" s="0" t="s">
        <v>143</v>
      </c>
      <c r="D6" s="14" t="s">
        <v>144</v>
      </c>
      <c r="E6" s="19" t="n">
        <f aca="false">C75</f>
        <v>35760.9403866324</v>
      </c>
      <c r="F6" s="19" t="n">
        <f aca="false">D75</f>
        <v>5.33702552317043E-006</v>
      </c>
      <c r="G6" s="14" t="n">
        <v>0</v>
      </c>
      <c r="H6" s="0" t="n">
        <f aca="false">G19</f>
        <v>0</v>
      </c>
      <c r="I6" s="20" t="n">
        <f aca="false">E75</f>
        <v>2796.34704565489</v>
      </c>
      <c r="J6" s="20" t="n">
        <f aca="false">F75</f>
        <v>4.17331742201083E-007</v>
      </c>
      <c r="K6" s="21" t="n">
        <f aca="false">299792458*J6/I6</f>
        <v>0.0447415527304782</v>
      </c>
      <c r="O6" s="15"/>
      <c r="P6" s="15"/>
      <c r="Q6" s="22" t="n">
        <f aca="false">B75</f>
        <v>0.1101</v>
      </c>
      <c r="R6" s="18"/>
      <c r="S6" s="14"/>
      <c r="T6" s="14"/>
    </row>
    <row collapsed="false" customFormat="false" customHeight="false" hidden="false" ht="12.8" outlineLevel="0" r="7">
      <c r="C7" s="0" t="s">
        <v>58</v>
      </c>
      <c r="D7" s="14" t="s">
        <v>145</v>
      </c>
      <c r="E7" s="45" t="n">
        <f aca="false">C76</f>
        <v>35760.8584996702</v>
      </c>
      <c r="F7" s="45" t="n">
        <f aca="false">D76</f>
        <v>0.000644794524515804</v>
      </c>
      <c r="G7" s="14" t="n">
        <v>3</v>
      </c>
      <c r="H7" s="0" t="s">
        <v>163</v>
      </c>
      <c r="I7" s="13" t="n">
        <f aca="false">E76</f>
        <v>2796.35344886707</v>
      </c>
      <c r="J7" s="13" t="n">
        <f aca="false">F76</f>
        <v>5.04203049951106E-005</v>
      </c>
      <c r="K7" s="30" t="n">
        <f aca="false">299792458*J7/I7</f>
        <v>5.40547804274097</v>
      </c>
      <c r="L7" s="0" t="s">
        <v>63</v>
      </c>
      <c r="M7" s="0" t="s">
        <v>64</v>
      </c>
      <c r="O7" s="15"/>
      <c r="P7" s="15"/>
      <c r="Q7" s="22" t="n">
        <f aca="false">B76</f>
        <v>0.0416666666666667</v>
      </c>
      <c r="R7" s="18"/>
      <c r="S7" s="14"/>
      <c r="T7" s="14"/>
    </row>
    <row collapsed="false" customFormat="false" customHeight="false" hidden="false" ht="12.8" outlineLevel="0" r="8">
      <c r="C8" s="0" t="s">
        <v>58</v>
      </c>
      <c r="D8" s="14" t="n">
        <f aca="false">D7</f>
        <v>0</v>
      </c>
      <c r="E8" s="45" t="n">
        <f aca="false">C77</f>
        <v>35760.9150158752</v>
      </c>
      <c r="F8" s="45" t="n">
        <f aca="false">D77</f>
        <v>0.000642530026754748</v>
      </c>
      <c r="G8" s="14" t="n">
        <v>3</v>
      </c>
      <c r="H8" s="0" t="n">
        <f aca="false">H7</f>
        <v>0</v>
      </c>
      <c r="I8" s="13" t="n">
        <f aca="false">E77</f>
        <v>2796.34902953706</v>
      </c>
      <c r="J8" s="13" t="n">
        <f aca="false">F77</f>
        <v>5.02430716878034E-005</v>
      </c>
      <c r="K8" s="30" t="n">
        <f aca="false">299792458*J8/I8</f>
        <v>5.38648566386235</v>
      </c>
      <c r="L8" s="0" t="s">
        <v>164</v>
      </c>
      <c r="M8" s="0" t="s">
        <v>165</v>
      </c>
      <c r="O8" s="15"/>
      <c r="P8" s="15"/>
      <c r="Q8" s="22" t="n">
        <f aca="false">B77</f>
        <v>0.0583333333333333</v>
      </c>
      <c r="R8" s="18"/>
      <c r="S8" s="14"/>
      <c r="T8" s="14"/>
    </row>
    <row collapsed="false" customFormat="false" customHeight="false" hidden="false" ht="12.8" outlineLevel="0" r="9">
      <c r="C9" s="0" t="s">
        <v>143</v>
      </c>
      <c r="D9" s="14" t="s">
        <v>146</v>
      </c>
      <c r="E9" s="19" t="n">
        <f aca="false">C78</f>
        <v>35760.8373967166</v>
      </c>
      <c r="F9" s="19" t="n">
        <f aca="false">D78</f>
        <v>5.33702552317043E-006</v>
      </c>
      <c r="G9" s="14" t="n">
        <v>0</v>
      </c>
      <c r="H9" s="0" t="n">
        <f aca="false">G20</f>
        <v>0</v>
      </c>
      <c r="I9" s="20" t="n">
        <f aca="false">E78</f>
        <v>2796.35509903304</v>
      </c>
      <c r="J9" s="20" t="n">
        <f aca="false">F78</f>
        <v>4.17334146005132E-007</v>
      </c>
      <c r="K9" s="21" t="n">
        <f aca="false">299792458*J9/I9</f>
        <v>0.0447416815845287</v>
      </c>
      <c r="O9" s="15"/>
      <c r="P9" s="15"/>
      <c r="Q9" s="22" t="n">
        <f aca="false">B78</f>
        <v>0.7899</v>
      </c>
      <c r="R9" s="18"/>
      <c r="S9" s="14"/>
      <c r="T9" s="14"/>
    </row>
    <row collapsed="false" customFormat="false" customHeight="false" hidden="false" ht="12.8" outlineLevel="0" r="10">
      <c r="B10" s="0" t="n">
        <f aca="false">A21</f>
        <v>2803</v>
      </c>
      <c r="C10" s="0" t="s">
        <v>54</v>
      </c>
      <c r="D10" s="11" t="n">
        <f aca="false">$D$5</f>
        <v>24.305</v>
      </c>
      <c r="E10" s="45" t="n">
        <f aca="false">C79</f>
        <v>35669.3044028676</v>
      </c>
      <c r="F10" s="45" t="n">
        <f aca="false">D79</f>
        <v>0.000201848416826297</v>
      </c>
      <c r="G10" s="14" t="n">
        <v>1</v>
      </c>
      <c r="I10" s="13" t="n">
        <f aca="false">E79</f>
        <v>2803.53098200481</v>
      </c>
      <c r="J10" s="13" t="n">
        <f aca="false">F79</f>
        <v>1.58648535404478E-005</v>
      </c>
      <c r="K10" s="30" t="n">
        <f aca="false">299792458*J10/I10</f>
        <v>1.6964904148481</v>
      </c>
      <c r="M10" s="0" t="s">
        <v>65</v>
      </c>
      <c r="N10" s="0" t="s">
        <v>166</v>
      </c>
      <c r="O10" s="15"/>
      <c r="P10" s="15"/>
      <c r="Q10" s="11" t="n">
        <v>0.3058</v>
      </c>
      <c r="R10" s="16" t="n">
        <v>259500000</v>
      </c>
      <c r="S10" s="14" t="n">
        <v>121</v>
      </c>
      <c r="T10" s="14" t="n">
        <v>2</v>
      </c>
    </row>
    <row collapsed="false" customFormat="false" customHeight="false" hidden="false" ht="12.8" outlineLevel="0" r="11">
      <c r="C11" s="0" t="s">
        <v>143</v>
      </c>
      <c r="D11" s="14" t="n">
        <f aca="false">D6</f>
        <v>0</v>
      </c>
      <c r="E11" s="19" t="n">
        <f aca="false">C80</f>
        <v>35669.3905711931</v>
      </c>
      <c r="F11" s="19" t="n">
        <f aca="false">D80</f>
        <v>5.33702552317043E-006</v>
      </c>
      <c r="G11" s="14" t="n">
        <v>0</v>
      </c>
      <c r="H11" s="0" t="n">
        <f aca="false">G21</f>
        <v>0</v>
      </c>
      <c r="I11" s="20" t="n">
        <f aca="false">E80</f>
        <v>2803.52420937522</v>
      </c>
      <c r="J11" s="20" t="n">
        <f aca="false">F80</f>
        <v>4.19476756419427E-007</v>
      </c>
      <c r="K11" s="21" t="n">
        <f aca="false">299792458*J11/I11</f>
        <v>0.0448563873500035</v>
      </c>
      <c r="O11" s="15"/>
      <c r="P11" s="15"/>
      <c r="Q11" s="22" t="n">
        <f aca="false">B80</f>
        <v>0.1101</v>
      </c>
      <c r="R11" s="18"/>
      <c r="S11" s="14"/>
      <c r="T11" s="14"/>
    </row>
    <row collapsed="false" customFormat="false" customHeight="false" hidden="false" ht="12.8" outlineLevel="0" r="12">
      <c r="C12" s="0" t="s">
        <v>58</v>
      </c>
      <c r="D12" s="14" t="n">
        <f aca="false">D7</f>
        <v>0</v>
      </c>
      <c r="E12" s="45" t="n">
        <f aca="false">C81</f>
        <v>35669.3049226008</v>
      </c>
      <c r="F12" s="45" t="n">
        <f aca="false">D81</f>
        <v>0.00063752749181821</v>
      </c>
      <c r="G12" s="14" t="n">
        <v>3</v>
      </c>
      <c r="H12" s="0" t="s">
        <v>163</v>
      </c>
      <c r="I12" s="13" t="n">
        <f aca="false">E81</f>
        <v>2803.53094115489</v>
      </c>
      <c r="J12" s="13" t="n">
        <f aca="false">F81</f>
        <v>5.01082948778387E-005</v>
      </c>
      <c r="K12" s="30" t="n">
        <f aca="false">299792458*J12/I12</f>
        <v>5.35827469106791</v>
      </c>
      <c r="L12" s="0" t="s">
        <v>63</v>
      </c>
      <c r="M12" s="0" t="s">
        <v>167</v>
      </c>
      <c r="O12" s="15"/>
      <c r="P12" s="15"/>
      <c r="Q12" s="22" t="n">
        <f aca="false">B81</f>
        <v>0.0416666666666667</v>
      </c>
      <c r="R12" s="18"/>
      <c r="S12" s="14"/>
      <c r="T12" s="14"/>
    </row>
    <row collapsed="false" customFormat="false" customHeight="false" hidden="false" ht="12.8" outlineLevel="0" r="13">
      <c r="C13" s="0" t="s">
        <v>58</v>
      </c>
      <c r="D13" s="14" t="n">
        <f aca="false">D12</f>
        <v>0</v>
      </c>
      <c r="E13" s="45" t="n">
        <f aca="false">C82</f>
        <v>35669.3679816655</v>
      </c>
      <c r="F13" s="45" t="n">
        <f aca="false">D82</f>
        <v>0.000638508444517247</v>
      </c>
      <c r="G13" s="14" t="n">
        <v>3</v>
      </c>
      <c r="H13" s="0" t="n">
        <f aca="false">H12</f>
        <v>0</v>
      </c>
      <c r="I13" s="13" t="n">
        <f aca="false">E82</f>
        <v>2803.52598485628</v>
      </c>
      <c r="J13" s="13" t="n">
        <f aca="false">F82</f>
        <v>5.01852182150912E-005</v>
      </c>
      <c r="K13" s="30" t="n">
        <f aca="false">299792458*J13/I13</f>
        <v>5.36650988977361</v>
      </c>
      <c r="L13" s="0" t="s">
        <v>164</v>
      </c>
      <c r="M13" s="0" t="s">
        <v>167</v>
      </c>
      <c r="O13" s="15"/>
      <c r="P13" s="15"/>
      <c r="Q13" s="22" t="n">
        <f aca="false">B82</f>
        <v>0.0583333333333333</v>
      </c>
      <c r="R13" s="18"/>
      <c r="S13" s="14"/>
      <c r="T13" s="14"/>
    </row>
    <row collapsed="false" customFormat="false" customHeight="false" hidden="false" ht="12.8" outlineLevel="0" r="14">
      <c r="C14" s="0" t="s">
        <v>143</v>
      </c>
      <c r="D14" s="14" t="n">
        <f aca="false">D9</f>
        <v>0</v>
      </c>
      <c r="E14" s="19" t="n">
        <f aca="false">C83</f>
        <v>35669.2876696718</v>
      </c>
      <c r="F14" s="19" t="n">
        <f aca="false">D83</f>
        <v>5.33702552317043E-006</v>
      </c>
      <c r="G14" s="14" t="n">
        <v>0</v>
      </c>
      <c r="H14" s="0" t="n">
        <f aca="false">G22</f>
        <v>0</v>
      </c>
      <c r="I14" s="20" t="n">
        <f aca="false">E83</f>
        <v>2803.53229719881</v>
      </c>
      <c r="J14" s="20" t="n">
        <f aca="false">F83</f>
        <v>4.19479176700933E-007</v>
      </c>
      <c r="K14" s="21" t="n">
        <f aca="false">299792458*J14/I14</f>
        <v>0.0448565167551809</v>
      </c>
      <c r="O14" s="15"/>
      <c r="P14" s="15"/>
      <c r="Q14" s="22" t="n">
        <f aca="false">B83</f>
        <v>0.7899</v>
      </c>
      <c r="R14" s="18"/>
      <c r="S14" s="14"/>
      <c r="T14" s="14"/>
    </row>
    <row collapsed="false" customFormat="false" customHeight="false" hidden="false" ht="12.8" outlineLevel="0" r="15">
      <c r="A15" s="0" t="s">
        <v>69</v>
      </c>
      <c r="C15" s="14"/>
      <c r="D15" s="19"/>
      <c r="F15" s="14"/>
      <c r="H15" s="20"/>
      <c r="I15" s="20"/>
      <c r="J15" s="21"/>
      <c r="N15" s="15"/>
      <c r="O15" s="15"/>
      <c r="P15" s="22"/>
      <c r="Q15" s="18"/>
      <c r="R15" s="14"/>
      <c r="S15" s="14"/>
    </row>
    <row collapsed="false" customFormat="true" customHeight="false" hidden="false" ht="12.8" outlineLevel="0" r="16" s="5">
      <c r="B16" s="10"/>
      <c r="AMJ16" s="0"/>
    </row>
    <row collapsed="false" customFormat="true" customHeight="false" hidden="false" ht="12.8" outlineLevel="0" r="17" s="5">
      <c r="A17" s="5" t="s">
        <v>70</v>
      </c>
      <c r="B17" s="10"/>
      <c r="AMJ17" s="0"/>
    </row>
    <row collapsed="false" customFormat="false" customHeight="false" hidden="false" ht="13.8" outlineLevel="0" r="18">
      <c r="A18" s="5" t="s">
        <v>77</v>
      </c>
      <c r="B18" s="0" t="s">
        <v>149</v>
      </c>
      <c r="C18" s="0" t="s">
        <v>82</v>
      </c>
      <c r="D18" s="0" t="s">
        <v>168</v>
      </c>
      <c r="E18" s="25" t="s">
        <v>38</v>
      </c>
      <c r="F18" s="26" t="s">
        <v>39</v>
      </c>
      <c r="G18" s="0" t="s">
        <v>150</v>
      </c>
      <c r="H18" s="25" t="s">
        <v>38</v>
      </c>
      <c r="I18" s="26" t="s">
        <v>39</v>
      </c>
      <c r="J18" s="26" t="s">
        <v>151</v>
      </c>
      <c r="K18" s="26" t="s">
        <v>79</v>
      </c>
      <c r="L18" s="26" t="s">
        <v>80</v>
      </c>
    </row>
    <row collapsed="false" customFormat="false" customHeight="false" hidden="false" ht="12.8" outlineLevel="0" r="19">
      <c r="A19" s="0" t="n">
        <v>2796</v>
      </c>
      <c r="B19" s="0" t="n">
        <v>26</v>
      </c>
      <c r="C19" s="15" t="n">
        <f aca="false">1072086021.89</f>
        <v>1072086021.89</v>
      </c>
      <c r="D19" s="15" t="n">
        <f aca="false">0.16</f>
        <v>0.16</v>
      </c>
      <c r="E19" s="19" t="n">
        <f aca="false">C19*10000/299792458</f>
        <v>35760.9403866324</v>
      </c>
      <c r="F19" s="19" t="n">
        <f aca="false">D19/C19*E19</f>
        <v>5.33702552317043E-006</v>
      </c>
      <c r="G19" s="0" t="str">
        <f aca="false">A86</f>
        <v>Batteiger:2009:022503</v>
      </c>
      <c r="H19" s="19" t="n">
        <f aca="false">E19</f>
        <v>35760.9403866324</v>
      </c>
      <c r="I19" s="19" t="n">
        <f aca="false">F19</f>
        <v>5.33702552317043E-006</v>
      </c>
      <c r="J19" s="0" t="n">
        <f aca="false">G19</f>
        <v>0</v>
      </c>
      <c r="K19" s="10" t="n">
        <f aca="false">100000000/H19</f>
        <v>2796.34704565489</v>
      </c>
      <c r="L19" s="10" t="n">
        <f aca="false">I19/H19*K19</f>
        <v>4.17331742201083E-007</v>
      </c>
    </row>
    <row collapsed="false" customFormat="false" customHeight="false" hidden="false" ht="12.8" outlineLevel="0" r="20">
      <c r="B20" s="0" t="n">
        <v>24</v>
      </c>
      <c r="C20" s="34" t="n">
        <f aca="false">1072082934.33</f>
        <v>1072082934.33</v>
      </c>
      <c r="D20" s="15" t="n">
        <f aca="false">0.16</f>
        <v>0.16</v>
      </c>
      <c r="E20" s="19" t="n">
        <f aca="false">C20*10000/299792458</f>
        <v>35760.8373967166</v>
      </c>
      <c r="F20" s="19" t="n">
        <f aca="false">D20/C20*E20</f>
        <v>5.33702552317043E-006</v>
      </c>
      <c r="G20" s="0" t="str">
        <f aca="false">G19</f>
        <v>Batteiger:2009:022503</v>
      </c>
      <c r="H20" s="19" t="n">
        <f aca="false">E20</f>
        <v>35760.8373967166</v>
      </c>
      <c r="I20" s="19" t="n">
        <f aca="false">F20</f>
        <v>5.33702552317043E-006</v>
      </c>
      <c r="J20" s="0" t="n">
        <f aca="false">G20</f>
        <v>0</v>
      </c>
      <c r="K20" s="10" t="n">
        <f aca="false">100000000/H20</f>
        <v>2796.35509903304</v>
      </c>
      <c r="L20" s="10" t="n">
        <f aca="false">I20/H20*K20</f>
        <v>4.17334146005132E-007</v>
      </c>
    </row>
    <row collapsed="false" customFormat="false" customHeight="false" hidden="false" ht="12.8" outlineLevel="0" r="21">
      <c r="A21" s="0" t="n">
        <v>2803</v>
      </c>
      <c r="B21" s="0" t="n">
        <v>26</v>
      </c>
      <c r="C21" s="34" t="n">
        <f aca="false">1069341427.47</f>
        <v>1069341427.47</v>
      </c>
      <c r="D21" s="15" t="n">
        <f aca="false">0.16</f>
        <v>0.16</v>
      </c>
      <c r="E21" s="19" t="n">
        <f aca="false">C21*10000/299792458</f>
        <v>35669.3905711931</v>
      </c>
      <c r="F21" s="19" t="n">
        <f aca="false">D21/C21*E21</f>
        <v>5.33702552317043E-006</v>
      </c>
      <c r="G21" s="0" t="str">
        <f aca="false">G19</f>
        <v>Batteiger:2009:022503</v>
      </c>
      <c r="H21" s="19" t="n">
        <f aca="false">E21</f>
        <v>35669.3905711931</v>
      </c>
      <c r="I21" s="19" t="n">
        <f aca="false">F21</f>
        <v>5.33702552317043E-006</v>
      </c>
      <c r="J21" s="0" t="n">
        <f aca="false">G21</f>
        <v>0</v>
      </c>
      <c r="K21" s="10" t="n">
        <f aca="false">100000000/H21</f>
        <v>2803.52420937522</v>
      </c>
      <c r="L21" s="10" t="n">
        <f aca="false">I21/H21*K21</f>
        <v>4.19476756419427E-007</v>
      </c>
    </row>
    <row collapsed="false" customFormat="false" customHeight="false" hidden="false" ht="12.8" outlineLevel="0" r="22">
      <c r="B22" s="0" t="n">
        <v>24</v>
      </c>
      <c r="C22" s="34" t="n">
        <f aca="false">1069338342.56</f>
        <v>1069338342.56</v>
      </c>
      <c r="D22" s="15" t="n">
        <f aca="false">0.16</f>
        <v>0.16</v>
      </c>
      <c r="E22" s="19" t="n">
        <f aca="false">C22*10000/299792458</f>
        <v>35669.2876696718</v>
      </c>
      <c r="F22" s="19" t="n">
        <f aca="false">D22/C22*E22</f>
        <v>5.33702552317043E-006</v>
      </c>
      <c r="G22" s="0" t="str">
        <f aca="false">G19</f>
        <v>Batteiger:2009:022503</v>
      </c>
      <c r="H22" s="19" t="n">
        <f aca="false">E22</f>
        <v>35669.2876696718</v>
      </c>
      <c r="I22" s="19" t="n">
        <f aca="false">F22</f>
        <v>5.33702552317043E-006</v>
      </c>
      <c r="J22" s="0" t="n">
        <f aca="false">G22</f>
        <v>0</v>
      </c>
      <c r="K22" s="10" t="n">
        <f aca="false">100000000/H22</f>
        <v>2803.53229719881</v>
      </c>
      <c r="L22" s="10" t="n">
        <f aca="false">I22/H22*K22</f>
        <v>4.19479176700933E-007</v>
      </c>
    </row>
    <row collapsed="false" customFormat="true" customHeight="false" hidden="false" ht="12.8" outlineLevel="0" r="24" s="5">
      <c r="A24" s="5" t="s">
        <v>169</v>
      </c>
      <c r="B24" s="10"/>
      <c r="M24" s="44"/>
      <c r="N24" s="44"/>
      <c r="AMJ24" s="0"/>
    </row>
    <row collapsed="false" customFormat="true" customHeight="false" hidden="false" ht="47.35" outlineLevel="0" r="25" s="26">
      <c r="A25" s="26" t="s">
        <v>126</v>
      </c>
      <c r="B25" s="26" t="s">
        <v>170</v>
      </c>
      <c r="C25" s="60" t="s">
        <v>171</v>
      </c>
      <c r="D25" s="26" t="s">
        <v>172</v>
      </c>
      <c r="E25" s="26" t="s">
        <v>93</v>
      </c>
      <c r="F25" s="26" t="s">
        <v>38</v>
      </c>
      <c r="G25" s="26" t="s">
        <v>39</v>
      </c>
      <c r="H25" s="26" t="s">
        <v>79</v>
      </c>
      <c r="I25" s="26" t="s">
        <v>80</v>
      </c>
      <c r="O25" s="5"/>
      <c r="AMI25" s="0"/>
      <c r="AMJ25" s="0"/>
    </row>
    <row collapsed="false" customFormat="true" customHeight="false" hidden="false" ht="12.8" outlineLevel="0" r="26" s="8">
      <c r="A26" s="8" t="n">
        <v>2796</v>
      </c>
      <c r="B26" s="5"/>
      <c r="C26" s="55"/>
      <c r="D26" s="55"/>
      <c r="E26" s="61"/>
      <c r="F26" s="62"/>
      <c r="G26" s="62"/>
      <c r="H26" s="52"/>
      <c r="I26" s="52"/>
      <c r="J26" s="52"/>
      <c r="K26" s="52"/>
      <c r="L26" s="52"/>
      <c r="M26" s="52"/>
      <c r="N26" s="52"/>
      <c r="AMI26" s="0"/>
      <c r="AMJ26" s="0"/>
    </row>
    <row collapsed="false" customFormat="true" customHeight="false" hidden="false" ht="12.8" outlineLevel="0" r="27" s="8">
      <c r="A27" s="8" t="n">
        <v>26</v>
      </c>
      <c r="B27" s="54" t="n">
        <f aca="false">0.1101</f>
        <v>0.1101</v>
      </c>
      <c r="C27" s="55" t="n">
        <f aca="false">C19-C20</f>
        <v>3087.55999994278</v>
      </c>
      <c r="D27" s="55" t="n">
        <f aca="false">SQRT(D19*D19+D20*D20)</f>
        <v>0.226274169979695</v>
      </c>
      <c r="E27" s="61" t="s">
        <v>173</v>
      </c>
      <c r="F27" s="52"/>
      <c r="G27" s="61"/>
      <c r="H27" s="56"/>
      <c r="I27" s="52"/>
      <c r="J27" s="52"/>
      <c r="K27" s="52"/>
      <c r="L27" s="52"/>
      <c r="M27" s="52"/>
      <c r="N27" s="52"/>
      <c r="AMI27" s="0"/>
      <c r="AMJ27" s="0"/>
    </row>
    <row collapsed="false" customFormat="true" customHeight="false" hidden="false" ht="12.8" outlineLevel="0" r="28" s="8">
      <c r="A28" s="8" t="n">
        <v>25</v>
      </c>
      <c r="B28" s="54" t="n">
        <f aca="false">0.1</f>
        <v>0.1</v>
      </c>
      <c r="C28" s="63" t="n">
        <v>1621</v>
      </c>
      <c r="D28" s="63" t="n">
        <v>19</v>
      </c>
      <c r="E28" s="0" t="s">
        <v>174</v>
      </c>
      <c r="F28" s="52"/>
      <c r="G28" s="61"/>
      <c r="H28" s="56"/>
      <c r="I28" s="52"/>
      <c r="J28" s="52"/>
      <c r="K28" s="52"/>
      <c r="L28" s="52"/>
      <c r="M28" s="52"/>
      <c r="N28" s="52"/>
      <c r="AMI28" s="0"/>
      <c r="AMJ28" s="0"/>
    </row>
    <row collapsed="false" customFormat="true" customHeight="false" hidden="false" ht="12.8" outlineLevel="0" r="29" s="8">
      <c r="A29" s="8" t="n">
        <v>24</v>
      </c>
      <c r="B29" s="54" t="n">
        <f aca="false">0.7899</f>
        <v>0.7899</v>
      </c>
      <c r="C29" s="55" t="n">
        <v>0</v>
      </c>
      <c r="D29" s="55"/>
      <c r="E29" s="61"/>
      <c r="F29" s="52"/>
      <c r="G29" s="61"/>
      <c r="H29" s="56"/>
      <c r="I29" s="52"/>
      <c r="J29" s="52"/>
      <c r="K29" s="52"/>
      <c r="L29" s="52"/>
      <c r="M29" s="52"/>
      <c r="N29" s="52"/>
      <c r="AMI29" s="0"/>
      <c r="AMJ29" s="0"/>
    </row>
    <row collapsed="false" customFormat="true" customHeight="false" hidden="false" ht="12.8" outlineLevel="0" r="30" s="8">
      <c r="A30" s="8" t="n">
        <v>2803</v>
      </c>
      <c r="B30" s="64"/>
      <c r="C30" s="55"/>
      <c r="D30" s="55"/>
      <c r="E30" s="61"/>
      <c r="F30" s="62"/>
      <c r="G30" s="62"/>
      <c r="H30" s="52"/>
      <c r="I30" s="52"/>
      <c r="J30" s="52"/>
      <c r="K30" s="52"/>
      <c r="L30" s="52"/>
      <c r="M30" s="52"/>
      <c r="N30" s="52"/>
      <c r="AMI30" s="0"/>
      <c r="AMJ30" s="0"/>
    </row>
    <row collapsed="false" customFormat="true" customHeight="false" hidden="false" ht="12.8" outlineLevel="0" r="31" s="8">
      <c r="A31" s="8" t="n">
        <v>26</v>
      </c>
      <c r="B31" s="54" t="inlineStr">
        <f aca="false">$B27</f>
        <is>
          <t/>
        </is>
      </c>
      <c r="C31" s="55" t="n">
        <f aca="false">C21-C22</f>
        <v>3084.91000008583</v>
      </c>
      <c r="D31" s="55" t="n">
        <f aca="false">SQRT(D21*D21+D22*D22)</f>
        <v>0.226274169979695</v>
      </c>
      <c r="E31" s="61" t="n">
        <f aca="false">E27</f>
        <v>0</v>
      </c>
      <c r="F31" s="52"/>
      <c r="G31" s="61"/>
      <c r="H31" s="56"/>
      <c r="I31" s="52"/>
      <c r="J31" s="52"/>
      <c r="K31" s="52"/>
      <c r="L31" s="52"/>
      <c r="M31" s="52"/>
      <c r="N31" s="52"/>
      <c r="AMI31" s="0"/>
      <c r="AMJ31" s="0"/>
    </row>
    <row collapsed="false" customFormat="true" customHeight="false" hidden="false" ht="12.8" outlineLevel="0" r="32" s="8">
      <c r="A32" s="8" t="n">
        <v>25</v>
      </c>
      <c r="B32" s="54" t="inlineStr">
        <f aca="false">$B28</f>
        <is>
          <t/>
        </is>
      </c>
      <c r="C32" s="63" t="n">
        <v>1620</v>
      </c>
      <c r="D32" s="63" t="n">
        <v>19</v>
      </c>
      <c r="E32" s="5" t="s">
        <v>175</v>
      </c>
      <c r="F32" s="52"/>
      <c r="G32" s="61"/>
      <c r="H32" s="56"/>
      <c r="I32" s="52"/>
      <c r="J32" s="52"/>
      <c r="K32" s="52"/>
      <c r="L32" s="52"/>
      <c r="M32" s="52"/>
      <c r="N32" s="52"/>
      <c r="AMI32" s="0"/>
      <c r="AMJ32" s="0"/>
    </row>
    <row collapsed="false" customFormat="true" customHeight="false" hidden="false" ht="12.8" outlineLevel="0" r="33" s="8">
      <c r="A33" s="8" t="n">
        <v>24</v>
      </c>
      <c r="B33" s="54" t="inlineStr">
        <f aca="false">$B29</f>
        <is>
          <t/>
        </is>
      </c>
      <c r="C33" s="55" t="n">
        <v>0</v>
      </c>
      <c r="D33" s="55"/>
      <c r="E33" s="61"/>
      <c r="F33" s="52"/>
      <c r="G33" s="61"/>
      <c r="H33" s="56"/>
      <c r="I33" s="52"/>
      <c r="J33" s="52"/>
      <c r="K33" s="52"/>
      <c r="L33" s="52"/>
      <c r="M33" s="52"/>
      <c r="N33" s="52"/>
      <c r="AMI33" s="0"/>
      <c r="AMJ33" s="0"/>
    </row>
    <row collapsed="false" customFormat="false" customHeight="false" hidden="false" ht="12.8" outlineLevel="0" r="35">
      <c r="A35" s="0" t="s">
        <v>88</v>
      </c>
      <c r="B35" s="15"/>
      <c r="C35" s="15"/>
    </row>
    <row collapsed="false" customFormat="false" customHeight="false" hidden="false" ht="12.8" outlineLevel="0" r="37">
      <c r="A37" s="0" t="s">
        <v>89</v>
      </c>
    </row>
    <row collapsed="false" customFormat="false" customHeight="false" hidden="false" ht="12.8" outlineLevel="0" r="38">
      <c r="A38" s="0" t="s">
        <v>90</v>
      </c>
      <c r="B38" s="0" t="s">
        <v>91</v>
      </c>
      <c r="C38" s="0" t="s">
        <v>92</v>
      </c>
      <c r="D38" s="0" t="s">
        <v>93</v>
      </c>
    </row>
    <row collapsed="false" customFormat="false" customHeight="false" hidden="false" ht="12.8" outlineLevel="0" r="39">
      <c r="A39" s="0" t="s">
        <v>176</v>
      </c>
      <c r="B39" s="11" t="n">
        <v>-596.2544</v>
      </c>
      <c r="C39" s="11" t="n">
        <v>0.0005</v>
      </c>
      <c r="D39" s="0" t="s">
        <v>177</v>
      </c>
    </row>
    <row collapsed="false" customFormat="false" customHeight="false" hidden="false" ht="12.8" outlineLevel="0" r="40">
      <c r="A40" s="0" t="s">
        <v>178</v>
      </c>
      <c r="B40" s="30" t="n">
        <v>-101.7</v>
      </c>
      <c r="C40" s="30" t="n">
        <v>1.5</v>
      </c>
      <c r="D40" s="0" t="s">
        <v>179</v>
      </c>
    </row>
    <row collapsed="false" customFormat="false" customHeight="false" hidden="false" ht="12.8" outlineLevel="0" r="41">
      <c r="A41" s="0" t="s">
        <v>180</v>
      </c>
      <c r="B41" s="30" t="n">
        <v>-18.89</v>
      </c>
      <c r="C41" s="30" t="n">
        <v>1</v>
      </c>
      <c r="D41" s="0" t="n">
        <f aca="false">D40</f>
        <v>0</v>
      </c>
    </row>
    <row collapsed="false" customFormat="false" customHeight="false" hidden="false" ht="12.8" outlineLevel="0" r="42">
      <c r="A42" s="0" t="s">
        <v>180</v>
      </c>
      <c r="B42" s="15" t="n">
        <v>-22.91</v>
      </c>
      <c r="C42" s="15" t="n">
        <v>1</v>
      </c>
      <c r="D42" s="0" t="s">
        <v>181</v>
      </c>
    </row>
    <row collapsed="false" customFormat="false" customHeight="false" hidden="false" ht="12.8" outlineLevel="0" r="43">
      <c r="D43" s="0" t="s">
        <v>182</v>
      </c>
    </row>
    <row collapsed="false" customFormat="false" customHeight="false" hidden="false" ht="12.8" outlineLevel="0" r="44">
      <c r="A44" s="0" t="s">
        <v>101</v>
      </c>
    </row>
    <row collapsed="false" customFormat="true" customHeight="false" hidden="false" ht="13.8" outlineLevel="0" r="45" s="26">
      <c r="A45" s="26" t="s">
        <v>102</v>
      </c>
      <c r="B45" s="26" t="s">
        <v>103</v>
      </c>
      <c r="C45" s="26" t="s">
        <v>104</v>
      </c>
      <c r="D45" s="26" t="s">
        <v>105</v>
      </c>
      <c r="E45" s="26" t="s">
        <v>106</v>
      </c>
      <c r="F45" s="26" t="s">
        <v>107</v>
      </c>
      <c r="G45" s="26" t="s">
        <v>108</v>
      </c>
      <c r="H45" s="26" t="s">
        <v>109</v>
      </c>
      <c r="I45" s="26" t="s">
        <v>110</v>
      </c>
      <c r="J45" s="26" t="s">
        <v>111</v>
      </c>
      <c r="K45" s="26" t="s">
        <v>112</v>
      </c>
    </row>
    <row collapsed="false" customFormat="false" customHeight="false" hidden="false" ht="12.8" outlineLevel="0" r="46">
      <c r="A46" s="0" t="n">
        <f aca="false">3/2</f>
        <v>1.5</v>
      </c>
      <c r="B46" s="0" t="n">
        <f aca="false">4</f>
        <v>4</v>
      </c>
      <c r="C46" s="0" t="n">
        <f aca="false">5/2</f>
        <v>2.5</v>
      </c>
      <c r="D46" s="0" t="n">
        <f aca="false">B46*(B46+1)-C46*(C46+1)-A46*(A46+1)</f>
        <v>7.5</v>
      </c>
      <c r="E46" s="30" t="n">
        <f aca="false">(3*D46*(D46+1)-4*C46*(C46+1)*A46*(A46+1))/(2*C46*(2*C46-1)*2*A46*(2*A46-1))</f>
        <v>0.5</v>
      </c>
      <c r="F46" s="0" t="n">
        <f aca="false">B41*D46/2</f>
        <v>-70.8375</v>
      </c>
      <c r="G46" s="15" t="n">
        <f aca="false">ABS(C41*D46/2)</f>
        <v>3.75</v>
      </c>
      <c r="H46" s="15" t="n">
        <f aca="false">B42*E46/2</f>
        <v>-5.7275</v>
      </c>
      <c r="I46" s="15" t="n">
        <f aca="false">ABS(C42*E46/2)</f>
        <v>0.25</v>
      </c>
      <c r="J46" s="15" t="n">
        <f aca="false">F46+H46</f>
        <v>-76.565</v>
      </c>
      <c r="K46" s="11" t="n">
        <f aca="false">SQRT(G46*G46+I46*I46)</f>
        <v>3.75832409459323</v>
      </c>
    </row>
    <row collapsed="false" customFormat="false" customHeight="false" hidden="false" ht="12.8" outlineLevel="0" r="47">
      <c r="A47" s="0" t="n">
        <f aca="false">3/2</f>
        <v>1.5</v>
      </c>
      <c r="B47" s="0" t="n">
        <v>3</v>
      </c>
      <c r="C47" s="0" t="n">
        <f aca="false">5/2</f>
        <v>2.5</v>
      </c>
      <c r="D47" s="0" t="n">
        <f aca="false">B47*(B47+1)-C47*(C47+1)-A47*(A47+1)</f>
        <v>-0.5</v>
      </c>
      <c r="E47" s="30" t="n">
        <f aca="false">(3*D47*(D47+1)-4*C47*(C47+1)*A47*(A47+1))/(2*C47*(2*C47-1)*2*A47*(2*A47-1))</f>
        <v>-1.1</v>
      </c>
      <c r="F47" s="0" t="n">
        <f aca="false">B41*D47/2</f>
        <v>4.7225</v>
      </c>
      <c r="G47" s="15" t="n">
        <f aca="false">ABS(C41*D47/2)</f>
        <v>0.25</v>
      </c>
      <c r="H47" s="15" t="n">
        <f aca="false">B42*E47/2</f>
        <v>12.6005</v>
      </c>
      <c r="I47" s="15" t="n">
        <f aca="false">ABS(C42*E47/2)</f>
        <v>0.55</v>
      </c>
      <c r="J47" s="15" t="n">
        <f aca="false">F47+H47</f>
        <v>17.323</v>
      </c>
      <c r="K47" s="11" t="n">
        <f aca="false">SQRT(G47*G47+I47*I47)</f>
        <v>0.604152298679729</v>
      </c>
    </row>
    <row collapsed="false" customFormat="false" customHeight="false" hidden="false" ht="12.8" outlineLevel="0" r="48">
      <c r="A48" s="0" t="n">
        <f aca="false">3/2</f>
        <v>1.5</v>
      </c>
      <c r="B48" s="0" t="n">
        <v>2</v>
      </c>
      <c r="C48" s="0" t="n">
        <f aca="false">5/2</f>
        <v>2.5</v>
      </c>
      <c r="D48" s="0" t="n">
        <f aca="false">B48*(B48+1)-C48*(C48+1)-A48*(A48+1)</f>
        <v>-6.5</v>
      </c>
      <c r="E48" s="30" t="n">
        <f aca="false">(3*D48*(D48+1)-4*C48*(C48+1)*A48*(A48+1))/(2*C48*(2*C48-1)*2*A48*(2*A48-1))</f>
        <v>-0.2</v>
      </c>
      <c r="F48" s="0" t="n">
        <f aca="false">B41*D48/2</f>
        <v>61.3925</v>
      </c>
      <c r="G48" s="15" t="n">
        <f aca="false">ABS(C41*D48/2)</f>
        <v>3.25</v>
      </c>
      <c r="H48" s="15" t="n">
        <f aca="false">B42*E48/2</f>
        <v>2.291</v>
      </c>
      <c r="I48" s="15" t="n">
        <f aca="false">ABS(C42*E48/2)</f>
        <v>0.1</v>
      </c>
      <c r="J48" s="15" t="n">
        <f aca="false">F48+H48</f>
        <v>63.6835</v>
      </c>
      <c r="K48" s="11" t="n">
        <f aca="false">SQRT(G48*G48+I48*I48)</f>
        <v>3.25153809757782</v>
      </c>
    </row>
    <row collapsed="false" customFormat="false" customHeight="false" hidden="false" ht="12.8" outlineLevel="0" r="49">
      <c r="A49" s="0" t="n">
        <f aca="false">3/2</f>
        <v>1.5</v>
      </c>
      <c r="B49" s="0" t="n">
        <v>1</v>
      </c>
      <c r="C49" s="0" t="n">
        <f aca="false">5/2</f>
        <v>2.5</v>
      </c>
      <c r="D49" s="0" t="n">
        <f aca="false">B49*(B49+1)-C49*(C49+1)-A49*(A49+1)</f>
        <v>-10.5</v>
      </c>
      <c r="E49" s="30" t="n">
        <f aca="false">(3*D49*(D49+1)-4*C49*(C49+1)*A49*(A49+1))/(2*C49*(2*C49-1)*2*A49*(2*A49-1))</f>
        <v>1.4</v>
      </c>
      <c r="F49" s="0" t="n">
        <f aca="false">B41*D49/2</f>
        <v>99.1725</v>
      </c>
      <c r="G49" s="15" t="n">
        <f aca="false">ABS(C41*D49/2)</f>
        <v>5.25</v>
      </c>
      <c r="H49" s="15" t="n">
        <f aca="false">B42*E49/2</f>
        <v>-16.037</v>
      </c>
      <c r="I49" s="15" t="n">
        <f aca="false">ABS(C42*E49/2)</f>
        <v>0.7</v>
      </c>
      <c r="J49" s="15" t="n">
        <f aca="false">F49+H49</f>
        <v>83.1355</v>
      </c>
      <c r="K49" s="11" t="n">
        <f aca="false">SQRT(G49*G49+I49*I49)</f>
        <v>5.29646108264755</v>
      </c>
    </row>
    <row collapsed="false" customFormat="false" customHeight="false" hidden="false" ht="12.8" outlineLevel="0" r="50">
      <c r="A50" s="0" t="n">
        <f aca="false">1/2</f>
        <v>0.5</v>
      </c>
      <c r="B50" s="0" t="n">
        <v>3</v>
      </c>
      <c r="C50" s="0" t="n">
        <f aca="false">5/2</f>
        <v>2.5</v>
      </c>
      <c r="D50" s="0" t="n">
        <f aca="false">B50*(B50+1)-C50*(C50+1)-A50*(A50+1)</f>
        <v>2.5</v>
      </c>
      <c r="E50" s="30" t="n">
        <f aca="false">0</f>
        <v>0</v>
      </c>
      <c r="F50" s="0" t="n">
        <f aca="false">B40*D50/2</f>
        <v>-127.125</v>
      </c>
      <c r="G50" s="15" t="n">
        <f aca="false">ABS(C40*D50/2)</f>
        <v>1.875</v>
      </c>
      <c r="H50" s="15" t="n">
        <f aca="false">0</f>
        <v>0</v>
      </c>
      <c r="I50" s="15" t="n">
        <f aca="false">0</f>
        <v>0</v>
      </c>
      <c r="J50" s="15" t="n">
        <f aca="false">F50+H50</f>
        <v>-127.125</v>
      </c>
      <c r="K50" s="11" t="n">
        <f aca="false">SQRT(G50*G50+I50*I50)</f>
        <v>1.875</v>
      </c>
    </row>
    <row collapsed="false" customFormat="false" customHeight="false" hidden="false" ht="12.8" outlineLevel="0" r="51">
      <c r="A51" s="0" t="n">
        <f aca="false">1/2</f>
        <v>0.5</v>
      </c>
      <c r="B51" s="0" t="n">
        <v>2</v>
      </c>
      <c r="C51" s="0" t="n">
        <f aca="false">5/2</f>
        <v>2.5</v>
      </c>
      <c r="D51" s="0" t="n">
        <f aca="false">B51*(B51+1)-C51*(C51+1)-A51*(A51+1)</f>
        <v>-3.5</v>
      </c>
      <c r="E51" s="30" t="n">
        <f aca="false">0</f>
        <v>0</v>
      </c>
      <c r="F51" s="0" t="n">
        <f aca="false">B40*D51/2</f>
        <v>177.975</v>
      </c>
      <c r="G51" s="15" t="n">
        <f aca="false">ABS(C40*D51/2)</f>
        <v>2.625</v>
      </c>
      <c r="H51" s="15" t="n">
        <f aca="false">0</f>
        <v>0</v>
      </c>
      <c r="I51" s="15" t="n">
        <f aca="false">0</f>
        <v>0</v>
      </c>
      <c r="J51" s="15" t="n">
        <f aca="false">F51+H51</f>
        <v>177.975</v>
      </c>
      <c r="K51" s="11" t="n">
        <f aca="false">SQRT(G51*G51+I51*I51)</f>
        <v>2.625</v>
      </c>
    </row>
    <row collapsed="false" customFormat="false" customHeight="false" hidden="false" ht="12.8" outlineLevel="0" r="52">
      <c r="A52" s="0" t="n">
        <f aca="false">1/2</f>
        <v>0.5</v>
      </c>
      <c r="B52" s="0" t="n">
        <v>3</v>
      </c>
      <c r="C52" s="0" t="n">
        <f aca="false">5/2</f>
        <v>2.5</v>
      </c>
      <c r="D52" s="0" t="n">
        <f aca="false">B52*(B52+1)-C52*(C52+1)-A52*(A52+1)</f>
        <v>2.5</v>
      </c>
      <c r="E52" s="30" t="n">
        <f aca="false">0</f>
        <v>0</v>
      </c>
      <c r="F52" s="11" t="n">
        <f aca="false">B39*D52/2</f>
        <v>-745.318</v>
      </c>
      <c r="G52" s="11" t="n">
        <f aca="false">ABS(C39*D52/2)</f>
        <v>0.000625</v>
      </c>
      <c r="H52" s="11" t="n">
        <f aca="false">0</f>
        <v>0</v>
      </c>
      <c r="I52" s="11" t="n">
        <f aca="false">0</f>
        <v>0</v>
      </c>
      <c r="J52" s="11" t="n">
        <f aca="false">F52+H52</f>
        <v>-745.318</v>
      </c>
      <c r="K52" s="11" t="n">
        <f aca="false">SQRT(G52*G52+I52*I52)</f>
        <v>0.000625</v>
      </c>
    </row>
    <row collapsed="false" customFormat="false" customHeight="false" hidden="false" ht="12.8" outlineLevel="0" r="53">
      <c r="A53" s="0" t="n">
        <f aca="false">1/2</f>
        <v>0.5</v>
      </c>
      <c r="B53" s="0" t="n">
        <v>2</v>
      </c>
      <c r="C53" s="0" t="n">
        <f aca="false">5/2</f>
        <v>2.5</v>
      </c>
      <c r="D53" s="0" t="n">
        <f aca="false">B53*(B53+1)-C53*(C53+1)-A53*(A53+1)</f>
        <v>-3.5</v>
      </c>
      <c r="E53" s="30" t="n">
        <f aca="false">0</f>
        <v>0</v>
      </c>
      <c r="F53" s="11" t="n">
        <f aca="false">B39*D53/2</f>
        <v>1043.4452</v>
      </c>
      <c r="G53" s="11" t="n">
        <f aca="false">ABS(C39*D53/2)</f>
        <v>0.000875</v>
      </c>
      <c r="H53" s="11" t="n">
        <f aca="false">0</f>
        <v>0</v>
      </c>
      <c r="I53" s="11" t="n">
        <f aca="false">0</f>
        <v>0</v>
      </c>
      <c r="J53" s="11" t="n">
        <f aca="false">F53+H53</f>
        <v>1043.4452</v>
      </c>
      <c r="K53" s="11" t="n">
        <f aca="false">SQRT(G53*G53+I53*I53)</f>
        <v>0.000875</v>
      </c>
    </row>
    <row collapsed="false" customFormat="false" customHeight="false" hidden="false" ht="12.8" outlineLevel="0" r="55">
      <c r="A55" s="0" t="s">
        <v>183</v>
      </c>
    </row>
    <row collapsed="false" customFormat="false" customHeight="false" hidden="false" ht="25" outlineLevel="0" r="56">
      <c r="A56" s="0" t="s">
        <v>114</v>
      </c>
      <c r="B56" s="0" t="s">
        <v>115</v>
      </c>
      <c r="C56" s="6" t="s">
        <v>82</v>
      </c>
      <c r="D56" s="0" t="s">
        <v>116</v>
      </c>
      <c r="E56" s="0" t="s">
        <v>73</v>
      </c>
      <c r="F56" s="0" t="s">
        <v>117</v>
      </c>
      <c r="G56" s="0" t="s">
        <v>75</v>
      </c>
      <c r="H56" s="0" t="s">
        <v>76</v>
      </c>
      <c r="I56" s="0" t="s">
        <v>118</v>
      </c>
      <c r="J56" s="26" t="s">
        <v>119</v>
      </c>
      <c r="K56" s="26" t="s">
        <v>120</v>
      </c>
      <c r="L56" s="26" t="s">
        <v>121</v>
      </c>
      <c r="M56" s="0" t="s">
        <v>73</v>
      </c>
      <c r="N56" s="0" t="s">
        <v>117</v>
      </c>
      <c r="O56" s="0" t="s">
        <v>75</v>
      </c>
      <c r="P56" s="0" t="s">
        <v>76</v>
      </c>
    </row>
    <row collapsed="false" customFormat="false" customHeight="false" hidden="false" ht="12.8" outlineLevel="0" r="57">
      <c r="A57" s="0" t="n">
        <f aca="false">2</f>
        <v>2</v>
      </c>
      <c r="B57" s="0" t="n">
        <v>4</v>
      </c>
      <c r="C57" s="65" t="n">
        <f aca="false">$C$20+$C$28+J46-J53</f>
        <v>1072083435.3198</v>
      </c>
      <c r="D57" s="65" t="n">
        <f aca="false">SQRT($D$20*$D$20+$D$28*$D$28+K46*K46+K53*K53)</f>
        <v>19.3688048357565</v>
      </c>
      <c r="E57" s="45" t="n">
        <f aca="false">C57*10000/299792458</f>
        <v>35760.8541079376</v>
      </c>
      <c r="F57" s="45" t="n">
        <f aca="false">D57*10000/299792458</f>
        <v>0.000646073786010871</v>
      </c>
      <c r="G57" s="13" t="n">
        <f aca="false">100000000/E57</f>
        <v>2796.35379228271</v>
      </c>
      <c r="H57" s="13" t="n">
        <f aca="false">F57/E57*G57</f>
        <v>5.0520350441097E-005</v>
      </c>
      <c r="I57" s="0" t="s">
        <v>123</v>
      </c>
      <c r="J57" s="37"/>
      <c r="K57" s="37"/>
      <c r="L57" s="37"/>
      <c r="M57" s="13"/>
      <c r="N57" s="13"/>
      <c r="O57" s="19"/>
      <c r="P57" s="19"/>
    </row>
    <row collapsed="false" customFormat="false" customHeight="false" hidden="false" ht="12.8" outlineLevel="0" r="58">
      <c r="A58" s="0" t="n">
        <f aca="false">2</f>
        <v>2</v>
      </c>
      <c r="B58" s="0" t="n">
        <v>3</v>
      </c>
      <c r="C58" s="65" t="n">
        <f aca="false">$C$20+$C$28+J47-J53</f>
        <v>1072083529.2078</v>
      </c>
      <c r="D58" s="65" t="n">
        <f aca="false">SQRT($D$20*$D$20+$D$28*$D$28+K47*K47+K53*K53)</f>
        <v>19.0102761885677</v>
      </c>
      <c r="E58" s="45" t="n">
        <f aca="false">C58*10000/299792458</f>
        <v>35760.8572397041</v>
      </c>
      <c r="F58" s="45" t="n">
        <f aca="false">D58*10000/299792458</f>
        <v>0.000634114557630657</v>
      </c>
      <c r="G58" s="13" t="n">
        <f aca="false">100000000/E58</f>
        <v>2796.35354739128</v>
      </c>
      <c r="H58" s="13" t="n">
        <f aca="false">F58/E58*G58</f>
        <v>4.9585178587783E-005</v>
      </c>
      <c r="J58" s="39" t="n">
        <f aca="false">6JSymbols!G19</f>
        <v>0.0222222222222222</v>
      </c>
      <c r="K58" s="39" t="n">
        <f aca="false">(2*A58+1)*(2*B58+1)*J58</f>
        <v>0.777777777777778</v>
      </c>
      <c r="L58" s="40" t="n">
        <f aca="false">K58/SUM($K$58:$K$63)</f>
        <v>0.12962962962963</v>
      </c>
      <c r="M58" s="66" t="n">
        <f aca="false">SUMPRODUCT(E58:E60,L58:L60)/SUM(L58:L60)</f>
        <v>35760.8584996702</v>
      </c>
      <c r="N58" s="66" t="n">
        <f aca="false">SQRT(SUMPRODUCT(F58:F60,F58:F60,L58:L60)/SUM(L58:L60))</f>
        <v>0.000644794524515804</v>
      </c>
      <c r="O58" s="41" t="n">
        <f aca="false">100000000/M58</f>
        <v>2796.35344886707</v>
      </c>
      <c r="P58" s="41" t="n">
        <f aca="false">N58/M58*O58</f>
        <v>5.04203049951106E-005</v>
      </c>
    </row>
    <row collapsed="false" customFormat="false" customHeight="false" hidden="false" ht="12.8" outlineLevel="0" r="59">
      <c r="A59" s="0" t="n">
        <f aca="false">2</f>
        <v>2</v>
      </c>
      <c r="B59" s="0" t="n">
        <v>2</v>
      </c>
      <c r="C59" s="65" t="n">
        <f aca="false">$C$20+$C$28+J48-J53</f>
        <v>1072083575.5683</v>
      </c>
      <c r="D59" s="65" t="n">
        <f aca="false">SQRT($D$20*$D$20+$D$28*$D$28+K48*K48+K53*K53)</f>
        <v>19.2768799541219</v>
      </c>
      <c r="E59" s="45" t="n">
        <f aca="false">C59*10000/299792458</f>
        <v>35760.858786124</v>
      </c>
      <c r="F59" s="45" t="n">
        <f aca="false">D59*10000/299792458</f>
        <v>0.000643007502014005</v>
      </c>
      <c r="G59" s="13" t="n">
        <f aca="false">100000000/E59</f>
        <v>2796.35342646755</v>
      </c>
      <c r="H59" s="13" t="n">
        <f aca="false">F59/E59*G59</f>
        <v>5.02805663100825E-005</v>
      </c>
      <c r="J59" s="43" t="n">
        <f aca="false">6JSymbols!G18</f>
        <v>0.0388888888888889</v>
      </c>
      <c r="K59" s="39" t="n">
        <f aca="false">(2*A59+1)*(2*B59+1)*J59</f>
        <v>0.972222222222222</v>
      </c>
      <c r="L59" s="40" t="n">
        <f aca="false">K59/SUM($K$58:$K$63)</f>
        <v>0.162037037037037</v>
      </c>
      <c r="M59" s="66"/>
      <c r="N59" s="66"/>
      <c r="O59" s="41"/>
      <c r="P59" s="41"/>
    </row>
    <row collapsed="false" customFormat="false" customHeight="false" hidden="false" ht="12.8" outlineLevel="0" r="60">
      <c r="A60" s="0" t="n">
        <f aca="false">2</f>
        <v>2</v>
      </c>
      <c r="B60" s="0" t="n">
        <v>1</v>
      </c>
      <c r="C60" s="65" t="n">
        <f aca="false">$C$20+$C$28+J49-J53</f>
        <v>1072083595.0203</v>
      </c>
      <c r="D60" s="65" t="n">
        <f aca="false">SQRT($D$20*$D$20+$D$28*$D$28+K49*K49+K53*K53)</f>
        <v>19.7250627569502</v>
      </c>
      <c r="E60" s="45" t="n">
        <f aca="false">C60*10000/299792458</f>
        <v>35760.8594349728</v>
      </c>
      <c r="F60" s="45" t="n">
        <f aca="false">D60*10000/299792458</f>
        <v>0.000657957271124887</v>
      </c>
      <c r="G60" s="13" t="n">
        <f aca="false">100000000/E60</f>
        <v>2796.35337573021</v>
      </c>
      <c r="H60" s="13" t="n">
        <f aca="false">F60/E60*G60</f>
        <v>5.14495754650958E-005</v>
      </c>
      <c r="J60" s="43" t="n">
        <f aca="false">6JSymbols!G17</f>
        <v>0.05</v>
      </c>
      <c r="K60" s="39" t="n">
        <f aca="false">(2*A60+1)*(2*B60+1)*J60</f>
        <v>0.75</v>
      </c>
      <c r="L60" s="40" t="n">
        <f aca="false">K60/SUM($K$58:$K$63)</f>
        <v>0.125</v>
      </c>
      <c r="M60" s="66"/>
      <c r="N60" s="66"/>
      <c r="O60" s="41"/>
      <c r="P60" s="41"/>
    </row>
    <row collapsed="false" customFormat="false" customHeight="false" hidden="false" ht="12.8" outlineLevel="0" r="61">
      <c r="A61" s="0" t="n">
        <f aca="false">3</f>
        <v>3</v>
      </c>
      <c r="B61" s="0" t="n">
        <v>4</v>
      </c>
      <c r="C61" s="65" t="n">
        <f aca="false">$C$20+$C$28+J46-J52</f>
        <v>1072085224.083</v>
      </c>
      <c r="D61" s="65" t="n">
        <f aca="false">SQRT($D$20*$D$20+$D$28*$D$28+K46*K46+K52*K52)</f>
        <v>19.368804826076</v>
      </c>
      <c r="E61" s="45" t="n">
        <f aca="false">C61*10000/299792458</f>
        <v>35760.9137746554</v>
      </c>
      <c r="F61" s="45" t="n">
        <f aca="false">D61*10000/299792458</f>
        <v>0.000646073785687964</v>
      </c>
      <c r="G61" s="13" t="n">
        <f aca="false">100000000/E61</f>
        <v>2796.34912659509</v>
      </c>
      <c r="H61" s="13" t="n">
        <f aca="false">F61/E61*G61</f>
        <v>5.05201818306146E-005</v>
      </c>
      <c r="J61" s="39" t="n">
        <f aca="false">6JSymbols!G22</f>
        <v>0.0357142857142857</v>
      </c>
      <c r="K61" s="39" t="n">
        <f aca="false">(2*A61+1)*(2*B61+1)*J61</f>
        <v>2.25</v>
      </c>
      <c r="L61" s="40" t="n">
        <f aca="false">K61/SUM($K$58:$K$63)</f>
        <v>0.375</v>
      </c>
      <c r="M61" s="66" t="n">
        <f aca="false">SUMPRODUCT(E61:E63,L61:L63)/SUM(L61:L63)</f>
        <v>35760.9150158752</v>
      </c>
      <c r="N61" s="66" t="n">
        <f aca="false">SQRT(SUMPRODUCT(F61:F63,F61:F63,L61:L63)/SUM(L61:L63))</f>
        <v>0.000642530026754748</v>
      </c>
      <c r="O61" s="41" t="n">
        <f aca="false">100000000/M61</f>
        <v>2796.34902953706</v>
      </c>
      <c r="P61" s="41" t="n">
        <f aca="false">N61/M61*O61</f>
        <v>5.02430716878034E-005</v>
      </c>
    </row>
    <row collapsed="false" customFormat="false" customHeight="false" hidden="false" ht="12.8" outlineLevel="0" r="62">
      <c r="A62" s="0" t="n">
        <f aca="false">3</f>
        <v>3</v>
      </c>
      <c r="B62" s="0" t="n">
        <v>3</v>
      </c>
      <c r="C62" s="65" t="n">
        <f aca="false">$C$20+$C$28+J47-J52</f>
        <v>1072085317.971</v>
      </c>
      <c r="D62" s="65" t="n">
        <f aca="false">SQRT($D$20*$D$20+$D$28*$D$28+K47*K47+K52*K52)</f>
        <v>19.0102761787046</v>
      </c>
      <c r="E62" s="45" t="n">
        <f aca="false">C62*10000/299792458</f>
        <v>35760.916906422</v>
      </c>
      <c r="F62" s="45" t="n">
        <f aca="false">D62*10000/299792458</f>
        <v>0.00063411455730166</v>
      </c>
      <c r="G62" s="13" t="n">
        <f aca="false">100000000/E62</f>
        <v>2796.34888170448</v>
      </c>
      <c r="H62" s="13" t="n">
        <f aca="false">F62/E62*G62</f>
        <v>4.95850130974856E-005</v>
      </c>
      <c r="J62" s="43" t="n">
        <f aca="false">6JSymbols!G21</f>
        <v>0.0198412698412698</v>
      </c>
      <c r="K62" s="39" t="n">
        <f aca="false">(2*A62+1)*(2*B62+1)*J62</f>
        <v>0.972222222222222</v>
      </c>
      <c r="L62" s="40" t="n">
        <f aca="false">K62/SUM($K$58:$K$63)</f>
        <v>0.162037037037037</v>
      </c>
      <c r="M62" s="66"/>
      <c r="N62" s="66"/>
      <c r="O62" s="41"/>
      <c r="P62" s="41"/>
    </row>
    <row collapsed="false" customFormat="false" customHeight="false" hidden="false" ht="12.8" outlineLevel="0" r="63">
      <c r="A63" s="0" t="n">
        <f aca="false">3</f>
        <v>3</v>
      </c>
      <c r="B63" s="0" t="n">
        <v>2</v>
      </c>
      <c r="C63" s="65" t="n">
        <f aca="false">$C$20+$C$28+J48-J52</f>
        <v>1072085364.3315</v>
      </c>
      <c r="D63" s="65" t="n">
        <f aca="false">SQRT($D$20*$D$20+$D$28*$D$28+K48*K48+K52*K52)</f>
        <v>19.2768799443952</v>
      </c>
      <c r="E63" s="45" t="n">
        <f aca="false">C63*10000/299792458</f>
        <v>35760.9184528418</v>
      </c>
      <c r="F63" s="45" t="n">
        <f aca="false">D63*10000/299792458</f>
        <v>0.000643007501689558</v>
      </c>
      <c r="G63" s="13" t="n">
        <f aca="false">100000000/E63</f>
        <v>2796.34876078115</v>
      </c>
      <c r="H63" s="13" t="n">
        <f aca="false">F63/E63*G63</f>
        <v>5.02803984996558E-005</v>
      </c>
      <c r="J63" s="43" t="n">
        <f aca="false">6JSymbols!G20</f>
        <v>0.00793650793650794</v>
      </c>
      <c r="K63" s="39" t="n">
        <f aca="false">(2*A63+1)*(2*B63+1)*J63</f>
        <v>0.277777777777778</v>
      </c>
      <c r="L63" s="40" t="n">
        <f aca="false">K63/SUM($K$58:$K$63)</f>
        <v>0.0462962962962963</v>
      </c>
      <c r="M63" s="66"/>
      <c r="N63" s="66"/>
      <c r="O63" s="41"/>
      <c r="P63" s="41"/>
    </row>
    <row collapsed="false" customFormat="false" customHeight="false" hidden="false" ht="12.8" outlineLevel="0" r="64">
      <c r="A64" s="0" t="n">
        <f aca="false">3</f>
        <v>3</v>
      </c>
      <c r="B64" s="0" t="n">
        <v>1</v>
      </c>
      <c r="C64" s="65" t="n">
        <f aca="false">$C$20+$C$28+J49-J52</f>
        <v>1072085383.7835</v>
      </c>
      <c r="D64" s="65" t="n">
        <f aca="false">SQRT($D$20*$D$20+$D$28*$D$28+K49*K49+K52*K52)</f>
        <v>19.7250627474446</v>
      </c>
      <c r="E64" s="45" t="n">
        <f aca="false">C64*10000/299792458</f>
        <v>35760.9191016907</v>
      </c>
      <c r="F64" s="45" t="n">
        <f aca="false">D64*10000/299792458</f>
        <v>0.000657957270807812</v>
      </c>
      <c r="G64" s="13" t="n">
        <f aca="false">100000000/E64</f>
        <v>2796.34871004398</v>
      </c>
      <c r="H64" s="13" t="n">
        <f aca="false">F64/E64*G64</f>
        <v>5.14494037542928E-005</v>
      </c>
      <c r="I64" s="0" t="s">
        <v>123</v>
      </c>
      <c r="J64" s="43"/>
      <c r="K64" s="43"/>
      <c r="L64" s="44"/>
      <c r="M64" s="13"/>
      <c r="N64" s="19"/>
      <c r="O64" s="19"/>
    </row>
    <row collapsed="false" customFormat="false" customHeight="false" hidden="false" ht="12.8" outlineLevel="0" r="65">
      <c r="C65" s="36"/>
      <c r="D65" s="36"/>
      <c r="E65" s="45"/>
      <c r="F65" s="45"/>
      <c r="G65" s="13"/>
      <c r="H65" s="13"/>
    </row>
    <row collapsed="false" customFormat="false" customHeight="false" hidden="false" ht="12.8" outlineLevel="0" r="66">
      <c r="A66" s="0" t="s">
        <v>184</v>
      </c>
    </row>
    <row collapsed="false" customFormat="false" customHeight="false" hidden="false" ht="25" outlineLevel="0" r="67">
      <c r="A67" s="0" t="s">
        <v>114</v>
      </c>
      <c r="B67" s="0" t="s">
        <v>115</v>
      </c>
      <c r="C67" s="0" t="s">
        <v>82</v>
      </c>
      <c r="D67" s="0" t="s">
        <v>116</v>
      </c>
      <c r="E67" s="0" t="s">
        <v>73</v>
      </c>
      <c r="F67" s="0" t="s">
        <v>74</v>
      </c>
      <c r="G67" s="0" t="s">
        <v>75</v>
      </c>
      <c r="H67" s="0" t="s">
        <v>76</v>
      </c>
      <c r="I67" s="0" t="s">
        <v>118</v>
      </c>
      <c r="J67" s="26" t="s">
        <v>119</v>
      </c>
      <c r="K67" s="26" t="s">
        <v>120</v>
      </c>
      <c r="L67" s="26" t="s">
        <v>121</v>
      </c>
      <c r="M67" s="0" t="s">
        <v>73</v>
      </c>
      <c r="N67" s="0" t="s">
        <v>117</v>
      </c>
      <c r="O67" s="0" t="s">
        <v>75</v>
      </c>
      <c r="P67" s="0" t="s">
        <v>76</v>
      </c>
    </row>
    <row collapsed="false" customFormat="false" customHeight="false" hidden="false" ht="12.8" outlineLevel="0" r="68">
      <c r="A68" s="0" t="n">
        <f aca="false">2</f>
        <v>2</v>
      </c>
      <c r="B68" s="0" t="n">
        <f aca="false">3</f>
        <v>3</v>
      </c>
      <c r="C68" s="65" t="n">
        <f aca="false">$C$22+$C$32+J50-J53</f>
        <v>1069338791.9898</v>
      </c>
      <c r="D68" s="65" t="n">
        <f aca="false">SQRT($D$22*$D$22+$D$32*$D$32+K50*K50+K53*K53)</f>
        <v>19.0929627288597</v>
      </c>
      <c r="E68" s="45" t="n">
        <f aca="false">C68*10000/299792458</f>
        <v>35669.3026610363</v>
      </c>
      <c r="F68" s="45" t="n">
        <f aca="false">D68*10000/299792458</f>
        <v>0.000636872683730412</v>
      </c>
      <c r="G68" s="13" t="n">
        <f aca="false">100000000/E68</f>
        <v>2803.53111890903</v>
      </c>
      <c r="H68" s="13" t="n">
        <f aca="false">F68/E68*G68</f>
        <v>5.00568347127157E-005</v>
      </c>
      <c r="J68" s="39" t="n">
        <f aca="false">6JSymbols!G14</f>
        <v>0.0555555555555556</v>
      </c>
      <c r="K68" s="39" t="n">
        <f aca="false">(2*A68+1)*(2*B68+1)*J68</f>
        <v>1.94444444444444</v>
      </c>
      <c r="L68" s="40" t="n">
        <f aca="false">K68/SUM($K$68:$K$71)</f>
        <v>0.324074074074074</v>
      </c>
      <c r="M68" s="67" t="n">
        <f aca="false">SUMPRODUCT(E68:E69,L68:L69)/SUM(L68:L69)</f>
        <v>35669.3049226008</v>
      </c>
      <c r="N68" s="66" t="n">
        <f aca="false">SQRT(SUMPRODUCT(F68:F69,F68:F69,L68:L69)/SUM(L68:L69))</f>
        <v>0.00063752749181821</v>
      </c>
      <c r="O68" s="47" t="n">
        <f aca="false">100000000/M68</f>
        <v>2803.53094115489</v>
      </c>
      <c r="P68" s="47" t="n">
        <f aca="false">N68/M68*O68</f>
        <v>5.01082948778387E-005</v>
      </c>
    </row>
    <row collapsed="false" customFormat="false" customHeight="false" hidden="false" ht="12.8" outlineLevel="0" r="69">
      <c r="A69" s="0" t="n">
        <f aca="false">2</f>
        <v>2</v>
      </c>
      <c r="B69" s="0" t="n">
        <f aca="false">2</f>
        <v>2</v>
      </c>
      <c r="C69" s="65" t="n">
        <f aca="false">$C$22+$C$32+J51-J53</f>
        <v>1069339097.0898</v>
      </c>
      <c r="D69" s="65" t="n">
        <f aca="false">SQRT($D$22*$D$22+$D$32*$D$32+K51*K51+K53*K53)</f>
        <v>19.1811424520445</v>
      </c>
      <c r="E69" s="45" t="n">
        <f aca="false">C69*10000/299792458</f>
        <v>35669.3128380768</v>
      </c>
      <c r="F69" s="45" t="n">
        <f aca="false">D69*10000/299792458</f>
        <v>0.00063981404268831</v>
      </c>
      <c r="G69" s="13" t="n">
        <f aca="false">100000000/E69</f>
        <v>2803.53031901558</v>
      </c>
      <c r="H69" s="13" t="n">
        <f aca="false">F69/E69*G69</f>
        <v>5.02879905579173E-005</v>
      </c>
      <c r="J69" s="43" t="n">
        <f aca="false">6JSymbols!G13</f>
        <v>0.0222222222222222</v>
      </c>
      <c r="K69" s="39" t="n">
        <f aca="false">(2*A69+1)*(2*B69+1)*J69</f>
        <v>0.555555555555555</v>
      </c>
      <c r="L69" s="40" t="n">
        <f aca="false">K69/SUM($K$68:$K$71)</f>
        <v>0.0925925925925926</v>
      </c>
      <c r="M69" s="67"/>
      <c r="N69" s="67"/>
      <c r="O69" s="47"/>
      <c r="P69" s="47"/>
    </row>
    <row collapsed="false" customFormat="false" customHeight="false" hidden="false" ht="12.8" outlineLevel="0" r="70">
      <c r="A70" s="0" t="n">
        <f aca="false">3</f>
        <v>3</v>
      </c>
      <c r="B70" s="0" t="n">
        <f aca="false">3</f>
        <v>3</v>
      </c>
      <c r="C70" s="65" t="n">
        <f aca="false">$C$22+$C$32+J50-J52</f>
        <v>1069340580.753</v>
      </c>
      <c r="D70" s="65" t="n">
        <f aca="false">SQRT($D$22*$D$22+$D$32*$D$32+K50*K50+K52*K52)</f>
        <v>19.0929627190393</v>
      </c>
      <c r="E70" s="45" t="n">
        <f aca="false">C70*10000/299792458</f>
        <v>35669.3623277541</v>
      </c>
      <c r="F70" s="45" t="n">
        <f aca="false">D70*10000/299792458</f>
        <v>0.00063687268340284</v>
      </c>
      <c r="G70" s="13" t="n">
        <f aca="false">100000000/E70</f>
        <v>2803.52642924011</v>
      </c>
      <c r="H70" s="13" t="n">
        <f aca="false">F70/E70*G70</f>
        <v>5.00566672197459E-005</v>
      </c>
      <c r="J70" s="39" t="n">
        <f aca="false">6JSymbols!G16</f>
        <v>0.0317460317460317</v>
      </c>
      <c r="K70" s="39" t="n">
        <f aca="false">(2*A70+1)*(2*B70+1)*J70</f>
        <v>1.55555555555556</v>
      </c>
      <c r="L70" s="40" t="n">
        <f aca="false">K70/SUM($K$68:$K$71)</f>
        <v>0.259259259259259</v>
      </c>
      <c r="M70" s="67" t="n">
        <f aca="false">SUMPRODUCT(E70:E71,L70:L71)/SUM(L70:L71)</f>
        <v>35669.3679816655</v>
      </c>
      <c r="N70" s="66" t="n">
        <f aca="false">SQRT(SUMPRODUCT(F70:F71,F70:F71,L70:L71)/SUM(L70:L71))</f>
        <v>0.000638508444517247</v>
      </c>
      <c r="O70" s="47" t="n">
        <f aca="false">100000000/M70</f>
        <v>2803.52598485628</v>
      </c>
      <c r="P70" s="47" t="n">
        <f aca="false">N70/M70*O70</f>
        <v>5.01852182150912E-005</v>
      </c>
    </row>
    <row collapsed="false" customFormat="false" customHeight="false" hidden="false" ht="12.8" outlineLevel="0" r="71">
      <c r="A71" s="0" t="n">
        <f aca="false">3</f>
        <v>3</v>
      </c>
      <c r="B71" s="0" t="n">
        <f aca="false">2</f>
        <v>2</v>
      </c>
      <c r="C71" s="65" t="n">
        <f aca="false">$C$22+$C$32+J51-J52</f>
        <v>1069340885.853</v>
      </c>
      <c r="D71" s="65" t="n">
        <f aca="false">SQRT($D$22*$D$22+$D$32*$D$32+K51*K51+K52*K52)</f>
        <v>19.1811424422693</v>
      </c>
      <c r="E71" s="45" t="n">
        <f aca="false">C71*10000/299792458</f>
        <v>35669.3725047946</v>
      </c>
      <c r="F71" s="45" t="n">
        <f aca="false">D71*10000/299792458</f>
        <v>0.000639814042362243</v>
      </c>
      <c r="G71" s="13" t="n">
        <f aca="false">100000000/E71</f>
        <v>2803.52562934933</v>
      </c>
      <c r="H71" s="13" t="n">
        <f aca="false">F71/E71*G71</f>
        <v>5.02878222917724E-005</v>
      </c>
      <c r="J71" s="43" t="n">
        <f aca="false">6JSymbols!G15</f>
        <v>0.0555555555555556</v>
      </c>
      <c r="K71" s="39" t="n">
        <f aca="false">(2*A71+1)*(2*B71+1)*J71</f>
        <v>1.94444444444444</v>
      </c>
      <c r="L71" s="40" t="n">
        <f aca="false">K71/SUM($K$68:$K$71)</f>
        <v>0.324074074074074</v>
      </c>
      <c r="M71" s="67"/>
      <c r="N71" s="67"/>
      <c r="O71" s="47"/>
      <c r="P71" s="47"/>
    </row>
    <row collapsed="false" customFormat="true" customHeight="false" hidden="false" ht="47.35" outlineLevel="0" r="73" s="26">
      <c r="A73" s="26" t="s">
        <v>126</v>
      </c>
      <c r="B73" s="26" t="s">
        <v>170</v>
      </c>
      <c r="C73" s="49" t="s">
        <v>73</v>
      </c>
      <c r="D73" s="26" t="s">
        <v>74</v>
      </c>
      <c r="E73" s="26" t="s">
        <v>128</v>
      </c>
      <c r="F73" s="50" t="s">
        <v>129</v>
      </c>
      <c r="AMI73" s="0"/>
      <c r="AMJ73" s="0"/>
    </row>
    <row collapsed="false" customFormat="true" customHeight="false" hidden="false" ht="12.8" outlineLevel="0" r="74" s="8">
      <c r="A74" s="8" t="n">
        <v>2796</v>
      </c>
      <c r="B74" s="5" t="s">
        <v>130</v>
      </c>
      <c r="C74" s="62" t="n">
        <f aca="false">SUMPRODUCT(C75:C78,B75:B78)</f>
        <v>35760.8541429803</v>
      </c>
      <c r="D74" s="62" t="n">
        <f aca="false">SQRT(B75*D75*D75+B76*D76*D76+B77*D77*D77+B78*D78*D78)</f>
        <v>0.000203547496424319</v>
      </c>
      <c r="E74" s="52" t="n">
        <f aca="false">100000000/C74</f>
        <v>2796.35378954251</v>
      </c>
      <c r="F74" s="52" t="n">
        <f aca="false">D74/C74*E74</f>
        <v>1.59165888684391E-005</v>
      </c>
      <c r="G74" s="52"/>
      <c r="H74" s="52"/>
      <c r="I74" s="52"/>
      <c r="J74" s="52"/>
      <c r="K74" s="52"/>
      <c r="L74" s="52"/>
      <c r="AMG74" s="0"/>
      <c r="AMH74" s="0"/>
      <c r="AMI74" s="0"/>
      <c r="AMJ74" s="0"/>
    </row>
    <row collapsed="false" customFormat="true" customHeight="false" hidden="false" ht="12.8" outlineLevel="0" r="75" s="8">
      <c r="A75" s="8" t="n">
        <v>26</v>
      </c>
      <c r="B75" s="54" t="inlineStr">
        <f aca="false">$B$27</f>
        <is>
          <t/>
        </is>
      </c>
      <c r="C75" s="56" t="n">
        <f aca="false">H$19</f>
        <v>35760.9403866324</v>
      </c>
      <c r="D75" s="56" t="n">
        <f aca="false">I$19</f>
        <v>5.33702552317043E-006</v>
      </c>
      <c r="E75" s="57" t="n">
        <f aca="false">100000000/C75</f>
        <v>2796.34704565489</v>
      </c>
      <c r="F75" s="57" t="n">
        <f aca="false">D75/C75*E75</f>
        <v>4.17331742201083E-007</v>
      </c>
      <c r="G75" s="52"/>
      <c r="H75" s="52"/>
      <c r="I75" s="52"/>
      <c r="J75" s="52"/>
      <c r="K75" s="52"/>
      <c r="L75" s="52"/>
      <c r="AMG75" s="0"/>
      <c r="AMH75" s="0"/>
      <c r="AMI75" s="0"/>
      <c r="AMJ75" s="0"/>
    </row>
    <row collapsed="false" customFormat="true" customHeight="false" hidden="false" ht="12.8" outlineLevel="0" r="76" s="8">
      <c r="A76" s="8" t="n">
        <v>25</v>
      </c>
      <c r="B76" s="54" t="n">
        <f aca="false">$B$28*SUM($L$58:$L$60)/SUM($L$58:$L$63)</f>
        <v>0.0416666666666667</v>
      </c>
      <c r="C76" s="62" t="n">
        <f aca="false">M$58</f>
        <v>35760.8584996702</v>
      </c>
      <c r="D76" s="62" t="n">
        <f aca="false">N$58</f>
        <v>0.000644794524515804</v>
      </c>
      <c r="E76" s="52" t="n">
        <f aca="false">100000000/C76</f>
        <v>2796.35344886707</v>
      </c>
      <c r="F76" s="52" t="n">
        <f aca="false">D76/C76*E76</f>
        <v>5.04203049951106E-005</v>
      </c>
      <c r="G76" s="52"/>
      <c r="H76" s="52"/>
      <c r="I76" s="52"/>
      <c r="J76" s="52"/>
      <c r="K76" s="52"/>
      <c r="L76" s="52"/>
      <c r="AMG76" s="0"/>
      <c r="AMH76" s="0"/>
      <c r="AMI76" s="0"/>
      <c r="AMJ76" s="0"/>
    </row>
    <row collapsed="false" customFormat="true" customHeight="false" hidden="false" ht="12.8" outlineLevel="0" r="77" s="8">
      <c r="A77" s="8" t="n">
        <v>25</v>
      </c>
      <c r="B77" s="54" t="n">
        <f aca="false">$B$28*SUM($L$61:$L$63)/SUM($L$58:$L$63)</f>
        <v>0.0583333333333333</v>
      </c>
      <c r="C77" s="62" t="n">
        <f aca="false">M$61</f>
        <v>35760.9150158752</v>
      </c>
      <c r="D77" s="62" t="n">
        <f aca="false">N$61</f>
        <v>0.000642530026754748</v>
      </c>
      <c r="E77" s="52" t="n">
        <f aca="false">100000000/C77</f>
        <v>2796.34902953706</v>
      </c>
      <c r="F77" s="52" t="n">
        <f aca="false">D77/C77*E77</f>
        <v>5.02430716878034E-005</v>
      </c>
      <c r="G77" s="52"/>
      <c r="H77" s="52"/>
      <c r="I77" s="52"/>
      <c r="J77" s="52"/>
      <c r="K77" s="52"/>
      <c r="L77" s="52"/>
      <c r="AMG77" s="0"/>
      <c r="AMH77" s="0"/>
      <c r="AMI77" s="0"/>
      <c r="AMJ77" s="0"/>
    </row>
    <row collapsed="false" customFormat="true" customHeight="false" hidden="false" ht="12.8" outlineLevel="0" r="78" s="8">
      <c r="A78" s="8" t="n">
        <v>24</v>
      </c>
      <c r="B78" s="54" t="inlineStr">
        <f aca="false">$B$29</f>
        <is>
          <t/>
        </is>
      </c>
      <c r="C78" s="56" t="n">
        <f aca="false">H$20</f>
        <v>35760.8373967166</v>
      </c>
      <c r="D78" s="56" t="n">
        <f aca="false">I$20</f>
        <v>5.33702552317043E-006</v>
      </c>
      <c r="E78" s="57" t="n">
        <f aca="false">100000000/C78</f>
        <v>2796.35509903304</v>
      </c>
      <c r="F78" s="57" t="n">
        <f aca="false">D78/C78*E78</f>
        <v>4.17334146005132E-007</v>
      </c>
      <c r="G78" s="52"/>
      <c r="H78" s="52"/>
      <c r="I78" s="52"/>
      <c r="J78" s="52"/>
      <c r="K78" s="52"/>
      <c r="L78" s="52"/>
      <c r="AMG78" s="0"/>
      <c r="AMH78" s="0"/>
      <c r="AMI78" s="0"/>
      <c r="AMJ78" s="0"/>
    </row>
    <row collapsed="false" customFormat="true" customHeight="false" hidden="false" ht="12.8" outlineLevel="0" r="79" s="8">
      <c r="A79" s="8" t="n">
        <v>2803</v>
      </c>
      <c r="B79" s="5" t="s">
        <v>130</v>
      </c>
      <c r="C79" s="62" t="n">
        <f aca="false">SUMPRODUCT(C80:C83,B80:B83)</f>
        <v>35669.3044028676</v>
      </c>
      <c r="D79" s="62" t="n">
        <f aca="false">SQRT(B80*D80*D80+B81*D81*D81+B82*D82*D82+B83*D83*D83)</f>
        <v>0.000201848416826297</v>
      </c>
      <c r="E79" s="52" t="n">
        <f aca="false">100000000/C79</f>
        <v>2803.53098200481</v>
      </c>
      <c r="F79" s="52" t="n">
        <f aca="false">D79/C79*E79</f>
        <v>1.58648535404478E-005</v>
      </c>
      <c r="G79" s="52"/>
      <c r="H79" s="52"/>
      <c r="I79" s="52"/>
      <c r="J79" s="52"/>
      <c r="K79" s="52"/>
      <c r="L79" s="52"/>
      <c r="AMG79" s="0"/>
      <c r="AMH79" s="0"/>
      <c r="AMI79" s="0"/>
      <c r="AMJ79" s="0"/>
    </row>
    <row collapsed="false" customFormat="true" customHeight="false" hidden="false" ht="12.8" outlineLevel="0" r="80" s="8">
      <c r="A80" s="8" t="n">
        <v>26</v>
      </c>
      <c r="B80" s="54" t="inlineStr">
        <f aca="false">$B$31</f>
        <is>
          <t/>
        </is>
      </c>
      <c r="C80" s="56" t="n">
        <f aca="false">H$21</f>
        <v>35669.3905711931</v>
      </c>
      <c r="D80" s="56" t="n">
        <f aca="false">I$21</f>
        <v>5.33702552317043E-006</v>
      </c>
      <c r="E80" s="57" t="n">
        <f aca="false">100000000/C80</f>
        <v>2803.52420937522</v>
      </c>
      <c r="F80" s="57" t="n">
        <f aca="false">D80/C80*E80</f>
        <v>4.19476756419427E-007</v>
      </c>
      <c r="G80" s="52"/>
      <c r="H80" s="52"/>
      <c r="I80" s="52"/>
      <c r="J80" s="52"/>
      <c r="K80" s="52"/>
      <c r="L80" s="52"/>
      <c r="AMG80" s="0"/>
      <c r="AMH80" s="0"/>
      <c r="AMI80" s="0"/>
      <c r="AMJ80" s="0"/>
    </row>
    <row collapsed="false" customFormat="true" customHeight="false" hidden="false" ht="12.8" outlineLevel="0" r="81" s="8">
      <c r="A81" s="8" t="n">
        <v>25</v>
      </c>
      <c r="B81" s="54" t="n">
        <f aca="false">$B$32*SUM(L68:L69)/SUM(L68:L71)</f>
        <v>0.0416666666666667</v>
      </c>
      <c r="C81" s="62" t="n">
        <f aca="false">M$68</f>
        <v>35669.3049226008</v>
      </c>
      <c r="D81" s="62" t="n">
        <f aca="false">N$68</f>
        <v>0.00063752749181821</v>
      </c>
      <c r="E81" s="52" t="n">
        <f aca="false">100000000/C81</f>
        <v>2803.53094115489</v>
      </c>
      <c r="F81" s="52" t="n">
        <f aca="false">D81/C81*E81</f>
        <v>5.01082948778387E-005</v>
      </c>
      <c r="G81" s="52"/>
      <c r="H81" s="52"/>
      <c r="I81" s="52"/>
      <c r="J81" s="52"/>
      <c r="K81" s="52"/>
      <c r="L81" s="52"/>
      <c r="AMG81" s="0"/>
      <c r="AMH81" s="0"/>
      <c r="AMI81" s="0"/>
      <c r="AMJ81" s="0"/>
    </row>
    <row collapsed="false" customFormat="true" customHeight="false" hidden="false" ht="12.8" outlineLevel="0" r="82" s="8">
      <c r="A82" s="8" t="n">
        <v>25</v>
      </c>
      <c r="B82" s="54" t="n">
        <f aca="false">$B$32*SUM(L70:L71)/SUM(L68:L71)</f>
        <v>0.0583333333333333</v>
      </c>
      <c r="C82" s="62" t="n">
        <f aca="false">M$70</f>
        <v>35669.3679816655</v>
      </c>
      <c r="D82" s="62" t="n">
        <f aca="false">N$70</f>
        <v>0.000638508444517247</v>
      </c>
      <c r="E82" s="52" t="n">
        <f aca="false">100000000/C82</f>
        <v>2803.52598485628</v>
      </c>
      <c r="F82" s="52" t="n">
        <f aca="false">D82/C82*E82</f>
        <v>5.01852182150912E-005</v>
      </c>
      <c r="G82" s="52"/>
      <c r="H82" s="52"/>
      <c r="I82" s="52"/>
      <c r="J82" s="52"/>
      <c r="K82" s="52"/>
      <c r="L82" s="52"/>
      <c r="AMG82" s="0"/>
      <c r="AMH82" s="0"/>
      <c r="AMI82" s="0"/>
      <c r="AMJ82" s="0"/>
    </row>
    <row collapsed="false" customFormat="true" customHeight="false" hidden="false" ht="12.8" outlineLevel="0" r="83" s="8">
      <c r="A83" s="8" t="n">
        <v>24</v>
      </c>
      <c r="B83" s="54" t="inlineStr">
        <f aca="false">$B$33</f>
        <is>
          <t/>
        </is>
      </c>
      <c r="C83" s="56" t="n">
        <f aca="false">H$22</f>
        <v>35669.2876696718</v>
      </c>
      <c r="D83" s="56" t="n">
        <f aca="false">I$22</f>
        <v>5.33702552317043E-006</v>
      </c>
      <c r="E83" s="57" t="n">
        <f aca="false">100000000/C83</f>
        <v>2803.53229719881</v>
      </c>
      <c r="F83" s="57" t="n">
        <f aca="false">D83/C83*E83</f>
        <v>4.19479176700933E-007</v>
      </c>
      <c r="G83" s="52"/>
      <c r="H83" s="52"/>
      <c r="I83" s="52"/>
      <c r="J83" s="52"/>
      <c r="K83" s="52"/>
      <c r="L83" s="52"/>
      <c r="AMG83" s="0"/>
      <c r="AMH83" s="0"/>
      <c r="AMI83" s="0"/>
      <c r="AMJ83" s="0"/>
    </row>
    <row collapsed="false" customFormat="false" customHeight="false" hidden="false" ht="12.8" outlineLevel="0" r="85">
      <c r="A85" s="0" t="s">
        <v>18</v>
      </c>
    </row>
    <row collapsed="false" customFormat="false" customHeight="false" hidden="false" ht="13.8" outlineLevel="0" r="86">
      <c r="A86" s="0" t="s">
        <v>185</v>
      </c>
      <c r="B86" s="7" t="s">
        <v>186</v>
      </c>
    </row>
    <row collapsed="false" customFormat="false" customHeight="false" hidden="false" ht="13.8" outlineLevel="0" r="87">
      <c r="A87" s="0" t="s">
        <v>187</v>
      </c>
      <c r="B87" s="7" t="s">
        <v>188</v>
      </c>
    </row>
    <row collapsed="false" customFormat="false" customHeight="false" hidden="false" ht="13.8" outlineLevel="0" r="88">
      <c r="A88" s="0" t="s">
        <v>189</v>
      </c>
      <c r="B88" s="7" t="s">
        <v>190</v>
      </c>
    </row>
    <row collapsed="false" customFormat="false" customHeight="false" hidden="false" ht="13.8" outlineLevel="0" r="89">
      <c r="A89" s="5" t="s">
        <v>157</v>
      </c>
      <c r="B89" s="7" t="s">
        <v>158</v>
      </c>
    </row>
    <row collapsed="false" customFormat="false" customHeight="false" hidden="false" ht="13.8" outlineLevel="0" r="90">
      <c r="A90" s="0" t="s">
        <v>191</v>
      </c>
      <c r="B90" s="7" t="s">
        <v>192</v>
      </c>
    </row>
  </sheetData>
  <mergeCells count="16">
    <mergeCell ref="M58:M60"/>
    <mergeCell ref="N58:N60"/>
    <mergeCell ref="O58:O60"/>
    <mergeCell ref="P58:P60"/>
    <mergeCell ref="M61:M63"/>
    <mergeCell ref="N61:N63"/>
    <mergeCell ref="O61:O63"/>
    <mergeCell ref="P61:P63"/>
    <mergeCell ref="M68:M69"/>
    <mergeCell ref="N68:N69"/>
    <mergeCell ref="O68:O69"/>
    <mergeCell ref="P68:P69"/>
    <mergeCell ref="M70:M71"/>
    <mergeCell ref="N70:N71"/>
    <mergeCell ref="O70:O71"/>
    <mergeCell ref="P70:P71"/>
  </mergeCells>
  <hyperlinks>
    <hyperlink display="http://adsabs.harvard.edu/abs/2009PhRvA..80b2503B" ref="B86" r:id="rId1"/>
    <hyperlink display="http://adsabs.harvard.edu/abs/1980ApPhy..22..365D" ref="B87" r:id="rId2"/>
    <hyperlink display="http://adsabs.harvard.edu/abs/1981PhRvA..24.1364I" ref="B88" r:id="rId3"/>
    <hyperlink display="http://adsabs.harvard.edu/abs/1998JPCRD..27.1275R" ref="B89" r:id="rId4"/>
    <hyperlink display="http://adsabs.harvard.edu/abs/2005EPJD...32...25S" ref="B90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B2" activeCellId="0" pane="topLeft" sqref="B2"/>
    </sheetView>
  </sheetViews>
  <cols>
    <col collapsed="false" hidden="false" max="5" min="1" style="0" width="11.5764705882353"/>
    <col collapsed="false" hidden="false" max="6" min="6" style="0" width="8.06666666666667"/>
    <col collapsed="false" hidden="false" max="7" min="7" style="0" width="13.1882352941176"/>
    <col collapsed="false" hidden="false" max="8" min="8" style="0" width="11.5764705882353"/>
    <col collapsed="false" hidden="false" max="9" min="9" style="0" width="13.3960784313726"/>
    <col collapsed="false" hidden="false" max="10" min="10" style="0" width="11.5764705882353"/>
    <col collapsed="false" hidden="false" max="11" min="11" style="0" width="11.7843137254902"/>
    <col collapsed="false" hidden="false" max="12" min="12" style="0" width="20.0980392156863"/>
    <col collapsed="false" hidden="false" max="13" min="13" style="0" width="24.5176470588235"/>
    <col collapsed="false" hidden="false" max="1025" min="14" style="0" width="11.5764705882353"/>
  </cols>
  <sheetData>
    <row collapsed="false" customFormat="true" customHeight="false" hidden="false" ht="12.8" outlineLevel="0" r="1" s="5">
      <c r="A1" s="5" t="s">
        <v>31</v>
      </c>
      <c r="B1" s="59" t="s">
        <v>193</v>
      </c>
      <c r="AMJ1" s="0"/>
    </row>
    <row collapsed="false" customFormat="true" customHeight="false" hidden="false" ht="12.8" outlineLevel="0" r="2" s="5">
      <c r="B2" s="10"/>
      <c r="AMJ2" s="0"/>
    </row>
    <row collapsed="false" customFormat="true" customHeight="false" hidden="false" ht="12.8" outlineLevel="0" r="3" s="5">
      <c r="A3" s="5" t="s">
        <v>33</v>
      </c>
      <c r="B3" s="10"/>
      <c r="AMJ3" s="0"/>
    </row>
    <row collapsed="false" customFormat="false" customHeight="false" hidden="false" ht="13.8" outlineLevel="0" r="4">
      <c r="A4" s="0" t="s">
        <v>34</v>
      </c>
      <c r="B4" s="0" t="s">
        <v>35</v>
      </c>
      <c r="C4" s="0" t="s">
        <v>36</v>
      </c>
      <c r="D4" s="0" t="s">
        <v>37</v>
      </c>
      <c r="E4" s="0" t="s">
        <v>38</v>
      </c>
      <c r="F4" s="0" t="s">
        <v>39</v>
      </c>
      <c r="G4" s="0" t="s">
        <v>8</v>
      </c>
      <c r="H4" s="0" t="s">
        <v>40</v>
      </c>
      <c r="I4" s="0" t="s">
        <v>41</v>
      </c>
      <c r="J4" s="0" t="s">
        <v>42</v>
      </c>
      <c r="K4" s="0" t="s">
        <v>43</v>
      </c>
      <c r="L4" s="0" t="s">
        <v>44</v>
      </c>
      <c r="M4" s="0" t="s">
        <v>45</v>
      </c>
      <c r="N4" s="0" t="s">
        <v>46</v>
      </c>
      <c r="O4" s="0" t="s">
        <v>47</v>
      </c>
      <c r="P4" s="0" t="s">
        <v>48</v>
      </c>
      <c r="Q4" s="0" t="s">
        <v>49</v>
      </c>
      <c r="R4" s="0" t="s">
        <v>50</v>
      </c>
      <c r="S4" s="0" t="s">
        <v>51</v>
      </c>
      <c r="T4" s="0" t="s">
        <v>52</v>
      </c>
    </row>
    <row collapsed="false" customFormat="false" customHeight="false" hidden="false" ht="12.8" outlineLevel="0" r="5">
      <c r="A5" s="0" t="s">
        <v>194</v>
      </c>
      <c r="B5" s="0" t="n">
        <f aca="false">A10</f>
        <v>1670</v>
      </c>
      <c r="C5" s="0" t="s">
        <v>195</v>
      </c>
      <c r="D5" s="11" t="n">
        <v>26.981538</v>
      </c>
      <c r="E5" s="32" t="n">
        <f aca="false">E10</f>
        <v>59851.976</v>
      </c>
      <c r="F5" s="32" t="n">
        <f aca="false">F10</f>
        <v>0.004</v>
      </c>
      <c r="G5" s="14" t="n">
        <v>0</v>
      </c>
      <c r="H5" s="0" t="n">
        <f aca="false">G10</f>
        <v>0</v>
      </c>
      <c r="I5" s="45" t="n">
        <f aca="false">H10</f>
        <v>1670.78861356223</v>
      </c>
      <c r="J5" s="45" t="n">
        <f aca="false">I10</f>
        <v>0.000111661383648368</v>
      </c>
      <c r="K5" s="30" t="n">
        <f aca="false">299792458*J5/I5</f>
        <v>20.0355930103294</v>
      </c>
      <c r="L5" s="0" t="s">
        <v>140</v>
      </c>
      <c r="M5" s="0" t="s">
        <v>147</v>
      </c>
      <c r="N5" s="0" t="s">
        <v>196</v>
      </c>
      <c r="O5" s="15" t="n">
        <v>5.99</v>
      </c>
      <c r="P5" s="15" t="n">
        <v>18.83</v>
      </c>
      <c r="Q5" s="15" t="n">
        <v>1.74</v>
      </c>
      <c r="R5" s="18" t="n">
        <v>1390000000</v>
      </c>
      <c r="S5" s="14" t="n">
        <v>270</v>
      </c>
      <c r="T5" s="14" t="n">
        <v>30</v>
      </c>
    </row>
    <row collapsed="false" customFormat="false" customHeight="false" hidden="false" ht="12.8" outlineLevel="0" r="6">
      <c r="A6" s="0" t="s">
        <v>69</v>
      </c>
      <c r="D6" s="15"/>
      <c r="E6" s="32"/>
      <c r="F6" s="32"/>
      <c r="G6" s="14"/>
      <c r="I6" s="45"/>
      <c r="J6" s="45"/>
      <c r="K6" s="30"/>
      <c r="O6" s="15"/>
      <c r="P6" s="15"/>
      <c r="Q6" s="15"/>
      <c r="R6" s="18"/>
      <c r="S6" s="14"/>
      <c r="T6" s="14"/>
    </row>
    <row collapsed="false" customFormat="true" customHeight="false" hidden="false" ht="12.8" outlineLevel="0" r="7" s="5">
      <c r="B7" s="10"/>
      <c r="AMJ7" s="0"/>
    </row>
    <row collapsed="false" customFormat="true" customHeight="false" hidden="false" ht="12.8" outlineLevel="0" r="8" s="5">
      <c r="A8" s="5" t="s">
        <v>70</v>
      </c>
      <c r="B8" s="10"/>
      <c r="AMJ8" s="0"/>
    </row>
    <row collapsed="false" customFormat="true" customHeight="false" hidden="false" ht="13.8" outlineLevel="0" r="9" s="26">
      <c r="A9" s="26" t="s">
        <v>77</v>
      </c>
      <c r="B9" s="25" t="s">
        <v>38</v>
      </c>
      <c r="C9" s="26" t="s">
        <v>39</v>
      </c>
      <c r="D9" s="26" t="s">
        <v>150</v>
      </c>
      <c r="E9" s="25" t="s">
        <v>38</v>
      </c>
      <c r="F9" s="26" t="s">
        <v>39</v>
      </c>
      <c r="G9" s="26" t="s">
        <v>151</v>
      </c>
      <c r="H9" s="26" t="s">
        <v>79</v>
      </c>
      <c r="I9" s="26" t="s">
        <v>80</v>
      </c>
      <c r="AMJ9" s="0"/>
    </row>
    <row collapsed="false" customFormat="true" customHeight="false" hidden="false" ht="12.8" outlineLevel="0" r="10" s="5">
      <c r="A10" s="5" t="n">
        <v>1670</v>
      </c>
      <c r="B10" s="68" t="n">
        <f aca="false">59851.976</f>
        <v>59851.976</v>
      </c>
      <c r="C10" s="68" t="n">
        <f aca="false">0.004</f>
        <v>0.004</v>
      </c>
      <c r="D10" s="68" t="str">
        <f aca="false">A13</f>
        <v>Griesmann:2000:L113</v>
      </c>
      <c r="E10" s="68" t="n">
        <f aca="false">B10</f>
        <v>59851.976</v>
      </c>
      <c r="F10" s="68" t="n">
        <f aca="false">C10</f>
        <v>0.004</v>
      </c>
      <c r="G10" s="5" t="str">
        <f aca="false">D10</f>
        <v>Griesmann:2000:L113</v>
      </c>
      <c r="H10" s="44" t="n">
        <f aca="false">100000000/E10</f>
        <v>1670.78861356223</v>
      </c>
      <c r="I10" s="44" t="n">
        <f aca="false">F10/E10*H10</f>
        <v>0.000111661383648368</v>
      </c>
      <c r="AMF10" s="0"/>
      <c r="AMG10" s="0"/>
      <c r="AMH10" s="0"/>
      <c r="AMI10" s="0"/>
      <c r="AMJ10" s="0"/>
    </row>
    <row collapsed="false" customFormat="false" customHeight="false" hidden="false" ht="12.8" outlineLevel="0" r="12">
      <c r="A12" s="0" t="s">
        <v>18</v>
      </c>
    </row>
    <row collapsed="false" customFormat="false" customHeight="false" hidden="false" ht="13.8" outlineLevel="0" r="13">
      <c r="A13" s="0" t="s">
        <v>197</v>
      </c>
      <c r="B13" s="7" t="s">
        <v>198</v>
      </c>
    </row>
  </sheetData>
  <hyperlinks>
    <hyperlink display="http://adsabs.harvard.edu/abs/2000ApJ...536L.113G" ref="B13" r:id="rId1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J14" activeCellId="0" pane="topLeft" sqref="J14"/>
    </sheetView>
  </sheetViews>
  <cols>
    <col collapsed="false" hidden="false" max="3" min="1" style="0" width="11.5764705882353"/>
    <col collapsed="false" hidden="false" max="4" min="4" style="0" width="12.7333333333333"/>
    <col collapsed="false" hidden="false" max="5" min="5" style="0" width="11.5764705882353"/>
    <col collapsed="false" hidden="false" max="6" min="6" style="0" width="8.50196078431373"/>
    <col collapsed="false" hidden="false" max="7" min="7" style="0" width="11.5764705882353"/>
    <col collapsed="false" hidden="false" max="8" min="8" style="0" width="12.2745098039216"/>
    <col collapsed="false" hidden="false" max="9" min="9" style="0" width="13.7921568627451"/>
    <col collapsed="false" hidden="false" max="10" min="10" style="0" width="9.64313725490196"/>
    <col collapsed="false" hidden="false" max="11" min="11" style="0" width="8.03137254901961"/>
    <col collapsed="false" hidden="false" max="12" min="12" style="0" width="21.443137254902"/>
    <col collapsed="false" hidden="false" max="13" min="13" style="0" width="21.9686274509804"/>
    <col collapsed="false" hidden="false" max="14" min="14" style="0" width="8.37647058823529"/>
    <col collapsed="false" hidden="false" max="15" min="15" style="0" width="8.24705882352941"/>
    <col collapsed="false" hidden="false" max="16" min="16" style="0" width="7.6156862745098"/>
    <col collapsed="false" hidden="false" max="17" min="17" style="0" width="11.5764705882353"/>
    <col collapsed="false" hidden="false" max="18" min="18" style="0" width="10.8549019607843"/>
    <col collapsed="false" hidden="false" max="19" min="19" style="0" width="7.86666666666667"/>
    <col collapsed="false" hidden="false" max="1025" min="20" style="0" width="11.5764705882353"/>
  </cols>
  <sheetData>
    <row collapsed="false" customFormat="true" customHeight="false" hidden="false" ht="12.8" outlineLevel="0" r="1" s="5">
      <c r="A1" s="5" t="s">
        <v>31</v>
      </c>
      <c r="B1" s="59" t="s">
        <v>199</v>
      </c>
      <c r="AMJ1" s="0"/>
    </row>
    <row collapsed="false" customFormat="true" customHeight="false" hidden="false" ht="12.8" outlineLevel="0" r="2" s="5">
      <c r="B2" s="10"/>
      <c r="AMJ2" s="0"/>
    </row>
    <row collapsed="false" customFormat="true" customHeight="false" hidden="false" ht="12.8" outlineLevel="0" r="3" s="5">
      <c r="A3" s="5" t="s">
        <v>33</v>
      </c>
      <c r="B3" s="10"/>
      <c r="AMJ3" s="0"/>
    </row>
    <row collapsed="false" customFormat="false" customHeight="false" hidden="false" ht="13.8" outlineLevel="0" r="4">
      <c r="A4" s="0" t="s">
        <v>34</v>
      </c>
      <c r="B4" s="0" t="s">
        <v>35</v>
      </c>
      <c r="D4" s="0" t="s">
        <v>37</v>
      </c>
      <c r="E4" s="0" t="s">
        <v>38</v>
      </c>
      <c r="F4" s="0" t="s">
        <v>39</v>
      </c>
      <c r="G4" s="0" t="s">
        <v>8</v>
      </c>
      <c r="H4" s="0" t="s">
        <v>40</v>
      </c>
      <c r="I4" s="0" t="s">
        <v>41</v>
      </c>
      <c r="J4" s="0" t="s">
        <v>42</v>
      </c>
      <c r="K4" s="0" t="s">
        <v>43</v>
      </c>
      <c r="L4" s="0" t="s">
        <v>44</v>
      </c>
      <c r="M4" s="0" t="s">
        <v>45</v>
      </c>
      <c r="N4" s="0" t="s">
        <v>46</v>
      </c>
      <c r="O4" s="0" t="s">
        <v>47</v>
      </c>
      <c r="P4" s="0" t="s">
        <v>48</v>
      </c>
      <c r="Q4" s="0" t="s">
        <v>49</v>
      </c>
      <c r="R4" s="0" t="s">
        <v>50</v>
      </c>
      <c r="S4" s="0" t="s">
        <v>51</v>
      </c>
      <c r="T4" s="0" t="s">
        <v>52</v>
      </c>
    </row>
    <row collapsed="false" customFormat="false" customHeight="false" hidden="false" ht="12.8" outlineLevel="0" r="5">
      <c r="A5" s="0" t="s">
        <v>200</v>
      </c>
      <c r="B5" s="0" t="n">
        <f aca="false">A15</f>
        <v>1854</v>
      </c>
      <c r="C5" s="0" t="s">
        <v>54</v>
      </c>
      <c r="D5" s="11" t="n">
        <v>26.981538</v>
      </c>
      <c r="E5" s="11" t="n">
        <f aca="false">E15</f>
        <v>53916.548025</v>
      </c>
      <c r="F5" s="11" t="n">
        <f aca="false">F15</f>
        <v>0.00113137084989848</v>
      </c>
      <c r="G5" s="14" t="n">
        <v>1</v>
      </c>
      <c r="I5" s="13" t="n">
        <f aca="false">H15</f>
        <v>1854.71814615491</v>
      </c>
      <c r="J5" s="13" t="n">
        <f aca="false">I15</f>
        <v>3.89189241930776E-005</v>
      </c>
      <c r="K5" s="30" t="n">
        <f aca="false">299792458*J5/I5</f>
        <v>6.29076712855103</v>
      </c>
      <c r="L5" s="0" t="s">
        <v>55</v>
      </c>
      <c r="M5" s="0" t="s">
        <v>56</v>
      </c>
      <c r="N5" s="0" t="s">
        <v>201</v>
      </c>
      <c r="O5" s="15" t="n">
        <v>18.83</v>
      </c>
      <c r="P5" s="15" t="n">
        <v>28.45</v>
      </c>
      <c r="Q5" s="32" t="n">
        <v>0.559</v>
      </c>
      <c r="R5" s="18" t="n">
        <v>542000000</v>
      </c>
      <c r="S5" s="14" t="n">
        <v>458</v>
      </c>
      <c r="T5" s="14" t="n">
        <v>6</v>
      </c>
    </row>
    <row collapsed="false" customFormat="false" customHeight="false" hidden="false" ht="12.8" outlineLevel="0" r="6">
      <c r="C6" s="0" t="s">
        <v>202</v>
      </c>
      <c r="D6" s="0" t="s">
        <v>203</v>
      </c>
      <c r="E6" s="11" t="n">
        <f aca="false">E16</f>
        <v>53916.8149</v>
      </c>
      <c r="F6" s="11" t="n">
        <f aca="false">F16</f>
        <v>0.0008</v>
      </c>
      <c r="G6" s="14" t="n">
        <v>0</v>
      </c>
      <c r="H6" s="0" t="n">
        <f aca="false">A23</f>
        <v>0</v>
      </c>
      <c r="I6" s="13" t="n">
        <f aca="false">H16</f>
        <v>1854.70896575532</v>
      </c>
      <c r="J6" s="13" t="n">
        <f aca="false">I16</f>
        <v>2.75195627812253E-005</v>
      </c>
      <c r="K6" s="30" t="n">
        <f aca="false">299792458*J6/I6</f>
        <v>4.4482220777474</v>
      </c>
      <c r="L6" s="0" t="s">
        <v>63</v>
      </c>
      <c r="M6" s="0" t="s">
        <v>64</v>
      </c>
      <c r="O6" s="15"/>
      <c r="P6" s="15"/>
      <c r="Q6" s="22" t="n">
        <f aca="false">J16/SUM(J16:J17)</f>
        <v>0.416666666666667</v>
      </c>
      <c r="R6" s="18"/>
      <c r="S6" s="14"/>
      <c r="T6" s="14"/>
    </row>
    <row collapsed="false" customFormat="false" customHeight="false" hidden="false" ht="12.8" outlineLevel="0" r="7">
      <c r="C7" s="0" t="s">
        <v>202</v>
      </c>
      <c r="D7" s="14" t="n">
        <f aca="false">D6</f>
        <v>0</v>
      </c>
      <c r="E7" s="11" t="n">
        <f aca="false">E17</f>
        <v>53916.3574</v>
      </c>
      <c r="F7" s="11" t="n">
        <f aca="false">F17</f>
        <v>0.0008</v>
      </c>
      <c r="G7" s="14" t="n">
        <v>0</v>
      </c>
      <c r="H7" s="0" t="n">
        <f aca="false">H6</f>
        <v>0</v>
      </c>
      <c r="I7" s="13" t="n">
        <f aca="false">H17</f>
        <v>1854.72470363883</v>
      </c>
      <c r="J7" s="13" t="n">
        <f aca="false">I17</f>
        <v>2.7520029810305E-005</v>
      </c>
      <c r="K7" s="30" t="n">
        <f aca="false">299792458*J7/I7</f>
        <v>4.44825982253764</v>
      </c>
      <c r="L7" s="0" t="s">
        <v>164</v>
      </c>
      <c r="M7" s="0" t="s">
        <v>165</v>
      </c>
      <c r="O7" s="15"/>
      <c r="P7" s="15"/>
      <c r="Q7" s="22" t="n">
        <f aca="false">J17/SUM(J16:J17)</f>
        <v>0.583333333333333</v>
      </c>
      <c r="R7" s="18"/>
      <c r="S7" s="14"/>
      <c r="T7" s="14"/>
    </row>
    <row collapsed="false" customFormat="false" customHeight="false" hidden="false" ht="12.8" outlineLevel="0" r="8">
      <c r="B8" s="0" t="n">
        <f aca="false">A18</f>
        <v>1862</v>
      </c>
      <c r="C8" s="0" t="s">
        <v>54</v>
      </c>
      <c r="D8" s="11" t="n">
        <f aca="false">$D$5</f>
        <v>26.981538</v>
      </c>
      <c r="E8" s="11" t="n">
        <f aca="false">E18</f>
        <v>53682.8884083333</v>
      </c>
      <c r="F8" s="11" t="n">
        <f aca="false">F18</f>
        <v>0.00113137084989848</v>
      </c>
      <c r="G8" s="14" t="n">
        <v>1</v>
      </c>
      <c r="I8" s="13" t="n">
        <f aca="false">H18</f>
        <v>1862.79097427397</v>
      </c>
      <c r="J8" s="13" t="n">
        <f aca="false">I18</f>
        <v>3.92584577736767E-005</v>
      </c>
      <c r="K8" s="30" t="n">
        <f aca="false">299792458*J8/I8</f>
        <v>6.31814826021846</v>
      </c>
      <c r="M8" s="0" t="s">
        <v>65</v>
      </c>
      <c r="N8" s="0" t="s">
        <v>204</v>
      </c>
      <c r="O8" s="15"/>
      <c r="P8" s="15"/>
      <c r="Q8" s="32" t="n">
        <v>0.278</v>
      </c>
      <c r="R8" s="18" t="n">
        <v>534000000</v>
      </c>
      <c r="S8" s="14" t="n">
        <v>224</v>
      </c>
      <c r="T8" s="14" t="n">
        <v>8</v>
      </c>
    </row>
    <row collapsed="false" customFormat="false" customHeight="false" hidden="false" ht="12.8" outlineLevel="0" r="9">
      <c r="C9" s="0" t="s">
        <v>202</v>
      </c>
      <c r="D9" s="14" t="s">
        <v>203</v>
      </c>
      <c r="E9" s="11" t="n">
        <f aca="false">E19</f>
        <v>53683.1953</v>
      </c>
      <c r="F9" s="11" t="n">
        <f aca="false">F19</f>
        <v>0.0008</v>
      </c>
      <c r="G9" s="14" t="n">
        <v>0</v>
      </c>
      <c r="H9" s="0" t="n">
        <f aca="false">A23</f>
        <v>0</v>
      </c>
      <c r="I9" s="13" t="n">
        <f aca="false">H19</f>
        <v>1862.78032522405</v>
      </c>
      <c r="J9" s="13" t="n">
        <f aca="false">I19</f>
        <v>2.77596043203344E-005</v>
      </c>
      <c r="K9" s="30" t="n">
        <f aca="false">299792458*J9/I9</f>
        <v>4.46757993930365</v>
      </c>
      <c r="L9" s="0" t="s">
        <v>63</v>
      </c>
      <c r="M9" s="0" t="s">
        <v>64</v>
      </c>
      <c r="O9" s="15"/>
      <c r="P9" s="15"/>
      <c r="Q9" s="22" t="n">
        <f aca="false">J19/SUM(J19:J20)</f>
        <v>0.416666666666667</v>
      </c>
      <c r="R9" s="18"/>
      <c r="S9" s="14"/>
      <c r="T9" s="14"/>
    </row>
    <row collapsed="false" customFormat="false" customHeight="false" hidden="false" ht="12.8" outlineLevel="0" r="10">
      <c r="C10" s="0" t="s">
        <v>202</v>
      </c>
      <c r="D10" s="14" t="n">
        <f aca="false">D9</f>
        <v>0</v>
      </c>
      <c r="E10" s="11" t="n">
        <f aca="false">E20</f>
        <v>53682.6692</v>
      </c>
      <c r="F10" s="11" t="n">
        <f aca="false">F20</f>
        <v>0.0008</v>
      </c>
      <c r="G10" s="14" t="n">
        <v>0</v>
      </c>
      <c r="H10" s="0" t="n">
        <f aca="false">H9</f>
        <v>0</v>
      </c>
      <c r="I10" s="13" t="n">
        <f aca="false">H20</f>
        <v>1862.79858081274</v>
      </c>
      <c r="J10" s="13" t="n">
        <f aca="false">I20</f>
        <v>2.77601484214238E-005</v>
      </c>
      <c r="K10" s="30" t="n">
        <f aca="false">299792458*J10/I10</f>
        <v>4.46762372240611</v>
      </c>
      <c r="L10" s="0" t="s">
        <v>164</v>
      </c>
      <c r="M10" s="0" t="s">
        <v>165</v>
      </c>
      <c r="O10" s="15"/>
      <c r="P10" s="15"/>
      <c r="Q10" s="22" t="n">
        <f aca="false">J20/SUM(J19:J20)</f>
        <v>0.583333333333333</v>
      </c>
      <c r="R10" s="18"/>
      <c r="S10" s="14"/>
      <c r="T10" s="14"/>
    </row>
    <row collapsed="false" customFormat="true" customHeight="false" hidden="false" ht="12.8" outlineLevel="0" r="11" s="5">
      <c r="A11" s="5" t="s">
        <v>69</v>
      </c>
      <c r="B11" s="10"/>
      <c r="E11" s="0"/>
      <c r="AMJ11" s="0"/>
    </row>
    <row collapsed="false" customFormat="true" customHeight="false" hidden="false" ht="12.8" outlineLevel="0" r="12" s="5">
      <c r="B12" s="10"/>
      <c r="E12" s="0"/>
      <c r="AMJ12" s="0"/>
    </row>
    <row collapsed="false" customFormat="true" customHeight="false" hidden="false" ht="12.8" outlineLevel="0" r="13" s="5">
      <c r="A13" s="5" t="s">
        <v>70</v>
      </c>
      <c r="B13" s="10"/>
      <c r="AMJ13" s="0"/>
    </row>
    <row collapsed="false" customFormat="true" customHeight="false" hidden="false" ht="25" outlineLevel="0" r="14" s="26">
      <c r="A14" s="26" t="s">
        <v>205</v>
      </c>
      <c r="B14" s="25" t="s">
        <v>38</v>
      </c>
      <c r="C14" s="26" t="s">
        <v>39</v>
      </c>
      <c r="D14" s="26" t="s">
        <v>150</v>
      </c>
      <c r="E14" s="25" t="s">
        <v>38</v>
      </c>
      <c r="F14" s="26" t="s">
        <v>39</v>
      </c>
      <c r="G14" s="26" t="s">
        <v>151</v>
      </c>
      <c r="H14" s="26" t="s">
        <v>79</v>
      </c>
      <c r="I14" s="26" t="s">
        <v>80</v>
      </c>
      <c r="J14" s="26" t="s">
        <v>206</v>
      </c>
      <c r="AMJ14" s="0"/>
    </row>
    <row collapsed="false" customFormat="true" customHeight="false" hidden="false" ht="12.8" outlineLevel="0" r="15" s="5">
      <c r="A15" s="5" t="n">
        <v>1854</v>
      </c>
      <c r="B15" s="11" t="n">
        <f aca="false">SUMPRODUCT(B16:B17,J16:J17)/SUM(J16:J17)</f>
        <v>53916.548025</v>
      </c>
      <c r="C15" s="11" t="n">
        <f aca="false">SQRT(C16*C16+C17*C17)</f>
        <v>0.00113137084989848</v>
      </c>
      <c r="D15" s="0" t="s">
        <v>130</v>
      </c>
      <c r="E15" s="11" t="n">
        <f aca="false">B15</f>
        <v>53916.548025</v>
      </c>
      <c r="F15" s="11" t="n">
        <f aca="false">C15</f>
        <v>0.00113137084989848</v>
      </c>
      <c r="G15" s="0" t="n">
        <f aca="false">D15</f>
        <v>0</v>
      </c>
      <c r="H15" s="38" t="n">
        <f aca="false">100000000/E15</f>
        <v>1854.71814615491</v>
      </c>
      <c r="I15" s="38" t="n">
        <f aca="false">F15/E15*H15</f>
        <v>3.89189241930776E-005</v>
      </c>
      <c r="AMF15" s="0"/>
      <c r="AMG15" s="0"/>
      <c r="AMH15" s="0"/>
      <c r="AMI15" s="0"/>
      <c r="AMJ15" s="0"/>
    </row>
    <row collapsed="false" customFormat="false" customHeight="false" hidden="false" ht="12.8" outlineLevel="0" r="16">
      <c r="A16" s="0" t="n">
        <v>2</v>
      </c>
      <c r="B16" s="69" t="n">
        <f aca="false">53916.8149</f>
        <v>53916.8149</v>
      </c>
      <c r="C16" s="69" t="n">
        <f aca="false">0.0008</f>
        <v>0.0008</v>
      </c>
      <c r="D16" s="68" t="n">
        <f aca="false">A23</f>
        <v>0</v>
      </c>
      <c r="E16" s="69" t="n">
        <f aca="false">B16</f>
        <v>53916.8149</v>
      </c>
      <c r="F16" s="69" t="n">
        <f aca="false">C16</f>
        <v>0.0008</v>
      </c>
      <c r="G16" s="5" t="n">
        <f aca="false">D16</f>
        <v>0</v>
      </c>
      <c r="H16" s="38" t="n">
        <f aca="false">100000000/E16</f>
        <v>1854.70896575532</v>
      </c>
      <c r="I16" s="38" t="n">
        <f aca="false">F16/E16*H16</f>
        <v>2.75195627812253E-005</v>
      </c>
      <c r="J16" s="0" t="n">
        <f aca="false">2*A16+1</f>
        <v>5</v>
      </c>
    </row>
    <row collapsed="false" customFormat="false" customHeight="false" hidden="false" ht="12.8" outlineLevel="0" r="17">
      <c r="A17" s="0" t="n">
        <v>3</v>
      </c>
      <c r="B17" s="69" t="n">
        <f aca="false">53916.3574</f>
        <v>53916.3574</v>
      </c>
      <c r="C17" s="69" t="n">
        <f aca="false">0.0008</f>
        <v>0.0008</v>
      </c>
      <c r="D17" s="68" t="n">
        <f aca="false">D16</f>
        <v>0</v>
      </c>
      <c r="E17" s="69" t="n">
        <f aca="false">B17</f>
        <v>53916.3574</v>
      </c>
      <c r="F17" s="69" t="n">
        <f aca="false">C17</f>
        <v>0.0008</v>
      </c>
      <c r="G17" s="5" t="n">
        <f aca="false">D17</f>
        <v>0</v>
      </c>
      <c r="H17" s="38" t="n">
        <f aca="false">100000000/E17</f>
        <v>1854.72470363883</v>
      </c>
      <c r="I17" s="38" t="n">
        <f aca="false">F17/E17*H17</f>
        <v>2.7520029810305E-005</v>
      </c>
      <c r="J17" s="0" t="n">
        <f aca="false">2*A17+1</f>
        <v>7</v>
      </c>
    </row>
    <row collapsed="false" customFormat="false" customHeight="false" hidden="false" ht="12.8" outlineLevel="0" r="18">
      <c r="A18" s="0" t="n">
        <v>1862</v>
      </c>
      <c r="B18" s="11" t="n">
        <f aca="false">SUMPRODUCT(B19:B20,J19:J20)/SUM(J19:J20)</f>
        <v>53682.8884083333</v>
      </c>
      <c r="C18" s="11" t="n">
        <f aca="false">SQRT(C19*C19+C20*C20)</f>
        <v>0.00113137084989848</v>
      </c>
      <c r="D18" s="0" t="s">
        <v>130</v>
      </c>
      <c r="E18" s="11" t="n">
        <f aca="false">B18</f>
        <v>53682.8884083333</v>
      </c>
      <c r="F18" s="11" t="n">
        <f aca="false">C18</f>
        <v>0.00113137084989848</v>
      </c>
      <c r="G18" s="0" t="n">
        <f aca="false">D18</f>
        <v>0</v>
      </c>
      <c r="H18" s="38" t="n">
        <f aca="false">100000000/E18</f>
        <v>1862.79097427397</v>
      </c>
      <c r="I18" s="38" t="n">
        <f aca="false">F18/E18*H18</f>
        <v>3.92584577736767E-005</v>
      </c>
    </row>
    <row collapsed="false" customFormat="false" customHeight="false" hidden="false" ht="12.8" outlineLevel="0" r="19">
      <c r="A19" s="0" t="n">
        <v>2</v>
      </c>
      <c r="B19" s="69" t="n">
        <f aca="false">53683.1953</f>
        <v>53683.1953</v>
      </c>
      <c r="C19" s="69" t="n">
        <f aca="false">0.0008</f>
        <v>0.0008</v>
      </c>
      <c r="D19" s="68" t="n">
        <f aca="false">A23</f>
        <v>0</v>
      </c>
      <c r="E19" s="69" t="n">
        <f aca="false">B19</f>
        <v>53683.1953</v>
      </c>
      <c r="F19" s="69" t="n">
        <f aca="false">C19</f>
        <v>0.0008</v>
      </c>
      <c r="G19" s="5" t="n">
        <f aca="false">D19</f>
        <v>0</v>
      </c>
      <c r="H19" s="38" t="n">
        <f aca="false">100000000/E19</f>
        <v>1862.78032522405</v>
      </c>
      <c r="I19" s="38" t="n">
        <f aca="false">F19/E19*H19</f>
        <v>2.77596043203344E-005</v>
      </c>
      <c r="J19" s="0" t="n">
        <f aca="false">2*A19+1</f>
        <v>5</v>
      </c>
    </row>
    <row collapsed="false" customFormat="false" customHeight="false" hidden="false" ht="12.8" outlineLevel="0" r="20">
      <c r="A20" s="0" t="n">
        <v>3</v>
      </c>
      <c r="B20" s="69" t="n">
        <f aca="false">53682.6692</f>
        <v>53682.6692</v>
      </c>
      <c r="C20" s="69" t="n">
        <f aca="false">0.0008</f>
        <v>0.0008</v>
      </c>
      <c r="D20" s="68" t="n">
        <f aca="false">D19</f>
        <v>0</v>
      </c>
      <c r="E20" s="69" t="n">
        <f aca="false">B20</f>
        <v>53682.6692</v>
      </c>
      <c r="F20" s="69" t="n">
        <f aca="false">C20</f>
        <v>0.0008</v>
      </c>
      <c r="G20" s="5" t="n">
        <f aca="false">D20</f>
        <v>0</v>
      </c>
      <c r="H20" s="38" t="n">
        <f aca="false">100000000/E20</f>
        <v>1862.79858081274</v>
      </c>
      <c r="I20" s="38" t="n">
        <f aca="false">F20/E20*H20</f>
        <v>2.77601484214238E-005</v>
      </c>
      <c r="J20" s="0" t="n">
        <f aca="false">2*A20+1</f>
        <v>7</v>
      </c>
    </row>
    <row collapsed="false" customFormat="false" customHeight="false" hidden="false" ht="12.8" outlineLevel="0" r="22">
      <c r="A22" s="0" t="s">
        <v>18</v>
      </c>
    </row>
    <row collapsed="false" customFormat="false" customHeight="false" hidden="false" ht="13.8" outlineLevel="0" r="23">
      <c r="A23" s="0" t="s">
        <v>197</v>
      </c>
      <c r="B23" s="7" t="s">
        <v>198</v>
      </c>
    </row>
  </sheetData>
  <hyperlinks>
    <hyperlink display="http://adsabs.harvard.edu/abs/2000ApJ...536L.113G" ref="B23" r:id="rId1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B2" activeCellId="0" pane="topLeft" sqref="B2"/>
    </sheetView>
  </sheetViews>
  <cols>
    <col collapsed="false" hidden="false" max="2" min="1" style="8" width="11.6235294117647"/>
    <col collapsed="false" hidden="false" max="3" min="3" style="61" width="11.6235294117647"/>
    <col collapsed="false" hidden="false" max="4" min="4" style="61" width="15.9725490196078"/>
    <col collapsed="false" hidden="false" max="5" min="5" style="61" width="13.7647058823529"/>
    <col collapsed="false" hidden="false" max="6" min="6" style="61" width="9.50588235294118"/>
    <col collapsed="false" hidden="false" max="7" min="7" style="61" width="14.0627450980392"/>
    <col collapsed="false" hidden="false" max="8" min="8" style="52" width="12.3176470588235"/>
    <col collapsed="false" hidden="false" max="9" min="9" style="52" width="14.0627450980392"/>
    <col collapsed="false" hidden="false" max="10" min="10" style="52" width="13.7019607843137"/>
    <col collapsed="false" hidden="false" max="11" min="11" style="52" width="10.0470588235294"/>
    <col collapsed="false" hidden="false" max="12" min="12" style="8" width="30.0078431372549"/>
    <col collapsed="false" hidden="false" max="13" min="13" style="8" width="30.4078431372549"/>
    <col collapsed="false" hidden="false" max="14" min="14" style="8" width="7.86666666666667"/>
    <col collapsed="false" hidden="false" max="15" min="15" style="8" width="9.13333333333333"/>
    <col collapsed="false" hidden="false" max="16" min="16" style="8" width="8.50196078431373"/>
    <col collapsed="false" hidden="false" max="17" min="17" style="8" width="11.6235294117647"/>
    <col collapsed="false" hidden="false" max="18" min="18" style="8" width="10.0470588235294"/>
    <col collapsed="false" hidden="false" max="19" min="19" style="8" width="8.50196078431373"/>
    <col collapsed="false" hidden="false" max="1025" min="20" style="8" width="11.6235294117647"/>
  </cols>
  <sheetData>
    <row collapsed="false" customFormat="true" customHeight="false" hidden="false" ht="12.8" outlineLevel="0" r="1" s="5">
      <c r="A1" s="5" t="s">
        <v>31</v>
      </c>
      <c r="B1" s="59" t="s">
        <v>193</v>
      </c>
      <c r="C1" s="3"/>
    </row>
    <row collapsed="false" customFormat="true" customHeight="false" hidden="false" ht="12.8" outlineLevel="0" r="2" s="5">
      <c r="B2" s="10"/>
    </row>
    <row collapsed="false" customFormat="true" customHeight="false" hidden="false" ht="12.8" outlineLevel="0" r="3" s="5">
      <c r="A3" s="5" t="s">
        <v>33</v>
      </c>
      <c r="B3" s="10"/>
    </row>
    <row collapsed="false" customFormat="false" customHeight="false" hidden="false" ht="13.8" outlineLevel="0" r="4">
      <c r="A4" s="0" t="s">
        <v>34</v>
      </c>
      <c r="B4" s="0" t="s">
        <v>35</v>
      </c>
      <c r="C4" s="0" t="s">
        <v>36</v>
      </c>
      <c r="D4" s="0" t="s">
        <v>37</v>
      </c>
      <c r="E4" s="0" t="s">
        <v>38</v>
      </c>
      <c r="F4" s="0" t="s">
        <v>39</v>
      </c>
      <c r="G4" s="0" t="s">
        <v>8</v>
      </c>
      <c r="H4" s="0" t="s">
        <v>40</v>
      </c>
      <c r="I4" s="0" t="s">
        <v>41</v>
      </c>
      <c r="J4" s="0" t="s">
        <v>42</v>
      </c>
      <c r="K4" s="0" t="s">
        <v>43</v>
      </c>
      <c r="L4" s="0" t="s">
        <v>44</v>
      </c>
      <c r="M4" s="0" t="s">
        <v>45</v>
      </c>
      <c r="N4" s="0" t="s">
        <v>46</v>
      </c>
      <c r="O4" s="0" t="s">
        <v>47</v>
      </c>
      <c r="P4" s="0" t="s">
        <v>48</v>
      </c>
      <c r="Q4" s="0" t="s">
        <v>49</v>
      </c>
      <c r="R4" s="0" t="s">
        <v>50</v>
      </c>
      <c r="S4" s="0" t="s">
        <v>51</v>
      </c>
      <c r="T4" s="0" t="s">
        <v>52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12.8" outlineLevel="0" r="5">
      <c r="A5" s="0" t="s">
        <v>207</v>
      </c>
      <c r="B5" s="0" t="n">
        <f aca="false">A23</f>
        <v>1526</v>
      </c>
      <c r="C5" s="0" t="s">
        <v>54</v>
      </c>
      <c r="D5" s="11" t="n">
        <v>28.0855</v>
      </c>
      <c r="E5" s="11" t="n">
        <f aca="false">J23</f>
        <v>65500.4538</v>
      </c>
      <c r="F5" s="11" t="n">
        <f aca="false">K23</f>
        <v>0.0007</v>
      </c>
      <c r="G5" s="14" t="n">
        <v>0</v>
      </c>
      <c r="H5" s="0" t="n">
        <f aca="false">A33</f>
        <v>0</v>
      </c>
      <c r="I5" s="13" t="n">
        <f aca="false">L23</f>
        <v>1526.70697985302</v>
      </c>
      <c r="J5" s="13" t="n">
        <f aca="false">M23</f>
        <v>1.63158394163234E-005</v>
      </c>
      <c r="K5" s="30" t="n">
        <f aca="false">299792458*J5/I5</f>
        <v>3.20386666695124</v>
      </c>
      <c r="L5" s="0" t="s">
        <v>208</v>
      </c>
      <c r="M5" s="0" t="s">
        <v>209</v>
      </c>
      <c r="N5" s="0" t="s">
        <v>210</v>
      </c>
      <c r="O5" s="15" t="n">
        <v>8.15</v>
      </c>
      <c r="P5" s="15" t="n">
        <v>16.35</v>
      </c>
      <c r="Q5" s="32" t="n">
        <v>0.133</v>
      </c>
      <c r="R5" s="18" t="n">
        <v>1130000000</v>
      </c>
      <c r="S5" s="14" t="n">
        <f aca="false">47</f>
        <v>47</v>
      </c>
      <c r="T5" s="14" t="n">
        <f aca="false">4</f>
        <v>4</v>
      </c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false" customHeight="false" hidden="false" ht="12.8" outlineLevel="0" r="6">
      <c r="A6" s="0"/>
      <c r="B6" s="0"/>
      <c r="C6" s="0" t="s">
        <v>143</v>
      </c>
      <c r="D6" s="14" t="s">
        <v>211</v>
      </c>
      <c r="E6" s="45" t="n">
        <f aca="false">J24</f>
        <v>65500.4258532589</v>
      </c>
      <c r="F6" s="13"/>
      <c r="G6" s="14" t="n">
        <v>3</v>
      </c>
      <c r="H6" s="0" t="n">
        <f aca="false">A34</f>
        <v>0</v>
      </c>
      <c r="I6" s="19" t="n">
        <f aca="false">L24</f>
        <v>1526.70763124549</v>
      </c>
      <c r="J6" s="19"/>
      <c r="K6" s="30"/>
      <c r="L6" s="0"/>
      <c r="M6" s="0"/>
      <c r="N6" s="0"/>
      <c r="O6" s="15"/>
      <c r="P6" s="15"/>
      <c r="Q6" s="70" t="n">
        <f aca="false">B24</f>
        <v>0.030872</v>
      </c>
      <c r="R6" s="18"/>
      <c r="S6" s="14"/>
      <c r="T6" s="14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12.8" outlineLevel="0" r="7">
      <c r="A7" s="0"/>
      <c r="B7" s="0"/>
      <c r="C7" s="0" t="s">
        <v>143</v>
      </c>
      <c r="D7" s="14" t="s">
        <v>212</v>
      </c>
      <c r="E7" s="45" t="n">
        <f aca="false">J25</f>
        <v>65500.439804959</v>
      </c>
      <c r="F7" s="13"/>
      <c r="G7" s="14" t="n">
        <f aca="false">G6</f>
        <v>3</v>
      </c>
      <c r="H7" s="0" t="n">
        <f aca="false">H6</f>
        <v>0</v>
      </c>
      <c r="I7" s="19" t="n">
        <f aca="false">L25</f>
        <v>1526.70730605429</v>
      </c>
      <c r="J7" s="19"/>
      <c r="K7" s="30"/>
      <c r="L7" s="0"/>
      <c r="M7" s="0"/>
      <c r="N7" s="0"/>
      <c r="O7" s="15"/>
      <c r="P7" s="15"/>
      <c r="Q7" s="70" t="n">
        <f aca="false">B25</f>
        <v>0.046832</v>
      </c>
      <c r="R7" s="18"/>
      <c r="S7" s="14"/>
      <c r="T7" s="14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8" outlineLevel="0" r="8">
      <c r="A8" s="0"/>
      <c r="B8" s="0"/>
      <c r="C8" s="0" t="s">
        <v>143</v>
      </c>
      <c r="D8" s="14" t="s">
        <v>213</v>
      </c>
      <c r="E8" s="45" t="n">
        <f aca="false">J26</f>
        <v>65500.4554460958</v>
      </c>
      <c r="F8" s="13"/>
      <c r="G8" s="14" t="n">
        <f aca="false">G7</f>
        <v>3</v>
      </c>
      <c r="H8" s="0" t="n">
        <f aca="false">H7</f>
        <v>0</v>
      </c>
      <c r="I8" s="19" t="n">
        <f aca="false">L26</f>
        <v>1526.70694148525</v>
      </c>
      <c r="J8" s="19"/>
      <c r="K8" s="30"/>
      <c r="L8" s="0"/>
      <c r="M8" s="0"/>
      <c r="N8" s="0"/>
      <c r="O8" s="15"/>
      <c r="P8" s="15"/>
      <c r="Q8" s="70" t="n">
        <f aca="false">B26</f>
        <v>0.922297</v>
      </c>
      <c r="R8" s="18"/>
      <c r="S8" s="14"/>
      <c r="T8" s="14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true" customHeight="false" hidden="false" ht="12.8" outlineLevel="0" r="9" s="5">
      <c r="B9" s="0" t="n">
        <f aca="false">A27</f>
        <v>1808</v>
      </c>
      <c r="C9" s="0" t="s">
        <v>54</v>
      </c>
      <c r="D9" s="11" t="n">
        <f aca="false">$D$5</f>
        <v>28.0855</v>
      </c>
      <c r="E9" s="11" t="n">
        <f aca="false">J27</f>
        <v>55309.3404</v>
      </c>
      <c r="F9" s="11" t="n">
        <f aca="false">K27</f>
        <v>0.0004</v>
      </c>
      <c r="G9" s="14" t="n">
        <v>0</v>
      </c>
      <c r="H9" s="0" t="n">
        <f aca="false">A33</f>
        <v>0</v>
      </c>
      <c r="I9" s="13" t="n">
        <f aca="false">L27</f>
        <v>1808.01288311874</v>
      </c>
      <c r="J9" s="13" t="n">
        <f aca="false">M27</f>
        <v>1.30756423420934E-005</v>
      </c>
      <c r="K9" s="30" t="n">
        <f aca="false">299792458*J9/I9</f>
        <v>2.16811450530334</v>
      </c>
      <c r="L9" s="0"/>
      <c r="M9" s="0" t="s">
        <v>214</v>
      </c>
      <c r="N9" s="0" t="s">
        <v>215</v>
      </c>
      <c r="O9" s="15"/>
      <c r="P9" s="15"/>
      <c r="Q9" s="45" t="n">
        <v>0.00208</v>
      </c>
      <c r="R9" s="18" t="n">
        <v>2380000</v>
      </c>
      <c r="S9" s="14" t="n">
        <f aca="false">526</f>
        <v>526</v>
      </c>
      <c r="T9" s="14" t="n">
        <f aca="false">16</f>
        <v>16</v>
      </c>
    </row>
    <row collapsed="false" customFormat="false" customHeight="false" hidden="false" ht="12.8" outlineLevel="0" r="10">
      <c r="A10" s="0"/>
      <c r="B10" s="0"/>
      <c r="C10" s="0" t="s">
        <v>143</v>
      </c>
      <c r="D10" s="14" t="n">
        <f aca="false">D6</f>
        <v>0</v>
      </c>
      <c r="E10" s="45" t="n">
        <f aca="false">J28</f>
        <v>55309.4901021645</v>
      </c>
      <c r="F10" s="13"/>
      <c r="G10" s="14" t="n">
        <v>3</v>
      </c>
      <c r="H10" s="0" t="n">
        <f aca="false">A34</f>
        <v>0</v>
      </c>
      <c r="I10" s="19" t="n">
        <f aca="false">L28</f>
        <v>1808.00798950209</v>
      </c>
      <c r="J10" s="19"/>
      <c r="K10" s="30"/>
      <c r="L10" s="0"/>
      <c r="M10" s="0"/>
      <c r="N10" s="0"/>
      <c r="O10" s="15"/>
      <c r="P10" s="15"/>
      <c r="Q10" s="70" t="n">
        <f aca="false">B28</f>
        <v>0.030872</v>
      </c>
      <c r="R10" s="18"/>
      <c r="S10" s="14"/>
      <c r="T10" s="14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collapsed="false" customFormat="false" customHeight="false" hidden="false" ht="12.8" outlineLevel="0" r="11">
      <c r="A11" s="0"/>
      <c r="B11" s="0"/>
      <c r="C11" s="0" t="s">
        <v>143</v>
      </c>
      <c r="D11" s="14" t="n">
        <f aca="false">D7</f>
        <v>0</v>
      </c>
      <c r="E11" s="45" t="n">
        <f aca="false">J29</f>
        <v>55309.4140285807</v>
      </c>
      <c r="F11" s="13"/>
      <c r="G11" s="14" t="n">
        <f aca="false">G10</f>
        <v>3</v>
      </c>
      <c r="H11" s="0" t="n">
        <f aca="false">H10</f>
        <v>0</v>
      </c>
      <c r="I11" s="19" t="n">
        <f aca="false">L29</f>
        <v>1808.01047626948</v>
      </c>
      <c r="J11" s="19"/>
      <c r="K11" s="30"/>
      <c r="L11" s="0"/>
      <c r="M11" s="0"/>
      <c r="N11" s="0"/>
      <c r="O11" s="15"/>
      <c r="P11" s="15"/>
      <c r="Q11" s="70" t="n">
        <f aca="false">B29</f>
        <v>0.046832</v>
      </c>
      <c r="R11" s="18"/>
      <c r="S11" s="14"/>
      <c r="T11" s="14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collapsed="false" customFormat="false" customHeight="false" hidden="false" ht="12.8" outlineLevel="0" r="12">
      <c r="A12" s="0"/>
      <c r="B12" s="0"/>
      <c r="C12" s="0" t="s">
        <v>143</v>
      </c>
      <c r="D12" s="14" t="n">
        <f aca="false">D8</f>
        <v>0</v>
      </c>
      <c r="E12" s="45" t="n">
        <f aca="false">J30</f>
        <v>55309.3316503373</v>
      </c>
      <c r="F12" s="13"/>
      <c r="G12" s="14" t="n">
        <f aca="false">G11</f>
        <v>3</v>
      </c>
      <c r="H12" s="0" t="n">
        <f aca="false">H11</f>
        <v>0</v>
      </c>
      <c r="I12" s="19" t="n">
        <f aca="false">L30</f>
        <v>1808.01316913744</v>
      </c>
      <c r="J12" s="19"/>
      <c r="K12" s="30"/>
      <c r="L12" s="0"/>
      <c r="M12" s="0"/>
      <c r="N12" s="0"/>
      <c r="O12" s="15"/>
      <c r="P12" s="15"/>
      <c r="Q12" s="70" t="n">
        <f aca="false">B30</f>
        <v>0.922297</v>
      </c>
      <c r="R12" s="18"/>
      <c r="S12" s="14"/>
      <c r="T12" s="14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collapsed="false" customFormat="true" customHeight="false" hidden="false" ht="12.8" outlineLevel="0" r="13" s="5">
      <c r="A13" s="5" t="s">
        <v>69</v>
      </c>
      <c r="B13" s="10"/>
    </row>
    <row collapsed="false" customFormat="true" customHeight="false" hidden="false" ht="12.8" outlineLevel="0" r="14" s="5">
      <c r="B14" s="10"/>
    </row>
    <row collapsed="false" customFormat="true" customHeight="false" hidden="false" ht="12.8" outlineLevel="0" r="15" s="5">
      <c r="A15" s="5" t="s">
        <v>70</v>
      </c>
      <c r="B15" s="10"/>
    </row>
    <row collapsed="false" customFormat="true" customHeight="false" hidden="false" ht="13.8" outlineLevel="0" r="16" s="26">
      <c r="A16" s="5" t="s">
        <v>77</v>
      </c>
      <c r="B16" s="25" t="s">
        <v>38</v>
      </c>
      <c r="C16" s="26" t="s">
        <v>39</v>
      </c>
      <c r="D16" s="26" t="s">
        <v>150</v>
      </c>
      <c r="E16" s="25" t="s">
        <v>38</v>
      </c>
      <c r="F16" s="26" t="s">
        <v>39</v>
      </c>
      <c r="G16" s="26" t="s">
        <v>151</v>
      </c>
      <c r="H16" s="26" t="s">
        <v>79</v>
      </c>
      <c r="I16" s="26" t="s">
        <v>80</v>
      </c>
      <c r="AME16" s="5"/>
      <c r="AMF16" s="0"/>
      <c r="AMG16" s="0"/>
      <c r="AMH16" s="0"/>
      <c r="AMI16" s="0"/>
      <c r="AMJ16" s="0"/>
    </row>
    <row collapsed="false" customFormat="true" customHeight="false" hidden="false" ht="12.8" outlineLevel="0" r="17" s="5">
      <c r="A17" s="5" t="n">
        <v>1526</v>
      </c>
      <c r="B17" s="69" t="n">
        <f aca="false">65500.4538</f>
        <v>65500.4538</v>
      </c>
      <c r="C17" s="69" t="n">
        <f aca="false">0.0007</f>
        <v>0.0007</v>
      </c>
      <c r="D17" s="5" t="n">
        <f aca="false">A33</f>
        <v>0</v>
      </c>
      <c r="E17" s="69" t="n">
        <f aca="false">B17</f>
        <v>65500.4538</v>
      </c>
      <c r="F17" s="69" t="n">
        <f aca="false">C17</f>
        <v>0.0007</v>
      </c>
      <c r="G17" s="5" t="n">
        <f aca="false">D17</f>
        <v>0</v>
      </c>
      <c r="H17" s="38" t="n">
        <f aca="false">100000000/E17</f>
        <v>1526.70697985302</v>
      </c>
      <c r="I17" s="38" t="n">
        <f aca="false">F17/E17*H17</f>
        <v>1.63158394163234E-005</v>
      </c>
      <c r="AMF17" s="0"/>
      <c r="AMG17" s="0"/>
      <c r="AMH17" s="0"/>
      <c r="AMI17" s="0"/>
      <c r="AMJ17" s="0"/>
    </row>
    <row collapsed="false" customFormat="true" customHeight="false" hidden="false" ht="12.8" outlineLevel="0" r="18" s="5">
      <c r="A18" s="5" t="n">
        <v>1808</v>
      </c>
      <c r="B18" s="69" t="n">
        <f aca="false">55309.3404</f>
        <v>55309.3404</v>
      </c>
      <c r="C18" s="69" t="n">
        <f aca="false">0.0004</f>
        <v>0.0004</v>
      </c>
      <c r="D18" s="5" t="n">
        <f aca="false">D17</f>
        <v>0</v>
      </c>
      <c r="E18" s="69" t="n">
        <f aca="false">B18</f>
        <v>55309.3404</v>
      </c>
      <c r="F18" s="69" t="n">
        <f aca="false">C18</f>
        <v>0.0004</v>
      </c>
      <c r="G18" s="5" t="n">
        <f aca="false">D18</f>
        <v>0</v>
      </c>
      <c r="H18" s="38" t="n">
        <f aca="false">100000000/E18</f>
        <v>1808.01288311874</v>
      </c>
      <c r="I18" s="38" t="n">
        <f aca="false">F18/E18*H18</f>
        <v>1.30756423420934E-005</v>
      </c>
      <c r="AMF18" s="0"/>
      <c r="AMG18" s="0"/>
      <c r="AMH18" s="0"/>
      <c r="AMI18" s="0"/>
      <c r="AMJ18" s="0"/>
    </row>
    <row collapsed="false" customFormat="true" customHeight="false" hidden="false" ht="12.8" outlineLevel="0" r="19" s="5">
      <c r="B19" s="69"/>
      <c r="C19" s="69"/>
      <c r="D19" s="69"/>
      <c r="E19" s="69"/>
    </row>
    <row collapsed="false" customFormat="true" customHeight="false" hidden="false" ht="12.8" outlineLevel="0" r="20" s="5">
      <c r="A20" s="5" t="s">
        <v>169</v>
      </c>
      <c r="B20" s="10"/>
    </row>
    <row collapsed="false" customFormat="true" customHeight="true" hidden="false" ht="58.55" outlineLevel="0" r="21" s="5">
      <c r="A21" s="26" t="s">
        <v>126</v>
      </c>
      <c r="B21" s="26" t="s">
        <v>170</v>
      </c>
      <c r="C21" s="24" t="s">
        <v>216</v>
      </c>
      <c r="D21" s="24"/>
      <c r="E21" s="24"/>
      <c r="F21" s="24"/>
      <c r="G21" s="24"/>
      <c r="H21" s="0" t="s">
        <v>83</v>
      </c>
      <c r="I21" s="0" t="s">
        <v>39</v>
      </c>
      <c r="J21" s="26" t="s">
        <v>38</v>
      </c>
      <c r="K21" s="26" t="s">
        <v>39</v>
      </c>
      <c r="L21" s="26" t="s">
        <v>79</v>
      </c>
      <c r="M21" s="26" t="s">
        <v>80</v>
      </c>
      <c r="AMJ21" s="0"/>
    </row>
    <row collapsed="false" customFormat="true" customHeight="false" hidden="false" ht="13.8" outlineLevel="0" r="22" s="26">
      <c r="A22" s="0"/>
      <c r="B22" s="0"/>
      <c r="C22" s="0" t="s">
        <v>217</v>
      </c>
      <c r="D22" s="0" t="s">
        <v>218</v>
      </c>
      <c r="E22" s="0" t="s">
        <v>219</v>
      </c>
      <c r="F22" s="0" t="s">
        <v>220</v>
      </c>
      <c r="G22" s="0" t="s">
        <v>221</v>
      </c>
      <c r="H22" s="0"/>
      <c r="I22" s="0"/>
      <c r="O22" s="5"/>
      <c r="AMJ22" s="0"/>
    </row>
    <row collapsed="false" customFormat="false" customHeight="false" hidden="false" ht="12.8" outlineLevel="0" r="23">
      <c r="A23" s="8" t="n">
        <v>1526</v>
      </c>
      <c r="B23" s="71"/>
      <c r="C23" s="15" t="n">
        <f aca="false">-E17/10000000*299792458/1822.888</f>
        <v>-1077.22153225088</v>
      </c>
      <c r="D23" s="15" t="n">
        <f aca="false">1453.96</f>
        <v>1453.96</v>
      </c>
      <c r="E23" s="15" t="n">
        <f aca="false">SUM(C23:D23)</f>
        <v>376.738467749119</v>
      </c>
      <c r="F23" s="15" t="n">
        <f aca="false">144.11</f>
        <v>144.11</v>
      </c>
      <c r="G23" s="3"/>
      <c r="H23" s="0"/>
      <c r="I23" s="0"/>
      <c r="J23" s="11" t="n">
        <f aca="false">E$17</f>
        <v>65500.4538</v>
      </c>
      <c r="K23" s="11" t="n">
        <f aca="false">F$17</f>
        <v>0.0007</v>
      </c>
      <c r="L23" s="13" t="n">
        <f aca="false">100000000/J23</f>
        <v>1526.70697985302</v>
      </c>
      <c r="M23" s="13" t="n">
        <f aca="false">K23/J23*L23</f>
        <v>1.63158394163234E-005</v>
      </c>
      <c r="N23" s="52"/>
      <c r="AMJ23" s="0"/>
    </row>
    <row collapsed="false" customFormat="false" customHeight="false" hidden="false" ht="12.8" outlineLevel="0" r="24">
      <c r="A24" s="8" t="n">
        <v>30</v>
      </c>
      <c r="B24" s="72" t="n">
        <f aca="false">0.030872</f>
        <v>0.030872</v>
      </c>
      <c r="C24" s="15"/>
      <c r="D24" s="15"/>
      <c r="E24" s="15"/>
      <c r="F24" s="15"/>
      <c r="G24" s="32" t="n">
        <f aca="false">0.06818</f>
        <v>0.06818</v>
      </c>
      <c r="H24" s="15" t="n">
        <f aca="false">1000*$E$23*(1/$A24-1/$A$26)+$F$23*G24</f>
        <v>-887.170931983616</v>
      </c>
      <c r="I24" s="45" t="n">
        <f aca="false">10000*H24/299792458</f>
        <v>-0.0295928369213216</v>
      </c>
      <c r="J24" s="45" t="n">
        <f aca="false">$J$26+$I24</f>
        <v>65500.4258532589</v>
      </c>
      <c r="K24" s="0"/>
      <c r="L24" s="19" t="n">
        <f aca="false">100000000/J24</f>
        <v>1526.70763124549</v>
      </c>
      <c r="M24" s="52"/>
      <c r="AMJ24" s="0"/>
    </row>
    <row collapsed="false" customFormat="false" customHeight="false" hidden="false" ht="12.8" outlineLevel="0" r="25">
      <c r="A25" s="8" t="n">
        <v>29</v>
      </c>
      <c r="B25" s="72" t="n">
        <f aca="false">0.046832</f>
        <v>0.046832</v>
      </c>
      <c r="C25" s="15"/>
      <c r="D25" s="15"/>
      <c r="E25" s="15"/>
      <c r="F25" s="15"/>
      <c r="G25" s="32" t="n">
        <f aca="false">-0.03432</f>
        <v>-0.03432</v>
      </c>
      <c r="H25" s="15" t="n">
        <f aca="false">1000*$E$23*(1/$A25-1/$A$26)+$F$23*G25</f>
        <v>-468.909485432905</v>
      </c>
      <c r="I25" s="45" t="n">
        <f aca="false">10000*H25/299792458</f>
        <v>-0.0156411368238258</v>
      </c>
      <c r="J25" s="45" t="n">
        <f aca="false">$J$26+$I25</f>
        <v>65500.439804959</v>
      </c>
      <c r="L25" s="19" t="n">
        <f aca="false">100000000/J25</f>
        <v>1526.70730605429</v>
      </c>
      <c r="AMJ25" s="0"/>
    </row>
    <row collapsed="false" customFormat="false" customHeight="false" hidden="false" ht="12.8" outlineLevel="0" r="26">
      <c r="A26" s="8" t="n">
        <v>28</v>
      </c>
      <c r="B26" s="72" t="n">
        <f aca="false">0.922297</f>
        <v>0.922297</v>
      </c>
      <c r="C26" s="15"/>
      <c r="D26" s="15"/>
      <c r="E26" s="15"/>
      <c r="F26" s="15"/>
      <c r="G26" s="32"/>
      <c r="H26" s="15" t="n">
        <f aca="false">0</f>
        <v>0</v>
      </c>
      <c r="I26" s="45" t="n">
        <f aca="false">0</f>
        <v>0</v>
      </c>
      <c r="J26" s="45" t="n">
        <f aca="false">J23-SUMPRODUCT(I24:I25,B24:B25)</f>
        <v>65500.4554460958</v>
      </c>
      <c r="L26" s="19" t="n">
        <f aca="false">100000000/J26</f>
        <v>1526.70694148525</v>
      </c>
      <c r="AMJ26" s="0"/>
    </row>
    <row collapsed="false" customFormat="false" customHeight="false" hidden="false" ht="12.8" outlineLevel="0" r="27">
      <c r="A27" s="8" t="n">
        <v>1808</v>
      </c>
      <c r="B27" s="72"/>
      <c r="C27" s="15" t="n">
        <f aca="false">-E18/10000000*299792458/1822.888</f>
        <v>-909.618314941714</v>
      </c>
      <c r="D27" s="15" t="n">
        <f aca="false">-1090.68</f>
        <v>-1090.68</v>
      </c>
      <c r="E27" s="15" t="n">
        <f aca="false">SUM(C27:D27)</f>
        <v>-2000.29831494171</v>
      </c>
      <c r="F27" s="15" t="n">
        <f aca="false">-181.12</f>
        <v>-181.12</v>
      </c>
      <c r="G27" s="73"/>
      <c r="H27" s="32"/>
      <c r="I27" s="19"/>
      <c r="J27" s="11" t="n">
        <f aca="false">E$18</f>
        <v>55309.3404</v>
      </c>
      <c r="K27" s="11" t="n">
        <f aca="false">F18</f>
        <v>0.0004</v>
      </c>
      <c r="L27" s="13" t="n">
        <f aca="false">100000000/J27</f>
        <v>1808.01288311874</v>
      </c>
      <c r="M27" s="13" t="n">
        <f aca="false">K27/J27*L27</f>
        <v>1.30756423420934E-005</v>
      </c>
      <c r="AMJ27" s="0"/>
    </row>
    <row collapsed="false" customFormat="false" customHeight="false" hidden="false" ht="12.8" outlineLevel="0" r="28">
      <c r="A28" s="8" t="n">
        <v>30</v>
      </c>
      <c r="B28" s="72" t="inlineStr">
        <f aca="false">B24</f>
        <is>
          <t/>
        </is>
      </c>
      <c r="C28" s="15"/>
      <c r="D28" s="15"/>
      <c r="E28" s="15"/>
      <c r="F28" s="15"/>
      <c r="G28" s="32" t="n">
        <f aca="false">G24</f>
        <v>0.06818</v>
      </c>
      <c r="H28" s="15" t="n">
        <f aca="false">1000*$E$27*(1/$A28-1/$A$30)+$F$27*G28</f>
        <v>4750.26627397551</v>
      </c>
      <c r="I28" s="45" t="n">
        <f aca="false">10000*H28/299792458</f>
        <v>0.158451827162894</v>
      </c>
      <c r="J28" s="45" t="n">
        <f aca="false">$J$30+$I28</f>
        <v>55309.4901021645</v>
      </c>
      <c r="L28" s="19" t="n">
        <f aca="false">100000000/J28</f>
        <v>1808.00798950209</v>
      </c>
      <c r="M28" s="52"/>
      <c r="AMJ28" s="0"/>
    </row>
    <row collapsed="false" customFormat="false" customHeight="false" hidden="false" ht="12.8" outlineLevel="0" r="29">
      <c r="A29" s="8" t="n">
        <v>29</v>
      </c>
      <c r="B29" s="72" t="inlineStr">
        <f aca="false">B25</f>
        <is>
          <t/>
        </is>
      </c>
      <c r="C29" s="55"/>
      <c r="D29" s="55"/>
      <c r="E29" s="55"/>
      <c r="F29" s="55"/>
      <c r="G29" s="32" t="n">
        <f aca="false">G25</f>
        <v>-0.03432</v>
      </c>
      <c r="H29" s="15" t="n">
        <f aca="false">1000*$E$27*(1/$A29-1/$A$30)+$F$27*G29</f>
        <v>2469.63760852526</v>
      </c>
      <c r="I29" s="45" t="n">
        <f aca="false">10000*H29/299792458</f>
        <v>0.0823782434355057</v>
      </c>
      <c r="J29" s="45" t="n">
        <f aca="false">$J$30+$I29</f>
        <v>55309.4140285807</v>
      </c>
      <c r="L29" s="19" t="n">
        <f aca="false">100000000/J29</f>
        <v>1808.01047626948</v>
      </c>
      <c r="AMJ29" s="0"/>
    </row>
    <row collapsed="false" customFormat="false" customHeight="false" hidden="false" ht="12.8" outlineLevel="0" r="30">
      <c r="A30" s="8" t="n">
        <v>28</v>
      </c>
      <c r="B30" s="72" t="inlineStr">
        <f aca="false">B26</f>
        <is>
          <t/>
        </is>
      </c>
      <c r="C30" s="55"/>
      <c r="D30" s="55"/>
      <c r="E30" s="55"/>
      <c r="F30" s="55"/>
      <c r="G30" s="32"/>
      <c r="H30" s="15" t="n">
        <f aca="false">0</f>
        <v>0</v>
      </c>
      <c r="I30" s="45" t="n">
        <f aca="false">0</f>
        <v>0</v>
      </c>
      <c r="J30" s="45" t="n">
        <f aca="false">J27-SUMPRODUCT(I28:I29,B28:B29)</f>
        <v>55309.3316503373</v>
      </c>
      <c r="L30" s="19" t="n">
        <f aca="false">100000000/J30</f>
        <v>1808.01316913744</v>
      </c>
      <c r="AMJ30" s="0"/>
    </row>
    <row collapsed="false" customFormat="false" customHeight="false" hidden="false" ht="12.8" outlineLevel="0" r="32">
      <c r="A32" s="8" t="s">
        <v>18</v>
      </c>
    </row>
    <row collapsed="false" customFormat="false" customHeight="false" hidden="false" ht="13.8" outlineLevel="0" r="33">
      <c r="A33" s="0" t="s">
        <v>197</v>
      </c>
      <c r="B33" s="7" t="s">
        <v>198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collapsed="false" customFormat="false" customHeight="false" hidden="false" ht="12.8" outlineLevel="0" r="34">
      <c r="A34" s="8" t="s">
        <v>222</v>
      </c>
      <c r="B34" s="8" t="s">
        <v>26</v>
      </c>
    </row>
    <row collapsed="false" customFormat="false" customHeight="false" hidden="false" ht="13.8" outlineLevel="0" r="35">
      <c r="A35" s="5" t="s">
        <v>157</v>
      </c>
      <c r="B35" s="7" t="s">
        <v>158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</sheetData>
  <mergeCells count="1">
    <mergeCell ref="C21:G21"/>
  </mergeCells>
  <hyperlinks>
    <hyperlink display="http://adsabs.harvard.edu/abs/2000ApJ...536L.113G" ref="B33" r:id="rId1"/>
    <hyperlink display="http://adsabs.harvard.edu/abs/1998JPCRD..27.1275R" ref="B35" r:id="rId2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J10" activeCellId="0" pane="topLeft" sqref="J10"/>
    </sheetView>
  </sheetViews>
  <cols>
    <col collapsed="false" hidden="false" max="2" min="1" style="8" width="11.6235294117647"/>
    <col collapsed="false" hidden="false" max="3" min="3" style="61" width="11.6235294117647"/>
    <col collapsed="false" hidden="false" max="4" min="4" style="61" width="17.0862745098039"/>
    <col collapsed="false" hidden="false" max="5" min="5" style="61" width="13.7647058823529"/>
    <col collapsed="false" hidden="false" max="6" min="6" style="61" width="13.2588235294118"/>
    <col collapsed="false" hidden="false" max="7" min="7" style="61" width="12.7803921568627"/>
    <col collapsed="false" hidden="false" max="8" min="8" style="52" width="12.7803921568627"/>
    <col collapsed="false" hidden="false" max="9" min="9" style="52" width="15.5372549019608"/>
    <col collapsed="false" hidden="false" max="10" min="10" style="52" width="12.4549019607843"/>
    <col collapsed="false" hidden="false" max="11" min="11" style="52" width="9.91372549019608"/>
    <col collapsed="false" hidden="false" max="12" min="12" style="8" width="30.5411764705882"/>
    <col collapsed="false" hidden="false" max="13" min="13" style="8" width="31.7529411764706"/>
    <col collapsed="false" hidden="false" max="14" min="14" style="8" width="7.86666666666667"/>
    <col collapsed="false" hidden="false" max="15" min="15" style="8" width="9.13333333333333"/>
    <col collapsed="false" hidden="false" max="16" min="16" style="8" width="8.50196078431373"/>
    <col collapsed="false" hidden="false" max="17" min="17" style="8" width="11.6235294117647"/>
    <col collapsed="false" hidden="false" max="18" min="18" style="8" width="9.10588235294118"/>
    <col collapsed="false" hidden="false" max="19" min="19" style="8" width="8.50196078431373"/>
    <col collapsed="false" hidden="false" max="1025" min="20" style="8" width="11.6235294117647"/>
  </cols>
  <sheetData>
    <row collapsed="false" customFormat="true" customHeight="false" hidden="false" ht="12.8" outlineLevel="0" r="1" s="5">
      <c r="A1" s="5" t="s">
        <v>31</v>
      </c>
      <c r="B1" s="59" t="s">
        <v>193</v>
      </c>
    </row>
    <row collapsed="false" customFormat="true" customHeight="false" hidden="false" ht="12.8" outlineLevel="0" r="2" s="5">
      <c r="B2" s="10"/>
    </row>
    <row collapsed="false" customFormat="true" customHeight="false" hidden="false" ht="12.8" outlineLevel="0" r="3" s="5">
      <c r="A3" s="5" t="s">
        <v>33</v>
      </c>
      <c r="B3" s="10"/>
    </row>
    <row collapsed="false" customFormat="false" customHeight="false" hidden="false" ht="13.8" outlineLevel="0" r="4">
      <c r="A4" s="0" t="s">
        <v>34</v>
      </c>
      <c r="B4" s="0" t="s">
        <v>35</v>
      </c>
      <c r="C4" s="0" t="s">
        <v>36</v>
      </c>
      <c r="D4" s="0" t="s">
        <v>37</v>
      </c>
      <c r="E4" s="0" t="s">
        <v>38</v>
      </c>
      <c r="F4" s="0" t="s">
        <v>39</v>
      </c>
      <c r="G4" s="0" t="s">
        <v>8</v>
      </c>
      <c r="H4" s="0" t="s">
        <v>40</v>
      </c>
      <c r="I4" s="0" t="s">
        <v>41</v>
      </c>
      <c r="J4" s="0" t="s">
        <v>42</v>
      </c>
      <c r="K4" s="0" t="s">
        <v>43</v>
      </c>
      <c r="L4" s="0" t="s">
        <v>44</v>
      </c>
      <c r="M4" s="0" t="s">
        <v>45</v>
      </c>
      <c r="N4" s="0" t="s">
        <v>46</v>
      </c>
      <c r="O4" s="0" t="s">
        <v>47</v>
      </c>
      <c r="P4" s="0" t="s">
        <v>48</v>
      </c>
      <c r="Q4" s="0" t="s">
        <v>49</v>
      </c>
      <c r="R4" s="0" t="s">
        <v>50</v>
      </c>
      <c r="S4" s="0" t="s">
        <v>51</v>
      </c>
      <c r="T4" s="0" t="s">
        <v>52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12.8" outlineLevel="0" r="5">
      <c r="A5" s="0" t="s">
        <v>223</v>
      </c>
      <c r="B5" s="0" t="n">
        <f aca="false">A23</f>
        <v>1393</v>
      </c>
      <c r="C5" s="0" t="s">
        <v>54</v>
      </c>
      <c r="D5" s="11" t="n">
        <v>28.0855</v>
      </c>
      <c r="E5" s="32" t="n">
        <f aca="false">J23</f>
        <v>71748.355</v>
      </c>
      <c r="F5" s="32" t="n">
        <f aca="false">K23</f>
        <v>0.002</v>
      </c>
      <c r="G5" s="14" t="n">
        <v>0</v>
      </c>
      <c r="H5" s="0" t="n">
        <f aca="false">A34</f>
        <v>0</v>
      </c>
      <c r="I5" s="13" t="n">
        <f aca="false">L23</f>
        <v>1393.76017749815</v>
      </c>
      <c r="J5" s="13" t="n">
        <f aca="false">M23</f>
        <v>3.88513486475933E-005</v>
      </c>
      <c r="K5" s="30" t="n">
        <f aca="false">299792458*J5/I5</f>
        <v>8.35677578949371</v>
      </c>
      <c r="L5" s="0" t="s">
        <v>224</v>
      </c>
      <c r="M5" s="0" t="s">
        <v>225</v>
      </c>
      <c r="N5" s="0" t="s">
        <v>226</v>
      </c>
      <c r="O5" s="15" t="n">
        <v>33.49</v>
      </c>
      <c r="P5" s="15" t="n">
        <v>45.14</v>
      </c>
      <c r="Q5" s="32" t="n">
        <v>0.513</v>
      </c>
      <c r="R5" s="18" t="n">
        <v>880000000</v>
      </c>
      <c r="S5" s="14" t="n">
        <v>823</v>
      </c>
      <c r="T5" s="14" t="n">
        <v>40</v>
      </c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false" customHeight="false" hidden="false" ht="12.8" outlineLevel="0" r="6">
      <c r="A6" s="0"/>
      <c r="B6" s="0"/>
      <c r="C6" s="0" t="s">
        <v>143</v>
      </c>
      <c r="D6" s="14" t="s">
        <v>211</v>
      </c>
      <c r="E6" s="11" t="n">
        <f aca="false">J24</f>
        <v>71748.5516738477</v>
      </c>
      <c r="F6" s="13"/>
      <c r="G6" s="14" t="n">
        <v>3</v>
      </c>
      <c r="H6" s="0" t="n">
        <f aca="false">A33</f>
        <v>0</v>
      </c>
      <c r="I6" s="19" t="n">
        <f aca="false">L24</f>
        <v>1393.7563569865</v>
      </c>
      <c r="J6" s="19"/>
      <c r="K6" s="30"/>
      <c r="L6" s="0"/>
      <c r="M6" s="0"/>
      <c r="N6" s="0"/>
      <c r="O6" s="15"/>
      <c r="P6" s="15"/>
      <c r="Q6" s="70" t="n">
        <f aca="false">B24</f>
        <v>0.030872</v>
      </c>
      <c r="R6" s="18"/>
      <c r="S6" s="14"/>
      <c r="T6" s="14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12.8" outlineLevel="0" r="7">
      <c r="A7" s="0"/>
      <c r="B7" s="0"/>
      <c r="C7" s="0" t="s">
        <v>143</v>
      </c>
      <c r="D7" s="14" t="s">
        <v>212</v>
      </c>
      <c r="E7" s="11" t="n">
        <f aca="false">J25</f>
        <v>71748.4512632321</v>
      </c>
      <c r="F7" s="13"/>
      <c r="G7" s="14" t="n">
        <f aca="false">G6</f>
        <v>3</v>
      </c>
      <c r="H7" s="0" t="n">
        <f aca="false">H6</f>
        <v>0</v>
      </c>
      <c r="I7" s="19" t="n">
        <f aca="false">L25</f>
        <v>1393.75830752246</v>
      </c>
      <c r="J7" s="19"/>
      <c r="K7" s="30"/>
      <c r="L7" s="0"/>
      <c r="M7" s="0"/>
      <c r="N7" s="0"/>
      <c r="O7" s="15"/>
      <c r="P7" s="15"/>
      <c r="Q7" s="70" t="n">
        <f aca="false">B25</f>
        <v>0.046832</v>
      </c>
      <c r="R7" s="18"/>
      <c r="S7" s="14"/>
      <c r="T7" s="14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8" outlineLevel="0" r="8">
      <c r="A8" s="0"/>
      <c r="B8" s="0"/>
      <c r="C8" s="0" t="s">
        <v>143</v>
      </c>
      <c r="D8" s="14" t="s">
        <v>213</v>
      </c>
      <c r="E8" s="11" t="n">
        <f aca="false">J26</f>
        <v>71748.343528721</v>
      </c>
      <c r="F8" s="13"/>
      <c r="G8" s="14" t="n">
        <f aca="false">G7</f>
        <v>3</v>
      </c>
      <c r="H8" s="0" t="n">
        <f aca="false">H7</f>
        <v>0</v>
      </c>
      <c r="I8" s="19" t="n">
        <f aca="false">L26</f>
        <v>1393.76040033551</v>
      </c>
      <c r="J8" s="19"/>
      <c r="K8" s="30"/>
      <c r="L8" s="0"/>
      <c r="M8" s="0"/>
      <c r="N8" s="0"/>
      <c r="O8" s="15"/>
      <c r="P8" s="15"/>
      <c r="Q8" s="70" t="n">
        <f aca="false">B26</f>
        <v>0.922297</v>
      </c>
      <c r="R8" s="18"/>
      <c r="S8" s="14"/>
      <c r="T8" s="14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true" customHeight="false" hidden="false" ht="12.8" outlineLevel="0" r="9" s="5">
      <c r="B9" s="0" t="n">
        <f aca="false">A27</f>
        <v>1402</v>
      </c>
      <c r="C9" s="0" t="s">
        <v>54</v>
      </c>
      <c r="D9" s="11" t="n">
        <v>28.0855</v>
      </c>
      <c r="E9" s="32" t="n">
        <f aca="false">J27</f>
        <v>71287.376</v>
      </c>
      <c r="F9" s="32" t="n">
        <f aca="false">K27</f>
        <v>0.002</v>
      </c>
      <c r="G9" s="14" t="n">
        <v>0</v>
      </c>
      <c r="H9" s="0" t="n">
        <f aca="false">A34</f>
        <v>0</v>
      </c>
      <c r="I9" s="13" t="n">
        <f aca="false">L27</f>
        <v>1402.77291171441</v>
      </c>
      <c r="J9" s="13" t="n">
        <f aca="false">M27</f>
        <v>3.93554368367945E-005</v>
      </c>
      <c r="K9" s="30" t="n">
        <f aca="false">299792458*J9/I9</f>
        <v>8.4108147843736</v>
      </c>
      <c r="L9" s="0"/>
      <c r="M9" s="0" t="s">
        <v>227</v>
      </c>
      <c r="N9" s="0" t="s">
        <v>228</v>
      </c>
      <c r="O9" s="15"/>
      <c r="P9" s="15"/>
      <c r="Q9" s="32" t="n">
        <v>0.254</v>
      </c>
      <c r="R9" s="18" t="n">
        <v>862000000</v>
      </c>
      <c r="S9" s="14" t="n">
        <v>361</v>
      </c>
      <c r="T9" s="14" t="n">
        <v>15</v>
      </c>
    </row>
    <row collapsed="false" customFormat="true" customHeight="false" hidden="false" ht="12.8" outlineLevel="0" r="10" s="5">
      <c r="B10" s="0"/>
      <c r="C10" s="0" t="s">
        <v>143</v>
      </c>
      <c r="D10" s="0" t="n">
        <f aca="false">D6</f>
        <v>0</v>
      </c>
      <c r="E10" s="11" t="n">
        <f aca="false">J28</f>
        <v>71287.5743347618</v>
      </c>
      <c r="F10" s="13"/>
      <c r="G10" s="14" t="n">
        <v>3</v>
      </c>
      <c r="H10" s="0" t="n">
        <f aca="false">A33</f>
        <v>0</v>
      </c>
      <c r="I10" s="19" t="n">
        <f aca="false">L28</f>
        <v>1402.76900894967</v>
      </c>
      <c r="J10" s="19"/>
      <c r="K10" s="30"/>
      <c r="L10" s="0"/>
      <c r="M10" s="0"/>
      <c r="N10" s="0"/>
      <c r="O10" s="15"/>
      <c r="P10" s="15"/>
      <c r="Q10" s="70" t="n">
        <f aca="false">B28</f>
        <v>0.030872</v>
      </c>
      <c r="R10" s="18"/>
      <c r="S10" s="14"/>
      <c r="T10" s="14"/>
    </row>
    <row collapsed="false" customFormat="true" customHeight="false" hidden="false" ht="12.8" outlineLevel="0" r="11" s="5">
      <c r="B11" s="0"/>
      <c r="C11" s="0" t="s">
        <v>143</v>
      </c>
      <c r="D11" s="0" t="n">
        <f aca="false">D7</f>
        <v>0</v>
      </c>
      <c r="E11" s="11" t="n">
        <f aca="false">J29</f>
        <v>71287.4730754257</v>
      </c>
      <c r="F11" s="13"/>
      <c r="G11" s="14" t="n">
        <f aca="false">G10</f>
        <v>3</v>
      </c>
      <c r="H11" s="0" t="n">
        <f aca="false">H10</f>
        <v>0</v>
      </c>
      <c r="I11" s="19" t="n">
        <f aca="false">L29</f>
        <v>1402.77100149412</v>
      </c>
      <c r="J11" s="19"/>
      <c r="K11" s="30"/>
      <c r="L11" s="0"/>
      <c r="M11" s="0"/>
      <c r="N11" s="0"/>
      <c r="O11" s="15"/>
      <c r="P11" s="15"/>
      <c r="Q11" s="70" t="n">
        <f aca="false">B29</f>
        <v>0.046832</v>
      </c>
      <c r="R11" s="18"/>
      <c r="S11" s="14"/>
      <c r="T11" s="14"/>
    </row>
    <row collapsed="false" customFormat="true" customHeight="false" hidden="false" ht="12.8" outlineLevel="0" r="12" s="5">
      <c r="B12" s="0"/>
      <c r="C12" s="0" t="s">
        <v>143</v>
      </c>
      <c r="D12" s="0" t="n">
        <f aca="false">D8</f>
        <v>0</v>
      </c>
      <c r="E12" s="11" t="n">
        <f aca="false">J30</f>
        <v>71287.364431884</v>
      </c>
      <c r="F12" s="13"/>
      <c r="G12" s="14" t="n">
        <f aca="false">G11</f>
        <v>3</v>
      </c>
      <c r="H12" s="0" t="n">
        <f aca="false">H11</f>
        <v>0</v>
      </c>
      <c r="I12" s="19" t="n">
        <f aca="false">L30</f>
        <v>1402.77313934858</v>
      </c>
      <c r="J12" s="19"/>
      <c r="K12" s="30"/>
      <c r="L12" s="0"/>
      <c r="M12" s="0"/>
      <c r="N12" s="0"/>
      <c r="O12" s="15"/>
      <c r="P12" s="15"/>
      <c r="Q12" s="70" t="n">
        <f aca="false">B30</f>
        <v>0.922297</v>
      </c>
      <c r="R12" s="18"/>
      <c r="S12" s="14"/>
      <c r="T12" s="14"/>
    </row>
    <row collapsed="false" customFormat="true" customHeight="false" hidden="false" ht="12.8" outlineLevel="0" r="13" s="5">
      <c r="A13" s="5" t="s">
        <v>69</v>
      </c>
      <c r="B13" s="10"/>
    </row>
    <row collapsed="false" customFormat="true" customHeight="false" hidden="false" ht="12.8" outlineLevel="0" r="14" s="5">
      <c r="B14" s="10"/>
    </row>
    <row collapsed="false" customFormat="true" customHeight="false" hidden="false" ht="12.8" outlineLevel="0" r="15" s="5">
      <c r="A15" s="5" t="s">
        <v>70</v>
      </c>
      <c r="B15" s="10"/>
    </row>
    <row collapsed="false" customFormat="true" customHeight="false" hidden="false" ht="25" outlineLevel="0" r="16" s="26">
      <c r="A16" s="5" t="s">
        <v>77</v>
      </c>
      <c r="B16" s="25" t="s">
        <v>38</v>
      </c>
      <c r="C16" s="26" t="s">
        <v>39</v>
      </c>
      <c r="D16" s="26" t="s">
        <v>150</v>
      </c>
      <c r="E16" s="25" t="s">
        <v>38</v>
      </c>
      <c r="F16" s="26" t="s">
        <v>39</v>
      </c>
      <c r="G16" s="26" t="s">
        <v>151</v>
      </c>
      <c r="H16" s="26" t="s">
        <v>79</v>
      </c>
      <c r="I16" s="26" t="s">
        <v>80</v>
      </c>
      <c r="AME16" s="5"/>
      <c r="AMF16" s="0"/>
      <c r="AMG16" s="0"/>
      <c r="AMH16" s="0"/>
      <c r="AMI16" s="0"/>
      <c r="AMJ16" s="0"/>
    </row>
    <row collapsed="false" customFormat="true" customHeight="false" hidden="false" ht="12.8" outlineLevel="0" r="17" s="5">
      <c r="A17" s="5" t="n">
        <v>1393</v>
      </c>
      <c r="B17" s="68" t="n">
        <f aca="false">71748.355</f>
        <v>71748.355</v>
      </c>
      <c r="C17" s="68" t="n">
        <f aca="false">0.002</f>
        <v>0.002</v>
      </c>
      <c r="D17" s="5" t="n">
        <f aca="false">A34</f>
        <v>0</v>
      </c>
      <c r="E17" s="68" t="n">
        <f aca="false">B17</f>
        <v>71748.355</v>
      </c>
      <c r="F17" s="68" t="n">
        <f aca="false">C17</f>
        <v>0.002</v>
      </c>
      <c r="G17" s="5" t="n">
        <f aca="false">D17</f>
        <v>0</v>
      </c>
      <c r="H17" s="38" t="n">
        <f aca="false">100000000/E17</f>
        <v>1393.76017749815</v>
      </c>
      <c r="I17" s="38" t="n">
        <f aca="false">F17/E17*H17</f>
        <v>3.88513486475933E-005</v>
      </c>
      <c r="AMF17" s="0"/>
      <c r="AMG17" s="0"/>
      <c r="AMH17" s="0"/>
      <c r="AMI17" s="0"/>
      <c r="AMJ17" s="0"/>
    </row>
    <row collapsed="false" customFormat="true" customHeight="false" hidden="false" ht="12.8" outlineLevel="0" r="18" s="5">
      <c r="A18" s="5" t="n">
        <v>1402</v>
      </c>
      <c r="B18" s="68" t="n">
        <f aca="false">71287.376</f>
        <v>71287.376</v>
      </c>
      <c r="C18" s="68" t="n">
        <f aca="false">0.002</f>
        <v>0.002</v>
      </c>
      <c r="D18" s="5" t="n">
        <f aca="false">D17</f>
        <v>0</v>
      </c>
      <c r="E18" s="68" t="n">
        <f aca="false">B18</f>
        <v>71287.376</v>
      </c>
      <c r="F18" s="68" t="n">
        <f aca="false">C18</f>
        <v>0.002</v>
      </c>
      <c r="G18" s="5" t="n">
        <f aca="false">D18</f>
        <v>0</v>
      </c>
      <c r="H18" s="38" t="n">
        <f aca="false">100000000/E18</f>
        <v>1402.77291171441</v>
      </c>
      <c r="I18" s="38" t="n">
        <f aca="false">F18/E18*H18</f>
        <v>3.93554368367945E-005</v>
      </c>
      <c r="AMF18" s="0"/>
      <c r="AMG18" s="0"/>
      <c r="AMH18" s="0"/>
      <c r="AMI18" s="0"/>
      <c r="AMJ18" s="0"/>
    </row>
    <row collapsed="false" customFormat="true" customHeight="false" hidden="false" ht="12.8" outlineLevel="0" r="19" s="5">
      <c r="B19" s="69"/>
      <c r="C19" s="69"/>
      <c r="D19" s="69"/>
      <c r="E19" s="69"/>
    </row>
    <row collapsed="false" customFormat="true" customHeight="false" hidden="false" ht="12.8" outlineLevel="0" r="20" s="5">
      <c r="A20" s="5" t="s">
        <v>169</v>
      </c>
      <c r="B20" s="10"/>
    </row>
    <row collapsed="false" customFormat="true" customHeight="true" hidden="false" ht="58.55" outlineLevel="0" r="21" s="5">
      <c r="A21" s="26" t="s">
        <v>126</v>
      </c>
      <c r="B21" s="26" t="s">
        <v>170</v>
      </c>
      <c r="C21" s="24" t="s">
        <v>229</v>
      </c>
      <c r="D21" s="24"/>
      <c r="E21" s="24"/>
      <c r="F21" s="24"/>
      <c r="G21" s="24"/>
      <c r="H21" s="0" t="s">
        <v>83</v>
      </c>
      <c r="I21" s="0" t="s">
        <v>39</v>
      </c>
      <c r="J21" s="26" t="s">
        <v>38</v>
      </c>
      <c r="K21" s="26" t="s">
        <v>39</v>
      </c>
      <c r="L21" s="26" t="s">
        <v>79</v>
      </c>
      <c r="M21" s="26" t="s">
        <v>80</v>
      </c>
      <c r="AMJ21" s="0"/>
    </row>
    <row collapsed="false" customFormat="true" customHeight="false" hidden="false" ht="13.8" outlineLevel="0" r="22" s="26">
      <c r="A22" s="0"/>
      <c r="B22" s="0"/>
      <c r="C22" s="0" t="s">
        <v>217</v>
      </c>
      <c r="D22" s="0" t="s">
        <v>218</v>
      </c>
      <c r="E22" s="0" t="s">
        <v>219</v>
      </c>
      <c r="F22" s="0" t="s">
        <v>220</v>
      </c>
      <c r="G22" s="0" t="s">
        <v>221</v>
      </c>
      <c r="H22" s="0"/>
      <c r="I22" s="0"/>
      <c r="O22" s="5"/>
      <c r="AMJ22" s="0"/>
    </row>
    <row collapsed="false" customFormat="false" customHeight="false" hidden="false" ht="12.8" outlineLevel="0" r="23">
      <c r="A23" s="8" t="n">
        <v>1393</v>
      </c>
      <c r="B23" s="71"/>
      <c r="C23" s="0" t="n">
        <v>-1180</v>
      </c>
      <c r="D23" s="0" t="n">
        <v>-1505</v>
      </c>
      <c r="E23" s="0" t="n">
        <f aca="false">SUM(C23:D23)</f>
        <v>-2685</v>
      </c>
      <c r="F23" s="0" t="n">
        <v>-485</v>
      </c>
      <c r="G23" s="0"/>
      <c r="H23" s="0"/>
      <c r="I23" s="0"/>
      <c r="J23" s="32" t="n">
        <f aca="false">E$17</f>
        <v>71748.355</v>
      </c>
      <c r="K23" s="32" t="n">
        <f aca="false">F$17</f>
        <v>0.002</v>
      </c>
      <c r="L23" s="13" t="n">
        <f aca="false">100000000/J23</f>
        <v>1393.76017749815</v>
      </c>
      <c r="M23" s="13" t="n">
        <f aca="false">K23/J23*L23</f>
        <v>3.88513486475933E-005</v>
      </c>
      <c r="N23" s="52"/>
      <c r="AMJ23" s="0"/>
    </row>
    <row collapsed="false" customFormat="false" customHeight="false" hidden="false" ht="12.8" outlineLevel="0" r="24">
      <c r="A24" s="8" t="n">
        <v>30</v>
      </c>
      <c r="B24" s="72" t="n">
        <f aca="false">0.030872</f>
        <v>0.030872</v>
      </c>
      <c r="C24" s="0"/>
      <c r="D24" s="0"/>
      <c r="E24" s="0"/>
      <c r="F24" s="0"/>
      <c r="G24" s="11" t="n">
        <f aca="false">3/5*1.21*(POWER($A24,2/3)-POWER($A$26,2/3))</f>
        <v>0.315099436168008</v>
      </c>
      <c r="H24" s="15" t="n">
        <f aca="false">1000*$E$23*(1/$A24-1/$A$26)+$F$23*G24</f>
        <v>6240.03391631566</v>
      </c>
      <c r="I24" s="45" t="n">
        <f aca="false">10000*H24/299792458</f>
        <v>0.208145126730161</v>
      </c>
      <c r="J24" s="11" t="n">
        <f aca="false">$J$26+$I24</f>
        <v>71748.5516738477</v>
      </c>
      <c r="K24" s="0"/>
      <c r="L24" s="19" t="n">
        <f aca="false">100000000/J24</f>
        <v>1393.7563569865</v>
      </c>
      <c r="M24" s="52"/>
      <c r="AMJ24" s="0"/>
    </row>
    <row collapsed="false" customFormat="false" customHeight="false" hidden="false" ht="12.8" outlineLevel="0" r="25">
      <c r="A25" s="8" t="n">
        <v>29</v>
      </c>
      <c r="B25" s="72" t="n">
        <f aca="false">0.046832</f>
        <v>0.046832</v>
      </c>
      <c r="C25" s="0"/>
      <c r="D25" s="0"/>
      <c r="E25" s="0"/>
      <c r="F25" s="0"/>
      <c r="G25" s="11" t="n">
        <f aca="false">3/5*1.21*(POWER($A25,2/3)-POWER($A$26,2/3))</f>
        <v>0.15845537571799</v>
      </c>
      <c r="H25" s="15" t="n">
        <f aca="false">1000*$E$23*(1/$A25-1/$A$26)+$F$23*G25</f>
        <v>3229.79938908219</v>
      </c>
      <c r="I25" s="45" t="n">
        <f aca="false">10000*H25/299792458</f>
        <v>0.107734511089075</v>
      </c>
      <c r="J25" s="11" t="n">
        <f aca="false">$J$26+$I25</f>
        <v>71748.4512632321</v>
      </c>
      <c r="L25" s="19" t="n">
        <f aca="false">100000000/J25</f>
        <v>1393.75830752246</v>
      </c>
      <c r="AMJ25" s="0"/>
    </row>
    <row collapsed="false" customFormat="false" customHeight="false" hidden="false" ht="12.8" outlineLevel="0" r="26">
      <c r="A26" s="8" t="n">
        <v>28</v>
      </c>
      <c r="B26" s="72" t="n">
        <f aca="false">0.922297</f>
        <v>0.922297</v>
      </c>
      <c r="C26" s="0"/>
      <c r="D26" s="0"/>
      <c r="E26" s="0"/>
      <c r="F26" s="0"/>
      <c r="G26" s="15"/>
      <c r="H26" s="15" t="n">
        <f aca="false">0</f>
        <v>0</v>
      </c>
      <c r="I26" s="45" t="n">
        <f aca="false">0</f>
        <v>0</v>
      </c>
      <c r="J26" s="11" t="n">
        <f aca="false">J23-SUMPRODUCT(I24:I25,B24:B25)</f>
        <v>71748.343528721</v>
      </c>
      <c r="L26" s="19" t="n">
        <f aca="false">100000000/J26</f>
        <v>1393.76040033551</v>
      </c>
      <c r="AMJ26" s="0"/>
    </row>
    <row collapsed="false" customFormat="false" customHeight="false" hidden="false" ht="12.8" outlineLevel="0" r="27">
      <c r="A27" s="8" t="n">
        <v>1402</v>
      </c>
      <c r="B27" s="72"/>
      <c r="C27" s="0" t="n">
        <v>-1172</v>
      </c>
      <c r="D27" s="0" t="n">
        <v>-1535</v>
      </c>
      <c r="E27" s="0" t="n">
        <f aca="false">SUM(C27:D27)</f>
        <v>-2707</v>
      </c>
      <c r="F27" s="0" t="n">
        <v>-484</v>
      </c>
      <c r="G27" s="0"/>
      <c r="H27" s="0"/>
      <c r="I27" s="0"/>
      <c r="J27" s="32" t="n">
        <f aca="false">E$18</f>
        <v>71287.376</v>
      </c>
      <c r="K27" s="32" t="n">
        <f aca="false">F$18</f>
        <v>0.002</v>
      </c>
      <c r="L27" s="13" t="n">
        <f aca="false">100000000/J27</f>
        <v>1402.77291171441</v>
      </c>
      <c r="M27" s="13" t="n">
        <f aca="false">K27/J27*L27</f>
        <v>3.93554368367945E-005</v>
      </c>
      <c r="AMJ27" s="0"/>
    </row>
    <row collapsed="false" customFormat="false" customHeight="false" hidden="false" ht="12.8" outlineLevel="0" r="28">
      <c r="A28" s="8" t="n">
        <v>30</v>
      </c>
      <c r="B28" s="72" t="inlineStr">
        <f aca="false">B24</f>
        <is>
          <t/>
        </is>
      </c>
      <c r="C28" s="0"/>
      <c r="D28" s="0"/>
      <c r="E28" s="0"/>
      <c r="F28" s="0"/>
      <c r="G28" s="11" t="n">
        <f aca="false">3/5*1.21*(POWER($A28,2/3)-POWER($A$30,2/3))</f>
        <v>0.315099436168008</v>
      </c>
      <c r="H28" s="15" t="n">
        <f aca="false">1000*$E$27*(1/$A28-1/$A$30)+$F$27*G28</f>
        <v>6292.72996813278</v>
      </c>
      <c r="I28" s="45" t="n">
        <f aca="false">10000*H28/299792458</f>
        <v>0.209902877814651</v>
      </c>
      <c r="J28" s="11" t="n">
        <f aca="false">$J$30+$I28</f>
        <v>71287.5743347618</v>
      </c>
      <c r="K28" s="0"/>
      <c r="L28" s="19" t="n">
        <f aca="false">100000000/J28</f>
        <v>1402.76900894967</v>
      </c>
      <c r="M28" s="52"/>
      <c r="AMJ28" s="0"/>
    </row>
    <row collapsed="false" customFormat="false" customHeight="false" hidden="false" ht="12.8" outlineLevel="0" r="29">
      <c r="A29" s="8" t="n">
        <v>29</v>
      </c>
      <c r="B29" s="72" t="inlineStr">
        <f aca="false">B25</f>
        <is>
          <t/>
        </is>
      </c>
      <c r="C29" s="74"/>
      <c r="E29" s="52"/>
      <c r="F29" s="52"/>
      <c r="G29" s="11" t="n">
        <f aca="false">3/5*1.21*(POWER($A29,2/3)-POWER($A$30,2/3))</f>
        <v>0.15845537571799</v>
      </c>
      <c r="H29" s="15" t="n">
        <f aca="false">1000*$E$27*(1/$A29-1/$A$30)+$F$27*G29</f>
        <v>3257.05144051702</v>
      </c>
      <c r="I29" s="45" t="n">
        <f aca="false">10000*H29/299792458</f>
        <v>0.10864354167699</v>
      </c>
      <c r="J29" s="11" t="n">
        <f aca="false">$J$30+$I29</f>
        <v>71287.4730754257</v>
      </c>
      <c r="L29" s="19" t="n">
        <f aca="false">100000000/J29</f>
        <v>1402.77100149412</v>
      </c>
      <c r="AMJ29" s="0"/>
    </row>
    <row collapsed="false" customFormat="false" customHeight="false" hidden="false" ht="12.8" outlineLevel="0" r="30">
      <c r="A30" s="8" t="n">
        <v>28</v>
      </c>
      <c r="B30" s="72" t="inlineStr">
        <f aca="false">B26</f>
        <is>
          <t/>
        </is>
      </c>
      <c r="C30" s="74"/>
      <c r="E30" s="52"/>
      <c r="F30" s="52"/>
      <c r="G30" s="15"/>
      <c r="H30" s="15" t="n">
        <f aca="false">0</f>
        <v>0</v>
      </c>
      <c r="I30" s="45" t="n">
        <f aca="false">0</f>
        <v>0</v>
      </c>
      <c r="J30" s="11" t="n">
        <f aca="false">J27-SUMPRODUCT(I28:I29,B28:B29)</f>
        <v>71287.364431884</v>
      </c>
      <c r="L30" s="19" t="n">
        <f aca="false">100000000/J30</f>
        <v>1402.77313934858</v>
      </c>
      <c r="AMJ30" s="0"/>
    </row>
    <row collapsed="false" customFormat="false" customHeight="false" hidden="false" ht="12.8" outlineLevel="0" r="31">
      <c r="J31" s="75"/>
    </row>
    <row collapsed="false" customFormat="false" customHeight="false" hidden="false" ht="12.8" outlineLevel="0" r="32">
      <c r="A32" s="8" t="s">
        <v>18</v>
      </c>
    </row>
    <row collapsed="false" customFormat="false" customHeight="false" hidden="false" ht="13.8" outlineLevel="0" r="33">
      <c r="A33" s="8" t="s">
        <v>230</v>
      </c>
      <c r="B33" s="76" t="s">
        <v>231</v>
      </c>
    </row>
    <row collapsed="false" customFormat="false" customHeight="false" hidden="false" ht="13.8" outlineLevel="0" r="34">
      <c r="A34" s="0" t="s">
        <v>197</v>
      </c>
      <c r="B34" s="7" t="s">
        <v>198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collapsed="false" customFormat="false" customHeight="false" hidden="false" ht="13.8" outlineLevel="0" r="35">
      <c r="A35" s="5" t="s">
        <v>157</v>
      </c>
      <c r="B35" s="7" t="s">
        <v>158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</sheetData>
  <mergeCells count="1">
    <mergeCell ref="C21:G21"/>
  </mergeCells>
  <hyperlinks>
    <hyperlink display="http://adsabs.harvard.edu/abs/2003PhRvA..68b2502B" ref="B33" r:id="rId1"/>
    <hyperlink display="http://adsabs.harvard.edu/abs/2000ApJ...536L.113G" ref="B34" r:id="rId2"/>
    <hyperlink display="http://adsabs.harvard.edu/abs/1998JPCRD..27.1275R" ref="B35" r:id="rId3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I21" activeCellId="0" pane="topLeft" sqref="I21"/>
    </sheetView>
  </sheetViews>
  <cols>
    <col collapsed="false" hidden="false" max="1" min="1" style="0" width="14.0352941176471"/>
    <col collapsed="false" hidden="false" max="2" min="2" style="0" width="13.4588235294118"/>
    <col collapsed="false" hidden="false" max="3" min="3" style="0" width="14.7058823529412"/>
    <col collapsed="false" hidden="false" max="4" min="4" style="0" width="15.4117647058824"/>
    <col collapsed="false" hidden="false" max="5" min="5" style="0" width="14.5882352941176"/>
    <col collapsed="false" hidden="false" max="6" min="6" style="0" width="14.2627450980392"/>
    <col collapsed="false" hidden="false" max="7" min="7" style="0" width="15.4117647058824"/>
    <col collapsed="false" hidden="false" max="8" min="8" style="0" width="14.8313725490196"/>
    <col collapsed="false" hidden="false" max="9" min="9" style="0" width="15.0039215686275"/>
    <col collapsed="false" hidden="false" max="10" min="10" style="0" width="14.1647058823529"/>
    <col collapsed="false" hidden="false" max="11" min="11" style="0" width="13.4235294117647"/>
    <col collapsed="false" hidden="false" max="12" min="12" style="0" width="19.156862745098"/>
    <col collapsed="false" hidden="false" max="13" min="13" style="0" width="20.4862745098039"/>
    <col collapsed="false" hidden="false" max="14" min="14" style="0" width="13.6313725490196"/>
    <col collapsed="false" hidden="false" max="15" min="15" style="0" width="13.2156862745098"/>
    <col collapsed="false" hidden="false" max="16" min="16" style="0" width="11.5764705882353"/>
    <col collapsed="false" hidden="false" max="17" min="17" style="0" width="13.078431372549"/>
    <col collapsed="false" hidden="false" max="18" min="18" style="0" width="12.8862745098039"/>
    <col collapsed="false" hidden="false" max="19" min="19" style="0" width="12.7960784313726"/>
    <col collapsed="false" hidden="false" max="20" min="20" style="0" width="11.5764705882353"/>
    <col collapsed="false" hidden="false" max="21" min="21" style="0" width="13.5411764705882"/>
    <col collapsed="false" hidden="false" max="1025" min="22" style="0" width="11.5764705882353"/>
  </cols>
  <sheetData>
    <row collapsed="false" customFormat="true" customHeight="false" hidden="false" ht="12.8" outlineLevel="0" r="1" s="5">
      <c r="A1" s="5" t="s">
        <v>31</v>
      </c>
      <c r="B1" s="9" t="s">
        <v>32</v>
      </c>
      <c r="AMJ1" s="0"/>
    </row>
    <row collapsed="false" customFormat="true" customHeight="false" hidden="false" ht="12.8" outlineLevel="0" r="2" s="5">
      <c r="B2" s="10"/>
      <c r="AMJ2" s="0"/>
    </row>
    <row collapsed="false" customFormat="true" customHeight="false" hidden="false" ht="12.8" outlineLevel="0" r="3" s="5">
      <c r="A3" s="5" t="s">
        <v>33</v>
      </c>
      <c r="B3" s="10"/>
      <c r="AMJ3" s="0"/>
    </row>
    <row collapsed="false" customFormat="false" customHeight="false" hidden="false" ht="12.8" outlineLevel="0" r="4">
      <c r="A4" s="0" t="s">
        <v>34</v>
      </c>
      <c r="B4" s="0" t="s">
        <v>35</v>
      </c>
      <c r="C4" s="0" t="s">
        <v>36</v>
      </c>
      <c r="D4" s="0" t="s">
        <v>37</v>
      </c>
      <c r="E4" s="0" t="s">
        <v>38</v>
      </c>
      <c r="F4" s="0" t="s">
        <v>39</v>
      </c>
      <c r="G4" s="0" t="s">
        <v>8</v>
      </c>
      <c r="H4" s="0" t="s">
        <v>40</v>
      </c>
      <c r="I4" s="0" t="s">
        <v>41</v>
      </c>
      <c r="J4" s="0" t="s">
        <v>42</v>
      </c>
      <c r="K4" s="0" t="s">
        <v>43</v>
      </c>
      <c r="L4" s="0" t="s">
        <v>44</v>
      </c>
      <c r="M4" s="0" t="s">
        <v>45</v>
      </c>
      <c r="N4" s="0" t="s">
        <v>46</v>
      </c>
      <c r="O4" s="0" t="s">
        <v>47</v>
      </c>
      <c r="P4" s="0" t="s">
        <v>48</v>
      </c>
      <c r="Q4" s="0" t="s">
        <v>49</v>
      </c>
      <c r="R4" s="0" t="s">
        <v>50</v>
      </c>
      <c r="S4" s="0" t="s">
        <v>51</v>
      </c>
      <c r="T4" s="0" t="s">
        <v>52</v>
      </c>
    </row>
    <row collapsed="false" customFormat="false" customHeight="false" hidden="false" ht="12.8" outlineLevel="0" r="5">
      <c r="A5" s="0" t="s">
        <v>232</v>
      </c>
      <c r="B5" s="0" t="n">
        <v>3934</v>
      </c>
      <c r="C5" s="0" t="s">
        <v>54</v>
      </c>
      <c r="D5" s="11" t="n">
        <v>40.078</v>
      </c>
      <c r="E5" s="13" t="n">
        <f aca="false">C102</f>
        <v>25414.4164376351</v>
      </c>
      <c r="F5" s="13" t="n">
        <f aca="false">D102</f>
        <v>8.61870593055027E-005</v>
      </c>
      <c r="G5" s="14" t="n">
        <v>1</v>
      </c>
      <c r="I5" s="13" t="n">
        <f aca="false">E102</f>
        <v>3934.77458927266</v>
      </c>
      <c r="J5" s="13" t="n">
        <f aca="false">F102</f>
        <v>1.33438692842552E-005</v>
      </c>
      <c r="K5" s="30" t="n">
        <f aca="false">299792458*J5/I5</f>
        <v>1.01667612240452</v>
      </c>
      <c r="L5" s="0" t="s">
        <v>233</v>
      </c>
      <c r="M5" s="0" t="s">
        <v>234</v>
      </c>
      <c r="N5" s="0" t="s">
        <v>235</v>
      </c>
      <c r="O5" s="15" t="n">
        <v>6.11</v>
      </c>
      <c r="P5" s="15" t="n">
        <v>11.87</v>
      </c>
      <c r="Q5" s="11" t="n">
        <v>0.6267</v>
      </c>
      <c r="R5" s="16" t="n">
        <v>144400000</v>
      </c>
      <c r="S5" s="14" t="n">
        <v>446</v>
      </c>
      <c r="T5" s="14" t="n">
        <v>6</v>
      </c>
    </row>
    <row collapsed="false" customFormat="false" customHeight="false" hidden="false" ht="13.8" outlineLevel="0" r="6">
      <c r="C6" s="0" t="s">
        <v>143</v>
      </c>
      <c r="D6" s="11" t="s">
        <v>236</v>
      </c>
      <c r="E6" s="11" t="n">
        <f aca="false">C103</f>
        <v>25414.4735252025</v>
      </c>
      <c r="F6" s="11" t="n">
        <f aca="false">D103</f>
        <v>0.00416955121322499</v>
      </c>
      <c r="G6" s="14" t="n">
        <v>2</v>
      </c>
      <c r="H6" s="5" t="s">
        <v>237</v>
      </c>
      <c r="I6" s="45" t="n">
        <f aca="false">E103</f>
        <v>3934.76575073783</v>
      </c>
      <c r="J6" s="45" t="n">
        <f aca="false">F103</f>
        <v>0.000645545826218894</v>
      </c>
      <c r="K6" s="14" t="n">
        <f aca="false">299792458*J6/I6</f>
        <v>49.1845721584603</v>
      </c>
      <c r="O6" s="15"/>
      <c r="P6" s="15"/>
      <c r="Q6" s="70" t="n">
        <f aca="false">B103</f>
        <v>0.00187</v>
      </c>
      <c r="R6" s="16"/>
      <c r="S6" s="14"/>
      <c r="T6" s="14"/>
    </row>
    <row collapsed="false" customFormat="false" customHeight="false" hidden="false" ht="12.8" outlineLevel="0" r="7">
      <c r="C7" s="0" t="s">
        <v>143</v>
      </c>
      <c r="D7" s="11" t="s">
        <v>238</v>
      </c>
      <c r="E7" s="11" t="n">
        <f aca="false">C104</f>
        <v>25414.4582707614</v>
      </c>
      <c r="F7" s="11" t="n">
        <f aca="false">D104</f>
        <v>0.00326315068717934</v>
      </c>
      <c r="G7" s="14" t="n">
        <v>2</v>
      </c>
      <c r="H7" s="5" t="n">
        <f aca="false">$H$6</f>
        <v>0</v>
      </c>
      <c r="I7" s="45" t="n">
        <f aca="false">E104</f>
        <v>3934.76811249001</v>
      </c>
      <c r="J7" s="45" t="n">
        <f aca="false">F104</f>
        <v>0.000505214045224598</v>
      </c>
      <c r="K7" s="14" t="n">
        <f aca="false">299792458*J7/I7</f>
        <v>38.4925759546625</v>
      </c>
      <c r="O7" s="15"/>
      <c r="P7" s="15"/>
      <c r="Q7" s="70" t="n">
        <f aca="false">B104</f>
        <v>4E-005</v>
      </c>
      <c r="R7" s="16"/>
      <c r="S7" s="14"/>
      <c r="T7" s="14"/>
    </row>
    <row collapsed="false" customFormat="false" customHeight="false" hidden="false" ht="12.8" outlineLevel="0" r="8">
      <c r="C8" s="0" t="s">
        <v>143</v>
      </c>
      <c r="D8" s="14" t="s">
        <v>239</v>
      </c>
      <c r="E8" s="11" t="n">
        <f aca="false">C105</f>
        <v>25414.4436449604</v>
      </c>
      <c r="F8" s="11" t="n">
        <f aca="false">D105</f>
        <v>0.00227447720930316</v>
      </c>
      <c r="G8" s="14" t="n">
        <v>2</v>
      </c>
      <c r="H8" s="5" t="n">
        <f aca="false">$H$6</f>
        <v>0</v>
      </c>
      <c r="I8" s="45" t="n">
        <f aca="false">E105</f>
        <v>3934.77037691634</v>
      </c>
      <c r="J8" s="45" t="n">
        <f aca="false">F105</f>
        <v>0.000352144067018051</v>
      </c>
      <c r="K8" s="14" t="n">
        <f aca="false">299792458*J8/I8</f>
        <v>26.8300625725949</v>
      </c>
      <c r="O8" s="15"/>
      <c r="P8" s="15"/>
      <c r="Q8" s="70" t="n">
        <f aca="false">B105</f>
        <v>0.02086</v>
      </c>
      <c r="R8" s="18"/>
      <c r="S8" s="14"/>
      <c r="T8" s="14"/>
    </row>
    <row collapsed="false" customFormat="false" customHeight="false" hidden="false" ht="12.8" outlineLevel="0" r="9">
      <c r="C9" s="0" t="s">
        <v>58</v>
      </c>
      <c r="D9" s="14" t="s">
        <v>240</v>
      </c>
      <c r="E9" s="45" t="n">
        <f aca="false">C106</f>
        <v>25414.3816491362</v>
      </c>
      <c r="F9" s="45" t="n">
        <f aca="false">D106</f>
        <v>0.000727358271893195</v>
      </c>
      <c r="G9" s="14" t="n">
        <v>2</v>
      </c>
      <c r="H9" s="5" t="s">
        <v>241</v>
      </c>
      <c r="I9" s="45" t="n">
        <f aca="false">E106</f>
        <v>3934.77997539235</v>
      </c>
      <c r="J9" s="45" t="n">
        <f aca="false">F106</f>
        <v>0.000112613196838437</v>
      </c>
      <c r="K9" s="30" t="n">
        <f aca="false">299792458*J9/I9</f>
        <v>8.58004444837258</v>
      </c>
      <c r="L9" s="0" t="s">
        <v>164</v>
      </c>
      <c r="M9" s="0" t="s">
        <v>165</v>
      </c>
      <c r="O9" s="15"/>
      <c r="P9" s="15"/>
      <c r="Q9" s="70" t="n">
        <f aca="false">B106</f>
        <v>0.000590625</v>
      </c>
      <c r="R9" s="18"/>
      <c r="S9" s="14"/>
      <c r="T9" s="14"/>
    </row>
    <row collapsed="false" customFormat="false" customHeight="false" hidden="false" ht="12.8" outlineLevel="0" r="10">
      <c r="C10" s="0" t="s">
        <v>58</v>
      </c>
      <c r="D10" s="14" t="s">
        <v>240</v>
      </c>
      <c r="E10" s="45" t="n">
        <f aca="false">C107</f>
        <v>25414.4823501892</v>
      </c>
      <c r="F10" s="45" t="n">
        <f aca="false">D107</f>
        <v>0.000727105877340733</v>
      </c>
      <c r="G10" s="14" t="n">
        <v>2</v>
      </c>
      <c r="H10" s="5" t="n">
        <f aca="false">H9</f>
        <v>0</v>
      </c>
      <c r="I10" s="45" t="n">
        <f aca="false">E107</f>
        <v>3934.76438442019</v>
      </c>
      <c r="J10" s="45" t="n">
        <f aca="false">F107</f>
        <v>0.000112573227754199</v>
      </c>
      <c r="K10" s="30" t="n">
        <f aca="false">299792458*J10/I10</f>
        <v>8.57703317307984</v>
      </c>
      <c r="L10" s="0" t="s">
        <v>242</v>
      </c>
      <c r="M10" s="0" t="s">
        <v>243</v>
      </c>
      <c r="O10" s="15"/>
      <c r="P10" s="15"/>
      <c r="Q10" s="70" t="n">
        <f aca="false">B107</f>
        <v>0.000759375</v>
      </c>
      <c r="R10" s="18"/>
      <c r="S10" s="14"/>
      <c r="T10" s="14"/>
    </row>
    <row collapsed="false" customFormat="false" customHeight="false" hidden="false" ht="12.8" outlineLevel="0" r="11">
      <c r="C11" s="0" t="s">
        <v>143</v>
      </c>
      <c r="D11" s="14" t="s">
        <v>244</v>
      </c>
      <c r="E11" s="11" t="n">
        <f aca="false">C108</f>
        <v>25414.4300835524</v>
      </c>
      <c r="F11" s="11" t="n">
        <f aca="false">D108</f>
        <v>0.00119149514602281</v>
      </c>
      <c r="G11" s="14" t="n">
        <v>2</v>
      </c>
      <c r="H11" s="5" t="n">
        <f aca="false">$H$6</f>
        <v>0</v>
      </c>
      <c r="I11" s="45" t="n">
        <f aca="false">E108</f>
        <v>3934.77247655132</v>
      </c>
      <c r="J11" s="45" t="n">
        <f aca="false">F108</f>
        <v>0.000184472454865285</v>
      </c>
      <c r="K11" s="14" t="n">
        <f aca="false">299792458*J11/I11</f>
        <v>14.055056806189</v>
      </c>
      <c r="O11" s="15"/>
      <c r="P11" s="15"/>
      <c r="Q11" s="70" t="n">
        <f aca="false">B108</f>
        <v>0.00647</v>
      </c>
      <c r="R11" s="18"/>
      <c r="S11" s="14"/>
      <c r="T11" s="14"/>
    </row>
    <row collapsed="false" customFormat="false" customHeight="false" hidden="false" ht="12.8" outlineLevel="0" r="12">
      <c r="C12" s="0" t="s">
        <v>143</v>
      </c>
      <c r="D12" s="14" t="s">
        <v>245</v>
      </c>
      <c r="E12" s="13" t="n">
        <f aca="false">C109</f>
        <v>25414.4156188212</v>
      </c>
      <c r="F12" s="13" t="n">
        <f aca="false">D109</f>
        <v>1.66782047599076E-005</v>
      </c>
      <c r="G12" s="14" t="n">
        <v>0</v>
      </c>
      <c r="H12" s="0" t="n">
        <f aca="false">G25</f>
        <v>0</v>
      </c>
      <c r="I12" s="19" t="n">
        <f aca="false">E109</f>
        <v>3934.77471604513</v>
      </c>
      <c r="J12" s="19" t="n">
        <f aca="false">F109</f>
        <v>2.58219505742669E-006</v>
      </c>
      <c r="K12" s="15" t="n">
        <f aca="false">299792458*J12/I12</f>
        <v>0.196738735802256</v>
      </c>
      <c r="O12" s="15"/>
      <c r="P12" s="15"/>
      <c r="Q12" s="70" t="n">
        <f aca="false">B109</f>
        <v>0.96941</v>
      </c>
      <c r="R12" s="18"/>
      <c r="S12" s="14"/>
      <c r="T12" s="14"/>
    </row>
    <row collapsed="false" customFormat="false" customHeight="false" hidden="false" ht="12.8" outlineLevel="0" r="13">
      <c r="B13" s="0" t="n">
        <v>3969</v>
      </c>
      <c r="C13" s="0" t="s">
        <v>54</v>
      </c>
      <c r="D13" s="11" t="n">
        <f aca="false">$D$5</f>
        <v>40.078</v>
      </c>
      <c r="E13" s="13" t="n">
        <f aca="false">C110</f>
        <v>25191.5207285402</v>
      </c>
      <c r="F13" s="13" t="n">
        <f aca="false">D110</f>
        <v>6.6180666181026E-005</v>
      </c>
      <c r="G13" s="14" t="n">
        <v>1</v>
      </c>
      <c r="I13" s="13" t="n">
        <f aca="false">E110</f>
        <v>3969.58965191438</v>
      </c>
      <c r="J13" s="13" t="n">
        <f aca="false">F110</f>
        <v>1.0428512453056E-005</v>
      </c>
      <c r="K13" s="15" t="n">
        <f aca="false">299792458*J13/I13</f>
        <v>0.787585029116936</v>
      </c>
      <c r="M13" s="0" t="s">
        <v>246</v>
      </c>
      <c r="N13" s="0" t="s">
        <v>247</v>
      </c>
      <c r="O13" s="15"/>
      <c r="P13" s="15"/>
      <c r="Q13" s="11" t="n">
        <v>0.3116</v>
      </c>
      <c r="R13" s="16" t="n">
        <v>140900000</v>
      </c>
      <c r="S13" s="14" t="n">
        <v>222</v>
      </c>
      <c r="T13" s="14" t="n">
        <v>2</v>
      </c>
    </row>
    <row collapsed="false" customFormat="false" customHeight="false" hidden="false" ht="13.8" outlineLevel="0" r="14">
      <c r="C14" s="0" t="s">
        <v>143</v>
      </c>
      <c r="D14" s="14" t="n">
        <f aca="false">D6</f>
        <v>0</v>
      </c>
      <c r="E14" s="11" t="n">
        <f aca="false">C111</f>
        <v>25191.5793536589</v>
      </c>
      <c r="F14" s="11" t="n">
        <f aca="false">D111</f>
        <v>0.00416955121322499</v>
      </c>
      <c r="G14" s="14" t="n">
        <v>2</v>
      </c>
      <c r="H14" s="5" t="s">
        <v>248</v>
      </c>
      <c r="I14" s="45" t="n">
        <f aca="false">E111</f>
        <v>3969.58041399956</v>
      </c>
      <c r="J14" s="45" t="n">
        <f aca="false">F111</f>
        <v>0.000657019895371587</v>
      </c>
      <c r="K14" s="14" t="n">
        <f aca="false">299792458*J14/I14</f>
        <v>49.6197554516584</v>
      </c>
      <c r="O14" s="15"/>
      <c r="P14" s="15"/>
      <c r="Q14" s="70" t="n">
        <f aca="false">B111</f>
        <v>0.00187</v>
      </c>
      <c r="R14" s="18"/>
      <c r="S14" s="14"/>
      <c r="T14" s="14"/>
    </row>
    <row collapsed="false" customFormat="false" customHeight="false" hidden="false" ht="12.8" outlineLevel="0" r="15">
      <c r="C15" s="0" t="s">
        <v>143</v>
      </c>
      <c r="D15" s="14" t="n">
        <f aca="false">D7</f>
        <v>0</v>
      </c>
      <c r="E15" s="11" t="n">
        <f aca="false">C112</f>
        <v>25191.5652128111</v>
      </c>
      <c r="F15" s="11" t="n">
        <f aca="false">D112</f>
        <v>0.00326315068717934</v>
      </c>
      <c r="G15" s="14" t="n">
        <v>2</v>
      </c>
      <c r="H15" s="5" t="n">
        <f aca="false">$H$14</f>
        <v>0</v>
      </c>
      <c r="I15" s="45" t="n">
        <f aca="false">E112</f>
        <v>3969.58264225462</v>
      </c>
      <c r="J15" s="45" t="n">
        <f aca="false">F112</f>
        <v>0.000514193787383285</v>
      </c>
      <c r="K15" s="14" t="n">
        <f aca="false">299792458*J15/I15</f>
        <v>38.8331553466313</v>
      </c>
      <c r="O15" s="15"/>
      <c r="P15" s="15"/>
      <c r="Q15" s="70" t="n">
        <f aca="false">B112</f>
        <v>4E-005</v>
      </c>
      <c r="R15" s="18"/>
      <c r="S15" s="14"/>
      <c r="T15" s="14"/>
    </row>
    <row collapsed="false" customFormat="false" customHeight="false" hidden="false" ht="12.8" outlineLevel="0" r="16">
      <c r="C16" s="0" t="s">
        <v>143</v>
      </c>
      <c r="D16" s="14" t="n">
        <f aca="false">D8</f>
        <v>0</v>
      </c>
      <c r="E16" s="11" t="n">
        <f aca="false">C113</f>
        <v>25191.5496091962</v>
      </c>
      <c r="F16" s="11" t="n">
        <f aca="false">D113</f>
        <v>0.00227447720930316</v>
      </c>
      <c r="G16" s="14" t="n">
        <v>2</v>
      </c>
      <c r="H16" s="5" t="n">
        <f aca="false">$H$14</f>
        <v>0</v>
      </c>
      <c r="I16" s="45" t="n">
        <f aca="false">E113</f>
        <v>3969.58510100922</v>
      </c>
      <c r="J16" s="45" t="n">
        <f aca="false">F113</f>
        <v>0.000358403154339457</v>
      </c>
      <c r="K16" s="14" t="n">
        <f aca="false">299792458*J16/I16</f>
        <v>27.0674541193392</v>
      </c>
      <c r="O16" s="15"/>
      <c r="P16" s="15"/>
      <c r="Q16" s="70" t="n">
        <f aca="false">B113</f>
        <v>0.02086</v>
      </c>
      <c r="R16" s="18"/>
      <c r="S16" s="14"/>
      <c r="T16" s="14"/>
    </row>
    <row collapsed="false" customFormat="false" customHeight="false" hidden="false" ht="12.8" outlineLevel="0" r="17">
      <c r="C17" s="0" t="s">
        <v>58</v>
      </c>
      <c r="D17" s="14" t="n">
        <f aca="false">D9</f>
        <v>0</v>
      </c>
      <c r="E17" s="45" t="n">
        <f aca="false">C114</f>
        <v>25191.4781848656</v>
      </c>
      <c r="F17" s="45" t="n">
        <f aca="false">D114</f>
        <v>0.000462421011611346</v>
      </c>
      <c r="G17" s="14" t="n">
        <v>2</v>
      </c>
      <c r="H17" s="5" t="s">
        <v>241</v>
      </c>
      <c r="I17" s="45" t="n">
        <f aca="false">E114</f>
        <v>3969.59635580565</v>
      </c>
      <c r="J17" s="45" t="n">
        <f aca="false">F114</f>
        <v>7.28668936800683E-005</v>
      </c>
      <c r="K17" s="30" t="n">
        <f aca="false">299792458*J17/I17</f>
        <v>5.50306459527641</v>
      </c>
      <c r="L17" s="0" t="s">
        <v>164</v>
      </c>
      <c r="M17" s="0" t="s">
        <v>249</v>
      </c>
      <c r="O17" s="15"/>
      <c r="P17" s="15"/>
      <c r="Q17" s="70" t="n">
        <f aca="false">B114</f>
        <v>0.000590625</v>
      </c>
      <c r="R17" s="18"/>
      <c r="S17" s="14"/>
      <c r="T17" s="14"/>
    </row>
    <row collapsed="false" customFormat="false" customHeight="false" hidden="false" ht="12.8" outlineLevel="0" r="18">
      <c r="C18" s="0" t="s">
        <v>58</v>
      </c>
      <c r="D18" s="14" t="n">
        <f aca="false">D10</f>
        <v>0</v>
      </c>
      <c r="E18" s="45" t="n">
        <f aca="false">C115</f>
        <v>25191.5922462725</v>
      </c>
      <c r="F18" s="45" t="n">
        <f aca="false">D115</f>
        <v>0.000462429032011076</v>
      </c>
      <c r="G18" s="14" t="n">
        <v>2</v>
      </c>
      <c r="H18" s="5" t="n">
        <f aca="false">H17</f>
        <v>0</v>
      </c>
      <c r="I18" s="45" t="n">
        <f aca="false">E115</f>
        <v>3969.57838243816</v>
      </c>
      <c r="J18" s="45" t="n">
        <f aca="false">F115</f>
        <v>7.28674976530945E-005</v>
      </c>
      <c r="K18" s="30" t="n">
        <f aca="false">299792458*J18/I18</f>
        <v>5.50313512547721</v>
      </c>
      <c r="L18" s="0" t="s">
        <v>242</v>
      </c>
      <c r="M18" s="0" t="s">
        <v>249</v>
      </c>
      <c r="O18" s="15"/>
      <c r="P18" s="15"/>
      <c r="Q18" s="70" t="n">
        <f aca="false">B115</f>
        <v>0.000759375</v>
      </c>
      <c r="R18" s="18"/>
      <c r="S18" s="14"/>
      <c r="T18" s="14"/>
    </row>
    <row collapsed="false" customFormat="false" customHeight="false" hidden="false" ht="12.8" outlineLevel="0" r="19">
      <c r="C19" s="0" t="s">
        <v>143</v>
      </c>
      <c r="D19" s="14" t="n">
        <f aca="false">D11</f>
        <v>0</v>
      </c>
      <c r="E19" s="11" t="n">
        <f aca="false">C116</f>
        <v>25191.5348124482</v>
      </c>
      <c r="F19" s="11" t="n">
        <f aca="false">D116</f>
        <v>0.00119149514602281</v>
      </c>
      <c r="G19" s="14" t="n">
        <v>2</v>
      </c>
      <c r="H19" s="5" t="n">
        <f aca="false">$H$14</f>
        <v>0</v>
      </c>
      <c r="I19" s="45" t="n">
        <f aca="false">E116</f>
        <v>3969.58743262383</v>
      </c>
      <c r="J19" s="45" t="n">
        <f aca="false">F116</f>
        <v>0.000187751329678702</v>
      </c>
      <c r="K19" s="14" t="n">
        <f aca="false">299792458*J19/I19</f>
        <v>14.1794162674336</v>
      </c>
      <c r="O19" s="15"/>
      <c r="P19" s="15"/>
      <c r="Q19" s="70" t="n">
        <f aca="false">B116</f>
        <v>0.00647</v>
      </c>
      <c r="R19" s="18"/>
      <c r="S19" s="14"/>
      <c r="T19" s="14"/>
    </row>
    <row collapsed="false" customFormat="false" customHeight="false" hidden="false" ht="12.8" outlineLevel="0" r="20">
      <c r="C20" s="0" t="s">
        <v>143</v>
      </c>
      <c r="D20" s="14" t="n">
        <f aca="false">D12</f>
        <v>0</v>
      </c>
      <c r="E20" s="13" t="n">
        <f aca="false">C117</f>
        <v>25191.5198680549</v>
      </c>
      <c r="F20" s="13" t="n">
        <f aca="false">D117</f>
        <v>5.67058961836859E-005</v>
      </c>
      <c r="G20" s="14" t="n">
        <v>0</v>
      </c>
      <c r="H20" s="0" t="n">
        <f aca="false">G26</f>
        <v>0</v>
      </c>
      <c r="I20" s="19" t="n">
        <f aca="false">E117</f>
        <v>3969.58978750659</v>
      </c>
      <c r="J20" s="19" t="n">
        <f aca="false">F117</f>
        <v>8.93551272655108E-006</v>
      </c>
      <c r="K20" s="15" t="n">
        <f aca="false">299792458*J20/I20</f>
        <v>0.674830263876121</v>
      </c>
      <c r="O20" s="15"/>
      <c r="P20" s="15"/>
      <c r="Q20" s="70" t="n">
        <f aca="false">B117</f>
        <v>0.96941</v>
      </c>
      <c r="R20" s="18"/>
      <c r="S20" s="14"/>
      <c r="T20" s="14"/>
    </row>
    <row collapsed="false" customFormat="false" customHeight="false" hidden="false" ht="12.8" outlineLevel="0" r="21">
      <c r="A21" s="0" t="s">
        <v>69</v>
      </c>
      <c r="C21" s="14"/>
      <c r="D21" s="19"/>
      <c r="F21" s="14"/>
      <c r="H21" s="20"/>
      <c r="I21" s="20"/>
      <c r="J21" s="21"/>
      <c r="N21" s="15"/>
      <c r="O21" s="15"/>
      <c r="P21" s="22"/>
      <c r="Q21" s="18"/>
      <c r="R21" s="14"/>
      <c r="S21" s="14"/>
    </row>
    <row collapsed="false" customFormat="true" customHeight="false" hidden="false" ht="12.8" outlineLevel="0" r="22" s="5">
      <c r="B22" s="10"/>
      <c r="AMJ22" s="0"/>
    </row>
    <row collapsed="false" customFormat="true" customHeight="false" hidden="false" ht="12.8" outlineLevel="0" r="23" s="5">
      <c r="A23" s="5" t="s">
        <v>70</v>
      </c>
      <c r="B23" s="10"/>
      <c r="AMJ23" s="0"/>
    </row>
    <row collapsed="false" customFormat="false" customHeight="false" hidden="false" ht="13.8" outlineLevel="0" r="24">
      <c r="A24" s="5" t="s">
        <v>77</v>
      </c>
      <c r="B24" s="0" t="s">
        <v>149</v>
      </c>
      <c r="C24" s="0" t="s">
        <v>82</v>
      </c>
      <c r="D24" s="0" t="s">
        <v>168</v>
      </c>
      <c r="E24" s="25" t="s">
        <v>38</v>
      </c>
      <c r="F24" s="26" t="s">
        <v>39</v>
      </c>
      <c r="G24" s="0" t="s">
        <v>150</v>
      </c>
      <c r="H24" s="25" t="s">
        <v>38</v>
      </c>
      <c r="I24" s="26" t="s">
        <v>39</v>
      </c>
      <c r="J24" s="26" t="s">
        <v>150</v>
      </c>
      <c r="K24" s="26" t="s">
        <v>79</v>
      </c>
      <c r="L24" s="26" t="s">
        <v>80</v>
      </c>
    </row>
    <row collapsed="false" customFormat="false" customHeight="false" hidden="false" ht="12.8" outlineLevel="0" r="25">
      <c r="A25" s="0" t="n">
        <v>3934</v>
      </c>
      <c r="B25" s="0" t="n">
        <v>40</v>
      </c>
      <c r="C25" s="77" t="n">
        <v>761905012.7</v>
      </c>
      <c r="D25" s="30" t="n">
        <v>0.5</v>
      </c>
      <c r="E25" s="13" t="n">
        <f aca="false">C25*10000/299792458</f>
        <v>25414.4156188212</v>
      </c>
      <c r="F25" s="13" t="n">
        <f aca="false">D25/C25*E25</f>
        <v>1.66782047599076E-005</v>
      </c>
      <c r="G25" s="0" t="str">
        <f aca="false">A131</f>
        <v>Wolf:2009:223901</v>
      </c>
      <c r="H25" s="13" t="n">
        <f aca="false">E25</f>
        <v>25414.4156188212</v>
      </c>
      <c r="I25" s="13" t="n">
        <f aca="false">F25</f>
        <v>1.66782047599076E-005</v>
      </c>
      <c r="J25" s="0" t="n">
        <f aca="false">G25</f>
        <v>0</v>
      </c>
      <c r="K25" s="58" t="n">
        <f aca="false">100000000/H25</f>
        <v>3934.77471604513</v>
      </c>
      <c r="L25" s="58" t="n">
        <f aca="false">I25/H25*K25</f>
        <v>2.58219505742669E-006</v>
      </c>
    </row>
    <row collapsed="false" customFormat="false" customHeight="false" hidden="false" ht="12.8" outlineLevel="0" r="26">
      <c r="A26" s="0" t="n">
        <v>3969</v>
      </c>
      <c r="B26" s="0" t="n">
        <v>40</v>
      </c>
      <c r="C26" s="77" t="n">
        <v>755222766.2</v>
      </c>
      <c r="D26" s="30" t="n">
        <v>1.7</v>
      </c>
      <c r="E26" s="13" t="n">
        <f aca="false">C26*10000/299792458</f>
        <v>25191.5198680549</v>
      </c>
      <c r="F26" s="13" t="n">
        <f aca="false">D26/C26*E26</f>
        <v>5.67058961836859E-005</v>
      </c>
      <c r="G26" s="0" t="str">
        <f aca="false">A130</f>
        <v>Wolf:2008:032511</v>
      </c>
      <c r="H26" s="13" t="n">
        <f aca="false">E26</f>
        <v>25191.5198680549</v>
      </c>
      <c r="I26" s="13" t="n">
        <f aca="false">F26</f>
        <v>5.67058961836859E-005</v>
      </c>
      <c r="J26" s="0" t="n">
        <f aca="false">G26</f>
        <v>0</v>
      </c>
      <c r="K26" s="58" t="n">
        <f aca="false">100000000/H26</f>
        <v>3969.58978750659</v>
      </c>
      <c r="L26" s="58" t="n">
        <f aca="false">I26/H26*K26</f>
        <v>8.93551272655108E-006</v>
      </c>
    </row>
    <row collapsed="false" customFormat="true" customHeight="false" hidden="false" ht="12.8" outlineLevel="0" r="28" s="5">
      <c r="A28" s="5" t="s">
        <v>169</v>
      </c>
      <c r="B28" s="10"/>
    </row>
    <row collapsed="false" customFormat="true" customHeight="true" hidden="false" ht="47.35" outlineLevel="0" r="29" s="5">
      <c r="A29" s="26" t="s">
        <v>126</v>
      </c>
      <c r="B29" s="26" t="s">
        <v>170</v>
      </c>
      <c r="C29" s="24" t="s">
        <v>250</v>
      </c>
      <c r="D29" s="24"/>
      <c r="E29" s="24"/>
      <c r="F29" s="24"/>
      <c r="G29" s="24" t="s">
        <v>251</v>
      </c>
      <c r="H29" s="24"/>
      <c r="I29" s="26"/>
      <c r="J29" s="0"/>
      <c r="K29" s="0"/>
      <c r="L29" s="0"/>
      <c r="M29" s="26" t="s">
        <v>38</v>
      </c>
      <c r="N29" s="26" t="s">
        <v>252</v>
      </c>
      <c r="O29" s="26" t="s">
        <v>79</v>
      </c>
      <c r="P29" s="26" t="s">
        <v>80</v>
      </c>
      <c r="AME29" s="0"/>
      <c r="AMF29" s="0"/>
      <c r="AMG29" s="0"/>
      <c r="AMH29" s="0"/>
      <c r="AMI29" s="0"/>
      <c r="AMJ29" s="0"/>
    </row>
    <row collapsed="false" customFormat="true" customHeight="false" hidden="false" ht="13.8" outlineLevel="0" r="30" s="26">
      <c r="A30" s="0"/>
      <c r="B30" s="0"/>
      <c r="C30" s="24" t="s">
        <v>253</v>
      </c>
      <c r="D30" s="0" t="s">
        <v>254</v>
      </c>
      <c r="E30" s="24" t="s">
        <v>255</v>
      </c>
      <c r="F30" s="0" t="s">
        <v>256</v>
      </c>
      <c r="G30" s="24" t="s">
        <v>255</v>
      </c>
      <c r="H30" s="0" t="s">
        <v>256</v>
      </c>
      <c r="I30" s="24" t="s">
        <v>255</v>
      </c>
      <c r="J30" s="0" t="s">
        <v>256</v>
      </c>
      <c r="K30" s="0" t="s">
        <v>39</v>
      </c>
      <c r="L30" s="0" t="s">
        <v>257</v>
      </c>
      <c r="R30" s="5"/>
      <c r="AME30" s="0"/>
      <c r="AMF30" s="0"/>
      <c r="AMG30" s="0"/>
      <c r="AMH30" s="0"/>
      <c r="AMI30" s="0"/>
      <c r="AMJ30" s="0"/>
    </row>
    <row collapsed="false" customFormat="true" customHeight="false" hidden="false" ht="12.8" outlineLevel="0" r="31" s="8">
      <c r="A31" s="8" t="n">
        <f aca="false">A25</f>
        <v>3934</v>
      </c>
      <c r="B31" s="71"/>
      <c r="C31" s="15"/>
      <c r="D31" s="30"/>
      <c r="E31" s="30"/>
      <c r="F31" s="15"/>
      <c r="G31" s="5"/>
      <c r="H31" s="5"/>
      <c r="I31" s="0"/>
      <c r="J31" s="0"/>
      <c r="K31" s="0"/>
      <c r="L31" s="0" t="s">
        <v>130</v>
      </c>
      <c r="M31" s="13" t="n">
        <f aca="false">SUMPRODUCT(M$32:M$37,$B$32:$B$37)/SUM($B$32:$B$37)</f>
        <v>25414.4164376351</v>
      </c>
      <c r="N31" s="13" t="n">
        <f aca="false">SQRT(B32*N32*N32+B33*N33*N33+B34*N34*N34+B35*N35*N35+B36*N36*N36+B37*N37*N37)</f>
        <v>8.61870593055027E-005</v>
      </c>
      <c r="O31" s="13" t="n">
        <f aca="false">100000000/M31</f>
        <v>3934.77458927266</v>
      </c>
      <c r="P31" s="13" t="n">
        <f aca="false">N31/M31*O31</f>
        <v>1.33438692842552E-005</v>
      </c>
      <c r="Q31" s="52"/>
      <c r="AME31" s="0"/>
      <c r="AMF31" s="0"/>
      <c r="AMG31" s="0"/>
      <c r="AMH31" s="0"/>
      <c r="AMI31" s="0"/>
      <c r="AMJ31" s="0"/>
    </row>
    <row collapsed="false" customFormat="true" customHeight="false" hidden="false" ht="12.8" outlineLevel="0" r="32" s="8">
      <c r="A32" s="8" t="n">
        <v>48</v>
      </c>
      <c r="B32" s="71" t="n">
        <f aca="false">0.00187</f>
        <v>0.00187</v>
      </c>
      <c r="C32" s="14" t="n">
        <f aca="false">857</f>
        <v>857</v>
      </c>
      <c r="D32" s="14" t="n">
        <f aca="false">14+2*ABS(A32-$A$34)</f>
        <v>22</v>
      </c>
      <c r="E32" s="14" t="n">
        <f aca="false">C32-$C$37</f>
        <v>1699</v>
      </c>
      <c r="F32" s="14" t="n">
        <f aca="false">SQRT(D32*D32+$D$37*$D$37)</f>
        <v>31.1126983722081</v>
      </c>
      <c r="G32" s="30" t="n">
        <f aca="false">1758</f>
        <v>1758</v>
      </c>
      <c r="H32" s="30" t="n">
        <f aca="false">24</f>
        <v>24</v>
      </c>
      <c r="I32" s="65" t="n">
        <f aca="false">(E32/F32/F32+G32/H32/H32)/(1/F32/F32+1/H32/H32)</f>
        <v>1735.9896373057</v>
      </c>
      <c r="J32" s="14" t="n">
        <f aca="false">SQRT(1/(1/F32/F32+1/H32/H32))</f>
        <v>19.0031358197655</v>
      </c>
      <c r="K32" s="45" t="n">
        <f aca="false">10000*I32/299792458</f>
        <v>0.0579063812641244</v>
      </c>
      <c r="L32" s="45" t="n">
        <f aca="false">J32/I32*K32</f>
        <v>0.000633876380564768</v>
      </c>
      <c r="M32" s="45" t="n">
        <f aca="false">$M$37+$K32</f>
        <v>25414.4735252025</v>
      </c>
      <c r="N32" s="44" t="n">
        <f aca="false">SQRT($I$25*$I$25+L32*L32)</f>
        <v>0.000634095756453159</v>
      </c>
      <c r="O32" s="13" t="n">
        <f aca="false">100000000/M32</f>
        <v>3934.76575073783</v>
      </c>
      <c r="P32" s="13" t="n">
        <f aca="false">N32/M32*O32</f>
        <v>9.81731241729593E-005</v>
      </c>
      <c r="AME32" s="0"/>
      <c r="AMF32" s="0"/>
      <c r="AMG32" s="0"/>
      <c r="AMH32" s="0"/>
      <c r="AMI32" s="0"/>
      <c r="AMJ32" s="0"/>
    </row>
    <row collapsed="false" customFormat="true" customHeight="false" hidden="false" ht="12.8" outlineLevel="0" r="33" s="8">
      <c r="A33" s="8" t="n">
        <v>46</v>
      </c>
      <c r="B33" s="71" t="n">
        <f aca="false">0.00004</f>
        <v>4E-005</v>
      </c>
      <c r="C33" s="14" t="n">
        <f aca="false">450</f>
        <v>450</v>
      </c>
      <c r="D33" s="14" t="n">
        <f aca="false">13+2*ABS(A33-$A$34)</f>
        <v>17</v>
      </c>
      <c r="E33" s="14" t="n">
        <f aca="false">C33-$C$37</f>
        <v>1292</v>
      </c>
      <c r="F33" s="14" t="n">
        <f aca="false">SQRT(D33*D33+$D$37*$D$37)</f>
        <v>27.8028775489157</v>
      </c>
      <c r="G33" s="30" t="n">
        <v>1256.7</v>
      </c>
      <c r="H33" s="30" t="n">
        <v>35.7</v>
      </c>
      <c r="I33" s="65" t="n">
        <f aca="false">(E33/F33/F33+G33/H33/H33)/(1/F33/F33+1/H33/H33)</f>
        <v>1278.67299962393</v>
      </c>
      <c r="J33" s="14" t="n">
        <f aca="false">SQRT(1/(1/F33/F33+1/H33/H33))</f>
        <v>21.9354762711814</v>
      </c>
      <c r="K33" s="45" t="n">
        <f aca="false">10000*I33/299792458</f>
        <v>0.0426519402173863</v>
      </c>
      <c r="L33" s="45" t="n">
        <f aca="false">J33/I33*K33</f>
        <v>0.000731688729513715</v>
      </c>
      <c r="M33" s="45" t="n">
        <f aca="false">$M$37+$K33</f>
        <v>25414.4582707614</v>
      </c>
      <c r="N33" s="44" t="n">
        <f aca="false">SQRT($I$25*$I$25+L33*L33)</f>
        <v>0.000731878787376303</v>
      </c>
      <c r="O33" s="13" t="n">
        <f aca="false">100000000/M33</f>
        <v>3934.76811249001</v>
      </c>
      <c r="P33" s="13" t="n">
        <f aca="false">N33/M33*O33</f>
        <v>0.000113312402101808</v>
      </c>
      <c r="AME33" s="0"/>
      <c r="AMF33" s="0"/>
      <c r="AMG33" s="0"/>
      <c r="AMH33" s="0"/>
      <c r="AMI33" s="0"/>
      <c r="AMJ33" s="0"/>
    </row>
    <row collapsed="false" customFormat="true" customHeight="false" hidden="false" ht="12.8" outlineLevel="0" r="34" s="8">
      <c r="A34" s="8" t="n">
        <v>44</v>
      </c>
      <c r="B34" s="71" t="n">
        <f aca="false">0.02086</f>
        <v>0.02086</v>
      </c>
      <c r="C34" s="14" t="n">
        <f aca="false">0</f>
        <v>0</v>
      </c>
      <c r="D34" s="14" t="n">
        <f aca="false">0</f>
        <v>0</v>
      </c>
      <c r="E34" s="14" t="n">
        <f aca="false">C34-$C$37</f>
        <v>842</v>
      </c>
      <c r="F34" s="14" t="n">
        <f aca="false">SQRT(D34*D34+$D$37*$D$37)</f>
        <v>22</v>
      </c>
      <c r="G34" s="30" t="n">
        <f aca="false">839.4</f>
        <v>839.4</v>
      </c>
      <c r="H34" s="30" t="n">
        <f aca="false">14.7</f>
        <v>14.7</v>
      </c>
      <c r="I34" s="65" t="n">
        <f aca="false">(E34/F34/F34+G34/H34/H34)/(1/F34/F34+1/H34/H34)</f>
        <v>840.202516819266</v>
      </c>
      <c r="J34" s="14" t="n">
        <f aca="false">SQRT(1/(1/F34/F34+1/H34/H34))</f>
        <v>12.2225853447433</v>
      </c>
      <c r="K34" s="45" t="n">
        <f aca="false">10000*I34/299792458</f>
        <v>0.0280261392306029</v>
      </c>
      <c r="L34" s="45" t="n">
        <f aca="false">J34/I34*K34</f>
        <v>0.00040770156215015</v>
      </c>
      <c r="M34" s="45" t="n">
        <f aca="false">$M$37+$K34</f>
        <v>25414.4436449604</v>
      </c>
      <c r="N34" s="44" t="n">
        <f aca="false">SQRT($I$25*$I$25+L34*L34)</f>
        <v>0.000408042554513235</v>
      </c>
      <c r="O34" s="13" t="n">
        <f aca="false">100000000/M34</f>
        <v>3934.77037691634</v>
      </c>
      <c r="P34" s="13" t="n">
        <f aca="false">N34/M34*O34</f>
        <v>6.31748535773405E-005</v>
      </c>
      <c r="AME34" s="0"/>
      <c r="AMF34" s="0"/>
      <c r="AMG34" s="0"/>
      <c r="AMH34" s="0"/>
      <c r="AMI34" s="0"/>
      <c r="AMJ34" s="0"/>
    </row>
    <row collapsed="false" customFormat="true" customHeight="false" hidden="false" ht="12.8" outlineLevel="0" r="35" s="8">
      <c r="A35" s="8" t="n">
        <v>43</v>
      </c>
      <c r="B35" s="71" t="n">
        <f aca="false">0.00135</f>
        <v>0.00135</v>
      </c>
      <c r="C35" s="14" t="n">
        <f aca="false">-165</f>
        <v>-165</v>
      </c>
      <c r="D35" s="14" t="n">
        <f aca="false">14+2*ABS(A35-$A$34)</f>
        <v>16</v>
      </c>
      <c r="E35" s="14" t="n">
        <f aca="false">C35-$C$37</f>
        <v>677</v>
      </c>
      <c r="F35" s="14" t="n">
        <f aca="false">SQRT(D35*D35+$D$37*$D$37)</f>
        <v>27.2029410174709</v>
      </c>
      <c r="G35" s="30" t="n">
        <f aca="false">684.7</f>
        <v>684.7</v>
      </c>
      <c r="H35" s="30" t="n">
        <f aca="false">36.3</f>
        <v>36.3</v>
      </c>
      <c r="I35" s="65" t="n">
        <f aca="false">(E35/F35/F35+G35/H35/H35)/(1/F35/F35+1/H35/H35)</f>
        <v>679.769124600888</v>
      </c>
      <c r="J35" s="14" t="n">
        <f aca="false">SQRT(1/(1/F35/F35+1/H35/H35))</f>
        <v>21.7687008582867</v>
      </c>
      <c r="K35" s="45" t="n">
        <f aca="false">10000*I35/299792458</f>
        <v>0.0226746572991135</v>
      </c>
      <c r="L35" s="45" t="n">
        <f aca="false">J35/I35*K35</f>
        <v>0.000726125700543366</v>
      </c>
      <c r="M35" s="45" t="n">
        <f aca="false">$M$37+$K35</f>
        <v>25414.4382934785</v>
      </c>
      <c r="N35" s="44" t="n">
        <f aca="false">SQRT($I$25*$I$25+L35*L35)</f>
        <v>0.00072631721410387</v>
      </c>
      <c r="O35" s="13" t="n">
        <f aca="false">100000000/M35</f>
        <v>3934.77120545531</v>
      </c>
      <c r="P35" s="13" t="n">
        <f aca="false">N35/M35*O35</f>
        <v>0.000112451513863117</v>
      </c>
      <c r="AME35" s="0"/>
      <c r="AMF35" s="0"/>
      <c r="AMG35" s="0"/>
      <c r="AMH35" s="0"/>
      <c r="AMI35" s="0"/>
      <c r="AMJ35" s="0"/>
    </row>
    <row collapsed="false" customFormat="true" customHeight="false" hidden="false" ht="12.8" outlineLevel="0" r="36" s="8">
      <c r="A36" s="8" t="n">
        <v>42</v>
      </c>
      <c r="B36" s="71" t="n">
        <f aca="false">0.00647</f>
        <v>0.00647</v>
      </c>
      <c r="C36" s="14" t="n">
        <f aca="false">-412</f>
        <v>-412</v>
      </c>
      <c r="D36" s="14" t="n">
        <f aca="false">12+2*ABS(A36-$A$34)</f>
        <v>16</v>
      </c>
      <c r="E36" s="14" t="n">
        <f aca="false">C36-$C$37</f>
        <v>430</v>
      </c>
      <c r="F36" s="14" t="n">
        <f aca="false">SQRT(D36*D36+$D$37*$D$37)</f>
        <v>27.2029410174709</v>
      </c>
      <c r="G36" s="30" t="n">
        <f aca="false">436.2</f>
        <v>436.2</v>
      </c>
      <c r="H36" s="30" t="n">
        <f aca="false">22.8</f>
        <v>22.8</v>
      </c>
      <c r="I36" s="65" t="n">
        <f aca="false">(E36/F36/F36+G36/H36/H36)/(1/F36/F36+1/H36/H36)</f>
        <v>433.641732283465</v>
      </c>
      <c r="J36" s="14" t="n">
        <f aca="false">SQRT(1/(1/F36/F36+1/H36/H36))</f>
        <v>17.4740273172289</v>
      </c>
      <c r="K36" s="45" t="n">
        <f aca="false">10000*I36/299792458</f>
        <v>0.0144647312069293</v>
      </c>
      <c r="L36" s="45" t="n">
        <f aca="false">J36/I36*K36</f>
        <v>0.000582870811153925</v>
      </c>
      <c r="M36" s="45" t="n">
        <f aca="false">$M$37+$K36</f>
        <v>25414.4300835524</v>
      </c>
      <c r="N36" s="44" t="n">
        <f aca="false">SQRT($I$25*$I$25+L36*L36)</f>
        <v>0.000583109376540326</v>
      </c>
      <c r="O36" s="13" t="n">
        <f aca="false">100000000/M36</f>
        <v>3934.77247655132</v>
      </c>
      <c r="P36" s="13" t="n">
        <f aca="false">N36/M36*O36</f>
        <v>9.02795269493278E-005</v>
      </c>
      <c r="AME36" s="0"/>
      <c r="AMF36" s="0"/>
      <c r="AMG36" s="0"/>
      <c r="AMH36" s="0"/>
      <c r="AMI36" s="0"/>
      <c r="AMJ36" s="0"/>
    </row>
    <row collapsed="false" customFormat="true" customHeight="false" hidden="false" ht="12.8" outlineLevel="0" r="37" s="5">
      <c r="A37" s="8" t="n">
        <v>40</v>
      </c>
      <c r="B37" s="71" t="n">
        <f aca="false">0.96941</f>
        <v>0.96941</v>
      </c>
      <c r="C37" s="78" t="n">
        <f aca="false">-842</f>
        <v>-842</v>
      </c>
      <c r="D37" s="14" t="n">
        <f aca="false">14+2*ABS(A37-$A$34)</f>
        <v>22</v>
      </c>
      <c r="E37" s="5" t="n">
        <f aca="false">0</f>
        <v>0</v>
      </c>
      <c r="F37" s="5" t="n">
        <f aca="false">0</f>
        <v>0</v>
      </c>
      <c r="I37" s="78"/>
      <c r="J37" s="78"/>
      <c r="M37" s="38" t="n">
        <f aca="false">$H$25</f>
        <v>25414.4156188212</v>
      </c>
      <c r="N37" s="38" t="n">
        <f aca="false">I25</f>
        <v>1.66782047599076E-005</v>
      </c>
      <c r="O37" s="19" t="n">
        <f aca="false">100000000/M37</f>
        <v>3934.77471604513</v>
      </c>
      <c r="P37" s="19" t="n">
        <f aca="false">N37/M37*O37</f>
        <v>2.58219505742669E-006</v>
      </c>
      <c r="Q37" s="44"/>
      <c r="AME37" s="0"/>
      <c r="AMF37" s="0"/>
      <c r="AMG37" s="0"/>
      <c r="AMH37" s="0"/>
      <c r="AMI37" s="0"/>
      <c r="AMJ37" s="0"/>
    </row>
    <row collapsed="false" customFormat="true" customHeight="false" hidden="false" ht="12.8" outlineLevel="0" r="38" s="5">
      <c r="A38" s="8" t="n">
        <f aca="false">A26</f>
        <v>3969</v>
      </c>
      <c r="B38" s="71"/>
      <c r="C38" s="15"/>
      <c r="D38" s="79"/>
      <c r="E38" s="79"/>
      <c r="F38" s="15"/>
      <c r="I38" s="78"/>
      <c r="J38" s="78"/>
      <c r="L38" s="5" t="s">
        <v>130</v>
      </c>
      <c r="M38" s="13" t="n">
        <f aca="false">SUMPRODUCT(M$39:M$44,$B$39:$B$44)/SUM($B$39:$B$44)</f>
        <v>25191.52068459</v>
      </c>
      <c r="N38" s="13" t="n">
        <f aca="false">SQRT(B39*N39*N39+B40*N40*N40+B41*N41*N41+B42*N42*N42+B43*N43*N43+B44*N44*N44)</f>
        <v>8.11333038825596E-005</v>
      </c>
      <c r="O38" s="13" t="n">
        <f aca="false">100000000/M38</f>
        <v>3969.5896588399</v>
      </c>
      <c r="P38" s="13" t="n">
        <f aca="false">N38/M38*O38</f>
        <v>1.27846956169159E-005</v>
      </c>
      <c r="Q38" s="44"/>
      <c r="AME38" s="0"/>
      <c r="AMF38" s="0"/>
      <c r="AMG38" s="0"/>
      <c r="AMH38" s="0"/>
      <c r="AMI38" s="0"/>
      <c r="AMJ38" s="0"/>
    </row>
    <row collapsed="false" customFormat="true" customHeight="false" hidden="false" ht="12.8" outlineLevel="0" r="39" s="5">
      <c r="A39" s="8" t="n">
        <v>48</v>
      </c>
      <c r="B39" s="71" t="n">
        <f aca="false">0.00187</f>
        <v>0.00187</v>
      </c>
      <c r="C39" s="14" t="n">
        <f aca="false">854</f>
        <v>854</v>
      </c>
      <c r="D39" s="14" t="n">
        <f aca="false">3+2*ABS(A39-$A$41)</f>
        <v>11</v>
      </c>
      <c r="E39" s="14" t="n">
        <f aca="false">C39-$C$44</f>
        <v>1696</v>
      </c>
      <c r="F39" s="14" t="n">
        <f aca="false">SQRT(D39*D39+$D$44*$D$44)</f>
        <v>15.556349186104</v>
      </c>
      <c r="G39" s="79" t="n">
        <f aca="false">G32</f>
        <v>1758</v>
      </c>
      <c r="H39" s="79" t="n">
        <f aca="false">H32</f>
        <v>24</v>
      </c>
      <c r="I39" s="65" t="n">
        <f aca="false">(E39/F39/F39+G39/H39/H39)/(1/F39/F39+1/H39/H39)</f>
        <v>1714.34229828851</v>
      </c>
      <c r="J39" s="14" t="n">
        <f aca="false">SQRT(1/(1/F39/F39+1/H39/H39))</f>
        <v>13.0539598578615</v>
      </c>
      <c r="K39" s="45" t="n">
        <f aca="false">10000*I39/299792458</f>
        <v>0.0571843037588527</v>
      </c>
      <c r="L39" s="45" t="n">
        <f aca="false">J39/I39*K39</f>
        <v>0.000435433230874058</v>
      </c>
      <c r="M39" s="45" t="n">
        <f aca="false">$M$44+$K39</f>
        <v>25191.5770523586</v>
      </c>
      <c r="N39" s="44" t="n">
        <f aca="false">SQRT($I$26*$I$26+L39*L39)</f>
        <v>0.000439110074140204</v>
      </c>
      <c r="O39" s="13" t="n">
        <f aca="false">100000000/M39</f>
        <v>3969.58077662856</v>
      </c>
      <c r="P39" s="13" t="n">
        <f aca="false">N39/M39*O39</f>
        <v>6.9193084081558E-005</v>
      </c>
      <c r="Q39" s="44"/>
      <c r="AME39" s="0"/>
      <c r="AMF39" s="0"/>
      <c r="AMG39" s="0"/>
      <c r="AMH39" s="0"/>
      <c r="AMI39" s="0"/>
      <c r="AMJ39" s="0"/>
    </row>
    <row collapsed="false" customFormat="true" customHeight="false" hidden="false" ht="12.8" outlineLevel="0" r="40" s="5">
      <c r="A40" s="8" t="n">
        <v>46</v>
      </c>
      <c r="B40" s="71" t="n">
        <f aca="false">0.00004</f>
        <v>4E-005</v>
      </c>
      <c r="C40" s="30" t="n">
        <f aca="false">445.2</f>
        <v>445.2</v>
      </c>
      <c r="D40" s="30" t="n">
        <f aca="false">0.6+2*ABS(A40-$A$41)</f>
        <v>4.6</v>
      </c>
      <c r="E40" s="14" t="n">
        <f aca="false">C40-$C$44</f>
        <v>1287.2</v>
      </c>
      <c r="F40" s="14" t="n">
        <f aca="false">SQRT(D40*D40+$D$44*$D$44)</f>
        <v>11.9230868486311</v>
      </c>
      <c r="G40" s="79" t="n">
        <f aca="false">G33</f>
        <v>1256.7</v>
      </c>
      <c r="H40" s="79" t="n">
        <f aca="false">H33</f>
        <v>35.7</v>
      </c>
      <c r="I40" s="65" t="n">
        <f aca="false">(E40/F40/F40+G40/H40/H40)/(1/F40/F40+1/H40/H40)</f>
        <v>1284.1393428158</v>
      </c>
      <c r="J40" s="14" t="n">
        <f aca="false">SQRT(1/(1/F40/F40+1/H40/H40))</f>
        <v>11.3090374055063</v>
      </c>
      <c r="K40" s="45" t="n">
        <f aca="false">10000*I40/299792458</f>
        <v>0.0428342777994701</v>
      </c>
      <c r="L40" s="45" t="n">
        <f aca="false">J40/I40*K40</f>
        <v>0.000377228882972978</v>
      </c>
      <c r="M40" s="45" t="n">
        <f aca="false">$M$44+$K40</f>
        <v>25191.5627023327</v>
      </c>
      <c r="N40" s="44" t="n">
        <f aca="false">SQRT($I$26*$I$26+L40*L40)</f>
        <v>0.000381467152990969</v>
      </c>
      <c r="O40" s="13" t="n">
        <f aca="false">100000000/M40</f>
        <v>3969.58303784546</v>
      </c>
      <c r="P40" s="13" t="n">
        <f aca="false">N40/M40*O40</f>
        <v>6.01100280241025E-005</v>
      </c>
      <c r="Q40" s="44"/>
      <c r="AME40" s="0"/>
      <c r="AMF40" s="0"/>
      <c r="AMG40" s="0"/>
      <c r="AMH40" s="0"/>
      <c r="AMI40" s="0"/>
      <c r="AMJ40" s="0"/>
    </row>
    <row collapsed="false" customFormat="true" customHeight="false" hidden="false" ht="12.8" outlineLevel="0" r="41" s="5">
      <c r="A41" s="8" t="n">
        <v>44</v>
      </c>
      <c r="B41" s="71" t="n">
        <f aca="false">0.02086</f>
        <v>0.02086</v>
      </c>
      <c r="C41" s="14" t="n">
        <v>0</v>
      </c>
      <c r="D41" s="14" t="n">
        <v>0</v>
      </c>
      <c r="E41" s="14" t="n">
        <f aca="false">C41-$C$44</f>
        <v>842</v>
      </c>
      <c r="F41" s="14" t="n">
        <f aca="false">SQRT(D41*D41+$D$44*$D$44)</f>
        <v>11</v>
      </c>
      <c r="G41" s="79" t="n">
        <f aca="false">G34</f>
        <v>839.4</v>
      </c>
      <c r="H41" s="79" t="n">
        <f aca="false">H34</f>
        <v>14.7</v>
      </c>
      <c r="I41" s="65" t="n">
        <f aca="false">(E41/F41/F41+G41/H41/H41)/(1/F41/F41+1/H41/H41)</f>
        <v>841.066718087158</v>
      </c>
      <c r="J41" s="14" t="n">
        <f aca="false">SQRT(1/(1/F41/F41+1/H41/H41))</f>
        <v>8.8071843170589</v>
      </c>
      <c r="K41" s="45" t="n">
        <f aca="false">10000*I41/299792458</f>
        <v>0.0280549658820022</v>
      </c>
      <c r="L41" s="45" t="n">
        <f aca="false">J41/I41*K41</f>
        <v>0.000293776046796311</v>
      </c>
      <c r="M41" s="45" t="n">
        <f aca="false">$M$44+$K41</f>
        <v>25191.5479230207</v>
      </c>
      <c r="N41" s="44" t="n">
        <f aca="false">SQRT($I$26*$I$26+L41*L41)</f>
        <v>0.000299198804030469</v>
      </c>
      <c r="O41" s="13" t="n">
        <f aca="false">100000000/M41</f>
        <v>3969.58536671013</v>
      </c>
      <c r="P41" s="13" t="n">
        <f aca="false">N41/M41*O41</f>
        <v>4.71465746307385E-005</v>
      </c>
      <c r="Q41" s="44"/>
      <c r="AME41" s="0"/>
      <c r="AMF41" s="0"/>
      <c r="AMG41" s="0"/>
      <c r="AMH41" s="0"/>
      <c r="AMI41" s="0"/>
      <c r="AMJ41" s="0"/>
    </row>
    <row collapsed="false" customFormat="true" customHeight="false" hidden="false" ht="12.8" outlineLevel="0" r="42" s="5">
      <c r="A42" s="8" t="n">
        <v>43</v>
      </c>
      <c r="B42" s="71" t="n">
        <f aca="false">0.00135</f>
        <v>0.00135</v>
      </c>
      <c r="C42" s="14" t="n">
        <f aca="false">-170</f>
        <v>-170</v>
      </c>
      <c r="D42" s="14" t="n">
        <f aca="false">8+2*ABS(A42-$A$41)</f>
        <v>10</v>
      </c>
      <c r="E42" s="14" t="n">
        <f aca="false">C42-$C$44</f>
        <v>672</v>
      </c>
      <c r="F42" s="14" t="n">
        <f aca="false">SQRT(D42*D42+$D$44*$D$44)</f>
        <v>14.8660687473185</v>
      </c>
      <c r="G42" s="79" t="n">
        <f aca="false">G35</f>
        <v>684.7</v>
      </c>
      <c r="H42" s="79" t="n">
        <f aca="false">H35</f>
        <v>36.3</v>
      </c>
      <c r="I42" s="65" t="n">
        <f aca="false">(E42/F42/F42+G42/H42/H42)/(1/F42/F42+1/H42/H42)</f>
        <v>673.824084123508</v>
      </c>
      <c r="J42" s="14" t="n">
        <f aca="false">SQRT(1/(1/F42/F42+1/H42/H42))</f>
        <v>13.7571095684211</v>
      </c>
      <c r="K42" s="45" t="n">
        <f aca="false">10000*I42/299792458</f>
        <v>0.0224763520943381</v>
      </c>
      <c r="L42" s="45" t="n">
        <f aca="false">J42/I42*K42</f>
        <v>0.000458887780573223</v>
      </c>
      <c r="M42" s="45" t="n">
        <f aca="false">$M$44+$K42</f>
        <v>25191.5423444069</v>
      </c>
      <c r="N42" s="44" t="n">
        <f aca="false">SQRT($I$26*$I$26+L42*L42)</f>
        <v>0.000462378150242216</v>
      </c>
      <c r="O42" s="13" t="n">
        <f aca="false">100000000/M42</f>
        <v>3969.58624576641</v>
      </c>
      <c r="P42" s="13" t="n">
        <f aca="false">N42/M42*O42</f>
        <v>7.28597685862583E-005</v>
      </c>
      <c r="Q42" s="44"/>
      <c r="AME42" s="0"/>
      <c r="AMF42" s="0"/>
      <c r="AMG42" s="0"/>
      <c r="AMH42" s="0"/>
      <c r="AMI42" s="0"/>
      <c r="AMJ42" s="0"/>
    </row>
    <row collapsed="false" customFormat="true" customHeight="false" hidden="false" ht="12.8" outlineLevel="0" r="43" s="5">
      <c r="A43" s="8" t="n">
        <v>42</v>
      </c>
      <c r="B43" s="71" t="n">
        <f aca="false">0.00647</f>
        <v>0.00647</v>
      </c>
      <c r="C43" s="14" t="n">
        <f aca="false">-417</f>
        <v>-417</v>
      </c>
      <c r="D43" s="14" t="n">
        <f aca="false">3+2*ABS(A43-$A$41)</f>
        <v>7</v>
      </c>
      <c r="E43" s="14" t="n">
        <f aca="false">C43-$C$44</f>
        <v>425</v>
      </c>
      <c r="F43" s="14" t="n">
        <f aca="false">SQRT(D43*D43+$D$44*$D$44)</f>
        <v>13.0384048104053</v>
      </c>
      <c r="G43" s="79" t="n">
        <f aca="false">G36</f>
        <v>436.2</v>
      </c>
      <c r="H43" s="79" t="n">
        <f aca="false">H36</f>
        <v>22.8</v>
      </c>
      <c r="I43" s="65" t="n">
        <f aca="false">(E43/F43/F43+G43/H43/H43)/(1/F43/F43+1/H43/H43)</f>
        <v>427.760060303839</v>
      </c>
      <c r="J43" s="14" t="n">
        <f aca="false">SQRT(1/(1/F43/F43+1/H43/H43))</f>
        <v>11.3184021633366</v>
      </c>
      <c r="K43" s="45" t="n">
        <f aca="false">10000*I43/299792458</f>
        <v>0.0142685397477157</v>
      </c>
      <c r="L43" s="45" t="n">
        <f aca="false">J43/I43*K43</f>
        <v>0.000377541257670217</v>
      </c>
      <c r="M43" s="45" t="n">
        <f aca="false">$M$44+$K43</f>
        <v>25191.5341365946</v>
      </c>
      <c r="N43" s="44" t="n">
        <f aca="false">SQRT($I$26*$I$26+L43*L43)</f>
        <v>0.000381776059890093</v>
      </c>
      <c r="O43" s="13" t="n">
        <f aca="false">100000000/M43</f>
        <v>3969.5875391223</v>
      </c>
      <c r="P43" s="13" t="n">
        <f aca="false">N43/M43*O43</f>
        <v>6.01588407382238E-005</v>
      </c>
      <c r="Q43" s="44"/>
      <c r="AME43" s="0"/>
      <c r="AMF43" s="0"/>
      <c r="AMG43" s="0"/>
      <c r="AMH43" s="0"/>
      <c r="AMI43" s="0"/>
      <c r="AMJ43" s="0"/>
    </row>
    <row collapsed="false" customFormat="true" customHeight="false" hidden="false" ht="12.8" outlineLevel="0" r="44" s="5">
      <c r="A44" s="8" t="n">
        <v>40</v>
      </c>
      <c r="B44" s="71" t="n">
        <f aca="false">0.96941</f>
        <v>0.96941</v>
      </c>
      <c r="C44" s="78" t="n">
        <f aca="false">-842</f>
        <v>-842</v>
      </c>
      <c r="D44" s="14" t="n">
        <f aca="false">3+2*ABS(A44-$A$41)</f>
        <v>11</v>
      </c>
      <c r="E44" s="5" t="n">
        <f aca="false">0</f>
        <v>0</v>
      </c>
      <c r="F44" s="5" t="n">
        <f aca="false">0</f>
        <v>0</v>
      </c>
      <c r="I44" s="78"/>
      <c r="J44" s="78"/>
      <c r="K44" s="78"/>
      <c r="L44" s="78"/>
      <c r="M44" s="38" t="n">
        <f aca="false">$H$26</f>
        <v>25191.5198680549</v>
      </c>
      <c r="N44" s="38" t="n">
        <f aca="false">I26</f>
        <v>5.67058961836859E-005</v>
      </c>
      <c r="O44" s="19" t="n">
        <f aca="false">100000000/M44</f>
        <v>3969.58978750659</v>
      </c>
      <c r="P44" s="19" t="n">
        <f aca="false">N44/M44*O44</f>
        <v>8.93551272655108E-006</v>
      </c>
      <c r="Q44" s="38"/>
      <c r="R44" s="38"/>
      <c r="S44" s="19"/>
      <c r="T44" s="19"/>
      <c r="U44" s="44"/>
      <c r="AMI44" s="0"/>
      <c r="AMJ44" s="0"/>
    </row>
    <row collapsed="false" customFormat="true" customHeight="false" hidden="false" ht="12.8" outlineLevel="0" r="45" s="5">
      <c r="B45" s="10"/>
    </row>
    <row collapsed="false" customFormat="true" customHeight="true" hidden="false" ht="58.55" outlineLevel="0" r="46" s="5">
      <c r="A46" s="26" t="s">
        <v>126</v>
      </c>
      <c r="B46" s="26" t="s">
        <v>170</v>
      </c>
      <c r="C46" s="24" t="s">
        <v>258</v>
      </c>
      <c r="D46" s="24"/>
      <c r="E46" s="24"/>
      <c r="F46" s="24"/>
      <c r="G46" s="24"/>
      <c r="H46" s="24"/>
      <c r="I46" s="26" t="s">
        <v>259</v>
      </c>
      <c r="J46" s="0" t="s">
        <v>83</v>
      </c>
      <c r="K46" s="0" t="s">
        <v>260</v>
      </c>
      <c r="L46" s="0" t="s">
        <v>261</v>
      </c>
      <c r="M46" s="0" t="s">
        <v>262</v>
      </c>
      <c r="N46" s="0" t="s">
        <v>39</v>
      </c>
      <c r="O46" s="0" t="s">
        <v>263</v>
      </c>
      <c r="P46" s="0" t="s">
        <v>264</v>
      </c>
      <c r="Q46" s="26" t="s">
        <v>38</v>
      </c>
      <c r="R46" s="26" t="s">
        <v>265</v>
      </c>
      <c r="S46" s="26" t="s">
        <v>266</v>
      </c>
      <c r="T46" s="26" t="s">
        <v>252</v>
      </c>
      <c r="U46" s="26" t="s">
        <v>79</v>
      </c>
      <c r="V46" s="26" t="s">
        <v>80</v>
      </c>
    </row>
    <row collapsed="false" customFormat="true" customHeight="false" hidden="false" ht="12.8" outlineLevel="0" r="47" s="26">
      <c r="A47" s="0"/>
      <c r="B47" s="0"/>
      <c r="C47" s="0" t="s">
        <v>217</v>
      </c>
      <c r="D47" s="0" t="s">
        <v>218</v>
      </c>
      <c r="E47" s="0" t="s">
        <v>267</v>
      </c>
      <c r="F47" s="0" t="s">
        <v>219</v>
      </c>
      <c r="G47" s="0" t="s">
        <v>220</v>
      </c>
      <c r="H47" s="0" t="s">
        <v>268</v>
      </c>
      <c r="I47" s="0" t="s">
        <v>221</v>
      </c>
      <c r="J47" s="0"/>
      <c r="K47" s="0"/>
      <c r="L47" s="0"/>
      <c r="M47" s="0"/>
      <c r="N47" s="0"/>
      <c r="O47" s="0"/>
      <c r="P47" s="0"/>
      <c r="X47" s="5"/>
    </row>
    <row collapsed="false" customFormat="true" customHeight="false" hidden="false" ht="12.8" outlineLevel="0" r="48" s="8">
      <c r="A48" s="8" t="n">
        <f aca="false">A25</f>
        <v>3934</v>
      </c>
      <c r="B48" s="71"/>
      <c r="C48" s="15" t="n">
        <f aca="false">-H25/10000000*299792458/1822.888</f>
        <v>-417.965894064803</v>
      </c>
      <c r="D48" s="30" t="n">
        <f aca="false">2.8</f>
        <v>2.8</v>
      </c>
      <c r="E48" s="30" t="n">
        <f aca="false">30</f>
        <v>30</v>
      </c>
      <c r="F48" s="15" t="n">
        <f aca="false">SUM(C48:D48)</f>
        <v>-415.165894064803</v>
      </c>
      <c r="G48" s="5" t="n">
        <f aca="false">-284</f>
        <v>-284</v>
      </c>
      <c r="H48" s="5" t="n">
        <f aca="false">3</f>
        <v>3</v>
      </c>
      <c r="I48" s="0"/>
      <c r="J48" s="0"/>
      <c r="K48" s="0"/>
      <c r="L48" s="0"/>
      <c r="M48" s="0"/>
      <c r="N48" s="0"/>
      <c r="O48" s="0"/>
      <c r="P48" s="0" t="s">
        <v>130</v>
      </c>
      <c r="Q48" s="13" t="n">
        <f aca="false">SUMPRODUCT(Q$49:Q$54,$B$49:$B$54)/SUM($B$49:$B$54)</f>
        <v>25414.4164536139</v>
      </c>
      <c r="R48" s="13" t="n">
        <f aca="false">SUMPRODUCT(R$49:R$54,$B$49:$B$54)/SUM($B$49:$B$54)</f>
        <v>25414.4165197945</v>
      </c>
      <c r="S48" s="13" t="n">
        <f aca="false">SUMPRODUCT(S$49:S$54,$B$49:$B$54)/SUM($B$49:$B$54)</f>
        <v>25414.4163874332</v>
      </c>
      <c r="T48" s="13" t="n">
        <f aca="false">0.5*(R48-S48)</f>
        <v>6.61806643620366E-005</v>
      </c>
      <c r="U48" s="19" t="n">
        <f aca="false">100000000/Q48</f>
        <v>3934.77458679876</v>
      </c>
      <c r="V48" s="19" t="n">
        <f aca="false">T48/Q48*U48</f>
        <v>1.02463889637006E-005</v>
      </c>
      <c r="W48" s="52"/>
    </row>
    <row collapsed="false" customFormat="true" customHeight="false" hidden="false" ht="12.8" outlineLevel="0" r="49" s="8">
      <c r="A49" s="8" t="n">
        <v>48</v>
      </c>
      <c r="B49" s="71" t="n">
        <f aca="false">0.00187</f>
        <v>0.00187</v>
      </c>
      <c r="C49" s="15"/>
      <c r="D49" s="15"/>
      <c r="E49" s="15"/>
      <c r="F49" s="15"/>
      <c r="G49" s="15"/>
      <c r="H49" s="15"/>
      <c r="I49" s="80" t="n">
        <f aca="false">-0.0044</f>
        <v>-0.0044</v>
      </c>
      <c r="J49" s="14" t="n">
        <f aca="false">1000*$F$48*(1/$A49-1/$A$54)+$G$48*I49</f>
        <v>1731.10749193668</v>
      </c>
      <c r="K49" s="78" t="n">
        <f aca="false">SQRT(1000*$E$48*(1/$A49-1/$A$54)*1000*$E$48*(1/$A49-1/$A$54)+$H$48*I49*$H$48*I49)</f>
        <v>125.00000069696</v>
      </c>
      <c r="L49" s="78" t="n">
        <f aca="false">1000*($F$48-$E$48)*(1/$A49-1/$A$54)+($G$48+$H$48)*I49</f>
        <v>1856.09429193668</v>
      </c>
      <c r="M49" s="78" t="n">
        <f aca="false">1000*($F$48+$E$48)*(1/$A49-1/$A$54)+($G$48-$H$48)*I49</f>
        <v>1606.12069193668</v>
      </c>
      <c r="N49" s="45" t="n">
        <f aca="false">10000*J49/299792458</f>
        <v>0.0577435304238601</v>
      </c>
      <c r="O49" s="45" t="n">
        <f aca="false">10000*L49/299792458</f>
        <v>0.0619126413092313</v>
      </c>
      <c r="P49" s="45" t="n">
        <f aca="false">10000*M49/299792458</f>
        <v>0.0535744195384888</v>
      </c>
      <c r="Q49" s="13" t="n">
        <f aca="false">$Q$54+$N49</f>
        <v>25414.4733623516</v>
      </c>
      <c r="R49" s="13" t="n">
        <f aca="false">$Q$54+$O49</f>
        <v>25414.4775314625</v>
      </c>
      <c r="S49" s="13" t="n">
        <f aca="false">$Q$54+$P49</f>
        <v>25414.4691932407</v>
      </c>
      <c r="T49" s="38" t="n">
        <f aca="false">10000*K49/299792458</f>
        <v>0.00416955121322499</v>
      </c>
      <c r="U49" s="19" t="n">
        <f aca="false">100000000/Q49</f>
        <v>3934.76577595102</v>
      </c>
      <c r="V49" s="19" t="n">
        <f aca="false">T49/Q49*U49</f>
        <v>0.00064554583449195</v>
      </c>
    </row>
    <row collapsed="false" customFormat="true" customHeight="false" hidden="false" ht="12.8" outlineLevel="0" r="50" s="8">
      <c r="A50" s="8" t="n">
        <v>46</v>
      </c>
      <c r="B50" s="71" t="n">
        <f aca="false">0.00004</f>
        <v>4E-005</v>
      </c>
      <c r="C50" s="15"/>
      <c r="D50" s="15"/>
      <c r="E50" s="15"/>
      <c r="F50" s="15"/>
      <c r="G50" s="15"/>
      <c r="H50" s="15"/>
      <c r="I50" s="69" t="n">
        <f aca="false">0.1242</f>
        <v>0.1242</v>
      </c>
      <c r="J50" s="14" t="n">
        <f aca="false">1000*$F$48*(1/$A50-1/$A$54)+$G$48*I50</f>
        <v>1318.52902847218</v>
      </c>
      <c r="K50" s="78" t="n">
        <f aca="false">SQRT(1000*$E$48*(1/$A50-1/$A$54)*1000*$E$48*(1/$A50-1/$A$54)+$H$48*I50*$H$48*I50)</f>
        <v>97.8267965333884</v>
      </c>
      <c r="L50" s="78" t="n">
        <f aca="false">1000*($F$48-$E$48)*(1/$A50-1/$A$54)+($G$48+$H$48)*I50</f>
        <v>1416.72771542871</v>
      </c>
      <c r="M50" s="78" t="n">
        <f aca="false">1000*($F$48+$E$48)*(1/$A50-1/$A$54)+($G$48-$H$48)*I50</f>
        <v>1220.33034151566</v>
      </c>
      <c r="N50" s="45" t="n">
        <f aca="false">10000*J50/299792458</f>
        <v>0.0439813942374822</v>
      </c>
      <c r="O50" s="45" t="n">
        <f aca="false">10000*L50/299792458</f>
        <v>0.0472569498539121</v>
      </c>
      <c r="P50" s="45" t="n">
        <f aca="false">10000*M50/299792458</f>
        <v>0.0407058386210524</v>
      </c>
      <c r="Q50" s="13" t="n">
        <f aca="false">$Q$54+$N50</f>
        <v>25414.4596002154</v>
      </c>
      <c r="R50" s="13" t="n">
        <f aca="false">$Q$54+$O50</f>
        <v>25414.4628757711</v>
      </c>
      <c r="S50" s="13" t="n">
        <f aca="false">$Q$54+$P50</f>
        <v>25414.4563246598</v>
      </c>
      <c r="T50" s="38" t="n">
        <f aca="false">10000*K50/299792458</f>
        <v>0.00326315068717934</v>
      </c>
      <c r="U50" s="19" t="n">
        <f aca="false">100000000/Q50</f>
        <v>3934.76790665863</v>
      </c>
      <c r="V50" s="19" t="n">
        <f aca="false">T50/Q50*U50</f>
        <v>0.000505213992368167</v>
      </c>
    </row>
    <row collapsed="false" customFormat="true" customHeight="false" hidden="false" ht="12.8" outlineLevel="0" r="51" s="8">
      <c r="A51" s="8" t="n">
        <v>44</v>
      </c>
      <c r="B51" s="71" t="n">
        <f aca="false">0.02086</f>
        <v>0.02086</v>
      </c>
      <c r="C51" s="15"/>
      <c r="D51" s="15"/>
      <c r="E51" s="15"/>
      <c r="F51" s="15"/>
      <c r="G51" s="15"/>
      <c r="H51" s="15"/>
      <c r="I51" s="69" t="n">
        <f aca="false">0.2832</f>
        <v>0.2832</v>
      </c>
      <c r="J51" s="14" t="n">
        <f aca="false">1000*$F$48*(1/$A51-1/$A$54)+$G$48*I51</f>
        <v>863.130050147279</v>
      </c>
      <c r="K51" s="78" t="n">
        <f aca="false">SQRT(1000*$E$48*(1/$A51-1/$A$54)*1000*$E$48*(1/$A51-1/$A$54)+$H$48*I51*$H$48*I51)</f>
        <v>68.1871113241976</v>
      </c>
      <c r="L51" s="78" t="n">
        <f aca="false">1000*($F$48-$E$48)*(1/$A51-1/$A$54)+($G$48+$H$48)*I51</f>
        <v>932.161468329097</v>
      </c>
      <c r="M51" s="78" t="n">
        <f aca="false">1000*($F$48+$E$48)*(1/$A51-1/$A$54)+($G$48-$H$48)*I51</f>
        <v>794.098631965461</v>
      </c>
      <c r="N51" s="45" t="n">
        <f aca="false">10000*J51/299792458</f>
        <v>0.0287909194215713</v>
      </c>
      <c r="O51" s="45" t="n">
        <f aca="false">10000*L51/299792458</f>
        <v>0.0310935596761776</v>
      </c>
      <c r="P51" s="45" t="n">
        <f aca="false">10000*M51/299792458</f>
        <v>0.0264882791669649</v>
      </c>
      <c r="Q51" s="13" t="n">
        <f aca="false">$Q$54+$N51</f>
        <v>25414.4444097406</v>
      </c>
      <c r="R51" s="13" t="n">
        <f aca="false">$Q$54+$O51</f>
        <v>25414.4467123809</v>
      </c>
      <c r="S51" s="13" t="n">
        <f aca="false">$Q$54+$P51</f>
        <v>25414.4421071004</v>
      </c>
      <c r="T51" s="38" t="n">
        <f aca="false">10000*K51/299792458</f>
        <v>0.00227447720930316</v>
      </c>
      <c r="U51" s="19" t="n">
        <f aca="false">100000000/Q51</f>
        <v>3934.77025850988</v>
      </c>
      <c r="V51" s="19" t="n">
        <f aca="false">T51/Q51*U51</f>
        <v>0.000352144045824371</v>
      </c>
    </row>
    <row collapsed="false" customFormat="true" customHeight="false" hidden="false" ht="12.8" outlineLevel="0" r="52" s="8">
      <c r="A52" s="8" t="n">
        <v>43</v>
      </c>
      <c r="B52" s="71" t="n">
        <f aca="false">0.00135</f>
        <v>0.00135</v>
      </c>
      <c r="C52" s="15"/>
      <c r="D52" s="15"/>
      <c r="E52" s="15"/>
      <c r="F52" s="15"/>
      <c r="G52" s="15"/>
      <c r="H52" s="15"/>
      <c r="I52" s="69" t="n">
        <f aca="false">0.1254</f>
        <v>0.1254</v>
      </c>
      <c r="J52" s="14" t="n">
        <f aca="false">1000*$F$48*(1/$A52-1/$A$54)+$G$48*I52</f>
        <v>688.512959415354</v>
      </c>
      <c r="K52" s="78" t="n">
        <f aca="false">SQRT(1000*$E$48*(1/$A52-1/$A$54)*1000*$E$48*(1/$A52-1/$A$54)+$H$48*I52*$H$48*I52)</f>
        <v>52.3269337416333</v>
      </c>
      <c r="L52" s="78" t="n">
        <f aca="false">1000*($F$48-$E$48)*(1/$A52-1/$A$54)+($G$48+$H$48)*I52</f>
        <v>741.214740810703</v>
      </c>
      <c r="M52" s="78" t="n">
        <f aca="false">1000*($F$48+$E$48)*(1/$A52-1/$A$54)+($G$48-$H$48)*I52</f>
        <v>635.811178020005</v>
      </c>
      <c r="N52" s="45" t="n">
        <f aca="false">10000*J52/299792458</f>
        <v>0.0229663202339585</v>
      </c>
      <c r="O52" s="45" t="n">
        <f aca="false">10000*L52/299792458</f>
        <v>0.0247242624366055</v>
      </c>
      <c r="P52" s="45" t="n">
        <f aca="false">10000*M52/299792458</f>
        <v>0.0212083780313114</v>
      </c>
      <c r="Q52" s="13" t="n">
        <f aca="false">$Q$54+$N52</f>
        <v>25414.4385851414</v>
      </c>
      <c r="R52" s="13" t="n">
        <f aca="false">$Q$54+$O52</f>
        <v>25414.4403430836</v>
      </c>
      <c r="S52" s="13" t="n">
        <f aca="false">$Q$54+$P52</f>
        <v>25414.4368271992</v>
      </c>
      <c r="T52" s="38" t="n">
        <f aca="false">10000*K52/299792458</f>
        <v>0.00174543863080216</v>
      </c>
      <c r="U52" s="19" t="n">
        <f aca="false">100000000/Q52</f>
        <v>3934.77116029882</v>
      </c>
      <c r="V52" s="19" t="n">
        <f aca="false">T52/Q52*U52</f>
        <v>0.000270236210945344</v>
      </c>
    </row>
    <row collapsed="false" customFormat="true" customHeight="false" hidden="false" ht="12.8" outlineLevel="0" r="53" s="8">
      <c r="A53" s="8" t="n">
        <v>42</v>
      </c>
      <c r="B53" s="71" t="n">
        <f aca="false">0.00647</f>
        <v>0.00647</v>
      </c>
      <c r="C53" s="15"/>
      <c r="D53" s="15"/>
      <c r="E53" s="15"/>
      <c r="F53" s="15"/>
      <c r="G53" s="15"/>
      <c r="H53" s="15"/>
      <c r="I53" s="69" t="n">
        <v>0.2153</v>
      </c>
      <c r="J53" s="14" t="n">
        <f aca="false">1000*$F$48*(1/$A53-1/$A$54)+$G$48*I53</f>
        <v>433.099911981909</v>
      </c>
      <c r="K53" s="78" t="n">
        <f aca="false">SQRT(1000*$E$48*(1/$A53-1/$A$54)*1000*$E$48*(1/$A53-1/$A$54)+$H$48*I53*$H$48*I53)</f>
        <v>35.7201258521248</v>
      </c>
      <c r="L53" s="78" t="n">
        <f aca="false">1000*($F$48-$E$48)*(1/$A53-1/$A$54)+($G$48+$H$48)*I53</f>
        <v>469.460097696195</v>
      </c>
      <c r="M53" s="78" t="n">
        <f aca="false">1000*($F$48+$E$48)*(1/$A53-1/$A$54)+($G$48-$H$48)*I53</f>
        <v>396.739726267623</v>
      </c>
      <c r="N53" s="45" t="n">
        <f aca="false">10000*J53/299792458</f>
        <v>0.0144466580270645</v>
      </c>
      <c r="O53" s="45" t="n">
        <f aca="false">10000*L53/299792458</f>
        <v>0.0156595032719667</v>
      </c>
      <c r="P53" s="45" t="n">
        <f aca="false">10000*M53/299792458</f>
        <v>0.0132338127821622</v>
      </c>
      <c r="Q53" s="13" t="n">
        <f aca="false">$Q$54+$N53</f>
        <v>25414.4300654792</v>
      </c>
      <c r="R53" s="13" t="n">
        <f aca="false">$Q$54+$O53</f>
        <v>25414.4312783245</v>
      </c>
      <c r="S53" s="13" t="n">
        <f aca="false">$Q$54+$P53</f>
        <v>25414.428852634</v>
      </c>
      <c r="T53" s="38" t="n">
        <f aca="false">10000*K53/299792458</f>
        <v>0.00119149514602281</v>
      </c>
      <c r="U53" s="19" t="n">
        <f aca="false">100000000/Q53</f>
        <v>3934.77247934949</v>
      </c>
      <c r="V53" s="19" t="n">
        <f aca="false">T53/Q53*U53</f>
        <v>0.000184472455127656</v>
      </c>
    </row>
    <row collapsed="false" customFormat="true" customHeight="false" hidden="false" ht="12.8" outlineLevel="0" r="54" s="5">
      <c r="A54" s="8" t="n">
        <v>40</v>
      </c>
      <c r="B54" s="71" t="n">
        <f aca="false">0.96941</f>
        <v>0.96941</v>
      </c>
      <c r="I54" s="69"/>
      <c r="J54" s="78"/>
      <c r="K54" s="78"/>
      <c r="L54" s="78"/>
      <c r="M54" s="78"/>
      <c r="Q54" s="38" t="n">
        <f aca="false">$H$25</f>
        <v>25414.4156188212</v>
      </c>
      <c r="R54" s="38" t="n">
        <f aca="false">$H$25</f>
        <v>25414.4156188212</v>
      </c>
      <c r="S54" s="38" t="n">
        <f aca="false">$H$25</f>
        <v>25414.4156188212</v>
      </c>
      <c r="T54" s="38" t="n">
        <f aca="false">I25</f>
        <v>1.66782047599076E-005</v>
      </c>
      <c r="U54" s="19" t="n">
        <f aca="false">100000000/Q54</f>
        <v>3934.77471604513</v>
      </c>
      <c r="V54" s="19" t="n">
        <f aca="false">T54/Q54*U54</f>
        <v>2.58219505742669E-006</v>
      </c>
      <c r="W54" s="44"/>
    </row>
    <row collapsed="false" customFormat="true" customHeight="false" hidden="false" ht="12.8" outlineLevel="0" r="55" s="5">
      <c r="A55" s="8" t="n">
        <f aca="false">A26</f>
        <v>3969</v>
      </c>
      <c r="B55" s="71"/>
      <c r="C55" s="15" t="n">
        <f aca="false">-H26/10000000*299792458/1822.888</f>
        <v>-414.300146909739</v>
      </c>
      <c r="D55" s="79" t="n">
        <f aca="false">-13.4</f>
        <v>-13.4</v>
      </c>
      <c r="E55" s="79" t="n">
        <f aca="false">30</f>
        <v>30</v>
      </c>
      <c r="F55" s="15" t="n">
        <f aca="false">SUM(C55:D55)</f>
        <v>-427.700146909739</v>
      </c>
      <c r="G55" s="5" t="n">
        <f aca="false">-284</f>
        <v>-284</v>
      </c>
      <c r="H55" s="5" t="n">
        <f aca="false">3</f>
        <v>3</v>
      </c>
      <c r="J55" s="78"/>
      <c r="K55" s="78"/>
      <c r="L55" s="78"/>
      <c r="M55" s="78"/>
      <c r="P55" s="0" t="s">
        <v>130</v>
      </c>
      <c r="Q55" s="13" t="n">
        <f aca="false">SUMPRODUCT(Q$56:Q$61,$B$56:$B$61)/SUM($B$56:$B$61)</f>
        <v>25191.5207301862</v>
      </c>
      <c r="R55" s="13" t="n">
        <f aca="false">SUMPRODUCT(R$56:R$61,$B$56:$B$61)/SUM($B$56:$B$61)</f>
        <v>25191.5207963668</v>
      </c>
      <c r="S55" s="13" t="n">
        <f aca="false">SUMPRODUCT(S$56:S$61,$B$56:$B$61)/SUM($B$56:$B$61)</f>
        <v>25191.5206640055</v>
      </c>
      <c r="T55" s="13" t="n">
        <f aca="false">0.5*(R55-S55)</f>
        <v>6.6180666181026E-005</v>
      </c>
      <c r="U55" s="19" t="n">
        <f aca="false">100000000/Q55</f>
        <v>3969.58965165502</v>
      </c>
      <c r="V55" s="19" t="n">
        <f aca="false">T55/Q55*U55</f>
        <v>1.04285124516933E-005</v>
      </c>
      <c r="W55" s="44"/>
    </row>
    <row collapsed="false" customFormat="true" customHeight="false" hidden="false" ht="12.8" outlineLevel="0" r="56" s="5">
      <c r="A56" s="8" t="n">
        <v>48</v>
      </c>
      <c r="B56" s="71" t="n">
        <f aca="false">0.00187</f>
        <v>0.00187</v>
      </c>
      <c r="I56" s="5" t="n">
        <f aca="false">I49</f>
        <v>-0.0044</v>
      </c>
      <c r="J56" s="14" t="n">
        <f aca="false">1000*$F$55*(1/$A56-1/$A$61)+$G$55*I56</f>
        <v>1783.33354545725</v>
      </c>
      <c r="K56" s="78" t="n">
        <f aca="false">SQRT(1000*$E$55*(1/$A56-1/$A$61)*1000*$E$55*(1/$A56-1/$A$61)+$H$55*I56*$H$55*I56)</f>
        <v>125.00000069696</v>
      </c>
      <c r="L56" s="78" t="n">
        <f aca="false">1000*($F$55-$E$55)*(1/$A56-1/$A$61)+($G$55+$H$55)*I56</f>
        <v>1908.32034545725</v>
      </c>
      <c r="M56" s="78" t="n">
        <f aca="false">1000*($F$55+$E$55)*(1/$A56-1/$A$61)+($G$55-$H$55)*I56</f>
        <v>1658.34674545725</v>
      </c>
      <c r="N56" s="45" t="n">
        <f aca="false">10000*J56/299792458</f>
        <v>0.0594856040526959</v>
      </c>
      <c r="O56" s="45" t="n">
        <f aca="false">10000*L56/299792458</f>
        <v>0.0636547149380671</v>
      </c>
      <c r="P56" s="45" t="n">
        <f aca="false">10000*M56/299792458</f>
        <v>0.0553164931673246</v>
      </c>
      <c r="Q56" s="13" t="n">
        <f aca="false">$Q$61+$N56</f>
        <v>25191.5793536589</v>
      </c>
      <c r="R56" s="13" t="n">
        <f aca="false">$Q$61+$O56</f>
        <v>25191.5835227698</v>
      </c>
      <c r="S56" s="13" t="n">
        <f aca="false">$Q$61+$P56</f>
        <v>25191.575184548</v>
      </c>
      <c r="T56" s="38" t="n">
        <f aca="false">10000*K56/299792458</f>
        <v>0.00416955121322499</v>
      </c>
      <c r="U56" s="19" t="n">
        <f aca="false">100000000/Q56</f>
        <v>3969.58041399956</v>
      </c>
      <c r="V56" s="19" t="n">
        <f aca="false">T56/Q56*U56</f>
        <v>0.000657019895371587</v>
      </c>
      <c r="W56" s="44"/>
    </row>
    <row collapsed="false" customFormat="true" customHeight="false" hidden="false" ht="12.8" outlineLevel="0" r="57" s="5">
      <c r="A57" s="8" t="n">
        <v>46</v>
      </c>
      <c r="B57" s="71" t="n">
        <f aca="false">0.00004</f>
        <v>4E-005</v>
      </c>
      <c r="I57" s="5" t="n">
        <f aca="false">I50</f>
        <v>0.1242</v>
      </c>
      <c r="J57" s="14" t="n">
        <f aca="false">1000*$F$55*(1/$A57-1/$A$61)+$G$55*I57</f>
        <v>1359.40159209698</v>
      </c>
      <c r="K57" s="78" t="n">
        <f aca="false">SQRT(1000*$E$55*(1/$A57-1/$A$61)*1000*$E$55*(1/$A57-1/$A$61)+$H$55*I57*$H$55*I57)</f>
        <v>97.8267965333884</v>
      </c>
      <c r="L57" s="78" t="n">
        <f aca="false">1000*($F$55-$E$55)*(1/$A57-1/$A$61)+($G$55+$H$55)*I57</f>
        <v>1457.6002790535</v>
      </c>
      <c r="M57" s="78" t="n">
        <f aca="false">1000*($F$55+$E$55)*(1/$A57-1/$A$61)+($G$55-$H$55)*I57</f>
        <v>1261.20290514045</v>
      </c>
      <c r="N57" s="45" t="n">
        <f aca="false">10000*J57/299792458</f>
        <v>0.0453447562078755</v>
      </c>
      <c r="O57" s="45" t="n">
        <f aca="false">10000*L57/299792458</f>
        <v>0.0486203118243054</v>
      </c>
      <c r="P57" s="45" t="n">
        <f aca="false">10000*M57/299792458</f>
        <v>0.0420692005914456</v>
      </c>
      <c r="Q57" s="13" t="n">
        <f aca="false">$Q$61+$N57</f>
        <v>25191.5652128111</v>
      </c>
      <c r="R57" s="13" t="n">
        <f aca="false">$Q$61+$O57</f>
        <v>25191.5684883667</v>
      </c>
      <c r="S57" s="13" t="n">
        <f aca="false">$Q$61+$P57</f>
        <v>25191.5619372554</v>
      </c>
      <c r="T57" s="38" t="n">
        <f aca="false">10000*K57/299792458</f>
        <v>0.00326315068717934</v>
      </c>
      <c r="U57" s="19" t="n">
        <f aca="false">100000000/Q57</f>
        <v>3969.58264225462</v>
      </c>
      <c r="V57" s="19" t="n">
        <f aca="false">T57/Q57*U57</f>
        <v>0.000514193787383285</v>
      </c>
      <c r="W57" s="44"/>
    </row>
    <row collapsed="false" customFormat="true" customHeight="false" hidden="false" ht="12.8" outlineLevel="0" r="58" s="5">
      <c r="A58" s="8" t="n">
        <v>44</v>
      </c>
      <c r="B58" s="71" t="n">
        <f aca="false">0.02086</f>
        <v>0.02086</v>
      </c>
      <c r="I58" s="5" t="n">
        <f aca="false">I51</f>
        <v>0.2832</v>
      </c>
      <c r="J58" s="14" t="n">
        <f aca="false">1000*$F$55*(1/$A58-1/$A$61)+$G$55*I58</f>
        <v>891.616988431225</v>
      </c>
      <c r="K58" s="78" t="n">
        <f aca="false">SQRT(1000*$E$55*(1/$A58-1/$A$61)*1000*$E$55*(1/$A58-1/$A$61)+$H$55*I58*$H$55*I58)</f>
        <v>68.1871113241976</v>
      </c>
      <c r="L58" s="78" t="n">
        <f aca="false">1000*($F$55-$E$55)*(1/$A58-1/$A$61)+($G$55+$H$55)*I58</f>
        <v>960.648406613043</v>
      </c>
      <c r="M58" s="78" t="n">
        <f aca="false">1000*($F$55+$E$55)*(1/$A58-1/$A$61)+($G$55-$H$55)*I58</f>
        <v>822.585570249407</v>
      </c>
      <c r="N58" s="45" t="n">
        <f aca="false">10000*J58/299792458</f>
        <v>0.0297411414009363</v>
      </c>
      <c r="O58" s="45" t="n">
        <f aca="false">10000*L58/299792458</f>
        <v>0.0320437816555426</v>
      </c>
      <c r="P58" s="45" t="n">
        <f aca="false">10000*M58/299792458</f>
        <v>0.0274385011463299</v>
      </c>
      <c r="Q58" s="13" t="n">
        <f aca="false">$Q$61+$N58</f>
        <v>25191.5496091962</v>
      </c>
      <c r="R58" s="13" t="n">
        <f aca="false">$Q$61+$O58</f>
        <v>25191.5519118365</v>
      </c>
      <c r="S58" s="13" t="n">
        <f aca="false">$Q$61+$P58</f>
        <v>25191.547306556</v>
      </c>
      <c r="T58" s="38" t="n">
        <f aca="false">10000*K58/299792458</f>
        <v>0.00227447720930316</v>
      </c>
      <c r="U58" s="19" t="n">
        <f aca="false">100000000/Q58</f>
        <v>3969.58510100922</v>
      </c>
      <c r="V58" s="19" t="n">
        <f aca="false">T58/Q58*U58</f>
        <v>0.000358403154339457</v>
      </c>
      <c r="W58" s="44"/>
    </row>
    <row collapsed="false" customFormat="true" customHeight="false" hidden="false" ht="12.8" outlineLevel="0" r="59" s="5">
      <c r="A59" s="8" t="n">
        <v>43</v>
      </c>
      <c r="B59" s="71" t="n">
        <f aca="false">0.00135</f>
        <v>0.00135</v>
      </c>
      <c r="I59" s="5" t="n">
        <f aca="false">I52</f>
        <v>0.1254</v>
      </c>
      <c r="J59" s="14" t="n">
        <f aca="false">1000*$F$55*(1/$A59-1/$A$61)+$G$55*I59</f>
        <v>710.375028330941</v>
      </c>
      <c r="K59" s="78" t="n">
        <f aca="false">SQRT(1000*$E$55*(1/$A59-1/$A$61)*1000*$E$55*(1/$A59-1/$A$61)+$H$55*I59*$H$55*I59)</f>
        <v>52.3269337416333</v>
      </c>
      <c r="L59" s="78" t="n">
        <f aca="false">1000*($F$55-$E$55)*(1/$A59-1/$A$61)+($G$55+$H$55)*I59</f>
        <v>763.076809726289</v>
      </c>
      <c r="M59" s="78" t="n">
        <f aca="false">1000*($F$55+$E$55)*(1/$A59-1/$A$61)+($G$55-$H$55)*I59</f>
        <v>657.673246935592</v>
      </c>
      <c r="N59" s="45" t="n">
        <f aca="false">10000*J59/299792458</f>
        <v>0.0236955603576572</v>
      </c>
      <c r="O59" s="45" t="n">
        <f aca="false">10000*L59/299792458</f>
        <v>0.0254535025603042</v>
      </c>
      <c r="P59" s="45" t="n">
        <f aca="false">10000*M59/299792458</f>
        <v>0.0219376181550101</v>
      </c>
      <c r="Q59" s="13" t="n">
        <f aca="false">$Q$61+$N59</f>
        <v>25191.5435636152</v>
      </c>
      <c r="R59" s="13" t="n">
        <f aca="false">$Q$61+$O59</f>
        <v>25191.5453215574</v>
      </c>
      <c r="S59" s="13" t="n">
        <f aca="false">$Q$61+$P59</f>
        <v>25191.541805673</v>
      </c>
      <c r="T59" s="38" t="n">
        <f aca="false">10000*K59/299792458</f>
        <v>0.00174543863080216</v>
      </c>
      <c r="U59" s="19" t="n">
        <f aca="false">100000000/Q59</f>
        <v>3969.58605364828</v>
      </c>
      <c r="V59" s="19" t="n">
        <f aca="false">T59/Q59*U59</f>
        <v>0.000275039472227436</v>
      </c>
      <c r="W59" s="44"/>
    </row>
    <row collapsed="false" customFormat="true" customHeight="false" hidden="false" ht="12.8" outlineLevel="0" r="60" s="5">
      <c r="A60" s="8" t="n">
        <v>42</v>
      </c>
      <c r="B60" s="71" t="n">
        <f aca="false">0.00647</f>
        <v>0.00647</v>
      </c>
      <c r="I60" s="5" t="n">
        <f aca="false">I53</f>
        <v>0.2153</v>
      </c>
      <c r="J60" s="14" t="n">
        <f aca="false">1000*$F$55*(1/$A60-1/$A$61)+$G$55*I60</f>
        <v>448.021641559214</v>
      </c>
      <c r="K60" s="78" t="n">
        <f aca="false">SQRT(1000*$E$55*(1/$A60-1/$A$61)*1000*$E$55*(1/$A60-1/$A$61)+$H$55*I60*$H$55*I60)</f>
        <v>35.7201258521248</v>
      </c>
      <c r="L60" s="78" t="n">
        <f aca="false">1000*($F$55-$E$55)*(1/$A60-1/$A$61)+($G$55+$H$55)*I60</f>
        <v>484.3818272735</v>
      </c>
      <c r="M60" s="78" t="n">
        <f aca="false">1000*($F$55+$E$55)*(1/$A60-1/$A$61)+($G$55-$H$55)*I60</f>
        <v>411.661455844928</v>
      </c>
      <c r="N60" s="45" t="n">
        <f aca="false">10000*J60/299792458</f>
        <v>0.014944393349589</v>
      </c>
      <c r="O60" s="45" t="n">
        <f aca="false">10000*L60/299792458</f>
        <v>0.0161572385944913</v>
      </c>
      <c r="P60" s="45" t="n">
        <f aca="false">10000*M60/299792458</f>
        <v>0.0137315481046868</v>
      </c>
      <c r="Q60" s="13" t="n">
        <f aca="false">$Q$61+$N60</f>
        <v>25191.5348124482</v>
      </c>
      <c r="R60" s="13" t="n">
        <f aca="false">$Q$61+$O60</f>
        <v>25191.5360252934</v>
      </c>
      <c r="S60" s="13" t="n">
        <f aca="false">$Q$61+$P60</f>
        <v>25191.533599603</v>
      </c>
      <c r="T60" s="38" t="n">
        <f aca="false">10000*K60/299792458</f>
        <v>0.00119149514602281</v>
      </c>
      <c r="U60" s="19" t="n">
        <f aca="false">100000000/Q60</f>
        <v>3969.58743262383</v>
      </c>
      <c r="V60" s="19" t="n">
        <f aca="false">T60/Q60*U60</f>
        <v>0.000187751329678702</v>
      </c>
      <c r="W60" s="44"/>
    </row>
    <row collapsed="false" customFormat="true" customHeight="false" hidden="false" ht="12.8" outlineLevel="0" r="61" s="5">
      <c r="A61" s="8" t="n">
        <v>40</v>
      </c>
      <c r="B61" s="71" t="n">
        <f aca="false">0.96941</f>
        <v>0.96941</v>
      </c>
      <c r="J61" s="78"/>
      <c r="K61" s="78"/>
      <c r="L61" s="78"/>
      <c r="M61" s="78"/>
      <c r="Q61" s="38" t="n">
        <f aca="false">$H$26</f>
        <v>25191.5198680549</v>
      </c>
      <c r="R61" s="38" t="n">
        <f aca="false">$H$26</f>
        <v>25191.5198680549</v>
      </c>
      <c r="S61" s="38" t="n">
        <f aca="false">$H$26</f>
        <v>25191.5198680549</v>
      </c>
      <c r="T61" s="38" t="n">
        <f aca="false">I26</f>
        <v>5.67058961836859E-005</v>
      </c>
      <c r="U61" s="19" t="n">
        <f aca="false">100000000/Q61</f>
        <v>3969.58978750659</v>
      </c>
      <c r="V61" s="19" t="n">
        <f aca="false">T61/Q61*U61</f>
        <v>8.93551272655108E-006</v>
      </c>
      <c r="W61" s="44"/>
    </row>
    <row collapsed="false" customFormat="true" customHeight="false" hidden="false" ht="12.8" outlineLevel="0" r="62" s="5">
      <c r="B62" s="10"/>
      <c r="L62" s="44"/>
      <c r="M62" s="44"/>
      <c r="AMI62" s="0"/>
      <c r="AMJ62" s="0"/>
    </row>
    <row collapsed="false" customFormat="false" customHeight="false" hidden="false" ht="12.8" outlineLevel="0" r="63">
      <c r="A63" s="0" t="s">
        <v>88</v>
      </c>
      <c r="B63" s="15"/>
      <c r="C63" s="15"/>
    </row>
    <row collapsed="false" customFormat="false" customHeight="false" hidden="false" ht="12.8" outlineLevel="0" r="65">
      <c r="A65" s="0" t="s">
        <v>89</v>
      </c>
    </row>
    <row collapsed="false" customFormat="false" customHeight="false" hidden="false" ht="12.8" outlineLevel="0" r="66">
      <c r="A66" s="0" t="s">
        <v>90</v>
      </c>
      <c r="B66" s="0" t="s">
        <v>91</v>
      </c>
      <c r="C66" s="0" t="s">
        <v>92</v>
      </c>
      <c r="D66" s="0" t="s">
        <v>93</v>
      </c>
    </row>
    <row collapsed="false" customFormat="false" customHeight="false" hidden="false" ht="12.8" outlineLevel="0" r="67">
      <c r="A67" s="0" t="s">
        <v>94</v>
      </c>
      <c r="B67" s="20" t="n">
        <f aca="false">-806.4020716</f>
        <v>-806.4020716</v>
      </c>
      <c r="C67" s="20" t="n">
        <f aca="false">0.00000008</f>
        <v>8E-008</v>
      </c>
      <c r="D67" s="0" t="s">
        <v>269</v>
      </c>
    </row>
    <row collapsed="false" customFormat="false" customHeight="false" hidden="false" ht="12.8" outlineLevel="0" r="68">
      <c r="A68" s="0" t="s">
        <v>96</v>
      </c>
      <c r="B68" s="30" t="n">
        <f aca="false">-145.4</f>
        <v>-145.4</v>
      </c>
      <c r="C68" s="30" t="n">
        <f aca="false">0.1</f>
        <v>0.1</v>
      </c>
      <c r="D68" s="0" t="s">
        <v>270</v>
      </c>
    </row>
    <row collapsed="false" customFormat="false" customHeight="false" hidden="false" ht="12.8" outlineLevel="0" r="69">
      <c r="A69" s="0" t="s">
        <v>98</v>
      </c>
      <c r="B69" s="30" t="n">
        <f aca="false">-31</f>
        <v>-31</v>
      </c>
      <c r="C69" s="30" t="n">
        <v>0.2</v>
      </c>
      <c r="D69" s="0" t="n">
        <f aca="false">D68</f>
        <v>0</v>
      </c>
    </row>
    <row collapsed="false" customFormat="false" customHeight="false" hidden="false" ht="13.8" outlineLevel="0" r="70">
      <c r="A70" s="0" t="s">
        <v>98</v>
      </c>
      <c r="B70" s="30" t="n">
        <f aca="false">-6.9</f>
        <v>-6.9</v>
      </c>
      <c r="C70" s="30" t="n">
        <f aca="false">1.7</f>
        <v>1.7</v>
      </c>
      <c r="D70" s="5" t="s">
        <v>271</v>
      </c>
    </row>
    <row collapsed="false" customFormat="false" customHeight="false" hidden="false" ht="12.8" outlineLevel="0" r="72">
      <c r="A72" s="0" t="s">
        <v>101</v>
      </c>
    </row>
    <row collapsed="false" customFormat="true" customHeight="false" hidden="false" ht="13.8" outlineLevel="0" r="73" s="26">
      <c r="A73" s="26" t="s">
        <v>102</v>
      </c>
      <c r="B73" s="26" t="s">
        <v>103</v>
      </c>
      <c r="C73" s="26" t="s">
        <v>104</v>
      </c>
      <c r="D73" s="26" t="s">
        <v>105</v>
      </c>
      <c r="E73" s="26" t="s">
        <v>106</v>
      </c>
      <c r="F73" s="26" t="s">
        <v>107</v>
      </c>
      <c r="G73" s="26" t="s">
        <v>108</v>
      </c>
      <c r="H73" s="26" t="s">
        <v>109</v>
      </c>
      <c r="I73" s="26" t="s">
        <v>110</v>
      </c>
      <c r="J73" s="26" t="s">
        <v>111</v>
      </c>
      <c r="K73" s="26" t="s">
        <v>112</v>
      </c>
    </row>
    <row collapsed="false" customFormat="false" customHeight="false" hidden="false" ht="12.8" outlineLevel="0" r="74">
      <c r="A74" s="0" t="n">
        <v>1.5</v>
      </c>
      <c r="B74" s="0" t="n">
        <v>5</v>
      </c>
      <c r="C74" s="0" t="n">
        <f aca="false">7/2</f>
        <v>3.5</v>
      </c>
      <c r="D74" s="0" t="n">
        <f aca="false">B74*(B74+1)-C74*(C74+1)-A74*(A74+1)</f>
        <v>10.5</v>
      </c>
      <c r="E74" s="30" t="n">
        <f aca="false">(3*D74*(D74+1)-4*C74*(C74+1)*A74*(A74+1))/(2*C74*(2*C74-1)*2*A74*(2*A74-1))</f>
        <v>0.5</v>
      </c>
      <c r="F74" s="0" t="n">
        <f aca="false">B69*D74/2</f>
        <v>-162.75</v>
      </c>
      <c r="G74" s="15" t="n">
        <f aca="false">ABS(C69*D74/2)</f>
        <v>1.05</v>
      </c>
      <c r="H74" s="15" t="n">
        <f aca="false">B70*E74/2</f>
        <v>-1.725</v>
      </c>
      <c r="I74" s="15" t="n">
        <f aca="false">ABS(C70*E74/2)</f>
        <v>0.425</v>
      </c>
      <c r="J74" s="15" t="n">
        <f aca="false">F74+H74</f>
        <v>-164.475</v>
      </c>
      <c r="K74" s="15" t="n">
        <f aca="false">SQRT(G74*G74+I74*I74)</f>
        <v>1.13275107592092</v>
      </c>
    </row>
    <row collapsed="false" customFormat="false" customHeight="false" hidden="false" ht="12.8" outlineLevel="0" r="75">
      <c r="A75" s="0" t="n">
        <v>1.5</v>
      </c>
      <c r="B75" s="0" t="n">
        <v>4</v>
      </c>
      <c r="C75" s="0" t="n">
        <f aca="false">C74</f>
        <v>3.5</v>
      </c>
      <c r="D75" s="0" t="n">
        <f aca="false">B75*(B75+1)-C75*(C75+1)-A75*(A75+1)</f>
        <v>0.5</v>
      </c>
      <c r="E75" s="30" t="n">
        <f aca="false">(3*D75*(D75+1)-4*C75*(C75+1)*A75*(A75+1))/(2*C75*(2*C75-1)*2*A75*(2*A75-1))</f>
        <v>-0.928571428571429</v>
      </c>
      <c r="F75" s="0" t="n">
        <f aca="false">B69*D75/2</f>
        <v>-7.75</v>
      </c>
      <c r="G75" s="15" t="n">
        <f aca="false">ABS(C69*D75/2)</f>
        <v>0.05</v>
      </c>
      <c r="H75" s="15" t="n">
        <f aca="false">B70*E75/2</f>
        <v>3.20357142857143</v>
      </c>
      <c r="I75" s="15" t="n">
        <f aca="false">ABS(C70*E75/2)</f>
        <v>0.789285714285714</v>
      </c>
      <c r="J75" s="15" t="n">
        <f aca="false">F75+H75</f>
        <v>-4.54642857142857</v>
      </c>
      <c r="K75" s="15" t="n">
        <f aca="false">SQRT(G75*G75+I75*I75)</f>
        <v>0.790867839006942</v>
      </c>
    </row>
    <row collapsed="false" customFormat="false" customHeight="false" hidden="false" ht="12.8" outlineLevel="0" r="76">
      <c r="A76" s="0" t="n">
        <v>1.5</v>
      </c>
      <c r="B76" s="0" t="n">
        <v>3</v>
      </c>
      <c r="C76" s="0" t="n">
        <f aca="false">C75</f>
        <v>3.5</v>
      </c>
      <c r="D76" s="0" t="n">
        <f aca="false">B76*(B76+1)-C76*(C76+1)-A76*(A76+1)</f>
        <v>-7.5</v>
      </c>
      <c r="E76" s="30" t="n">
        <f aca="false">(3*D76*(D76+1)-4*C76*(C76+1)*A76*(A76+1))/(2*C76*(2*C76-1)*2*A76*(2*A76-1))</f>
        <v>-0.357142857142857</v>
      </c>
      <c r="F76" s="0" t="n">
        <f aca="false">B69*D76/2</f>
        <v>116.25</v>
      </c>
      <c r="G76" s="15" t="n">
        <f aca="false">ABS(C69*D76/2)</f>
        <v>0.75</v>
      </c>
      <c r="H76" s="15" t="n">
        <f aca="false">B70*E76/2</f>
        <v>1.23214285714286</v>
      </c>
      <c r="I76" s="15" t="n">
        <f aca="false">ABS(C70*E76/2)</f>
        <v>0.303571428571429</v>
      </c>
      <c r="J76" s="15" t="n">
        <f aca="false">F76+H76</f>
        <v>117.482142857143</v>
      </c>
      <c r="K76" s="15" t="n">
        <f aca="false">SQRT(G76*G76+I76*I76)</f>
        <v>0.809107911372085</v>
      </c>
    </row>
    <row collapsed="false" customFormat="false" customHeight="false" hidden="false" ht="12.8" outlineLevel="0" r="77">
      <c r="A77" s="0" t="n">
        <v>1.5</v>
      </c>
      <c r="B77" s="0" t="n">
        <v>2</v>
      </c>
      <c r="C77" s="0" t="n">
        <f aca="false">C76</f>
        <v>3.5</v>
      </c>
      <c r="D77" s="0" t="n">
        <f aca="false">B77*(B77+1)-C77*(C77+1)-A77*(A77+1)</f>
        <v>-13.5</v>
      </c>
      <c r="E77" s="30" t="n">
        <f aca="false">(3*D77*(D77+1)-4*C77*(C77+1)*A77*(A77+1))/(2*C77*(2*C77-1)*2*A77*(2*A77-1))</f>
        <v>1.07142857142857</v>
      </c>
      <c r="F77" s="0" t="n">
        <f aca="false">B69*D77/2</f>
        <v>209.25</v>
      </c>
      <c r="G77" s="15" t="n">
        <f aca="false">ABS(C69*D77/2)</f>
        <v>1.35</v>
      </c>
      <c r="H77" s="15" t="n">
        <f aca="false">B70*E77/2</f>
        <v>-3.69642857142857</v>
      </c>
      <c r="I77" s="15" t="n">
        <f aca="false">ABS(C70*E77/2)</f>
        <v>0.910714285714286</v>
      </c>
      <c r="J77" s="15" t="n">
        <f aca="false">F77+H77</f>
        <v>205.553571428571</v>
      </c>
      <c r="K77" s="15" t="n">
        <f aca="false">SQRT(G77*G77+I77*I77)</f>
        <v>1.6284656920562</v>
      </c>
    </row>
    <row collapsed="false" customFormat="false" customHeight="false" hidden="false" ht="12.8" outlineLevel="0" r="78">
      <c r="A78" s="0" t="n">
        <v>0.5</v>
      </c>
      <c r="B78" s="0" t="n">
        <v>4</v>
      </c>
      <c r="C78" s="0" t="n">
        <f aca="false">C77</f>
        <v>3.5</v>
      </c>
      <c r="D78" s="0" t="n">
        <f aca="false">B78*(B78+1)-C78*(C78+1)-A78*(A78+1)</f>
        <v>3.5</v>
      </c>
      <c r="E78" s="30" t="n">
        <f aca="false">0</f>
        <v>0</v>
      </c>
      <c r="F78" s="0" t="n">
        <f aca="false">B68*D78/2</f>
        <v>-254.45</v>
      </c>
      <c r="G78" s="15" t="n">
        <f aca="false">ABS(C68*D78/2)</f>
        <v>0.175</v>
      </c>
      <c r="H78" s="15" t="n">
        <f aca="false">0</f>
        <v>0</v>
      </c>
      <c r="I78" s="15" t="n">
        <f aca="false">0</f>
        <v>0</v>
      </c>
      <c r="J78" s="15" t="n">
        <f aca="false">F78+H78</f>
        <v>-254.45</v>
      </c>
      <c r="K78" s="15" t="n">
        <f aca="false">SQRT(G78*G78+I78*I78)</f>
        <v>0.175</v>
      </c>
    </row>
    <row collapsed="false" customFormat="false" customHeight="false" hidden="false" ht="12.8" outlineLevel="0" r="79">
      <c r="A79" s="0" t="n">
        <v>0.5</v>
      </c>
      <c r="B79" s="0" t="n">
        <v>3</v>
      </c>
      <c r="C79" s="0" t="n">
        <f aca="false">C78</f>
        <v>3.5</v>
      </c>
      <c r="D79" s="0" t="n">
        <f aca="false">B79*(B79+1)-C79*(C79+1)-A79*(A79+1)</f>
        <v>-4.5</v>
      </c>
      <c r="E79" s="30" t="n">
        <f aca="false">0</f>
        <v>0</v>
      </c>
      <c r="F79" s="0" t="n">
        <f aca="false">B68*D79/2</f>
        <v>327.15</v>
      </c>
      <c r="G79" s="15" t="n">
        <f aca="false">ABS(C68*D79/2)</f>
        <v>0.225</v>
      </c>
      <c r="H79" s="15" t="n">
        <f aca="false">0</f>
        <v>0</v>
      </c>
      <c r="I79" s="15" t="n">
        <f aca="false">0</f>
        <v>0</v>
      </c>
      <c r="J79" s="15" t="n">
        <f aca="false">F79+H79</f>
        <v>327.15</v>
      </c>
      <c r="K79" s="15" t="n">
        <f aca="false">SQRT(G79*G79+I79*I79)</f>
        <v>0.225</v>
      </c>
    </row>
    <row collapsed="false" customFormat="false" customHeight="false" hidden="false" ht="12.8" outlineLevel="0" r="80">
      <c r="A80" s="0" t="n">
        <v>0.5</v>
      </c>
      <c r="B80" s="0" t="n">
        <v>4</v>
      </c>
      <c r="C80" s="0" t="n">
        <f aca="false">C79</f>
        <v>3.5</v>
      </c>
      <c r="D80" s="0" t="n">
        <f aca="false">B80*(B80+1)-C80*(C80+1)-A80*(A80+1)</f>
        <v>3.5</v>
      </c>
      <c r="E80" s="30" t="n">
        <f aca="false">0</f>
        <v>0</v>
      </c>
      <c r="F80" s="20" t="n">
        <f aca="false">B67*D80/2</f>
        <v>-1411.2036253</v>
      </c>
      <c r="G80" s="20" t="n">
        <f aca="false">ABS(C67*D80/2)</f>
        <v>1.4E-007</v>
      </c>
      <c r="H80" s="20" t="n">
        <f aca="false">0</f>
        <v>0</v>
      </c>
      <c r="I80" s="20" t="n">
        <f aca="false">0</f>
        <v>0</v>
      </c>
      <c r="J80" s="20" t="n">
        <f aca="false">F80+H80</f>
        <v>-1411.2036253</v>
      </c>
      <c r="K80" s="20" t="n">
        <f aca="false">SQRT(G80*G80+I80*I80)</f>
        <v>1.4E-007</v>
      </c>
    </row>
    <row collapsed="false" customFormat="false" customHeight="false" hidden="false" ht="12.8" outlineLevel="0" r="81">
      <c r="A81" s="0" t="n">
        <v>0.5</v>
      </c>
      <c r="B81" s="0" t="n">
        <v>3</v>
      </c>
      <c r="C81" s="0" t="n">
        <f aca="false">C80</f>
        <v>3.5</v>
      </c>
      <c r="D81" s="0" t="n">
        <f aca="false">B81*(B81+1)-C81*(C81+1)-A81*(A81+1)</f>
        <v>-4.5</v>
      </c>
      <c r="E81" s="30" t="n">
        <f aca="false">0</f>
        <v>0</v>
      </c>
      <c r="F81" s="20" t="n">
        <f aca="false">B67*D81/2</f>
        <v>1814.4046611</v>
      </c>
      <c r="G81" s="20" t="n">
        <f aca="false">ABS(C67*D81/2)</f>
        <v>1.8E-007</v>
      </c>
      <c r="H81" s="20" t="n">
        <f aca="false">0</f>
        <v>0</v>
      </c>
      <c r="I81" s="20" t="n">
        <f aca="false">0</f>
        <v>0</v>
      </c>
      <c r="J81" s="20" t="n">
        <f aca="false">F81+H81</f>
        <v>1814.4046611</v>
      </c>
      <c r="K81" s="20" t="n">
        <f aca="false">SQRT(G81*G81+I81*I81)</f>
        <v>1.8E-007</v>
      </c>
    </row>
    <row collapsed="false" customFormat="false" customHeight="false" hidden="false" ht="12.8" outlineLevel="0" r="83">
      <c r="A83" s="0" t="s">
        <v>272</v>
      </c>
    </row>
    <row collapsed="false" customFormat="false" customHeight="false" hidden="false" ht="36.15" outlineLevel="0" r="84">
      <c r="A84" s="0" t="s">
        <v>114</v>
      </c>
      <c r="B84" s="0" t="s">
        <v>115</v>
      </c>
      <c r="C84" s="6" t="s">
        <v>82</v>
      </c>
      <c r="D84" s="0" t="s">
        <v>116</v>
      </c>
      <c r="E84" s="0" t="s">
        <v>73</v>
      </c>
      <c r="F84" s="0" t="s">
        <v>117</v>
      </c>
      <c r="G84" s="0" t="s">
        <v>75</v>
      </c>
      <c r="H84" s="0" t="s">
        <v>76</v>
      </c>
      <c r="I84" s="0" t="s">
        <v>118</v>
      </c>
      <c r="J84" s="26" t="s">
        <v>119</v>
      </c>
      <c r="K84" s="26" t="s">
        <v>120</v>
      </c>
      <c r="L84" s="26" t="s">
        <v>121</v>
      </c>
      <c r="M84" s="0" t="s">
        <v>73</v>
      </c>
      <c r="N84" s="0" t="s">
        <v>117</v>
      </c>
      <c r="O84" s="0" t="s">
        <v>75</v>
      </c>
      <c r="P84" s="0" t="s">
        <v>76</v>
      </c>
    </row>
    <row collapsed="false" customFormat="false" customHeight="false" hidden="false" ht="12.8" outlineLevel="0" r="85">
      <c r="A85" s="0" t="n">
        <v>3</v>
      </c>
      <c r="B85" s="0" t="n">
        <v>5</v>
      </c>
      <c r="C85" s="65" t="n">
        <f aca="false">$C$25+$I$35+J74-J81</f>
        <v>761903713.589464</v>
      </c>
      <c r="D85" s="65" t="n">
        <f aca="false">SQRT($D$25*$D$25+$J$35*$J$35+K74*K74+K81*K81)</f>
        <v>21.8038863980157</v>
      </c>
      <c r="E85" s="45" t="n">
        <f aca="false">C85*10000/299792458</f>
        <v>25414.3722851581</v>
      </c>
      <c r="F85" s="45" t="n">
        <f aca="false">D85*10000/299792458</f>
        <v>0.00072729936381574</v>
      </c>
      <c r="G85" s="13" t="n">
        <f aca="false">100000000/E85</f>
        <v>3934.78142517018</v>
      </c>
      <c r="H85" s="13" t="n">
        <f aca="false">F85/E85*G85</f>
        <v>0.000112604159377626</v>
      </c>
      <c r="I85" s="0" t="s">
        <v>123</v>
      </c>
      <c r="J85" s="37"/>
      <c r="K85" s="37"/>
      <c r="L85" s="37"/>
      <c r="M85" s="13"/>
      <c r="N85" s="13"/>
      <c r="O85" s="19"/>
      <c r="P85" s="19"/>
    </row>
    <row collapsed="false" customFormat="false" customHeight="false" hidden="false" ht="12.8" outlineLevel="0" r="86">
      <c r="A86" s="0" t="n">
        <v>3</v>
      </c>
      <c r="B86" s="0" t="n">
        <v>4</v>
      </c>
      <c r="C86" s="65" t="n">
        <f aca="false">$C$25+$I$35+J75-J81</f>
        <v>761903873.518035</v>
      </c>
      <c r="D86" s="65" t="n">
        <f aca="false">SQRT($D$25*$D$25+$J$35*$J$35+K75*K75+K81*K81)</f>
        <v>21.7888000816096</v>
      </c>
      <c r="E86" s="45" t="n">
        <f aca="false">C86*10000/299792458</f>
        <v>25414.3776198011</v>
      </c>
      <c r="F86" s="45" t="n">
        <f aca="false">D86*10000/299792458</f>
        <v>0.000726796138467552</v>
      </c>
      <c r="G86" s="13" t="n">
        <f aca="false">100000000/E86</f>
        <v>3934.780599234</v>
      </c>
      <c r="H86" s="13" t="n">
        <f aca="false">F86/E86*G86</f>
        <v>0.000112526200248641</v>
      </c>
      <c r="J86" s="39" t="n">
        <f aca="false">6JSymbols!G29</f>
        <v>0.0148809523809524</v>
      </c>
      <c r="K86" s="39" t="n">
        <f aca="false">(2*A86+1)*(2*B86+1)*J86</f>
        <v>0.9375</v>
      </c>
      <c r="L86" s="40" t="n">
        <f aca="false">K86/SUM($K$86:$K$91)</f>
        <v>0.1171875</v>
      </c>
      <c r="M86" s="66" t="n">
        <f aca="false">SUMPRODUCT(E86:E88,L86:L88)/SUM(L86:L88)</f>
        <v>25414.3816491362</v>
      </c>
      <c r="N86" s="66" t="n">
        <f aca="false">SQRT(SUMPRODUCT(F86:F88,F86:F88,L86:L88)/SUM(L86:L88))</f>
        <v>0.000727358271893195</v>
      </c>
      <c r="O86" s="41" t="n">
        <f aca="false">100000000/M86</f>
        <v>3934.77997539235</v>
      </c>
      <c r="P86" s="41" t="n">
        <f aca="false">N86/M86*O86</f>
        <v>0.000112613196838437</v>
      </c>
    </row>
    <row collapsed="false" customFormat="false" customHeight="false" hidden="false" ht="12.8" outlineLevel="0" r="87">
      <c r="A87" s="0" t="n">
        <v>3</v>
      </c>
      <c r="B87" s="0" t="n">
        <v>3</v>
      </c>
      <c r="C87" s="65" t="n">
        <f aca="false">$C$25+$I$35+J76-J81</f>
        <v>761903995.546606</v>
      </c>
      <c r="D87" s="65" t="n">
        <f aca="false">SQRT($D$25*$D$25+$J$35*$J$35+K76*K76+K81*K81)</f>
        <v>21.7894697656877</v>
      </c>
      <c r="E87" s="45" t="n">
        <f aca="false">C87*10000/299792458</f>
        <v>25414.3816902361</v>
      </c>
      <c r="F87" s="45" t="n">
        <f aca="false">D87*10000/299792458</f>
        <v>0.000726818476723911</v>
      </c>
      <c r="G87" s="13" t="n">
        <f aca="false">100000000/E87</f>
        <v>3934.77996902907</v>
      </c>
      <c r="H87" s="13" t="n">
        <f aca="false">F87/E87*G87</f>
        <v>0.00011252962272272</v>
      </c>
      <c r="J87" s="43" t="n">
        <f aca="false">6JSymbols!G28</f>
        <v>0.0267857142857143</v>
      </c>
      <c r="K87" s="39" t="n">
        <f aca="false">(2*A87+1)*(2*B87+1)*J87</f>
        <v>1.3125</v>
      </c>
      <c r="L87" s="40" t="n">
        <f aca="false">K87/SUM($K$86:$K$91)</f>
        <v>0.1640625</v>
      </c>
      <c r="M87" s="66"/>
      <c r="N87" s="66"/>
      <c r="O87" s="41"/>
      <c r="P87" s="41"/>
    </row>
    <row collapsed="false" customFormat="false" customHeight="false" hidden="false" ht="12.8" outlineLevel="0" r="88">
      <c r="A88" s="0" t="n">
        <v>3</v>
      </c>
      <c r="B88" s="0" t="n">
        <v>2</v>
      </c>
      <c r="C88" s="65" t="n">
        <f aca="false">$C$25+$I$35+J77-J81</f>
        <v>761904083.618035</v>
      </c>
      <c r="D88" s="65" t="n">
        <f aca="false">SQRT($D$25*$D$25+$J$35*$J$35+K77*K77+K81*K81)</f>
        <v>21.8352521755023</v>
      </c>
      <c r="E88" s="45" t="n">
        <f aca="false">C88*10000/299792458</f>
        <v>25414.3846279827</v>
      </c>
      <c r="F88" s="45" t="n">
        <f aca="false">D88*10000/299792458</f>
        <v>0.000728345613534491</v>
      </c>
      <c r="G88" s="13" t="n">
        <f aca="false">100000000/E88</f>
        <v>3934.77951419269</v>
      </c>
      <c r="H88" s="13" t="n">
        <f aca="false">F88/E88*G88</f>
        <v>0.000112766035508573</v>
      </c>
      <c r="J88" s="43" t="n">
        <f aca="false">6JSymbols!G27</f>
        <v>0.0357142857142857</v>
      </c>
      <c r="K88" s="39" t="n">
        <f aca="false">(2*A88+1)*(2*B88+1)*J88</f>
        <v>1.25</v>
      </c>
      <c r="L88" s="40" t="n">
        <f aca="false">K88/SUM($K$86:$K$91)</f>
        <v>0.15625</v>
      </c>
      <c r="M88" s="66"/>
      <c r="N88" s="66"/>
      <c r="O88" s="41"/>
      <c r="P88" s="41"/>
    </row>
    <row collapsed="false" customFormat="false" customHeight="false" hidden="false" ht="12.8" outlineLevel="0" r="89">
      <c r="A89" s="0" t="n">
        <v>4</v>
      </c>
      <c r="B89" s="0" t="n">
        <v>5</v>
      </c>
      <c r="C89" s="65" t="n">
        <f aca="false">$C$25+$I$35+J74-J80</f>
        <v>761906939.19775</v>
      </c>
      <c r="D89" s="65" t="n">
        <f aca="false">SQRT($D$25*$D$25+$J$35*$J$35+K74*K74+K80*K80)</f>
        <v>21.8038863980157</v>
      </c>
      <c r="E89" s="45" t="n">
        <f aca="false">C89*10000/299792458</f>
        <v>25414.4798798691</v>
      </c>
      <c r="F89" s="45" t="n">
        <f aca="false">D89*10000/299792458</f>
        <v>0.00072729936381574</v>
      </c>
      <c r="G89" s="13" t="n">
        <f aca="false">100000000/E89</f>
        <v>3934.76476688435</v>
      </c>
      <c r="H89" s="13" t="n">
        <f aca="false">F89/E89*G89</f>
        <v>0.000112603205937981</v>
      </c>
      <c r="J89" s="39" t="n">
        <f aca="false">6JSymbols!G32</f>
        <v>0.0277777777777778</v>
      </c>
      <c r="K89" s="39" t="n">
        <f aca="false">(2*A89+1)*(2*B89+1)*J89</f>
        <v>2.75</v>
      </c>
      <c r="L89" s="40" t="n">
        <f aca="false">K89/SUM($K$86:$K$91)</f>
        <v>0.34375</v>
      </c>
      <c r="M89" s="66" t="n">
        <f aca="false">SUMPRODUCT(E89:E91,L89:L91)/SUM(L89:L91)</f>
        <v>25414.4823501892</v>
      </c>
      <c r="N89" s="66" t="n">
        <f aca="false">SQRT(SUMPRODUCT(F89:F91,F89:F91,L89:L91)/SUM(L89:L91))</f>
        <v>0.000727105877340733</v>
      </c>
      <c r="O89" s="41" t="n">
        <f aca="false">100000000/M89</f>
        <v>3934.76438442019</v>
      </c>
      <c r="P89" s="41" t="n">
        <f aca="false">N89/M89*O89</f>
        <v>0.000112573227754199</v>
      </c>
    </row>
    <row collapsed="false" customFormat="false" customHeight="false" hidden="false" ht="12.8" outlineLevel="0" r="90">
      <c r="A90" s="0" t="n">
        <v>4</v>
      </c>
      <c r="B90" s="0" t="n">
        <v>4</v>
      </c>
      <c r="C90" s="65" t="n">
        <f aca="false">$C$25+$I$35+J75-J80</f>
        <v>761907099.126321</v>
      </c>
      <c r="D90" s="65" t="n">
        <f aca="false">SQRT($D$25*$D$25+$J$35*$J$35+K75*K75+K80*K80)</f>
        <v>21.7888000816096</v>
      </c>
      <c r="E90" s="45" t="n">
        <f aca="false">C90*10000/299792458</f>
        <v>25414.485214512</v>
      </c>
      <c r="F90" s="45" t="n">
        <f aca="false">D90*10000/299792458</f>
        <v>0.000726796138467552</v>
      </c>
      <c r="G90" s="13" t="n">
        <f aca="false">100000000/E90</f>
        <v>3934.76394095516</v>
      </c>
      <c r="H90" s="13" t="n">
        <f aca="false">F90/E90*G90</f>
        <v>0.00011252524746929</v>
      </c>
      <c r="J90" s="43" t="n">
        <f aca="false">6JSymbols!G31</f>
        <v>0.0162037037037037</v>
      </c>
      <c r="K90" s="39" t="n">
        <f aca="false">(2*A90+1)*(2*B90+1)*J90</f>
        <v>1.3125</v>
      </c>
      <c r="L90" s="40" t="n">
        <f aca="false">K90/SUM($K$86:$K$91)</f>
        <v>0.1640625</v>
      </c>
      <c r="M90" s="66"/>
      <c r="N90" s="66"/>
      <c r="O90" s="41"/>
      <c r="P90" s="41"/>
    </row>
    <row collapsed="false" customFormat="false" customHeight="false" hidden="false" ht="12.8" outlineLevel="0" r="91">
      <c r="A91" s="0" t="n">
        <v>4</v>
      </c>
      <c r="B91" s="0" t="n">
        <v>3</v>
      </c>
      <c r="C91" s="65" t="n">
        <f aca="false">$C$25+$I$35+J76-J80</f>
        <v>761907221.154893</v>
      </c>
      <c r="D91" s="65" t="n">
        <f aca="false">SQRT($D$25*$D$25+$J$35*$J$35+K76*K76+K80*K80)</f>
        <v>21.7894697656877</v>
      </c>
      <c r="E91" s="45" t="n">
        <f aca="false">C91*10000/299792458</f>
        <v>25414.489284947</v>
      </c>
      <c r="F91" s="45" t="n">
        <f aca="false">D91*10000/299792458</f>
        <v>0.000726818476723911</v>
      </c>
      <c r="G91" s="13" t="n">
        <f aca="false">100000000/E91</f>
        <v>3934.76331075557</v>
      </c>
      <c r="H91" s="13" t="n">
        <f aca="false">F91/E91*G91</f>
        <v>0.000112528669914543</v>
      </c>
      <c r="J91" s="43" t="n">
        <f aca="false">6JSymbols!G30</f>
        <v>0.00694444444444444</v>
      </c>
      <c r="K91" s="39" t="n">
        <f aca="false">(2*A91+1)*(2*B91+1)*J91</f>
        <v>0.4375</v>
      </c>
      <c r="L91" s="40" t="n">
        <f aca="false">K91/SUM($K$86:$K$91)</f>
        <v>0.0546875</v>
      </c>
      <c r="M91" s="66"/>
      <c r="N91" s="66"/>
      <c r="O91" s="41"/>
      <c r="P91" s="41"/>
    </row>
    <row collapsed="false" customFormat="false" customHeight="false" hidden="false" ht="12.8" outlineLevel="0" r="92">
      <c r="A92" s="0" t="n">
        <v>4</v>
      </c>
      <c r="B92" s="0" t="n">
        <v>2</v>
      </c>
      <c r="C92" s="65" t="n">
        <f aca="false">$C$25+$I$35+J77-J80</f>
        <v>761907309.226321</v>
      </c>
      <c r="D92" s="65" t="n">
        <f aca="false">SQRT($D$25*$D$25+$J$35*$J$35+K77*K77+K80*K80)</f>
        <v>21.8352521755023</v>
      </c>
      <c r="E92" s="45" t="n">
        <f aca="false">C92*10000/299792458</f>
        <v>25414.4922226937</v>
      </c>
      <c r="F92" s="45" t="n">
        <f aca="false">D92*10000/299792458</f>
        <v>0.000728345613534491</v>
      </c>
      <c r="G92" s="13" t="n">
        <f aca="false">100000000/E92</f>
        <v>3934.76285592304</v>
      </c>
      <c r="H92" s="13" t="n">
        <f aca="false">F92/E92*G92</f>
        <v>0.000112765080698757</v>
      </c>
      <c r="I92" s="0" t="s">
        <v>123</v>
      </c>
      <c r="J92" s="43"/>
      <c r="K92" s="43"/>
      <c r="L92" s="44"/>
      <c r="M92" s="13"/>
      <c r="N92" s="19"/>
      <c r="O92" s="19"/>
    </row>
    <row collapsed="false" customFormat="false" customHeight="false" hidden="false" ht="12.8" outlineLevel="0" r="93">
      <c r="C93" s="36"/>
      <c r="D93" s="36"/>
      <c r="E93" s="45"/>
      <c r="F93" s="45"/>
      <c r="G93" s="13" t="n">
        <f aca="false">(G85-G92)/G85*299792458</f>
        <v>1414.79783517712</v>
      </c>
      <c r="H93" s="13"/>
    </row>
    <row collapsed="false" customFormat="false" customHeight="false" hidden="false" ht="12.8" outlineLevel="0" r="94">
      <c r="A94" s="0" t="s">
        <v>273</v>
      </c>
    </row>
    <row collapsed="false" customFormat="false" customHeight="false" hidden="false" ht="36.15" outlineLevel="0" r="95">
      <c r="A95" s="0" t="s">
        <v>114</v>
      </c>
      <c r="B95" s="0" t="s">
        <v>115</v>
      </c>
      <c r="C95" s="0" t="s">
        <v>82</v>
      </c>
      <c r="D95" s="0" t="s">
        <v>116</v>
      </c>
      <c r="E95" s="0" t="s">
        <v>73</v>
      </c>
      <c r="F95" s="0" t="s">
        <v>74</v>
      </c>
      <c r="G95" s="0" t="s">
        <v>75</v>
      </c>
      <c r="H95" s="0" t="s">
        <v>76</v>
      </c>
      <c r="I95" s="0" t="s">
        <v>118</v>
      </c>
      <c r="J95" s="26" t="s">
        <v>119</v>
      </c>
      <c r="K95" s="26" t="s">
        <v>120</v>
      </c>
      <c r="L95" s="26" t="s">
        <v>121</v>
      </c>
      <c r="M95" s="0" t="s">
        <v>73</v>
      </c>
      <c r="N95" s="0" t="s">
        <v>117</v>
      </c>
      <c r="O95" s="0" t="s">
        <v>75</v>
      </c>
      <c r="P95" s="0" t="s">
        <v>76</v>
      </c>
    </row>
    <row collapsed="false" customFormat="false" customHeight="false" hidden="false" ht="12.8" outlineLevel="0" r="96">
      <c r="A96" s="0" t="n">
        <v>3</v>
      </c>
      <c r="B96" s="0" t="n">
        <v>4</v>
      </c>
      <c r="C96" s="65" t="n">
        <f aca="false">$C$26+$I$42+J78-J81</f>
        <v>755221371.169423</v>
      </c>
      <c r="D96" s="65" t="n">
        <f aca="false">SQRT($D$26*$D$26+$J$42*$J$42+K78*K78+K81*K81)</f>
        <v>13.8628528332931</v>
      </c>
      <c r="E96" s="45" t="n">
        <f aca="false">C96*10000/299792458</f>
        <v>25191.4733348436</v>
      </c>
      <c r="F96" s="45" t="n">
        <f aca="false">D96*10000/299792458</f>
        <v>0.000462414996220257</v>
      </c>
      <c r="G96" s="13" t="n">
        <f aca="false">100000000/E96</f>
        <v>3969.59712005748</v>
      </c>
      <c r="H96" s="13" t="n">
        <f aca="false">F96/E96*G96</f>
        <v>7.28659738503029E-005</v>
      </c>
      <c r="J96" s="39" t="n">
        <f aca="false">6JSymbols!G24</f>
        <v>0.0416666666666667</v>
      </c>
      <c r="K96" s="39" t="n">
        <f aca="false">(2*A96+1)*(2*B96+1)*J96</f>
        <v>2.625</v>
      </c>
      <c r="L96" s="40" t="n">
        <f aca="false">K96/SUM($K$96:$K$99)</f>
        <v>0.328125</v>
      </c>
      <c r="M96" s="67" t="n">
        <f aca="false">SUMPRODUCT(E96:E97,L96:L97)/SUM(L96:L97)</f>
        <v>25191.4781848656</v>
      </c>
      <c r="N96" s="66" t="n">
        <f aca="false">SQRT(SUMPRODUCT(F96:F97,F96:F97,L96:L97)/SUM(L96:L97))</f>
        <v>0.000462421011611346</v>
      </c>
      <c r="O96" s="47" t="n">
        <f aca="false">100000000/M96</f>
        <v>3969.59635580565</v>
      </c>
      <c r="P96" s="47" t="n">
        <f aca="false">N96/M96*O96</f>
        <v>7.28668936800683E-005</v>
      </c>
    </row>
    <row collapsed="false" customFormat="false" customHeight="false" hidden="false" ht="12.8" outlineLevel="0" r="97">
      <c r="A97" s="0" t="n">
        <v>3</v>
      </c>
      <c r="B97" s="0" t="n">
        <v>3</v>
      </c>
      <c r="C97" s="65" t="n">
        <f aca="false">$C$26+$I$42+J79-J81</f>
        <v>755221952.769423</v>
      </c>
      <c r="D97" s="65" t="n">
        <f aca="false">SQRT($D$26*$D$26+$J$42*$J$42+K79*K79+K81*K81)</f>
        <v>13.8635741667704</v>
      </c>
      <c r="E97" s="45" t="n">
        <f aca="false">C97*10000/299792458</f>
        <v>25191.4927349314</v>
      </c>
      <c r="F97" s="45" t="n">
        <f aca="false">D97*10000/299792458</f>
        <v>0.000462439057315125</v>
      </c>
      <c r="G97" s="13" t="n">
        <f aca="false">100000000/E97</f>
        <v>3969.59406305195</v>
      </c>
      <c r="H97" s="13" t="n">
        <f aca="false">F97/E97*G97</f>
        <v>7.28696530911016E-005</v>
      </c>
      <c r="J97" s="43" t="n">
        <f aca="false">6JSymbols!G23</f>
        <v>0.0178571428571429</v>
      </c>
      <c r="K97" s="39" t="n">
        <f aca="false">(2*A97+1)*(2*B97+1)*J97</f>
        <v>0.875</v>
      </c>
      <c r="L97" s="40" t="n">
        <f aca="false">K97/SUM($K$96:$K$99)</f>
        <v>0.109375</v>
      </c>
      <c r="M97" s="67"/>
      <c r="N97" s="67"/>
      <c r="O97" s="47"/>
      <c r="P97" s="47"/>
    </row>
    <row collapsed="false" customFormat="false" customHeight="false" hidden="false" ht="12.8" outlineLevel="0" r="98">
      <c r="A98" s="0" t="n">
        <v>4</v>
      </c>
      <c r="B98" s="0" t="n">
        <v>4</v>
      </c>
      <c r="C98" s="65" t="n">
        <f aca="false">$C$26+$I$42+J78-J80</f>
        <v>755224596.77771</v>
      </c>
      <c r="D98" s="65" t="n">
        <f aca="false">SQRT($D$26*$D$26+$J$42*$J$42+K78*K78+K80*K80)</f>
        <v>13.8628528332931</v>
      </c>
      <c r="E98" s="45" t="n">
        <f aca="false">C98*10000/299792458</f>
        <v>25191.5809295546</v>
      </c>
      <c r="F98" s="45" t="n">
        <f aca="false">D98*10000/299792458</f>
        <v>0.000462414996220257</v>
      </c>
      <c r="G98" s="13" t="n">
        <f aca="false">100000000/E98</f>
        <v>3969.58016567673</v>
      </c>
      <c r="H98" s="13" t="n">
        <f aca="false">F98/E98*G98</f>
        <v>7.28653514219866E-005</v>
      </c>
      <c r="J98" s="39" t="n">
        <f aca="false">6JSymbols!G26</f>
        <v>0.0231481481481481</v>
      </c>
      <c r="K98" s="39" t="n">
        <f aca="false">(2*A98+1)*(2*B98+1)*J98</f>
        <v>1.875</v>
      </c>
      <c r="L98" s="40" t="n">
        <f aca="false">K98/SUM($K$96:$K$99)</f>
        <v>0.234375</v>
      </c>
      <c r="M98" s="67" t="n">
        <f aca="false">SUMPRODUCT(E98:E99,L98:L99)/SUM(L98:L99)</f>
        <v>25191.5922462725</v>
      </c>
      <c r="N98" s="66" t="n">
        <f aca="false">SQRT(SUMPRODUCT(F98:F99,F98:F99,L98:L99)/SUM(L98:L99))</f>
        <v>0.000462429032011076</v>
      </c>
      <c r="O98" s="47" t="n">
        <f aca="false">100000000/M98</f>
        <v>3969.57838243816</v>
      </c>
      <c r="P98" s="47" t="n">
        <f aca="false">N98/M98*O98</f>
        <v>7.28674976530945E-005</v>
      </c>
    </row>
    <row collapsed="false" customFormat="false" customHeight="false" hidden="false" ht="12.8" outlineLevel="0" r="99">
      <c r="A99" s="0" t="n">
        <v>4</v>
      </c>
      <c r="B99" s="0" t="n">
        <v>3</v>
      </c>
      <c r="C99" s="65" t="n">
        <f aca="false">$C$26+$I$42+J79-J80</f>
        <v>755225178.37771</v>
      </c>
      <c r="D99" s="65" t="n">
        <f aca="false">SQRT($D$26*$D$26+$J$42*$J$42+K79*K79+K80*K80)</f>
        <v>13.8635741667704</v>
      </c>
      <c r="E99" s="45" t="n">
        <f aca="false">C99*10000/299792458</f>
        <v>25191.6003296424</v>
      </c>
      <c r="F99" s="45" t="n">
        <f aca="false">D99*10000/299792458</f>
        <v>0.000462439057315125</v>
      </c>
      <c r="G99" s="13" t="n">
        <f aca="false">100000000/E99</f>
        <v>3969.57710869731</v>
      </c>
      <c r="H99" s="13" t="n">
        <f aca="false">F99/E99*G99</f>
        <v>7.28690306318362E-005</v>
      </c>
      <c r="J99" s="43" t="n">
        <f aca="false">6JSymbols!G25</f>
        <v>0.0416666666666667</v>
      </c>
      <c r="K99" s="39" t="n">
        <f aca="false">(2*A99+1)*(2*B99+1)*J99</f>
        <v>2.625</v>
      </c>
      <c r="L99" s="40" t="n">
        <f aca="false">K99/SUM($K$96:$K$99)</f>
        <v>0.328125</v>
      </c>
      <c r="M99" s="67"/>
      <c r="N99" s="67"/>
      <c r="O99" s="47"/>
      <c r="P99" s="47"/>
    </row>
    <row collapsed="false" customFormat="false" customHeight="false" hidden="false" ht="12.8" outlineLevel="0" r="100">
      <c r="G100" s="13" t="n">
        <f aca="false">(G96-G99)/G96*299792458</f>
        <v>1511.30068617249</v>
      </c>
    </row>
    <row collapsed="false" customFormat="true" customHeight="false" hidden="false" ht="47.35" outlineLevel="0" r="101" s="26">
      <c r="A101" s="26" t="s">
        <v>126</v>
      </c>
      <c r="B101" s="26" t="s">
        <v>170</v>
      </c>
      <c r="C101" s="49" t="s">
        <v>73</v>
      </c>
      <c r="D101" s="26" t="s">
        <v>74</v>
      </c>
      <c r="E101" s="26" t="s">
        <v>128</v>
      </c>
      <c r="F101" s="50" t="s">
        <v>129</v>
      </c>
      <c r="AMI101" s="0"/>
      <c r="AMJ101" s="0"/>
    </row>
    <row collapsed="false" customFormat="true" customHeight="false" hidden="false" ht="12.8" outlineLevel="0" r="102" s="8">
      <c r="A102" s="8" t="n">
        <v>3934</v>
      </c>
      <c r="B102" s="5" t="s">
        <v>130</v>
      </c>
      <c r="C102" s="52" t="n">
        <f aca="false">SUMPRODUCT(C103:C109,B103:B109)</f>
        <v>25414.4164376351</v>
      </c>
      <c r="D102" s="52" t="n">
        <f aca="false">N31</f>
        <v>8.61870593055027E-005</v>
      </c>
      <c r="E102" s="52" t="n">
        <f aca="false">100000000/C102</f>
        <v>3934.77458927266</v>
      </c>
      <c r="F102" s="52" t="n">
        <f aca="false">D102/C102*E102</f>
        <v>1.33438692842552E-005</v>
      </c>
      <c r="G102" s="52"/>
      <c r="H102" s="52"/>
      <c r="I102" s="52"/>
      <c r="J102" s="52"/>
      <c r="K102" s="52"/>
      <c r="L102" s="52"/>
      <c r="AMG102" s="0"/>
      <c r="AMH102" s="0"/>
      <c r="AMI102" s="0"/>
      <c r="AMJ102" s="0"/>
    </row>
    <row collapsed="false" customFormat="true" customHeight="false" hidden="false" ht="12.8" outlineLevel="0" r="103" s="8">
      <c r="A103" s="8" t="n">
        <v>48</v>
      </c>
      <c r="B103" s="71" t="inlineStr">
        <f aca="false">B49</f>
        <is>
          <t/>
        </is>
      </c>
      <c r="C103" s="81" t="n">
        <f aca="false">M32</f>
        <v>25414.4735252025</v>
      </c>
      <c r="D103" s="81" t="n">
        <f aca="false">T49</f>
        <v>0.00416955121322499</v>
      </c>
      <c r="E103" s="62" t="n">
        <f aca="false">100000000/C103</f>
        <v>3934.76575073783</v>
      </c>
      <c r="F103" s="62" t="n">
        <f aca="false">D103/C103*E103</f>
        <v>0.000645545826218894</v>
      </c>
      <c r="G103" s="52"/>
      <c r="H103" s="52"/>
      <c r="I103" s="52"/>
      <c r="J103" s="52"/>
      <c r="K103" s="52"/>
      <c r="L103" s="52"/>
      <c r="AMG103" s="0"/>
      <c r="AMH103" s="0"/>
      <c r="AMI103" s="0"/>
      <c r="AMJ103" s="0"/>
    </row>
    <row collapsed="false" customFormat="true" customHeight="false" hidden="false" ht="12.8" outlineLevel="0" r="104" s="8">
      <c r="A104" s="8" t="n">
        <v>46</v>
      </c>
      <c r="B104" s="71" t="inlineStr">
        <f aca="false">B50</f>
        <is>
          <t/>
        </is>
      </c>
      <c r="C104" s="81" t="n">
        <f aca="false">M33</f>
        <v>25414.4582707614</v>
      </c>
      <c r="D104" s="81" t="n">
        <f aca="false">T50</f>
        <v>0.00326315068717934</v>
      </c>
      <c r="E104" s="62" t="n">
        <f aca="false">100000000/C104</f>
        <v>3934.76811249001</v>
      </c>
      <c r="F104" s="62" t="n">
        <f aca="false">D104/C104*E104</f>
        <v>0.000505214045224598</v>
      </c>
      <c r="G104" s="52"/>
      <c r="H104" s="52"/>
      <c r="I104" s="52"/>
      <c r="J104" s="52"/>
      <c r="K104" s="52"/>
      <c r="L104" s="52"/>
      <c r="AMG104" s="0"/>
      <c r="AMH104" s="0"/>
      <c r="AMI104" s="0"/>
      <c r="AMJ104" s="0"/>
    </row>
    <row collapsed="false" customFormat="true" customHeight="false" hidden="false" ht="12.8" outlineLevel="0" r="105" s="8">
      <c r="A105" s="8" t="n">
        <v>44</v>
      </c>
      <c r="B105" s="71" t="inlineStr">
        <f aca="false">B51</f>
        <is>
          <t/>
        </is>
      </c>
      <c r="C105" s="81" t="n">
        <f aca="false">M34</f>
        <v>25414.4436449604</v>
      </c>
      <c r="D105" s="81" t="n">
        <f aca="false">T51</f>
        <v>0.00227447720930316</v>
      </c>
      <c r="E105" s="62" t="n">
        <f aca="false">100000000/C105</f>
        <v>3934.77037691634</v>
      </c>
      <c r="F105" s="62" t="n">
        <f aca="false">D105/C105*E105</f>
        <v>0.000352144067018051</v>
      </c>
      <c r="G105" s="52"/>
      <c r="H105" s="52"/>
      <c r="I105" s="52"/>
      <c r="J105" s="52"/>
      <c r="K105" s="52"/>
      <c r="L105" s="52"/>
      <c r="AMG105" s="0"/>
      <c r="AMH105" s="0"/>
      <c r="AMI105" s="0"/>
      <c r="AMJ105" s="0"/>
    </row>
    <row collapsed="false" customFormat="true" customHeight="false" hidden="false" ht="12.8" outlineLevel="0" r="106" s="8">
      <c r="A106" s="8" t="n">
        <v>43</v>
      </c>
      <c r="B106" s="71" t="n">
        <f aca="false">$B$52*SUM(L86:L88)/SUM($L$86:$L$91)</f>
        <v>0.000590625</v>
      </c>
      <c r="C106" s="62" t="n">
        <f aca="false">M$86</f>
        <v>25414.3816491362</v>
      </c>
      <c r="D106" s="62" t="n">
        <f aca="false">N$86</f>
        <v>0.000727358271893195</v>
      </c>
      <c r="E106" s="52" t="n">
        <f aca="false">100000000/C106</f>
        <v>3934.77997539235</v>
      </c>
      <c r="F106" s="52" t="n">
        <f aca="false">D106/C106*E106</f>
        <v>0.000112613196838437</v>
      </c>
      <c r="G106" s="52"/>
      <c r="H106" s="52"/>
      <c r="I106" s="52"/>
      <c r="J106" s="52"/>
      <c r="K106" s="52"/>
      <c r="L106" s="52"/>
      <c r="AMG106" s="0"/>
      <c r="AMH106" s="0"/>
      <c r="AMI106" s="0"/>
      <c r="AMJ106" s="0"/>
    </row>
    <row collapsed="false" customFormat="true" customHeight="false" hidden="false" ht="12.8" outlineLevel="0" r="107" s="8">
      <c r="A107" s="8" t="n">
        <v>43</v>
      </c>
      <c r="B107" s="71" t="n">
        <f aca="false">$B$52*SUM(L89:L91)/SUM($L$86:$L$91)</f>
        <v>0.000759375</v>
      </c>
      <c r="C107" s="62" t="n">
        <f aca="false">M$89</f>
        <v>25414.4823501892</v>
      </c>
      <c r="D107" s="62" t="n">
        <f aca="false">N$89</f>
        <v>0.000727105877340733</v>
      </c>
      <c r="E107" s="52" t="n">
        <f aca="false">100000000/C107</f>
        <v>3934.76438442019</v>
      </c>
      <c r="F107" s="52" t="n">
        <f aca="false">D107/C107*E107</f>
        <v>0.000112573227754199</v>
      </c>
      <c r="G107" s="52"/>
      <c r="H107" s="52"/>
      <c r="I107" s="52"/>
      <c r="J107" s="52"/>
      <c r="K107" s="52"/>
      <c r="L107" s="52"/>
      <c r="AMG107" s="0"/>
      <c r="AMH107" s="0"/>
      <c r="AMI107" s="0"/>
      <c r="AMJ107" s="0"/>
    </row>
    <row collapsed="false" customFormat="true" customHeight="false" hidden="false" ht="12.8" outlineLevel="0" r="108" s="8">
      <c r="A108" s="8" t="n">
        <v>42</v>
      </c>
      <c r="B108" s="71" t="inlineStr">
        <f aca="false">B53</f>
        <is>
          <t/>
        </is>
      </c>
      <c r="C108" s="81" t="n">
        <f aca="false">M36</f>
        <v>25414.4300835524</v>
      </c>
      <c r="D108" s="81" t="n">
        <f aca="false">T53</f>
        <v>0.00119149514602281</v>
      </c>
      <c r="E108" s="62" t="n">
        <f aca="false">100000000/C108</f>
        <v>3934.77247655132</v>
      </c>
      <c r="F108" s="62" t="n">
        <f aca="false">D108/C108*E108</f>
        <v>0.000184472454865285</v>
      </c>
      <c r="G108" s="52"/>
      <c r="H108" s="52"/>
      <c r="I108" s="52"/>
      <c r="J108" s="52"/>
      <c r="K108" s="52"/>
      <c r="L108" s="52"/>
      <c r="AMG108" s="0"/>
      <c r="AMH108" s="0"/>
      <c r="AMI108" s="0"/>
      <c r="AMJ108" s="0"/>
    </row>
    <row collapsed="false" customFormat="true" customHeight="false" hidden="false" ht="12.8" outlineLevel="0" r="109" s="8">
      <c r="A109" s="8" t="n">
        <v>40</v>
      </c>
      <c r="B109" s="71" t="inlineStr">
        <f aca="false">B54</f>
        <is>
          <t/>
        </is>
      </c>
      <c r="C109" s="52" t="n">
        <f aca="false">M37</f>
        <v>25414.4156188212</v>
      </c>
      <c r="D109" s="52" t="n">
        <f aca="false">T54</f>
        <v>1.66782047599076E-005</v>
      </c>
      <c r="E109" s="56" t="n">
        <f aca="false">100000000/C109</f>
        <v>3934.77471604513</v>
      </c>
      <c r="F109" s="56" t="n">
        <f aca="false">D109/C109*E109</f>
        <v>2.58219505742669E-006</v>
      </c>
      <c r="G109" s="52"/>
      <c r="H109" s="52"/>
      <c r="I109" s="52"/>
      <c r="J109" s="52"/>
      <c r="K109" s="52"/>
      <c r="L109" s="52"/>
      <c r="AMG109" s="0"/>
      <c r="AMH109" s="0"/>
      <c r="AMI109" s="0"/>
      <c r="AMJ109" s="0"/>
    </row>
    <row collapsed="false" customFormat="true" customHeight="false" hidden="false" ht="12.8" outlineLevel="0" r="110" s="8">
      <c r="A110" s="8" t="n">
        <v>3969</v>
      </c>
      <c r="B110" s="5" t="s">
        <v>130</v>
      </c>
      <c r="C110" s="52" t="n">
        <f aca="false">SUMPRODUCT(C111:C117,B111:B117)</f>
        <v>25191.5207285402</v>
      </c>
      <c r="D110" s="52" t="n">
        <f aca="false">T55</f>
        <v>6.6180666181026E-005</v>
      </c>
      <c r="E110" s="52" t="n">
        <f aca="false">100000000/C110</f>
        <v>3969.58965191438</v>
      </c>
      <c r="F110" s="52" t="n">
        <f aca="false">D110/C110*E110</f>
        <v>1.0428512453056E-005</v>
      </c>
      <c r="G110" s="52"/>
      <c r="H110" s="52"/>
      <c r="I110" s="52"/>
      <c r="J110" s="52"/>
      <c r="K110" s="52"/>
      <c r="L110" s="52"/>
      <c r="AMG110" s="0"/>
      <c r="AMH110" s="0"/>
      <c r="AMI110" s="0"/>
      <c r="AMJ110" s="0"/>
    </row>
    <row collapsed="false" customFormat="true" customHeight="false" hidden="false" ht="12.8" outlineLevel="0" r="111" s="8">
      <c r="A111" s="8" t="n">
        <v>48</v>
      </c>
      <c r="B111" s="71" t="inlineStr">
        <f aca="false">B56</f>
        <is>
          <t/>
        </is>
      </c>
      <c r="C111" s="81" t="n">
        <f aca="false">Q56</f>
        <v>25191.5793536589</v>
      </c>
      <c r="D111" s="81" t="n">
        <f aca="false">T56</f>
        <v>0.00416955121322499</v>
      </c>
      <c r="E111" s="62" t="n">
        <f aca="false">100000000/C111</f>
        <v>3969.58041399956</v>
      </c>
      <c r="F111" s="62" t="n">
        <f aca="false">D111/C111*E111</f>
        <v>0.000657019895371587</v>
      </c>
      <c r="G111" s="52"/>
      <c r="H111" s="52"/>
      <c r="I111" s="52"/>
      <c r="J111" s="52"/>
      <c r="K111" s="52"/>
      <c r="L111" s="52"/>
      <c r="AMG111" s="0"/>
      <c r="AMH111" s="0"/>
      <c r="AMI111" s="0"/>
      <c r="AMJ111" s="0"/>
    </row>
    <row collapsed="false" customFormat="true" customHeight="false" hidden="false" ht="12.8" outlineLevel="0" r="112" s="8">
      <c r="A112" s="8" t="n">
        <v>46</v>
      </c>
      <c r="B112" s="71" t="inlineStr">
        <f aca="false">B57</f>
        <is>
          <t/>
        </is>
      </c>
      <c r="C112" s="81" t="n">
        <f aca="false">Q57</f>
        <v>25191.5652128111</v>
      </c>
      <c r="D112" s="81" t="n">
        <f aca="false">T57</f>
        <v>0.00326315068717934</v>
      </c>
      <c r="E112" s="62" t="n">
        <f aca="false">100000000/C112</f>
        <v>3969.58264225462</v>
      </c>
      <c r="F112" s="62" t="n">
        <f aca="false">D112/C112*E112</f>
        <v>0.000514193787383285</v>
      </c>
      <c r="G112" s="52"/>
      <c r="H112" s="52"/>
      <c r="I112" s="52"/>
      <c r="J112" s="52"/>
      <c r="K112" s="52"/>
      <c r="L112" s="52"/>
      <c r="AMG112" s="0"/>
      <c r="AMH112" s="0"/>
      <c r="AMI112" s="0"/>
      <c r="AMJ112" s="0"/>
    </row>
    <row collapsed="false" customFormat="true" customHeight="false" hidden="false" ht="12.8" outlineLevel="0" r="113" s="8">
      <c r="A113" s="8" t="n">
        <v>44</v>
      </c>
      <c r="B113" s="71" t="inlineStr">
        <f aca="false">B58</f>
        <is>
          <t/>
        </is>
      </c>
      <c r="C113" s="81" t="n">
        <f aca="false">Q58</f>
        <v>25191.5496091962</v>
      </c>
      <c r="D113" s="81" t="n">
        <f aca="false">T58</f>
        <v>0.00227447720930316</v>
      </c>
      <c r="E113" s="62" t="n">
        <f aca="false">100000000/C113</f>
        <v>3969.58510100922</v>
      </c>
      <c r="F113" s="62" t="n">
        <f aca="false">D113/C113*E113</f>
        <v>0.000358403154339457</v>
      </c>
      <c r="G113" s="52"/>
      <c r="H113" s="52"/>
      <c r="I113" s="52"/>
      <c r="J113" s="52"/>
      <c r="K113" s="52"/>
      <c r="L113" s="52"/>
      <c r="AMG113" s="0"/>
      <c r="AMH113" s="0"/>
      <c r="AMI113" s="0"/>
      <c r="AMJ113" s="0"/>
    </row>
    <row collapsed="false" customFormat="true" customHeight="false" hidden="false" ht="12.8" outlineLevel="0" r="114" s="8">
      <c r="A114" s="8" t="n">
        <v>43</v>
      </c>
      <c r="B114" s="71" t="n">
        <f aca="false">$B$59*SUM(L96:L97)/SUM($L$96:$L$99)</f>
        <v>0.000590625</v>
      </c>
      <c r="C114" s="62" t="n">
        <f aca="false">M$96</f>
        <v>25191.4781848656</v>
      </c>
      <c r="D114" s="62" t="n">
        <f aca="false">N$96</f>
        <v>0.000462421011611346</v>
      </c>
      <c r="E114" s="52" t="n">
        <f aca="false">100000000/C114</f>
        <v>3969.59635580565</v>
      </c>
      <c r="F114" s="52" t="n">
        <f aca="false">D114/C114*E114</f>
        <v>7.28668936800683E-005</v>
      </c>
      <c r="G114" s="52"/>
      <c r="H114" s="52"/>
      <c r="I114" s="52"/>
      <c r="J114" s="52"/>
      <c r="K114" s="52"/>
      <c r="L114" s="52"/>
      <c r="AMG114" s="0"/>
      <c r="AMH114" s="0"/>
      <c r="AMI114" s="0"/>
      <c r="AMJ114" s="0"/>
    </row>
    <row collapsed="false" customFormat="true" customHeight="false" hidden="false" ht="12.8" outlineLevel="0" r="115" s="8">
      <c r="A115" s="8" t="n">
        <v>43</v>
      </c>
      <c r="B115" s="71" t="n">
        <f aca="false">$B$59*SUM(L98:L99)/SUM($L$96:$L$99)</f>
        <v>0.000759375</v>
      </c>
      <c r="C115" s="62" t="n">
        <f aca="false">M$98</f>
        <v>25191.5922462725</v>
      </c>
      <c r="D115" s="62" t="n">
        <f aca="false">N$98</f>
        <v>0.000462429032011076</v>
      </c>
      <c r="E115" s="52" t="n">
        <f aca="false">100000000/C115</f>
        <v>3969.57838243816</v>
      </c>
      <c r="F115" s="52" t="n">
        <f aca="false">D115/C115*E115</f>
        <v>7.28674976530945E-005</v>
      </c>
      <c r="G115" s="52"/>
      <c r="H115" s="52"/>
      <c r="I115" s="52"/>
      <c r="J115" s="52"/>
      <c r="K115" s="52"/>
      <c r="L115" s="52"/>
      <c r="AMG115" s="0"/>
      <c r="AMH115" s="0"/>
      <c r="AMI115" s="0"/>
      <c r="AMJ115" s="0"/>
    </row>
    <row collapsed="false" customFormat="true" customHeight="false" hidden="false" ht="12.8" outlineLevel="0" r="116" s="8">
      <c r="A116" s="8" t="n">
        <v>42</v>
      </c>
      <c r="B116" s="71" t="inlineStr">
        <f aca="false">B60</f>
        <is>
          <t/>
        </is>
      </c>
      <c r="C116" s="81" t="n">
        <f aca="false">Q60</f>
        <v>25191.5348124482</v>
      </c>
      <c r="D116" s="81" t="n">
        <f aca="false">T60</f>
        <v>0.00119149514602281</v>
      </c>
      <c r="E116" s="62" t="n">
        <f aca="false">100000000/C116</f>
        <v>3969.58743262383</v>
      </c>
      <c r="F116" s="62" t="n">
        <f aca="false">D116/C116*E116</f>
        <v>0.000187751329678702</v>
      </c>
      <c r="G116" s="52"/>
      <c r="H116" s="52"/>
      <c r="I116" s="52"/>
      <c r="J116" s="52"/>
      <c r="K116" s="52"/>
      <c r="L116" s="52"/>
      <c r="AMG116" s="0"/>
      <c r="AMH116" s="0"/>
      <c r="AMI116" s="0"/>
      <c r="AMJ116" s="0"/>
    </row>
    <row collapsed="false" customFormat="true" customHeight="false" hidden="false" ht="12.8" outlineLevel="0" r="117" s="8">
      <c r="A117" s="8" t="n">
        <v>40</v>
      </c>
      <c r="B117" s="71" t="inlineStr">
        <f aca="false">B61</f>
        <is>
          <t/>
        </is>
      </c>
      <c r="C117" s="52" t="n">
        <f aca="false">Q61</f>
        <v>25191.5198680549</v>
      </c>
      <c r="D117" s="52" t="n">
        <f aca="false">T61</f>
        <v>5.67058961836859E-005</v>
      </c>
      <c r="E117" s="56" t="n">
        <f aca="false">100000000/C117</f>
        <v>3969.58978750659</v>
      </c>
      <c r="F117" s="56" t="n">
        <f aca="false">D117/C117*E117</f>
        <v>8.93551272655108E-006</v>
      </c>
      <c r="G117" s="52"/>
      <c r="H117" s="52"/>
      <c r="I117" s="52"/>
      <c r="J117" s="52"/>
      <c r="K117" s="52"/>
      <c r="L117" s="52"/>
      <c r="AMG117" s="0"/>
      <c r="AMH117" s="0"/>
      <c r="AMI117" s="0"/>
      <c r="AMJ117" s="0"/>
    </row>
    <row collapsed="false" customFormat="true" customHeight="false" hidden="false" ht="12.8" outlineLevel="0" r="118" s="8">
      <c r="B118" s="54"/>
      <c r="C118" s="56"/>
      <c r="D118" s="56"/>
      <c r="E118" s="57"/>
      <c r="F118" s="57"/>
      <c r="G118" s="52"/>
      <c r="H118" s="52"/>
      <c r="I118" s="52"/>
      <c r="J118" s="52"/>
      <c r="K118" s="52"/>
      <c r="L118" s="52"/>
      <c r="AMG118" s="0"/>
      <c r="AMH118" s="0"/>
      <c r="AMI118" s="0"/>
      <c r="AMJ118" s="0"/>
    </row>
    <row collapsed="false" customFormat="false" customHeight="false" hidden="false" ht="12.8" outlineLevel="0" r="120">
      <c r="A120" s="0" t="s">
        <v>18</v>
      </c>
    </row>
    <row collapsed="false" customFormat="false" customHeight="false" hidden="false" ht="13.8" outlineLevel="0" r="121">
      <c r="A121" s="0" t="s">
        <v>274</v>
      </c>
      <c r="B121" s="7" t="s">
        <v>275</v>
      </c>
    </row>
    <row collapsed="false" customFormat="false" customHeight="false" hidden="false" ht="13.8" outlineLevel="0" r="122">
      <c r="A122" s="8" t="s">
        <v>230</v>
      </c>
      <c r="B122" s="76" t="s">
        <v>231</v>
      </c>
    </row>
    <row collapsed="false" customFormat="false" customHeight="false" hidden="false" ht="13.8" outlineLevel="0" r="123">
      <c r="A123" s="8" t="s">
        <v>276</v>
      </c>
      <c r="B123" s="76" t="s">
        <v>277</v>
      </c>
    </row>
    <row collapsed="false" customFormat="false" customHeight="false" hidden="false" ht="13.8" outlineLevel="0" r="124">
      <c r="A124" s="8" t="s">
        <v>278</v>
      </c>
      <c r="B124" s="76" t="s">
        <v>279</v>
      </c>
    </row>
    <row collapsed="false" customFormat="false" customHeight="false" hidden="false" ht="13.8" outlineLevel="0" r="125">
      <c r="A125" s="82" t="s">
        <v>280</v>
      </c>
      <c r="B125" s="76" t="s">
        <v>281</v>
      </c>
    </row>
    <row collapsed="false" customFormat="false" customHeight="false" hidden="false" ht="13.8" outlineLevel="0" r="126">
      <c r="A126" s="8" t="s">
        <v>282</v>
      </c>
      <c r="B126" s="76" t="s">
        <v>283</v>
      </c>
    </row>
    <row collapsed="false" customFormat="false" customHeight="false" hidden="false" ht="13.8" outlineLevel="0" r="127">
      <c r="A127" s="5" t="s">
        <v>284</v>
      </c>
      <c r="B127" s="7" t="s">
        <v>285</v>
      </c>
    </row>
    <row collapsed="false" customFormat="false" customHeight="false" hidden="false" ht="13.8" outlineLevel="0" r="128">
      <c r="A128" s="5" t="s">
        <v>157</v>
      </c>
      <c r="B128" s="7" t="s">
        <v>158</v>
      </c>
    </row>
    <row collapsed="false" customFormat="false" customHeight="false" hidden="false" ht="13.8" outlineLevel="0" r="129">
      <c r="A129" s="5" t="s">
        <v>286</v>
      </c>
      <c r="B129" s="7" t="s">
        <v>287</v>
      </c>
    </row>
    <row collapsed="false" customFormat="false" customHeight="false" hidden="false" ht="13.8" outlineLevel="0" r="130">
      <c r="A130" s="5" t="s">
        <v>288</v>
      </c>
      <c r="B130" s="7" t="s">
        <v>289</v>
      </c>
    </row>
    <row collapsed="false" customFormat="false" customHeight="false" hidden="false" ht="13.8" outlineLevel="0" r="131">
      <c r="A131" s="5" t="s">
        <v>290</v>
      </c>
      <c r="B131" s="7" t="s">
        <v>291</v>
      </c>
    </row>
  </sheetData>
  <mergeCells count="19">
    <mergeCell ref="C29:F29"/>
    <mergeCell ref="G29:H29"/>
    <mergeCell ref="C46:H46"/>
    <mergeCell ref="M86:M88"/>
    <mergeCell ref="N86:N88"/>
    <mergeCell ref="O86:O88"/>
    <mergeCell ref="P86:P88"/>
    <mergeCell ref="M89:M91"/>
    <mergeCell ref="N89:N91"/>
    <mergeCell ref="O89:O91"/>
    <mergeCell ref="P89:P91"/>
    <mergeCell ref="M96:M97"/>
    <mergeCell ref="N96:N97"/>
    <mergeCell ref="O96:O97"/>
    <mergeCell ref="P96:P97"/>
    <mergeCell ref="M98:M99"/>
    <mergeCell ref="N98:N99"/>
    <mergeCell ref="O98:O99"/>
    <mergeCell ref="P98:P99"/>
  </mergeCells>
  <hyperlinks>
    <hyperlink display="http://adsabs.harvard.edu/abs/1994ZPhyD..31...27A" ref="B121" r:id="rId1"/>
    <hyperlink display="http://adsabs.harvard.edu/abs/2003PhRvA..68b2502B" ref="B122" r:id="rId2"/>
    <hyperlink display="http://adsabs.harvard.edu/abs/1995ZPhyD..34..227K" ref="B123" r:id="rId3"/>
    <hyperlink display="http://adsabs.harvard.edu/abs/1992PhRvA..45..524M" ref="B124" r:id="rId4"/>
    <hyperlink display="http://adsabs.harvard.edu/abs/1992PhRvA..45.4675M" ref="B125" r:id="rId5"/>
    <hyperlink display="http://adsabs.harvard.edu/abs/1998EPJD....2...33N" ref="B126" r:id="rId6"/>
    <hyperlink display="http://adsabs.harvard.edu/abs/1984JPhB...17.2197P" ref="B127" r:id="rId7"/>
    <hyperlink display="http://adsabs.harvard.edu/abs/1998JPCRD..27.1275R" ref="B128" r:id="rId8"/>
    <hyperlink display="http://adsabs.harvard.edu/abs/2001PhRvA..64e2501S" ref="B129" r:id="rId9"/>
    <hyperlink display="http://adsabs.harvard.edu/abs/2008PhRvA..78c2511W" ref="B130" r:id="rId10"/>
    <hyperlink display="http://adsabs.harvard.edu/abs/2009PhRvL.102v3901W" ref="B131" r:id="rId11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668422</TotalTime>
  <Application>LibreOffice/3.5$MacOSX_x86 LibreOffice_project/7e68ba2-a744ebf-1f241b7-c506db1-7d53735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2012-03-29T10:41:40.00Z</dcterms:created>
  <cp:lastModifiedBy>Michael Murphy</cp:lastModifiedBy>
  <dcterms:modified xsi:type="dcterms:W3CDTF">2013-10-18T11:33:01.00Z</dcterms:modified>
  <cp:revision>1446</cp:revision>
</cp:coreProperties>
</file>