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598" windowHeight="8192" windowWidth="16384" xWindow="0" yWindow="0"/>
  </bookViews>
  <sheets>
    <sheet name="Sheet1" sheetId="1" state="visible" r:id="rId2"/>
    <sheet name="MgI" sheetId="2" state="visible" r:id="rId3"/>
    <sheet name="MgII" sheetId="3" state="visible" r:id="rId4"/>
    <sheet name="AlII" sheetId="4" state="visible" r:id="rId5"/>
    <sheet name="AlIII" sheetId="5" state="visible" r:id="rId6"/>
    <sheet name="SiII" sheetId="6" state="visible" r:id="rId7"/>
    <sheet name="SiIV" sheetId="7" state="visible" r:id="rId8"/>
    <sheet name="TiII" sheetId="8" state="visible" r:id="rId9"/>
    <sheet name="CrII" sheetId="9" state="visible" r:id="rId10"/>
    <sheet name="MnII" sheetId="10" state="visible" r:id="rId11"/>
    <sheet name="FeII" sheetId="11" state="visible" r:id="rId12"/>
    <sheet name="NiII" sheetId="12" state="visible" r:id="rId13"/>
    <sheet name="ZnII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<sst xmlns="http://schemas.openxmlformats.org/spreadsheetml/2006/main" count="1145" uniqueCount="319">
  <si>
    <t>X</t>
  </si>
  <si>
    <t>0 – Measured wavelength; 1 – Inferred from component wavelengths; 2 – Inferred from measured composite wavelength and measured component splitting; 3 – Inferred from measured composite wavelength and calculated component splitting; 4 – Calculated component splitting.</t>
  </si>
  <si>
    <t>Oscillator strengths (f) and damping constants (Gamma) are taken from Morton:2003:205</t>
  </si>
  <si>
    <t>q and dq values taken from Beregut:2010arXiv1011.4136, or Berengut:2006:PhD for FeII2260,2249,2367</t>
  </si>
  <si>
    <t>References</t>
  </si>
  <si>
    <t>Berengut:2010arXiv1011.4136</t>
  </si>
  <si>
    <t>http://adsabs.harvard.edu/abs/2011fvcf.book....9B</t>
  </si>
  <si>
    <t>Morton:2003:205</t>
  </si>
  <si>
    <t>http://adsabs.harvard.edu/abs/2003ApJS..149..205M</t>
  </si>
  <si>
    <t>Updated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</si>
  <si>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</si>
  <si>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</si>
  <si>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</si>
  <si>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</si>
  <si>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</si>
  <si>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</si>
  <si>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</si>
  <si>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</si>
  <si>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</si>
  <si>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</si>
  <si>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</si>
  <si>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</si>
  <si>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</si>
  <si>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</si>
  <si>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</si>
  <si>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</si>
  <si>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</si>
  <si>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</si>
  <si>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</si>
  <si>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</si>
  <si>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MgI</t>
  </si>
  <si>
    <t>CMP</t>
  </si>
  <si>
    <t>3\rm{s}^2~^1\rm{S}_0</t>
  </si>
  <si>
    <t>3\rm{s}4\rm{p}~^1\rm{P}_1</t>
  </si>
  <si>
    <t>a_1</t>
  </si>
  <si>
    <t>ISO</t>
  </si>
  <si>
    <t>3\rm{s}3\rm{p}~^1\rm{P}_1</t>
  </si>
  <si>
    <t>a_2</t>
  </si>
  <si>
    <t>END</t>
  </si>
  <si>
    <t>Measurements</t>
  </si>
  <si>
    <t>Transition</t>
  </si>
  <si>
    <t>Isotope</t>
  </si>
  <si>
    <t>Reference</t>
  </si>
  <si>
    <t>Reference/Note</t>
  </si>
  <si>
    <t>l [Ang.]</t>
  </si>
  <si>
    <t>dl [Ang.]</t>
  </si>
  <si>
    <t>Composite</t>
  </si>
  <si>
    <t>Abundance-weighted mean</t>
  </si>
  <si>
    <t>Abundance [%]</t>
  </si>
  <si>
    <t>Sum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</si>
  <si>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</si>
  <si>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</si>
  <si>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</si>
  <si>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</si>
  <si>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</si>
  <si>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</si>
  <si>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MgII</t>
  </si>
  <si>
    <t>3\rm{s}~^2\rm{S}_{1/2}</t>
  </si>
  <si>
    <t>3\rm{p}~^2\rm{P}_{3/2}</t>
  </si>
  <si>
    <t>b_1</t>
  </si>
  <si>
    <t>ISO+HYP</t>
  </si>
  <si>
    <t>Batteiger:2009:022503,Itano:1981:1364,Sur:2005:25</t>
  </si>
  <si>
    <t>F=2</t>
  </si>
  <si>
    <t>F=1,2,3</t>
  </si>
  <si>
    <t>F=3</t>
  </si>
  <si>
    <t>F=2,3,4</t>
  </si>
  <si>
    <t>3\rm{p}~^2\rm{P}_{1/2}</t>
  </si>
  <si>
    <t>b_2</t>
  </si>
  <si>
    <t>F=2,3</t>
  </si>
  <si>
    <t>nu [MHz]</t>
  </si>
  <si>
    <t>dnu[MHz]</t>
  </si>
  <si>
    <t>Isotopes</t>
  </si>
  <si>
    <t>Transition/isotope</t>
  </si>
  <si>
    <t>Isotopic abundance [%] [Rosman:1998:1275]</t>
  </si>
  <si>
    <t>Isotopic separation [MHz]</t>
  </si>
  <si>
    <t>Uncertainty [MHz]</t>
  </si>
  <si>
    <t>Reference/note</t>
  </si>
  <si>
    <t>From absolute isotopic measurements above</t>
  </si>
  <si>
    <t>Calculated in Batteiger:2009:022503; consistent with shift inferred by Drullinger:1980:365 from measurements.</t>
  </si>
  <si>
    <t>Hyperfine structure</t>
  </si>
  <si>
    <t>Hyperfine constants</t>
  </si>
  <si>
    <t>Level</t>
  </si>
  <si>
    <t>Constant [MHz]</t>
  </si>
  <si>
    <t>Uncertainty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</si>
  <si>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</si>
  <si>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</si>
  <si>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</si>
  <si>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</si>
  <si>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</si>
  <si>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</si>
  <si>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may be incorrect.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</si>
  <si>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</si>
  <si>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</si>
  <si>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</si>
  <si>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</si>
  <si>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</si>
  <si>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</si>
  <si>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</si>
  <si>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</si>
  <si>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</si>
  <si>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</si>
  <si>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</si>
  <si>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</si>
  <si>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25MgII2796 isotopic+hyperfine structure</t>
  </si>
  <si>
    <t>F_low</t>
  </si>
  <si>
    <t>F_up</t>
  </si>
  <si>
    <t>enu [MHz]</t>
  </si>
  <si>
    <t>w [cm-1]</t>
  </si>
  <si>
    <t>ew cm-1]</t>
  </si>
  <si>
    <t>l [Ang]</t>
  </si>
  <si>
    <t>el [Ang]</t>
  </si>
  <si>
    <t>Comment</t>
  </si>
  <si>
    <t>2F_up+1</t>
  </si>
  <si>
    <t>2F_low+1</t>
  </si>
  <si>
    <t>Forbidden</t>
  </si>
  <si>
    <t>25MgII2803 isotopic+hyperfine structure</t>
  </si>
  <si>
    <t>ew [cm-1]</t>
  </si>
  <si>
    <t>wl [Ang.]</t>
  </si>
  <si>
    <t>ewl [Ang.]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</si>
  <si>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</si>
  <si>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</si>
  <si>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</si>
  <si>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</si>
  <si>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</si>
  <si>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</si>
  <si>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</si>
  <si>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</si>
  <si>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AlII</t>
  </si>
  <si>
    <t>ALL</t>
  </si>
  <si>
    <t>c_1</t>
  </si>
  <si>
    <t>Griesmann:2000:L113</t>
  </si>
  <si>
    <t>http://adsabs.harvard.edu/abs/2000ApJ...536L.113G</t>
  </si>
  <si>
    <t>AlIII</t>
  </si>
  <si>
    <t>\rm{p}~^2\rm{P}_{3/2}</t>
  </si>
  <si>
    <t>d_1</t>
  </si>
  <si>
    <t>HYP</t>
  </si>
  <si>
    <t>d_2</t>
  </si>
  <si>
    <t>Transition/F_low</t>
  </si>
  <si>
    <t>2*F_low+1</t>
  </si>
  <si>
    <t>SiII</t>
  </si>
  <si>
    <t>3\rm{s}^23\rm{p}~^2\rm{P}_{1/2}</t>
  </si>
  <si>
    <t>3\rm{s}^24\rm{s}~^2\rm{S}_{1/2}</t>
  </si>
  <si>
    <t>e_1</t>
  </si>
  <si>
    <t>3\rm{s}3\rm{p}^2~^2\rm{D}_{3/2}</t>
  </si>
  <si>
    <t>e_2</t>
  </si>
  <si>
    <t>Normal, specific and total mass shift constants, the field shift constant and deviation in mean-square nuclear radii [Murphy:2012]</t>
  </si>
  <si>
    <t>dnu [MHz]</t>
  </si>
  <si>
    <t>k_NMS [GHz amu]</t>
  </si>
  <si>
    <t>k_SMS [GHz amu]</t>
  </si>
  <si>
    <t>k_MS [GHz amu]</t>
  </si>
  <si>
    <t>F [MHz/fm^2]</t>
  </si>
  <si>
    <t>d&lt;r^2&gt; [fm^2]</t>
  </si>
  <si>
    <t>TBD on F and d&lt;r^2&gt;</t>
  </si>
  <si>
    <t>Murphy:2012</t>
  </si>
  <si>
    <t>In preparation</t>
  </si>
  <si>
    <t>SiIV</t>
  </si>
  <si>
    <t>2\rm{p}^63\rm{s}~^2\rm{S}_{1/2}</t>
  </si>
  <si>
    <t>2\rm{p}^63\rm{p}~^2\rm{P}_{3/2}</t>
  </si>
  <si>
    <t>f_1</t>
  </si>
  <si>
    <t>2\rm{p}^63\rm{p}~^2\rm{P}_{1/2}</t>
  </si>
  <si>
    <t>f_2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</si>
  <si>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</si>
  <si>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</si>
  <si>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</si>
  <si>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TiII</t>
  </si>
  <si>
    <t>3\rm{d}^24\rm{s}~a^4\rm{F}_{3/2}</t>
  </si>
  <si>
    <t>3\rm{d}4\rm{s}4\rm{p}^4\rm{D}_{1/2}</t>
  </si>
  <si>
    <t>g_1</t>
  </si>
  <si>
    <t>3\rm{d}4\rm{s}4\rm{p}^4\rm{F}_{3/2}</t>
  </si>
  <si>
    <t>g_2</t>
  </si>
  <si>
    <t>Aldenius:2009:014008,Ruffoni:2010:424,Nave:2012:1570</t>
  </si>
  <si>
    <t>3\rm{d}^24\rm{p~z}^4\rm{D}_{3/2}</t>
  </si>
  <si>
    <t>g_3</t>
  </si>
  <si>
    <t>3\rm{d}^24\rm{p~z}^4\rm{D}_{1/2}</t>
  </si>
  <si>
    <t>g_4</t>
  </si>
  <si>
    <t>Aldenius:2009:014008,Nave:2012:1570</t>
  </si>
  <si>
    <t>3\rm{d}^24\rm{p~z}^4\rm{F}_{5/2}</t>
  </si>
  <si>
    <t>g_5</t>
  </si>
  <si>
    <t>3\rm{d}^24\rm{p~z}^4\rm{F}_{3/2}</t>
  </si>
  <si>
    <t>g_6</t>
  </si>
  <si>
    <t>3\rm{d}^24\rm{p~z}^4\rm{G}_{5/2}</t>
  </si>
  <si>
    <t>g_7</t>
  </si>
  <si>
    <t>Aldenius:2009:014008 wavenumbers increased by 3.7 parts per 10^8 – see Nave:2012:1570</t>
  </si>
  <si>
    <t>Weighted mean</t>
  </si>
  <si>
    <t>Scaled Aldenius:2009:014008 value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</si>
  <si>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</si>
  <si>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</si>
  <si>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</si>
  <si>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</si>
  <si>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</si>
  <si>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</si>
  <si>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</si>
  <si>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</si>
  <si>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</si>
  <si>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</si>
  <si>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</si>
  <si>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</si>
  <si>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</si>
  <si>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</si>
  <si>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</si>
  <si>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</si>
  <si>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</si>
  <si>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</t>
  </si>
  <si>
    <t>h_1</t>
  </si>
  <si>
    <t>3\rm{d}^44\rm{p}~^6\rm{P}_{5/2}</t>
  </si>
  <si>
    <t>h_2</t>
  </si>
  <si>
    <t>3\rm{d}^44\rm{p}~^6\rm{P}_{3/2}</t>
  </si>
  <si>
    <t>h_3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</si>
  <si>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</si>
  <si>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</si>
  <si>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</si>
  <si>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</si>
  <si>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</si>
  <si>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</si>
  <si>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MnII</t>
  </si>
  <si>
    <t>Aldenius:2009:014008,Blackwell-Whitehead:2005:705,Nave:2012:1570</t>
  </si>
  <si>
    <t>3\rm{d}^54\rm{s~a}^7\rm{S}_3</t>
  </si>
  <si>
    <t>3\rm{d}^54\rm{p~z}^7\rm{P}_4</t>
  </si>
  <si>
    <t>i_1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</si>
  <si>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</si>
  <si>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</si>
  <si>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</si>
  <si>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</si>
  <si>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</si>
  <si>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</si>
  <si>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</si>
  <si>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</si>
  <si>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</si>
  <si>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</si>
  <si>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</t>
  </si>
  <si>
    <t>i_2</t>
  </si>
  <si>
    <t>F=0.5,1.5,2.5</t>
  </si>
  <si>
    <t>F=4.5,5.5</t>
  </si>
  <si>
    <t>3\rm{d}^54\rm{p~z}^7\rm{P}_2</t>
  </si>
  <si>
    <t>i_3</t>
  </si>
  <si>
    <t>F=3.5,4.5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</si>
  <si>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</si>
  <si>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</si>
  <si>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</si>
  <si>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</si>
  <si>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</si>
  <si>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</si>
  <si>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</si>
  <si>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Blackwell-Whitehead:2005:705</t>
  </si>
  <si>
    <t>http://adsabs.harvard.edu/abs/2005MNRAS.364..705B</t>
  </si>
  <si>
    <t>FeII</t>
  </si>
  <si>
    <t>3\rm{d}^64\rm{s~a}^6\rm{D}_{9/2}</t>
  </si>
  <si>
    <t>3\rm{d}^54\rm{s}4\rm{p~y}^6\rm{P}_{7/2}</t>
  </si>
  <si>
    <t>j_1</t>
  </si>
  <si>
    <t>3\rm{d}^64\rm{p~y}^4\rm{F}_{7/2}</t>
  </si>
  <si>
    <t>j_2</t>
  </si>
  <si>
    <t>3\rm{d}^64\rm{p~z}^4\rm{D}_{7/2}</t>
  </si>
  <si>
    <t>j_3</t>
  </si>
  <si>
    <t>Aldenius:2009:014008,Porsev:2009:032519</t>
  </si>
  <si>
    <t>3\rm{d}^64\rm{p~z}^4\rm{F}_{9/2}</t>
  </si>
  <si>
    <t>j_4</t>
  </si>
  <si>
    <t>3\rm{d}^64\rm{p~z}^6\rm{P}_{7/2}</t>
  </si>
  <si>
    <t>j_5</t>
  </si>
  <si>
    <t>3\rm{d}^64\rm{p~z}^6\rm{F}_{7/2}</t>
  </si>
  <si>
    <t>j_6</t>
  </si>
  <si>
    <t>3\rm{d}^64\rm{p~z}^6\rm{F}_{9/2}</t>
  </si>
  <si>
    <t>j_7</t>
  </si>
  <si>
    <t>3\rm{d}^64\rm{p~z}^6\rm{F}_{11/2}</t>
  </si>
  <si>
    <t>j_8</t>
  </si>
  <si>
    <t>3\rm{d}^64\rm{p~z}^6\rm{D}_{7/2}</t>
  </si>
  <si>
    <t>j_9</t>
  </si>
  <si>
    <t>3\rm{d}^64\rm{p~z}^6\rm{D}_{9/2}</t>
  </si>
  <si>
    <t>j_10</t>
  </si>
  <si>
    <t>Normal, specific and total mass shift constants [GHz] [Porsev:2009:032519]</t>
  </si>
  <si>
    <t>k_NMS</t>
  </si>
  <si>
    <t>k_SMS</t>
  </si>
  <si>
    <t>k_MS</t>
  </si>
  <si>
    <t>Porsev:2009:032519</t>
  </si>
  <si>
    <t>http://adsabs.harvard.edu/abs/2009PhRvA..79c2519P</t>
  </si>
  <si>
    <t>NiII</t>
  </si>
  <si>
    <t>Pickering:2000:163,Nave:2012:1570</t>
  </si>
  <si>
    <t>3\rm{d}^9~^2\rm{D}_{5/2}</t>
  </si>
  <si>
    <t>3\rm{d}^84\rm{p~z}^2\rm{F}_{5/2}</t>
  </si>
  <si>
    <t>k_1</t>
  </si>
  <si>
    <t>Pickering:2000:163,Nave:2012:1571</t>
  </si>
  <si>
    <t>3\rm{d}^84\rm{p~z}^2\rm{D}_{5/2}</t>
  </si>
  <si>
    <t>k_2</t>
  </si>
  <si>
    <t>Pickering:2000:163,Nave:2012:1572</t>
  </si>
  <si>
    <t>3\rm{d}^84\rm{p~z}^2\rm{F}_{7/2}</t>
  </si>
  <si>
    <t>k_3</t>
  </si>
  <si>
    <t>NOTE: Still clarifying the 67Zn isotopic shifts with Julian Berengut.</t>
  </si>
  <si>
    <t>ZnII</t>
  </si>
  <si>
    <t>Aldenius:2009:014008,Pickering:2000:163,Ruffoni:2010:424,Nave:2012:1570</t>
  </si>
  <si>
    <t>3\rm{d}^{10}4\rm{s}~^2\rm{S}_{1/2}</t>
  </si>
  <si>
    <t>3\rm{d}^{10}4\rm{p}~^2\rm{P}_{3/2}</t>
  </si>
  <si>
    <t>l_1</t>
  </si>
  <si>
    <t>Campbell:1997:2351,Matsubara:2003:209,Dixit:2008:025001</t>
  </si>
  <si>
    <t>3\rm{d}^{10}4\rm{p}~^2\rm{P}_{1/2}</t>
  </si>
  <si>
    <t>l_2</t>
  </si>
  <si>
    <t>Berengut:2003:022502,Matsubara:2003:290</t>
  </si>
  <si>
    <t>Campbell:1997:2351,Berengut:2003:022502,Matsubara:2003:290,Dixit:2008:025001</t>
  </si>
  <si>
    <t>Normal, specific and total mass shift constants and the product of the field shift constant and the deviation in mean-square nuclear radii [Berengut:2003:022502]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</si>
  <si>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</si>
  <si>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</si>
  <si>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</si>
  <si>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</si>
  <si>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</si>
  <si>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</si>
  <si>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</si>
  <si>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</si>
  <si>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</si>
  <si>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</si>
  <si>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</si>
  <si>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</si>
  <si>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</si>
  <si>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</si>
  <si>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</si>
  <si>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</si>
  <si>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Campbell:1997:2351</t>
  </si>
  <si>
    <t>http://adsabs.harvard.edu/abs/1997JPhB...30.2351C</t>
  </si>
  <si>
    <t>Dixit:2008:025001</t>
  </si>
  <si>
    <t>http://adsabs.harvard.edu/abs/2008JPhB...41b5001D</t>
  </si>
  <si>
    <t>Matsubara:2003:209</t>
  </si>
  <si>
    <t>http://adsabs.harvard.edu/abs/2003ApPhB..76..209M</t>
  </si>
</sst>
</file>

<file path=xl/styles.xml><?xml version="1.0" encoding="utf-8"?>
<styleSheet xmlns="http://schemas.openxmlformats.org/spreadsheetml/2006/main">
  <numFmts count="17">
    <numFmt formatCode="GENERAL" numFmtId="164"/>
    <numFmt formatCode="DD/MM/YYYY" numFmtId="165"/>
    <numFmt formatCode="0.0000" numFmtId="166"/>
    <numFmt formatCode="0.000000" numFmtId="167"/>
    <numFmt formatCode="0" numFmtId="168"/>
    <numFmt formatCode="0.0000000" numFmtId="169"/>
    <numFmt formatCode="0.0" numFmtId="170"/>
    <numFmt formatCode="0.00" numFmtId="171"/>
    <numFmt formatCode="0.000" numFmtId="172"/>
    <numFmt formatCode="0.00E+00" numFmtId="173"/>
    <numFmt formatCode="0.00%" numFmtId="174"/>
    <numFmt formatCode="0.00000" numFmtId="175"/>
    <numFmt formatCode="0.00000000" numFmtId="176"/>
    <numFmt formatCode="0.000E+00" numFmtId="177"/>
    <numFmt formatCode="#,##0.00" numFmtId="178"/>
    <numFmt formatCode="0.000%" numFmtId="179"/>
    <numFmt formatCode="#,##0.000" numFmtId="180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FF"/>
      <sz val="10"/>
    </font>
    <font>
      <name val="Arial"/>
      <family val="2"/>
      <color rgb="00000000"/>
      <sz val="10"/>
    </font>
    <font>
      <name val="Arial"/>
      <family val="2"/>
      <b val="true"/>
      <sz val="10"/>
    </font>
    <font>
      <name val="Arial"/>
      <family val="2"/>
      <sz val="9.5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75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76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7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0" numFmtId="175" xfId="0"/>
    <xf applyAlignment="false" applyBorder="false" applyFont="true" applyProtection="false" borderId="0" fillId="0" fontId="0" numFmtId="176" xfId="0"/>
    <xf applyAlignment="false" applyBorder="false" applyFont="true" applyProtection="false" borderId="0" fillId="0" fontId="0" numFmtId="174" xfId="0"/>
    <xf applyAlignment="false" applyBorder="false" applyFont="false" applyProtection="false" borderId="0" fillId="0" fontId="0" numFmtId="177" xfId="0"/>
    <xf applyAlignment="false" applyBorder="false" applyFont="false" applyProtection="false" borderId="0" fillId="0" fontId="0" numFmtId="176" xfId="0"/>
    <xf applyAlignment="false" applyBorder="false" applyFont="false" applyProtection="false" borderId="0" fillId="0" fontId="0" numFmtId="178" xfId="0"/>
    <xf applyAlignment="false" applyBorder="false" applyFont="true" applyProtection="false" borderId="0" fillId="0" fontId="0" numFmtId="171" xfId="0"/>
    <xf applyAlignment="true" applyBorder="false" applyFont="true" applyProtection="false" borderId="0" fillId="0" fontId="0" numFmtId="176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4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71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5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7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7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5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6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72" xfId="0"/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79" xfId="0"/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false" applyBorder="false" applyFont="true" applyProtection="false" borderId="0" fillId="0" fontId="0" numFmtId="179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0" numFmtId="17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0" xfId="0"/>
    <xf applyAlignment="false" applyBorder="false" applyFont="true" applyProtection="false" borderId="0" fillId="0" fontId="0" numFmtId="173" xfId="0"/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70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2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8" xfId="0"/>
    <xf applyAlignment="true" applyBorder="false" applyFont="true" applyProtection="false" borderId="0" fillId="0" fontId="0" numFmtId="176" xfId="0">
      <alignment horizontal="left" indent="0" shrinkToFit="false" textRotation="0" vertical="center" wrapText="tru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5" numFmtId="166" xfId="0"/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71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75" xfId="0"/>
    <xf applyAlignment="false" applyBorder="false" applyFont="true" applyProtection="false" borderId="0" fillId="0" fontId="5" numFmtId="167" xfId="0"/>
    <xf applyAlignment="false" applyBorder="false" applyFont="false" applyProtection="false" borderId="0" fillId="0" fontId="0" numFmtId="18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11fvcf.book....9B" TargetMode="External"/><Relationship Id="rId2" Type="http://schemas.openxmlformats.org/officeDocument/2006/relationships/hyperlink" Target="http://adsabs.harvard.edu/abs/2003ApJS..149..205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5MNRAS.364..705B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9PhRvA..79c2519P" TargetMode="External"/><Relationship Id="rId4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12MNRAS.420.1570N" TargetMode="External"/><Relationship Id="rId2" Type="http://schemas.openxmlformats.org/officeDocument/2006/relationships/hyperlink" Target="http://adsabs.harvard.edu/abs/2000MNRAS.319..163P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12MNRAS.420.1570N" TargetMode="External"/><Relationship Id="rId6" Type="http://schemas.openxmlformats.org/officeDocument/2006/relationships/hyperlink" Target="http://adsabs.harvard.edu/abs/2000MNRAS.319..163P" TargetMode="External"/><Relationship Id="rId7" Type="http://schemas.openxmlformats.org/officeDocument/2006/relationships/hyperlink" Target="http://adsabs.harvard.edu/abs/2003ApPhB..76..209M" TargetMode="External"/><Relationship Id="rId8" Type="http://schemas.openxmlformats.org/officeDocument/2006/relationships/hyperlink" Target="http://adsabs.harvard.edu/abs/1998JPCRD..27.1275R" TargetMode="External"/><Relationship Id="rId9" Type="http://schemas.openxmlformats.org/officeDocument/2006/relationships/hyperlink" Target="http://adsabs.harvard.edu/abs/2010ApJ...725..424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6PhRvA..74a2505H" TargetMode="External"/><Relationship Id="rId2" Type="http://schemas.openxmlformats.org/officeDocument/2006/relationships/hyperlink" Target="http://adsabs.harvard.edu/abs/1998JPCRD..27.1275R" TargetMode="External"/><Relationship Id="rId3" Type="http://schemas.openxmlformats.org/officeDocument/2006/relationships/hyperlink" Target="http://adsabs.harvard.edu/abs/2006MNRAS.373L..41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1981PhRvA..24.1364I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05EPJD...32...25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6" activeCellId="0" pane="topLeft" sqref="B6"/>
    </sheetView>
  </sheetViews>
  <cols>
    <col collapsed="false" hidden="false" max="1025" min="1" style="0" width="11.5764705882353"/>
  </cols>
  <sheetData>
    <row collapsed="false" customFormat="false" customHeight="false" hidden="false" ht="12.9" outlineLevel="0" r="2">
      <c r="A2" s="0" t="s">
        <v>0</v>
      </c>
      <c r="B2" s="0" t="s">
        <v>1</v>
      </c>
    </row>
    <row collapsed="false" customFormat="false" customHeight="false" hidden="false" ht="12.9" outlineLevel="0" r="5">
      <c r="A5" s="0" t="s">
        <v>2</v>
      </c>
    </row>
    <row collapsed="false" customFormat="false" customHeight="false" hidden="false" ht="12.9" outlineLevel="0" r="6">
      <c r="A6" s="0" t="s">
        <v>3</v>
      </c>
    </row>
    <row collapsed="false" customFormat="false" customHeight="false" hidden="false" ht="12.9" outlineLevel="0" r="8">
      <c r="A8" s="0" t="s">
        <v>4</v>
      </c>
    </row>
    <row collapsed="false" customFormat="false" customHeight="false" hidden="false" ht="14" outlineLevel="0" r="9">
      <c r="A9" s="0" t="s">
        <v>5</v>
      </c>
      <c r="B9" s="1" t="s">
        <v>6</v>
      </c>
    </row>
    <row collapsed="false" customFormat="false" customHeight="false" hidden="false" ht="14" outlineLevel="0" r="10">
      <c r="A10" s="0" t="s">
        <v>7</v>
      </c>
      <c r="B10" s="1" t="s">
        <v>8</v>
      </c>
    </row>
  </sheetData>
  <hyperlinks>
    <hyperlink display="http://adsabs.harvard.edu/abs/2011fvcf.book....9B" ref="B9" r:id="rId1"/>
    <hyperlink display="http://adsabs.harvard.edu/abs/2003ApJS..149..205M" ref="B10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7"/>
  <sheetViews>
    <sheetView colorId="64" defaultGridColor="true" rightToLeft="false" showFormulas="false" showGridLines="true" showOutlineSymbols="true" showRowColHeaders="true" showZeros="true" tabSelected="false" topLeftCell="J5" view="normal" windowProtection="false" workbookViewId="0" zoomScale="90" zoomScaleNormal="90" zoomScalePageLayoutView="100">
      <selection activeCell="Q18" activeCellId="0" pane="topLeft" sqref="Q18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2.5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9" outlineLevel="0" r="1">
      <c r="A1" s="0" t="s">
        <v>9</v>
      </c>
      <c r="B1" s="2" t="n">
        <v>41015</v>
      </c>
    </row>
    <row collapsed="false" customFormat="false" customHeight="false" hidden="false" ht="12.9" outlineLevel="0" r="3">
      <c r="A3" s="0" t="s">
        <v>10</v>
      </c>
    </row>
    <row collapsed="false" customFormat="false" customHeight="false" hidden="false" ht="13.6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3.6" outlineLevel="0" r="5">
      <c r="A5" s="0" t="s">
        <v>214</v>
      </c>
      <c r="B5" s="0" t="n">
        <f aca="false">A27</f>
        <v>2576</v>
      </c>
      <c r="C5" s="0" t="s">
        <v>31</v>
      </c>
      <c r="D5" s="4" t="n">
        <v>54.938049</v>
      </c>
      <c r="E5" s="3" t="n">
        <f aca="false">I27</f>
        <v>38806.6894725685</v>
      </c>
      <c r="F5" s="3" t="n">
        <f aca="false">J27</f>
        <v>0.00166410058867569</v>
      </c>
      <c r="G5" s="5" t="n">
        <v>0</v>
      </c>
      <c r="H5" s="0" t="s">
        <v>215</v>
      </c>
      <c r="I5" s="12" t="n">
        <f aca="false">L27</f>
        <v>2576.87531090967</v>
      </c>
      <c r="J5" s="12" t="n">
        <f aca="false">M27</f>
        <v>0.000110501044539237</v>
      </c>
      <c r="K5" s="7" t="n">
        <f aca="false">299792458*J5/I5</f>
        <v>12.8556393915276</v>
      </c>
      <c r="L5" s="0" t="s">
        <v>216</v>
      </c>
      <c r="M5" s="0" t="s">
        <v>217</v>
      </c>
      <c r="N5" s="0" t="s">
        <v>218</v>
      </c>
      <c r="O5" s="8" t="n">
        <v>7.44</v>
      </c>
      <c r="P5" s="8" t="n">
        <v>15.64</v>
      </c>
      <c r="Q5" s="9" t="n">
        <v>0.361</v>
      </c>
      <c r="R5" s="10" t="n">
        <v>282000000</v>
      </c>
      <c r="S5" s="5" t="n">
        <v>1276</v>
      </c>
      <c r="T5" s="5" t="n">
        <v>150</v>
      </c>
    </row>
    <row collapsed="false" customFormat="false" customHeight="false" hidden="false" ht="12.9" outlineLevel="0" r="6">
      <c r="C6" s="0" t="s">
        <v>135</v>
      </c>
      <c r="D6" s="8"/>
      <c r="E6" s="12" t="n">
        <f aca="false">G35</f>
        <v>38806.4518859704</v>
      </c>
      <c r="F6" s="3"/>
      <c r="G6" s="5" t="n">
        <v>3</v>
      </c>
      <c r="I6" s="4" t="n">
        <f aca="false">H35</f>
        <v>2576.89108743675</v>
      </c>
      <c r="J6" s="12"/>
      <c r="K6" s="7"/>
      <c r="L6" s="0" t="s">
        <v>219</v>
      </c>
      <c r="M6" s="0" t="s">
        <v>220</v>
      </c>
      <c r="O6" s="8"/>
      <c r="P6" s="8"/>
      <c r="Q6" s="47" t="n">
        <f aca="false">F35</f>
        <v>0.285714285714286</v>
      </c>
      <c r="R6" s="10"/>
      <c r="S6" s="5"/>
      <c r="T6" s="5"/>
    </row>
    <row collapsed="false" customFormat="false" customHeight="false" hidden="false" ht="12.9" outlineLevel="0" r="7">
      <c r="C7" s="0" t="s">
        <v>135</v>
      </c>
      <c r="D7" s="8"/>
      <c r="E7" s="12" t="n">
        <f aca="false">G38</f>
        <v>38806.6255297668</v>
      </c>
      <c r="F7" s="3"/>
      <c r="G7" s="5" t="n">
        <f aca="false">G6</f>
        <v>3</v>
      </c>
      <c r="I7" s="4" t="n">
        <f aca="false">H38</f>
        <v>2576.87955690181</v>
      </c>
      <c r="J7" s="12"/>
      <c r="K7" s="7"/>
      <c r="L7" s="0" t="s">
        <v>221</v>
      </c>
      <c r="M7" s="0" t="s">
        <v>222</v>
      </c>
      <c r="O7" s="8"/>
      <c r="P7" s="8"/>
      <c r="Q7" s="47" t="n">
        <f aca="false">F38</f>
        <v>0.238008815141302</v>
      </c>
      <c r="R7" s="10"/>
      <c r="S7" s="5"/>
      <c r="T7" s="5"/>
    </row>
    <row collapsed="false" customFormat="false" customHeight="false" hidden="false" ht="12.9" outlineLevel="0" r="8">
      <c r="C8" s="0" t="s">
        <v>135</v>
      </c>
      <c r="D8" s="8"/>
      <c r="E8" s="12" t="n">
        <f aca="false">G41</f>
        <v>38806.7688832585</v>
      </c>
      <c r="F8" s="3"/>
      <c r="G8" s="5" t="n">
        <f aca="false">G7</f>
        <v>3</v>
      </c>
      <c r="I8" s="4" t="n">
        <f aca="false">H41</f>
        <v>2576.87003782324</v>
      </c>
      <c r="J8" s="12"/>
      <c r="K8" s="7"/>
      <c r="L8" s="0" t="s">
        <v>223</v>
      </c>
      <c r="M8" s="0" t="s">
        <v>224</v>
      </c>
      <c r="O8" s="8"/>
      <c r="P8" s="8"/>
      <c r="Q8" s="47" t="n">
        <f aca="false">F41</f>
        <v>0.190303344568317</v>
      </c>
      <c r="R8" s="10"/>
      <c r="S8" s="5"/>
      <c r="T8" s="5"/>
    </row>
    <row collapsed="false" customFormat="false" customHeight="false" hidden="false" ht="12.9" outlineLevel="0" r="9">
      <c r="C9" s="0" t="s">
        <v>135</v>
      </c>
      <c r="D9" s="8"/>
      <c r="E9" s="12" t="n">
        <f aca="false">G44</f>
        <v>38806.879640058</v>
      </c>
      <c r="F9" s="3"/>
      <c r="G9" s="5" t="n">
        <f aca="false">G8</f>
        <v>3</v>
      </c>
      <c r="I9" s="4" t="n">
        <f aca="false">H44</f>
        <v>2576.86268330567</v>
      </c>
      <c r="J9" s="12"/>
      <c r="K9" s="7"/>
      <c r="L9" s="0" t="s">
        <v>225</v>
      </c>
      <c r="M9" s="0" t="s">
        <v>226</v>
      </c>
      <c r="O9" s="8"/>
      <c r="P9" s="8"/>
      <c r="Q9" s="47" t="n">
        <f aca="false">F44</f>
        <v>0.142857142857143</v>
      </c>
      <c r="R9" s="10"/>
      <c r="S9" s="5"/>
      <c r="T9" s="5"/>
    </row>
    <row collapsed="false" customFormat="false" customHeight="false" hidden="false" ht="12.9" outlineLevel="0" r="10">
      <c r="C10" s="0" t="s">
        <v>135</v>
      </c>
      <c r="D10" s="8"/>
      <c r="E10" s="12" t="n">
        <f aca="false">G47</f>
        <v>38806.9747084194</v>
      </c>
      <c r="F10" s="3"/>
      <c r="G10" s="5" t="n">
        <f aca="false">G9</f>
        <v>3</v>
      </c>
      <c r="I10" s="4" t="n">
        <f aca="false">H47</f>
        <v>2576.85637057156</v>
      </c>
      <c r="J10" s="12"/>
      <c r="K10" s="7"/>
      <c r="L10" s="0" t="s">
        <v>227</v>
      </c>
      <c r="M10" s="0" t="s">
        <v>228</v>
      </c>
      <c r="O10" s="8"/>
      <c r="P10" s="8"/>
      <c r="Q10" s="47" t="n">
        <f aca="false">F47</f>
        <v>0.143116411718953</v>
      </c>
      <c r="R10" s="10"/>
      <c r="S10" s="5"/>
      <c r="T10" s="5"/>
    </row>
    <row collapsed="false" customFormat="false" customHeight="false" hidden="false" ht="13.6" outlineLevel="0" r="11">
      <c r="B11" s="0" t="n">
        <f aca="false">A28</f>
        <v>2594</v>
      </c>
      <c r="C11" s="0" t="s">
        <v>31</v>
      </c>
      <c r="D11" s="4" t="n">
        <f aca="false">$D$5</f>
        <v>54.938049</v>
      </c>
      <c r="E11" s="3" t="n">
        <f aca="false">I28</f>
        <v>38543.1221618755</v>
      </c>
      <c r="F11" s="3" t="n">
        <f aca="false">J28</f>
        <v>0.00166410058867569</v>
      </c>
      <c r="G11" s="5" t="n">
        <v>0</v>
      </c>
      <c r="H11" s="0" t="s">
        <v>215</v>
      </c>
      <c r="I11" s="12" t="n">
        <f aca="false">L28</f>
        <v>2594.49661550547</v>
      </c>
      <c r="J11" s="12" t="n">
        <f aca="false">M28</f>
        <v>0.000112017478165024</v>
      </c>
      <c r="K11" s="7" t="n">
        <f aca="false">299792458*J11/I11</f>
        <v>12.9435494027465</v>
      </c>
      <c r="M11" s="0" t="s">
        <v>229</v>
      </c>
      <c r="N11" s="0" t="s">
        <v>230</v>
      </c>
      <c r="O11" s="8"/>
      <c r="P11" s="8"/>
      <c r="Q11" s="9" t="n">
        <v>0.28</v>
      </c>
      <c r="R11" s="10" t="n">
        <v>278000000</v>
      </c>
      <c r="S11" s="5" t="n">
        <v>1030</v>
      </c>
      <c r="T11" s="5" t="n">
        <v>150</v>
      </c>
    </row>
    <row collapsed="false" customFormat="false" customHeight="false" hidden="false" ht="12.9" outlineLevel="0" r="12">
      <c r="C12" s="0" t="s">
        <v>135</v>
      </c>
      <c r="D12" s="8"/>
      <c r="E12" s="12" t="n">
        <f aca="false">G52</f>
        <v>38542.8897785259</v>
      </c>
      <c r="F12" s="3"/>
      <c r="G12" s="5" t="n">
        <v>3</v>
      </c>
      <c r="I12" s="4" t="n">
        <f aca="false">H52</f>
        <v>2594.51225828206</v>
      </c>
      <c r="J12" s="12"/>
      <c r="K12" s="7"/>
      <c r="L12" s="0" t="s">
        <v>219</v>
      </c>
      <c r="M12" s="0" t="s">
        <v>231</v>
      </c>
      <c r="O12" s="8"/>
      <c r="P12" s="8"/>
      <c r="Q12" s="47" t="n">
        <f aca="false">F52</f>
        <v>0.285786673422853</v>
      </c>
      <c r="R12" s="10"/>
      <c r="S12" s="5"/>
      <c r="T12" s="5"/>
    </row>
    <row collapsed="false" customFormat="false" customHeight="false" hidden="false" ht="12.9" outlineLevel="0" r="13">
      <c r="C13" s="0" t="s">
        <v>135</v>
      </c>
      <c r="D13" s="8"/>
      <c r="E13" s="12" t="n">
        <f aca="false">G54</f>
        <v>38543.0603268141</v>
      </c>
      <c r="F13" s="3"/>
      <c r="G13" s="5" t="n">
        <f aca="false">G12</f>
        <v>3</v>
      </c>
      <c r="I13" s="4" t="n">
        <f aca="false">H54</f>
        <v>2594.50077788532</v>
      </c>
      <c r="J13" s="12"/>
      <c r="K13" s="7"/>
      <c r="L13" s="0" t="s">
        <v>221</v>
      </c>
      <c r="M13" s="0" t="s">
        <v>222</v>
      </c>
      <c r="O13" s="8"/>
      <c r="P13" s="8"/>
      <c r="Q13" s="47" t="n">
        <f aca="false">F54</f>
        <v>0.238408918165695</v>
      </c>
      <c r="R13" s="10"/>
      <c r="S13" s="5"/>
      <c r="T13" s="5"/>
    </row>
    <row collapsed="false" customFormat="false" customHeight="false" hidden="false" ht="12.9" outlineLevel="0" r="14">
      <c r="C14" s="0" t="s">
        <v>135</v>
      </c>
      <c r="D14" s="8"/>
      <c r="E14" s="12" t="n">
        <f aca="false">G57</f>
        <v>38543.1999205452</v>
      </c>
      <c r="F14" s="3"/>
      <c r="G14" s="5" t="n">
        <f aca="false">G13</f>
        <v>3</v>
      </c>
      <c r="I14" s="4" t="n">
        <f aca="false">H57</f>
        <v>2594.49138125908</v>
      </c>
      <c r="J14" s="12"/>
      <c r="K14" s="7"/>
      <c r="L14" s="0" t="s">
        <v>223</v>
      </c>
      <c r="M14" s="0" t="s">
        <v>224</v>
      </c>
      <c r="O14" s="8"/>
      <c r="P14" s="8"/>
      <c r="Q14" s="47" t="n">
        <f aca="false">F57</f>
        <v>0.190777805928553</v>
      </c>
      <c r="R14" s="10"/>
      <c r="S14" s="5"/>
      <c r="T14" s="5"/>
    </row>
    <row collapsed="false" customFormat="false" customHeight="false" hidden="false" ht="12.9" outlineLevel="0" r="15">
      <c r="C15" s="0" t="s">
        <v>135</v>
      </c>
      <c r="D15" s="8"/>
      <c r="E15" s="12" t="n">
        <f aca="false">G60</f>
        <v>38543.3082217961</v>
      </c>
      <c r="F15" s="3"/>
      <c r="G15" s="5" t="n">
        <f aca="false">G14</f>
        <v>3</v>
      </c>
      <c r="I15" s="4" t="n">
        <f aca="false">H60</f>
        <v>2594.48409110483</v>
      </c>
      <c r="J15" s="12"/>
      <c r="K15" s="7"/>
      <c r="L15" s="0" t="s">
        <v>225</v>
      </c>
      <c r="M15" s="0" t="s">
        <v>226</v>
      </c>
      <c r="O15" s="8"/>
      <c r="P15" s="8"/>
      <c r="Q15" s="47" t="n">
        <f aca="false">F60</f>
        <v>0.142893336711426</v>
      </c>
      <c r="R15" s="10"/>
      <c r="S15" s="5"/>
      <c r="T15" s="5"/>
    </row>
    <row collapsed="false" customFormat="false" customHeight="false" hidden="false" ht="12.9" outlineLevel="0" r="16">
      <c r="C16" s="0" t="s">
        <v>135</v>
      </c>
      <c r="D16" s="8"/>
      <c r="E16" s="12" t="n">
        <f aca="false">G64</f>
        <v>38543.4017075755</v>
      </c>
      <c r="F16" s="3"/>
      <c r="G16" s="5" t="n">
        <f aca="false">G15</f>
        <v>3</v>
      </c>
      <c r="I16" s="4" t="n">
        <f aca="false">H64</f>
        <v>2594.47779826723</v>
      </c>
      <c r="J16" s="12"/>
      <c r="K16" s="7"/>
      <c r="L16" s="0" t="s">
        <v>227</v>
      </c>
      <c r="M16" s="0" t="s">
        <v>232</v>
      </c>
      <c r="O16" s="8"/>
      <c r="P16" s="8"/>
      <c r="Q16" s="47" t="n">
        <f aca="false">F64</f>
        <v>0.142133265771472</v>
      </c>
      <c r="R16" s="10"/>
      <c r="S16" s="5"/>
      <c r="T16" s="5"/>
    </row>
    <row collapsed="false" customFormat="false" customHeight="false" hidden="false" ht="13.6" outlineLevel="0" r="17">
      <c r="B17" s="0" t="n">
        <f aca="false">A29</f>
        <v>2606</v>
      </c>
      <c r="C17" s="0" t="s">
        <v>31</v>
      </c>
      <c r="D17" s="4" t="n">
        <f aca="false">$D$5</f>
        <v>54.938049</v>
      </c>
      <c r="E17" s="3" t="n">
        <f aca="false">I29</f>
        <v>38366.2284829386</v>
      </c>
      <c r="F17" s="3" t="n">
        <f aca="false">J29</f>
        <v>0.00166410058867569</v>
      </c>
      <c r="G17" s="5" t="n">
        <v>0</v>
      </c>
      <c r="H17" s="0" t="s">
        <v>215</v>
      </c>
      <c r="I17" s="12" t="n">
        <f aca="false">L29</f>
        <v>2606.45896024077</v>
      </c>
      <c r="J17" s="12" t="n">
        <f aca="false">M29</f>
        <v>0.000113052808722768</v>
      </c>
      <c r="K17" s="7" t="n">
        <f aca="false">299792458*J17/I17</f>
        <v>13.003227723053</v>
      </c>
      <c r="M17" s="0" t="s">
        <v>233</v>
      </c>
      <c r="N17" s="0" t="s">
        <v>234</v>
      </c>
      <c r="O17" s="8"/>
      <c r="P17" s="8"/>
      <c r="Q17" s="9" t="n">
        <v>0.198</v>
      </c>
      <c r="R17" s="10" t="n">
        <v>272000000</v>
      </c>
      <c r="S17" s="5" t="n">
        <v>869</v>
      </c>
      <c r="T17" s="5" t="n">
        <v>150</v>
      </c>
    </row>
    <row collapsed="false" customFormat="false" customHeight="false" hidden="false" ht="12.9" outlineLevel="0" r="18">
      <c r="C18" s="0" t="s">
        <v>135</v>
      </c>
      <c r="D18" s="8"/>
      <c r="E18" s="12" t="n">
        <f aca="false">G69</f>
        <v>38365.9414223738</v>
      </c>
      <c r="F18" s="3"/>
      <c r="G18" s="5" t="n">
        <v>3</v>
      </c>
      <c r="I18" s="4" t="n">
        <f aca="false">H69</f>
        <v>2606.47846221448</v>
      </c>
      <c r="J18" s="12"/>
      <c r="K18" s="7"/>
      <c r="L18" s="0" t="s">
        <v>219</v>
      </c>
      <c r="M18" s="0" t="s">
        <v>231</v>
      </c>
      <c r="O18" s="8"/>
      <c r="P18" s="8"/>
      <c r="Q18" s="47" t="n">
        <f aca="false">F69</f>
        <v>0.285632676378178</v>
      </c>
      <c r="R18" s="10"/>
      <c r="S18" s="5"/>
      <c r="T18" s="5"/>
    </row>
    <row collapsed="false" customFormat="false" customHeight="false" hidden="false" ht="12.9" outlineLevel="0" r="19">
      <c r="C19" s="0" t="s">
        <v>135</v>
      </c>
      <c r="D19" s="8"/>
      <c r="E19" s="12" t="n">
        <f aca="false">G71</f>
        <v>38366.1518173396</v>
      </c>
      <c r="F19" s="3"/>
      <c r="G19" s="5" t="n">
        <f aca="false">G18</f>
        <v>3</v>
      </c>
      <c r="I19" s="4" t="n">
        <f aca="false">H71</f>
        <v>2606.46416862702</v>
      </c>
      <c r="J19" s="12"/>
      <c r="K19" s="7"/>
      <c r="L19" s="0" t="s">
        <v>221</v>
      </c>
      <c r="M19" s="0" t="s">
        <v>222</v>
      </c>
      <c r="O19" s="8"/>
      <c r="P19" s="8"/>
      <c r="Q19" s="47" t="n">
        <f aca="false">F71</f>
        <v>0.237932019423022</v>
      </c>
      <c r="R19" s="10"/>
      <c r="S19" s="5"/>
      <c r="T19" s="5"/>
    </row>
    <row collapsed="false" customFormat="false" customHeight="false" hidden="false" ht="12.9" outlineLevel="0" r="20">
      <c r="C20" s="0" t="s">
        <v>135</v>
      </c>
      <c r="D20" s="8"/>
      <c r="E20" s="12" t="n">
        <f aca="false">G73</f>
        <v>38366.3242349817</v>
      </c>
      <c r="F20" s="3"/>
      <c r="G20" s="5" t="n">
        <f aca="false">G19</f>
        <v>3</v>
      </c>
      <c r="I20" s="4" t="n">
        <f aca="false">H73</f>
        <v>2606.45245521909</v>
      </c>
      <c r="J20" s="12"/>
      <c r="K20" s="7"/>
      <c r="L20" s="0" t="s">
        <v>223</v>
      </c>
      <c r="M20" s="0" t="s">
        <v>224</v>
      </c>
      <c r="O20" s="8"/>
      <c r="P20" s="8"/>
      <c r="Q20" s="47" t="n">
        <f aca="false">F73</f>
        <v>0.190516995144245</v>
      </c>
      <c r="R20" s="10"/>
      <c r="S20" s="5"/>
      <c r="T20" s="5"/>
    </row>
    <row collapsed="false" customFormat="false" customHeight="false" hidden="false" ht="12.9" outlineLevel="0" r="21">
      <c r="C21" s="0" t="s">
        <v>135</v>
      </c>
      <c r="D21" s="8"/>
      <c r="E21" s="12" t="n">
        <f aca="false">G76</f>
        <v>38366.458004393</v>
      </c>
      <c r="F21" s="3"/>
      <c r="G21" s="5" t="n">
        <f aca="false">G20</f>
        <v>3</v>
      </c>
      <c r="I21" s="4" t="n">
        <f aca="false">H76</f>
        <v>2606.44336749955</v>
      </c>
      <c r="J21" s="12"/>
      <c r="K21" s="7"/>
      <c r="L21" s="0" t="s">
        <v>225</v>
      </c>
      <c r="M21" s="0" t="s">
        <v>235</v>
      </c>
      <c r="O21" s="8"/>
      <c r="P21" s="8"/>
      <c r="Q21" s="47" t="n">
        <f aca="false">F76</f>
        <v>0.142816338189089</v>
      </c>
      <c r="R21" s="10"/>
      <c r="S21" s="5"/>
      <c r="T21" s="5"/>
    </row>
    <row collapsed="false" customFormat="false" customHeight="false" hidden="false" ht="12.9" outlineLevel="0" r="22">
      <c r="C22" s="0" t="s">
        <v>135</v>
      </c>
      <c r="D22" s="8"/>
      <c r="E22" s="12" t="n">
        <f aca="false">G80</f>
        <v>38366.5723864691</v>
      </c>
      <c r="F22" s="3"/>
      <c r="G22" s="5" t="n">
        <f aca="false">G21</f>
        <v>3</v>
      </c>
      <c r="I22" s="4" t="n">
        <f aca="false">H80</f>
        <v>2606.43559692258</v>
      </c>
      <c r="J22" s="12"/>
      <c r="K22" s="7"/>
      <c r="L22" s="0" t="s">
        <v>227</v>
      </c>
      <c r="M22" s="0" t="s">
        <v>225</v>
      </c>
      <c r="O22" s="8"/>
      <c r="P22" s="8"/>
      <c r="Q22" s="47" t="n">
        <f aca="false">F80</f>
        <v>0.143101970865467</v>
      </c>
      <c r="R22" s="10"/>
      <c r="S22" s="5"/>
      <c r="T22" s="5"/>
    </row>
    <row collapsed="false" customFormat="false" customHeight="false" hidden="false" ht="12.9" outlineLevel="0" r="23">
      <c r="A23" s="0" t="s">
        <v>38</v>
      </c>
    </row>
    <row collapsed="false" customFormat="false" customHeight="false" hidden="false" ht="12.9" outlineLevel="0" r="25">
      <c r="A25" s="0" t="s">
        <v>39</v>
      </c>
    </row>
    <row collapsed="false" customFormat="true" customHeight="false" hidden="false" ht="93.15" outlineLevel="0" r="26" s="15">
      <c r="A26" s="15" t="s">
        <v>40</v>
      </c>
      <c r="B26" s="15" t="s">
        <v>15</v>
      </c>
      <c r="C26" s="15" t="s">
        <v>16</v>
      </c>
      <c r="D26" s="15" t="s">
        <v>42</v>
      </c>
      <c r="E26" s="15" t="s">
        <v>182</v>
      </c>
      <c r="F26" s="15" t="s">
        <v>15</v>
      </c>
      <c r="G26" s="15" t="s">
        <v>16</v>
      </c>
      <c r="H26" s="15" t="s">
        <v>42</v>
      </c>
      <c r="I26" s="15" t="s">
        <v>15</v>
      </c>
      <c r="J26" s="15" t="s">
        <v>16</v>
      </c>
      <c r="K26" s="15" t="s">
        <v>43</v>
      </c>
      <c r="L26" s="15" t="s">
        <v>44</v>
      </c>
      <c r="M26" s="15" t="s">
        <v>45</v>
      </c>
    </row>
    <row collapsed="false" customFormat="false" customHeight="false" hidden="false" ht="12.9" outlineLevel="0" r="27">
      <c r="A27" s="0" t="n">
        <v>2576</v>
      </c>
      <c r="B27" s="3" t="n">
        <f aca="false">38806.6891</f>
        <v>38806.6891</v>
      </c>
      <c r="C27" s="3" t="n">
        <f aca="false">0.003</f>
        <v>0.003</v>
      </c>
      <c r="D27" s="0" t="n">
        <f aca="false">A85</f>
        <v>0</v>
      </c>
      <c r="E27" s="3" t="n">
        <f aca="false">B27*(1+0.000000037)</f>
        <v>38806.6905358475</v>
      </c>
      <c r="F27" s="0" t="n">
        <f aca="false">38806.689</f>
        <v>38806.689</v>
      </c>
      <c r="G27" s="9" t="n">
        <f aca="false">0.002</f>
        <v>0.002</v>
      </c>
      <c r="H27" s="0" t="n">
        <f aca="false">A87</f>
        <v>0</v>
      </c>
      <c r="I27" s="3" t="n">
        <f aca="false">(E27/C27/C27+F27/G27/G27)/(1/C27/C27+1/G27/G27)</f>
        <v>38806.6894725685</v>
      </c>
      <c r="J27" s="3" t="n">
        <f aca="false">SQRT(1/(1/C27/C27+1/G27/G27))</f>
        <v>0.00166410058867569</v>
      </c>
      <c r="K27" s="0" t="s">
        <v>183</v>
      </c>
      <c r="L27" s="12" t="n">
        <f aca="false">100000000/I27</f>
        <v>2576.87531090967</v>
      </c>
      <c r="M27" s="12" t="n">
        <f aca="false">J27/I27*L27</f>
        <v>0.000110501044539237</v>
      </c>
    </row>
    <row collapsed="false" customFormat="false" customHeight="false" hidden="false" ht="12.9" outlineLevel="0" r="28">
      <c r="A28" s="0" t="n">
        <v>2594</v>
      </c>
      <c r="B28" s="3" t="n">
        <f aca="false">38543.1211</f>
        <v>38543.1211</v>
      </c>
      <c r="C28" s="3" t="n">
        <f aca="false">0.003</f>
        <v>0.003</v>
      </c>
      <c r="D28" s="0" t="n">
        <f aca="false">D27</f>
        <v>0</v>
      </c>
      <c r="E28" s="3" t="n">
        <f aca="false">B28*(1+0.000000037)</f>
        <v>38543.1225260955</v>
      </c>
      <c r="F28" s="0" t="n">
        <f aca="false">38543.122</f>
        <v>38543.122</v>
      </c>
      <c r="G28" s="9" t="n">
        <f aca="false">0.002</f>
        <v>0.002</v>
      </c>
      <c r="H28" s="0" t="n">
        <f aca="false">H27</f>
        <v>0</v>
      </c>
      <c r="I28" s="3" t="n">
        <f aca="false">(E28/C28/C28+F28/G28/G28)/(1/C28/C28+1/G28/G28)</f>
        <v>38543.1221618755</v>
      </c>
      <c r="J28" s="3" t="n">
        <f aca="false">SQRT(1/(1/C28/C28+1/G28/G28))</f>
        <v>0.00166410058867569</v>
      </c>
      <c r="K28" s="0" t="s">
        <v>183</v>
      </c>
      <c r="L28" s="12" t="n">
        <f aca="false">100000000/I28</f>
        <v>2594.49661550547</v>
      </c>
      <c r="M28" s="12" t="n">
        <f aca="false">J28/I28*L28</f>
        <v>0.000112017478165024</v>
      </c>
    </row>
    <row collapsed="false" customFormat="false" customHeight="false" hidden="false" ht="12.9" outlineLevel="0" r="29">
      <c r="A29" s="0" t="n">
        <v>2606</v>
      </c>
      <c r="B29" s="3" t="n">
        <f aca="false">38366.2304</f>
        <v>38366.2304</v>
      </c>
      <c r="C29" s="3" t="n">
        <f aca="false">0.003</f>
        <v>0.003</v>
      </c>
      <c r="D29" s="0" t="n">
        <f aca="false">D28</f>
        <v>0</v>
      </c>
      <c r="E29" s="3" t="n">
        <f aca="false">B29*(1+0.000000037)</f>
        <v>38366.2318195505</v>
      </c>
      <c r="F29" s="0" t="n">
        <f aca="false">38366.227</f>
        <v>38366.227</v>
      </c>
      <c r="G29" s="9" t="n">
        <f aca="false">0.002</f>
        <v>0.002</v>
      </c>
      <c r="H29" s="0" t="n">
        <f aca="false">H28</f>
        <v>0</v>
      </c>
      <c r="I29" s="3" t="n">
        <f aca="false">(E29/C29/C29+F29/G29/G29)/(1/C29/C29+1/G29/G29)</f>
        <v>38366.2284829386</v>
      </c>
      <c r="J29" s="3" t="n">
        <f aca="false">SQRT(1/(1/C29/C29+1/G29/G29))</f>
        <v>0.00166410058867569</v>
      </c>
      <c r="K29" s="0" t="s">
        <v>183</v>
      </c>
      <c r="L29" s="12" t="n">
        <f aca="false">100000000/I29</f>
        <v>2606.45896024077</v>
      </c>
      <c r="M29" s="12" t="n">
        <f aca="false">J29/I29*L29</f>
        <v>0.000113052808722768</v>
      </c>
    </row>
    <row collapsed="false" customFormat="false" customHeight="false" hidden="false" ht="12.9" outlineLevel="0" r="31">
      <c r="A31" s="0" t="s">
        <v>79</v>
      </c>
    </row>
    <row collapsed="false" customFormat="true" customHeight="false" hidden="false" ht="70.45" outlineLevel="0" r="32" s="15">
      <c r="A32" s="15" t="s">
        <v>236</v>
      </c>
      <c r="B32" s="15" t="s">
        <v>237</v>
      </c>
      <c r="C32" s="15" t="s">
        <v>238</v>
      </c>
      <c r="D32" s="15" t="s">
        <v>239</v>
      </c>
      <c r="E32" s="15" t="s">
        <v>240</v>
      </c>
      <c r="F32" s="15" t="s">
        <v>241</v>
      </c>
      <c r="G32" s="15" t="s">
        <v>242</v>
      </c>
      <c r="H32" s="15" t="s">
        <v>44</v>
      </c>
      <c r="I32" s="0"/>
    </row>
    <row collapsed="false" customFormat="false" customHeight="false" hidden="false" ht="12.9" outlineLevel="0" r="33">
      <c r="A33" s="0" t="n">
        <v>2576</v>
      </c>
      <c r="B33" s="0" t="s">
        <v>46</v>
      </c>
      <c r="C33" s="4" t="n">
        <f aca="false">SUMPRODUCT(C34:C48,D34:D48)/SUM(D34:D48)</f>
        <v>38806.6890974851</v>
      </c>
      <c r="E33" s="4" t="n">
        <f aca="false">C33</f>
        <v>38806.6890974851</v>
      </c>
      <c r="G33" s="3" t="n">
        <f aca="false">E33*$I$27/$E$33</f>
        <v>38806.6894725685</v>
      </c>
      <c r="H33" s="4"/>
    </row>
    <row collapsed="false" customFormat="false" customHeight="false" hidden="false" ht="12.9" outlineLevel="0" r="34">
      <c r="A34" s="0" t="n">
        <v>5.5</v>
      </c>
      <c r="B34" s="0" t="n">
        <v>6.5</v>
      </c>
      <c r="C34" s="9" t="n">
        <v>38806.449</v>
      </c>
      <c r="D34" s="7" t="n">
        <v>100</v>
      </c>
      <c r="E34" s="4"/>
      <c r="F34" s="9"/>
      <c r="G34" s="12"/>
      <c r="H34" s="4"/>
    </row>
    <row collapsed="false" customFormat="false" customHeight="false" hidden="false" ht="12.9" outlineLevel="0" r="35">
      <c r="A35" s="0" t="n">
        <v>5.5</v>
      </c>
      <c r="B35" s="0" t="n">
        <v>5.5</v>
      </c>
      <c r="C35" s="9" t="n">
        <v>38806.475</v>
      </c>
      <c r="D35" s="7" t="n">
        <v>9.7</v>
      </c>
      <c r="E35" s="4" t="n">
        <f aca="false">SUMPRODUCT(C34:C36,D34:D36)/SUM(D34:D36)</f>
        <v>38806.4515108893</v>
      </c>
      <c r="F35" s="9" t="n">
        <f aca="false">SUM(D34:D36)/SUM($D$34:$D$48)</f>
        <v>0.285714285714286</v>
      </c>
      <c r="G35" s="12" t="n">
        <f aca="false">E35*$I$27/$E$33</f>
        <v>38806.4518859704</v>
      </c>
      <c r="H35" s="4" t="n">
        <f aca="false">100000000/G35</f>
        <v>2576.89108743675</v>
      </c>
    </row>
    <row collapsed="false" customFormat="false" customHeight="false" hidden="false" ht="12.9" outlineLevel="0" r="36">
      <c r="A36" s="0" t="n">
        <v>5.5</v>
      </c>
      <c r="B36" s="0" t="n">
        <v>4.5</v>
      </c>
      <c r="C36" s="9" t="n">
        <v>38806.498</v>
      </c>
      <c r="D36" s="7" t="n">
        <v>0.5</v>
      </c>
      <c r="E36" s="4"/>
      <c r="F36" s="9"/>
      <c r="G36" s="12"/>
      <c r="H36" s="4"/>
    </row>
    <row collapsed="false" customFormat="false" customHeight="false" hidden="false" ht="12.9" outlineLevel="0" r="37">
      <c r="A37" s="0" t="n">
        <v>4.5</v>
      </c>
      <c r="B37" s="0" t="n">
        <v>5.5</v>
      </c>
      <c r="C37" s="9" t="n">
        <v>38806.621</v>
      </c>
      <c r="D37" s="7" t="n">
        <v>76</v>
      </c>
      <c r="E37" s="4"/>
      <c r="F37" s="9"/>
      <c r="G37" s="12"/>
      <c r="H37" s="4"/>
    </row>
    <row collapsed="false" customFormat="false" customHeight="false" hidden="false" ht="12.9" outlineLevel="0" r="38">
      <c r="A38" s="0" t="n">
        <v>4.5</v>
      </c>
      <c r="B38" s="0" t="n">
        <v>4.5</v>
      </c>
      <c r="C38" s="9" t="n">
        <v>38806.644</v>
      </c>
      <c r="D38" s="7" t="n">
        <v>14.8</v>
      </c>
      <c r="E38" s="4" t="n">
        <f aca="false">SUMPRODUCT(C37:C39,D37:D39)/SUM(D37:D39)</f>
        <v>38806.6251546841</v>
      </c>
      <c r="F38" s="9" t="n">
        <f aca="false">SUM(D37:D39)/SUM($D$34:$D$48)</f>
        <v>0.238008815141302</v>
      </c>
      <c r="G38" s="12" t="n">
        <f aca="false">E38*$I$27/$E$33</f>
        <v>38806.6255297668</v>
      </c>
      <c r="H38" s="4" t="n">
        <f aca="false">100000000/G38</f>
        <v>2576.87955690181</v>
      </c>
    </row>
    <row collapsed="false" customFormat="false" customHeight="false" hidden="false" ht="12.9" outlineLevel="0" r="39">
      <c r="A39" s="0" t="n">
        <v>4.5</v>
      </c>
      <c r="B39" s="0" t="n">
        <v>3.5</v>
      </c>
      <c r="C39" s="9" t="n">
        <v>38806.662</v>
      </c>
      <c r="D39" s="7" t="n">
        <v>1</v>
      </c>
      <c r="E39" s="4"/>
      <c r="F39" s="9"/>
      <c r="G39" s="12"/>
      <c r="H39" s="4"/>
    </row>
    <row collapsed="false" customFormat="false" customHeight="false" hidden="false" ht="12.9" outlineLevel="0" r="40">
      <c r="A40" s="0" t="n">
        <v>3.5</v>
      </c>
      <c r="B40" s="0" t="n">
        <v>4.5</v>
      </c>
      <c r="C40" s="9" t="n">
        <v>38806.764</v>
      </c>
      <c r="D40" s="7" t="n">
        <v>56.1</v>
      </c>
      <c r="E40" s="4"/>
      <c r="F40" s="9"/>
      <c r="G40" s="12"/>
      <c r="H40" s="4"/>
    </row>
    <row collapsed="false" customFormat="false" customHeight="false" hidden="false" ht="12.9" outlineLevel="0" r="41">
      <c r="A41" s="0" t="n">
        <v>3.5</v>
      </c>
      <c r="B41" s="0" t="n">
        <v>3.5</v>
      </c>
      <c r="C41" s="9" t="n">
        <v>38806.782</v>
      </c>
      <c r="D41" s="7" t="n">
        <v>16</v>
      </c>
      <c r="E41" s="4" t="n">
        <f aca="false">SUMPRODUCT(C40:C42,D40:D42)/SUM(D40:D42)</f>
        <v>38806.7685081744</v>
      </c>
      <c r="F41" s="9" t="n">
        <f aca="false">SUM(D40:D42)/SUM($D$34:$D$48)</f>
        <v>0.190303344568317</v>
      </c>
      <c r="G41" s="12" t="n">
        <f aca="false">E41*$I$27/$E$33</f>
        <v>38806.7688832585</v>
      </c>
      <c r="H41" s="4" t="n">
        <f aca="false">100000000/G41</f>
        <v>2576.87003782324</v>
      </c>
    </row>
    <row collapsed="false" customFormat="false" customHeight="false" hidden="false" ht="12.9" outlineLevel="0" r="42">
      <c r="A42" s="0" t="n">
        <v>3.5</v>
      </c>
      <c r="B42" s="0" t="n">
        <v>2.5</v>
      </c>
      <c r="C42" s="9" t="n">
        <v>38806.797</v>
      </c>
      <c r="D42" s="7" t="n">
        <v>1.3</v>
      </c>
      <c r="E42" s="4"/>
      <c r="F42" s="9"/>
      <c r="G42" s="12"/>
      <c r="H42" s="4"/>
    </row>
    <row collapsed="false" customFormat="false" customHeight="false" hidden="false" ht="12.9" outlineLevel="0" r="43">
      <c r="A43" s="0" t="n">
        <v>2.5</v>
      </c>
      <c r="B43" s="0" t="n">
        <v>3.5</v>
      </c>
      <c r="C43" s="9" t="n">
        <v>38806.875</v>
      </c>
      <c r="D43" s="7" t="n">
        <v>40.1</v>
      </c>
      <c r="E43" s="4"/>
      <c r="F43" s="9"/>
      <c r="G43" s="12"/>
      <c r="H43" s="4"/>
    </row>
    <row collapsed="false" customFormat="false" customHeight="false" hidden="false" ht="12.9" outlineLevel="0" r="44">
      <c r="A44" s="0" t="n">
        <v>2.5</v>
      </c>
      <c r="B44" s="0" t="n">
        <v>2.5</v>
      </c>
      <c r="C44" s="9" t="n">
        <v>38806.89</v>
      </c>
      <c r="D44" s="7" t="n">
        <v>14</v>
      </c>
      <c r="E44" s="4" t="n">
        <f aca="false">SUMPRODUCT(C43:C45,D43:D45)/SUM(D43:D45)</f>
        <v>38806.8792649728</v>
      </c>
      <c r="F44" s="9" t="n">
        <f aca="false">SUM(D43:D45)/SUM($D$34:$D$48)</f>
        <v>0.142857142857143</v>
      </c>
      <c r="G44" s="12" t="n">
        <f aca="false">E44*$I$27/$E$33</f>
        <v>38806.879640058</v>
      </c>
      <c r="H44" s="4" t="n">
        <f aca="false">100000000/G44</f>
        <v>2576.86268330567</v>
      </c>
    </row>
    <row collapsed="false" customFormat="false" customHeight="false" hidden="false" ht="12.9" outlineLevel="0" r="45">
      <c r="A45" s="0" t="n">
        <v>2.5</v>
      </c>
      <c r="B45" s="0" t="n">
        <v>1.5</v>
      </c>
      <c r="C45" s="9" t="n">
        <v>38806.9</v>
      </c>
      <c r="D45" s="7" t="n">
        <v>1</v>
      </c>
      <c r="E45" s="4"/>
      <c r="F45" s="9"/>
      <c r="G45" s="12"/>
      <c r="H45" s="4"/>
    </row>
    <row collapsed="false" customFormat="false" customHeight="false" hidden="false" ht="12.9" outlineLevel="0" r="46">
      <c r="A46" s="0" t="n">
        <v>1.5</v>
      </c>
      <c r="B46" s="0" t="n">
        <v>2.5</v>
      </c>
      <c r="C46" s="9" t="n">
        <v>38806.956</v>
      </c>
      <c r="D46" s="7" t="n">
        <v>27.6</v>
      </c>
      <c r="E46" s="4"/>
      <c r="F46" s="9"/>
      <c r="G46" s="12"/>
      <c r="H46" s="4"/>
    </row>
    <row collapsed="false" customFormat="false" customHeight="false" hidden="false" ht="12.9" outlineLevel="0" r="47">
      <c r="A47" s="0" t="n">
        <v>1.5</v>
      </c>
      <c r="B47" s="0" t="n">
        <v>1.5</v>
      </c>
      <c r="C47" s="9" t="n">
        <v>38806.966</v>
      </c>
      <c r="D47" s="7" t="n">
        <v>9.2</v>
      </c>
      <c r="E47" s="4" t="n">
        <f aca="false">SUMPRODUCT(C46:C48,D46:D48)/SUM(D46:D48)</f>
        <v>38806.9743333333</v>
      </c>
      <c r="F47" s="9" t="n">
        <f aca="false">SUM(D46:D48)/SUM($D$34:$D$48)</f>
        <v>0.143116411718953</v>
      </c>
      <c r="G47" s="12" t="n">
        <f aca="false">E47*$I$27/$E$33</f>
        <v>38806.9747084194</v>
      </c>
      <c r="H47" s="4" t="n">
        <f aca="false">100000000/G47</f>
        <v>2576.85637057156</v>
      </c>
    </row>
    <row collapsed="false" customFormat="false" customHeight="false" hidden="false" ht="12.9" outlineLevel="0" r="48">
      <c r="A48" s="0" t="n">
        <v>0.5</v>
      </c>
      <c r="B48" s="0" t="n">
        <v>1.5</v>
      </c>
      <c r="C48" s="9" t="n">
        <v>38807.006</v>
      </c>
      <c r="D48" s="7" t="n">
        <v>18.4</v>
      </c>
      <c r="E48" s="4"/>
      <c r="F48" s="9"/>
      <c r="G48" s="12"/>
      <c r="H48" s="4"/>
    </row>
    <row collapsed="false" customFormat="false" customHeight="false" hidden="false" ht="12.9" outlineLevel="0" r="49">
      <c r="D49" s="7"/>
      <c r="E49" s="4"/>
      <c r="F49" s="9"/>
      <c r="G49" s="4"/>
      <c r="H49" s="4"/>
    </row>
    <row collapsed="false" customFormat="false" customHeight="false" hidden="false" ht="12.9" outlineLevel="0" r="50">
      <c r="A50" s="0" t="n">
        <v>2594</v>
      </c>
      <c r="B50" s="0" t="s">
        <v>46</v>
      </c>
      <c r="C50" s="4" t="n">
        <f aca="false">SUMPRODUCT(C51:C66,D51:D66)/SUM(D51:D66)</f>
        <v>38543.1214471751</v>
      </c>
      <c r="D50" s="7"/>
      <c r="E50" s="4" t="n">
        <f aca="false">C50</f>
        <v>38543.1214471751</v>
      </c>
      <c r="F50" s="9"/>
      <c r="G50" s="3" t="n">
        <f aca="false">E50*$I$28/$E$50</f>
        <v>38543.1221618755</v>
      </c>
      <c r="H50" s="4"/>
    </row>
    <row collapsed="false" customFormat="false" customHeight="false" hidden="false" ht="12.9" outlineLevel="0" r="51">
      <c r="A51" s="0" t="n">
        <v>5.5</v>
      </c>
      <c r="B51" s="0" t="n">
        <v>5.5</v>
      </c>
      <c r="C51" s="9" t="n">
        <v>38542.886</v>
      </c>
      <c r="D51" s="7" t="n">
        <v>100</v>
      </c>
      <c r="E51" s="4"/>
      <c r="F51" s="9"/>
      <c r="G51" s="4"/>
      <c r="H51" s="4"/>
    </row>
    <row collapsed="false" customFormat="false" customHeight="false" hidden="false" ht="12.9" outlineLevel="0" r="52">
      <c r="A52" s="0" t="n">
        <v>5.5</v>
      </c>
      <c r="B52" s="0" t="n">
        <v>4.5</v>
      </c>
      <c r="C52" s="9" t="n">
        <v>38542.913</v>
      </c>
      <c r="D52" s="7" t="n">
        <v>12.8</v>
      </c>
      <c r="E52" s="4" t="n">
        <f aca="false">SUMPRODUCT(C51:C52,D51:D52)/SUM(D51:D52)</f>
        <v>38542.8890638298</v>
      </c>
      <c r="F52" s="9" t="n">
        <f aca="false">SUM(D51:D52)/SUM($D$51:$D$66)</f>
        <v>0.285786673422853</v>
      </c>
      <c r="G52" s="12" t="n">
        <f aca="false">E52*$I$28/$E$50</f>
        <v>38542.8897785259</v>
      </c>
      <c r="H52" s="4" t="n">
        <f aca="false">100000000/G52</f>
        <v>2594.51225828206</v>
      </c>
    </row>
    <row collapsed="false" customFormat="false" customHeight="false" hidden="false" ht="12.9" outlineLevel="0" r="53">
      <c r="A53" s="0" t="n">
        <v>4.5</v>
      </c>
      <c r="B53" s="0" t="n">
        <v>5.5</v>
      </c>
      <c r="C53" s="9" t="n">
        <v>38543.032</v>
      </c>
      <c r="D53" s="7" t="n">
        <v>12.8</v>
      </c>
      <c r="E53" s="4"/>
      <c r="F53" s="9"/>
      <c r="G53" s="12"/>
      <c r="H53" s="4"/>
    </row>
    <row collapsed="false" customFormat="false" customHeight="false" hidden="false" ht="12.9" outlineLevel="0" r="54">
      <c r="A54" s="0" t="n">
        <v>4.5</v>
      </c>
      <c r="B54" s="0" t="n">
        <v>4.5</v>
      </c>
      <c r="C54" s="9" t="n">
        <v>38543.059</v>
      </c>
      <c r="D54" s="7" t="n">
        <v>62.1</v>
      </c>
      <c r="E54" s="4" t="n">
        <f aca="false">SUMPRODUCT(C53:C55,D53:D55)/SUM(D53:D55)</f>
        <v>38543.0596121148</v>
      </c>
      <c r="F54" s="9" t="n">
        <f aca="false">SUM(D53:D55)/SUM($D$51:$D$66)</f>
        <v>0.238408918165695</v>
      </c>
      <c r="G54" s="12" t="n">
        <f aca="false">E54*$I$28/$E$50</f>
        <v>38543.0603268141</v>
      </c>
      <c r="H54" s="4" t="n">
        <f aca="false">100000000/G54</f>
        <v>2594.50077788532</v>
      </c>
    </row>
    <row collapsed="false" customFormat="false" customHeight="false" hidden="false" ht="12.9" outlineLevel="0" r="55">
      <c r="A55" s="0" t="n">
        <v>4.5</v>
      </c>
      <c r="B55" s="0" t="n">
        <v>3.5</v>
      </c>
      <c r="C55" s="9" t="n">
        <v>38543.08</v>
      </c>
      <c r="D55" s="7" t="n">
        <v>19.2</v>
      </c>
      <c r="E55" s="4"/>
      <c r="F55" s="9"/>
      <c r="G55" s="12"/>
      <c r="H55" s="4"/>
    </row>
    <row collapsed="false" customFormat="false" customHeight="false" hidden="false" ht="12.9" outlineLevel="0" r="56">
      <c r="A56" s="0" t="n">
        <v>3.5</v>
      </c>
      <c r="B56" s="0" t="n">
        <v>4.5</v>
      </c>
      <c r="C56" s="9" t="n">
        <v>38543.179</v>
      </c>
      <c r="D56" s="7" t="n">
        <v>19.2</v>
      </c>
      <c r="E56" s="4"/>
      <c r="F56" s="9"/>
      <c r="G56" s="12"/>
      <c r="H56" s="4"/>
    </row>
    <row collapsed="false" customFormat="false" customHeight="false" hidden="false" ht="12.9" outlineLevel="0" r="57">
      <c r="A57" s="0" t="n">
        <v>3.5</v>
      </c>
      <c r="B57" s="0" t="n">
        <v>3.5</v>
      </c>
      <c r="C57" s="9" t="n">
        <v>38543.2</v>
      </c>
      <c r="D57" s="7" t="n">
        <v>35.9</v>
      </c>
      <c r="E57" s="4" t="n">
        <f aca="false">SUMPRODUCT(C56:C58,D56:D58)/SUM(D56:D58)</f>
        <v>38543.1992058433</v>
      </c>
      <c r="F57" s="9" t="n">
        <f aca="false">SUM(D56:D58)/SUM($D$51:$D$66)</f>
        <v>0.190777805928553</v>
      </c>
      <c r="G57" s="12" t="n">
        <f aca="false">E57*$I$28/$E$50</f>
        <v>38543.1999205452</v>
      </c>
      <c r="H57" s="4" t="n">
        <f aca="false">100000000/G57</f>
        <v>2594.49138125908</v>
      </c>
    </row>
    <row collapsed="false" customFormat="false" customHeight="false" hidden="false" ht="12.9" outlineLevel="0" r="58">
      <c r="A58" s="0" t="n">
        <v>3.5</v>
      </c>
      <c r="B58" s="0" t="n">
        <v>2.5</v>
      </c>
      <c r="C58" s="9" t="n">
        <v>38543.217</v>
      </c>
      <c r="D58" s="7" t="n">
        <v>20.2</v>
      </c>
      <c r="E58" s="4"/>
      <c r="F58" s="9"/>
      <c r="G58" s="12"/>
      <c r="H58" s="4"/>
    </row>
    <row collapsed="false" customFormat="false" customHeight="false" hidden="false" ht="12.9" outlineLevel="0" r="59">
      <c r="A59" s="0" t="n">
        <v>2.5</v>
      </c>
      <c r="B59" s="0" t="n">
        <v>3.5</v>
      </c>
      <c r="C59" s="9" t="n">
        <v>38543.293</v>
      </c>
      <c r="D59" s="7" t="n">
        <v>20.2</v>
      </c>
      <c r="E59" s="4"/>
      <c r="F59" s="9"/>
      <c r="G59" s="12"/>
      <c r="H59" s="4"/>
    </row>
    <row collapsed="false" customFormat="false" customHeight="false" hidden="false" ht="12.9" outlineLevel="0" r="60">
      <c r="A60" s="0" t="n">
        <v>2.5</v>
      </c>
      <c r="B60" s="0" t="n">
        <v>2.5</v>
      </c>
      <c r="C60" s="9" t="n">
        <v>38543.31</v>
      </c>
      <c r="D60" s="7" t="n">
        <v>19.3</v>
      </c>
      <c r="E60" s="4" t="n">
        <f aca="false">SUMPRODUCT(C59:C61,D59:D61)/SUM(D59:D61)</f>
        <v>38543.3075070922</v>
      </c>
      <c r="F60" s="9" t="n">
        <f aca="false">SUM(D59:D61)/SUM($D$51:$D$66)</f>
        <v>0.142893336711426</v>
      </c>
      <c r="G60" s="12" t="n">
        <f aca="false">E60*$I$28/$E$50</f>
        <v>38543.3082217961</v>
      </c>
      <c r="H60" s="4" t="n">
        <f aca="false">100000000/G60</f>
        <v>2594.48409110483</v>
      </c>
    </row>
    <row collapsed="false" customFormat="false" customHeight="false" hidden="false" ht="12.9" outlineLevel="0" r="61">
      <c r="A61" s="0" t="n">
        <v>2.5</v>
      </c>
      <c r="B61" s="0" t="n">
        <v>1.5</v>
      </c>
      <c r="C61" s="9" t="n">
        <v>38543.322</v>
      </c>
      <c r="D61" s="7" t="n">
        <v>16.9</v>
      </c>
      <c r="E61" s="4"/>
      <c r="F61" s="9"/>
      <c r="G61" s="12"/>
      <c r="H61" s="4"/>
    </row>
    <row collapsed="false" customFormat="false" customHeight="false" hidden="false" ht="12.9" outlineLevel="0" r="62">
      <c r="A62" s="0" t="n">
        <v>1.5</v>
      </c>
      <c r="B62" s="0" t="n">
        <v>2.5</v>
      </c>
      <c r="C62" s="9" t="n">
        <v>38543.377</v>
      </c>
      <c r="D62" s="7" t="n">
        <v>16.7</v>
      </c>
      <c r="E62" s="4"/>
      <c r="F62" s="9"/>
      <c r="G62" s="12"/>
      <c r="H62" s="4"/>
    </row>
    <row collapsed="false" customFormat="false" customHeight="false" hidden="false" ht="12.9" outlineLevel="0" r="63">
      <c r="A63" s="0" t="n">
        <v>1.5</v>
      </c>
      <c r="B63" s="0" t="n">
        <v>1.5</v>
      </c>
      <c r="C63" s="9" t="n">
        <v>38543.389</v>
      </c>
      <c r="D63" s="7" t="n">
        <v>10.2</v>
      </c>
      <c r="E63" s="4"/>
      <c r="F63" s="9"/>
      <c r="G63" s="12"/>
      <c r="H63" s="4"/>
    </row>
    <row collapsed="false" customFormat="false" customHeight="false" hidden="false" ht="12.9" outlineLevel="0" r="64">
      <c r="A64" s="0" t="n">
        <v>1.5</v>
      </c>
      <c r="B64" s="0" t="n">
        <v>0.5</v>
      </c>
      <c r="C64" s="9" t="n">
        <v>38543.396</v>
      </c>
      <c r="D64" s="7" t="n">
        <v>10.4</v>
      </c>
      <c r="E64" s="4" t="n">
        <f aca="false">SUMPRODUCT(C62:C66,D62:D66)/SUM(D62:D66)</f>
        <v>38543.4009928699</v>
      </c>
      <c r="F64" s="9" t="n">
        <f aca="false">SUM(D62:D66)/SUM($D$51:$D$66)</f>
        <v>0.142133265771472</v>
      </c>
      <c r="G64" s="12" t="n">
        <f aca="false">E64*$I$28/$E$50</f>
        <v>38543.4017075755</v>
      </c>
      <c r="H64" s="4" t="n">
        <f aca="false">100000000/G64</f>
        <v>2594.47779826723</v>
      </c>
    </row>
    <row collapsed="false" customFormat="false" customHeight="false" hidden="false" ht="12.9" outlineLevel="0" r="65">
      <c r="A65" s="0" t="n">
        <v>0.5</v>
      </c>
      <c r="B65" s="0" t="n">
        <v>1.5</v>
      </c>
      <c r="C65" s="9" t="n">
        <v>38543.428</v>
      </c>
      <c r="D65" s="7" t="n">
        <v>10.4</v>
      </c>
      <c r="E65" s="4"/>
      <c r="F65" s="9"/>
      <c r="G65" s="12"/>
      <c r="H65" s="4"/>
    </row>
    <row collapsed="false" customFormat="false" customHeight="false" hidden="false" ht="12.9" outlineLevel="0" r="66">
      <c r="A66" s="0" t="n">
        <v>0.5</v>
      </c>
      <c r="B66" s="0" t="n">
        <v>0.5</v>
      </c>
      <c r="C66" s="9" t="n">
        <v>38543.436</v>
      </c>
      <c r="D66" s="7" t="n">
        <v>8.4</v>
      </c>
      <c r="E66" s="4"/>
      <c r="F66" s="9"/>
      <c r="G66" s="12"/>
      <c r="H66" s="4"/>
    </row>
    <row collapsed="false" customFormat="false" customHeight="false" hidden="false" ht="12.9" outlineLevel="0" r="67">
      <c r="D67" s="7"/>
      <c r="E67" s="4"/>
      <c r="F67" s="9"/>
      <c r="G67" s="4"/>
      <c r="H67" s="4"/>
    </row>
    <row collapsed="false" customFormat="false" customHeight="false" hidden="false" ht="12.9" outlineLevel="0" r="68">
      <c r="A68" s="0" t="n">
        <v>2606</v>
      </c>
      <c r="B68" s="0" t="s">
        <v>46</v>
      </c>
      <c r="C68" s="4" t="n">
        <f aca="false">SUMPRODUCT(C69:C82,D69:D82)/SUM(D69:D82)</f>
        <v>38366.2270605541</v>
      </c>
      <c r="D68" s="7"/>
      <c r="E68" s="4" t="n">
        <f aca="false">C68</f>
        <v>38366.2270605541</v>
      </c>
      <c r="F68" s="9"/>
      <c r="G68" s="3" t="n">
        <f aca="false">E68*$I$29/$E$68</f>
        <v>38366.2284829386</v>
      </c>
      <c r="H68" s="4"/>
    </row>
    <row collapsed="false" customFormat="false" customHeight="false" hidden="false" ht="12.9" outlineLevel="0" r="69">
      <c r="A69" s="0" t="n">
        <v>5.5</v>
      </c>
      <c r="B69" s="0" t="n">
        <v>4.5</v>
      </c>
      <c r="C69" s="9" t="n">
        <v>38365.94</v>
      </c>
      <c r="D69" s="7" t="n">
        <v>100</v>
      </c>
      <c r="E69" s="4" t="n">
        <f aca="false">C69</f>
        <v>38365.94</v>
      </c>
      <c r="F69" s="9" t="n">
        <f aca="false">SUM(D69)/SUM($D$69:$D$82)</f>
        <v>0.285632676378178</v>
      </c>
      <c r="G69" s="12" t="n">
        <f aca="false">E69*$I$29/$E$68</f>
        <v>38365.9414223738</v>
      </c>
      <c r="H69" s="4" t="n">
        <f aca="false">100000000/G69</f>
        <v>2606.47846221448</v>
      </c>
    </row>
    <row collapsed="false" customFormat="false" customHeight="false" hidden="false" ht="12.9" outlineLevel="0" r="70">
      <c r="A70" s="0" t="n">
        <v>4.5</v>
      </c>
      <c r="B70" s="0" t="n">
        <v>4.5</v>
      </c>
      <c r="C70" s="9" t="n">
        <v>38366.086</v>
      </c>
      <c r="D70" s="7" t="n">
        <v>15.4</v>
      </c>
      <c r="E70" s="4"/>
      <c r="F70" s="9"/>
      <c r="G70" s="12"/>
      <c r="H70" s="4"/>
    </row>
    <row collapsed="false" customFormat="false" customHeight="false" hidden="false" ht="12.9" outlineLevel="0" r="71">
      <c r="A71" s="0" t="n">
        <v>4.5</v>
      </c>
      <c r="B71" s="0" t="n">
        <v>3.5</v>
      </c>
      <c r="C71" s="9" t="n">
        <v>38366.165</v>
      </c>
      <c r="D71" s="7" t="n">
        <v>67.9</v>
      </c>
      <c r="E71" s="4" t="n">
        <f aca="false">SUMPRODUCT(C70:C71,D70:D71)/SUM(D70:D71)</f>
        <v>38366.150394958</v>
      </c>
      <c r="F71" s="9" t="n">
        <f aca="false">SUM(D70:D71)/SUM($D$69:$D$82)</f>
        <v>0.237932019423022</v>
      </c>
      <c r="G71" s="12" t="n">
        <f aca="false">E71*$I$29/$E$68</f>
        <v>38366.1518173396</v>
      </c>
      <c r="H71" s="4" t="n">
        <f aca="false">100000000/G71</f>
        <v>2606.46416862702</v>
      </c>
    </row>
    <row collapsed="false" customFormat="false" customHeight="false" hidden="false" ht="12.9" outlineLevel="0" r="72">
      <c r="A72" s="0" t="n">
        <v>3.5</v>
      </c>
      <c r="B72" s="0" t="n">
        <v>4.5</v>
      </c>
      <c r="C72" s="9" t="n">
        <v>38366.206</v>
      </c>
      <c r="D72" s="7" t="n">
        <v>1.2</v>
      </c>
      <c r="E72" s="4"/>
      <c r="F72" s="9"/>
      <c r="G72" s="12"/>
      <c r="H72" s="4"/>
    </row>
    <row collapsed="false" customFormat="false" customHeight="false" hidden="false" ht="12.9" outlineLevel="0" r="73">
      <c r="A73" s="0" t="n">
        <v>3.5</v>
      </c>
      <c r="B73" s="0" t="n">
        <v>3.5</v>
      </c>
      <c r="C73" s="9" t="n">
        <v>38366.285</v>
      </c>
      <c r="D73" s="7" t="n">
        <v>22.6</v>
      </c>
      <c r="E73" s="4" t="n">
        <f aca="false">SUMPRODUCT(C72:C74,D72:D74)/SUM(D72:D74)</f>
        <v>38366.3228125937</v>
      </c>
      <c r="F73" s="9" t="n">
        <f aca="false">SUM(D72:D74)/SUM($D$69:$D$82)</f>
        <v>0.190516995144245</v>
      </c>
      <c r="G73" s="12" t="n">
        <f aca="false">E73*$I$29/$E$68</f>
        <v>38366.3242349817</v>
      </c>
      <c r="H73" s="4" t="n">
        <f aca="false">100000000/G73</f>
        <v>2606.45245521909</v>
      </c>
    </row>
    <row collapsed="false" customFormat="false" customHeight="false" hidden="false" ht="12.9" outlineLevel="0" r="74">
      <c r="A74" s="0" t="n">
        <v>3.5</v>
      </c>
      <c r="B74" s="0" t="n">
        <v>2.5</v>
      </c>
      <c r="C74" s="9" t="n">
        <v>38366.346</v>
      </c>
      <c r="D74" s="7" t="n">
        <v>42.9</v>
      </c>
      <c r="E74" s="4"/>
      <c r="F74" s="9"/>
      <c r="G74" s="12"/>
      <c r="H74" s="4"/>
    </row>
    <row collapsed="false" customFormat="false" customHeight="false" hidden="false" ht="12.9" outlineLevel="0" r="75">
      <c r="A75" s="0" t="n">
        <v>2.5</v>
      </c>
      <c r="B75" s="0" t="n">
        <v>3.5</v>
      </c>
      <c r="C75" s="9" t="n">
        <v>38366.378</v>
      </c>
      <c r="D75" s="7" t="n">
        <v>2.9</v>
      </c>
      <c r="E75" s="4"/>
      <c r="F75" s="9"/>
      <c r="G75" s="12"/>
      <c r="H75" s="4"/>
    </row>
    <row collapsed="false" customFormat="false" customHeight="false" hidden="false" ht="12.9" outlineLevel="0" r="76">
      <c r="A76" s="0" t="n">
        <v>2.5</v>
      </c>
      <c r="B76" s="0" t="n">
        <v>2.5</v>
      </c>
      <c r="C76" s="9" t="n">
        <v>38366.439</v>
      </c>
      <c r="D76" s="7" t="n">
        <v>23.1</v>
      </c>
      <c r="E76" s="4" t="n">
        <f aca="false">SUMPRODUCT(C75:C77,D75:D77)/SUM(D75:D77)</f>
        <v>38366.456582</v>
      </c>
      <c r="F76" s="9" t="n">
        <f aca="false">SUM(D75:D77)/SUM($D$69:$D$82)</f>
        <v>0.142816338189089</v>
      </c>
      <c r="G76" s="12" t="n">
        <f aca="false">E76*$I$29/$E$68</f>
        <v>38366.458004393</v>
      </c>
      <c r="H76" s="4" t="n">
        <f aca="false">100000000/G76</f>
        <v>2606.44336749955</v>
      </c>
    </row>
    <row collapsed="false" customFormat="false" customHeight="false" hidden="false" ht="12.9" outlineLevel="0" r="77">
      <c r="A77" s="0" t="n">
        <v>2.5</v>
      </c>
      <c r="B77" s="0" t="n">
        <v>1.5</v>
      </c>
      <c r="C77" s="9" t="n">
        <v>38366.483</v>
      </c>
      <c r="D77" s="7" t="n">
        <v>24</v>
      </c>
      <c r="E77" s="4"/>
      <c r="F77" s="9"/>
      <c r="G77" s="12"/>
      <c r="H77" s="4"/>
    </row>
    <row collapsed="false" customFormat="false" customHeight="false" hidden="false" ht="12.9" outlineLevel="0" r="78">
      <c r="A78" s="0" t="n">
        <v>1.5</v>
      </c>
      <c r="B78" s="0" t="n">
        <v>2.5</v>
      </c>
      <c r="C78" s="9" t="n">
        <v>38366.505</v>
      </c>
      <c r="D78" s="7" t="n">
        <v>4</v>
      </c>
      <c r="E78" s="4"/>
      <c r="F78" s="9"/>
      <c r="G78" s="12"/>
      <c r="H78" s="4"/>
    </row>
    <row collapsed="false" customFormat="false" customHeight="false" hidden="false" ht="12.9" outlineLevel="0" r="79">
      <c r="A79" s="0" t="n">
        <v>1.5</v>
      </c>
      <c r="B79" s="0" t="n">
        <v>1.5</v>
      </c>
      <c r="C79" s="9" t="n">
        <v>38366.549</v>
      </c>
      <c r="D79" s="7" t="n">
        <v>19</v>
      </c>
      <c r="E79" s="4"/>
      <c r="F79" s="9"/>
      <c r="G79" s="12"/>
      <c r="H79" s="4"/>
    </row>
    <row collapsed="false" customFormat="false" customHeight="false" hidden="false" ht="12.9" outlineLevel="0" r="80">
      <c r="A80" s="0" t="n">
        <v>1.5</v>
      </c>
      <c r="B80" s="0" t="n">
        <v>0.5</v>
      </c>
      <c r="C80" s="9" t="n">
        <v>38366.575</v>
      </c>
      <c r="D80" s="7" t="n">
        <v>10.4</v>
      </c>
      <c r="E80" s="4" t="n">
        <f aca="false">SUMPRODUCT(C78:C82,D78:D82)/SUM(D78:D82)</f>
        <v>38366.5709640719</v>
      </c>
      <c r="F80" s="9" t="n">
        <f aca="false">SUM(D78:D82)/SUM($D$69:$D$82)</f>
        <v>0.143101970865467</v>
      </c>
      <c r="G80" s="12" t="n">
        <f aca="false">E80*$I$29/$E$68</f>
        <v>38366.5723864691</v>
      </c>
      <c r="H80" s="4" t="n">
        <f aca="false">100000000/G80</f>
        <v>2606.43559692258</v>
      </c>
    </row>
    <row collapsed="false" customFormat="false" customHeight="false" hidden="false" ht="12.9" outlineLevel="0" r="81">
      <c r="A81" s="0" t="n">
        <v>0.5</v>
      </c>
      <c r="B81" s="0" t="n">
        <v>1.5</v>
      </c>
      <c r="C81" s="9" t="n">
        <v>38366.589</v>
      </c>
      <c r="D81" s="7" t="n">
        <v>3.7</v>
      </c>
      <c r="E81" s="4"/>
      <c r="F81" s="9"/>
      <c r="G81" s="12"/>
      <c r="H81" s="4"/>
    </row>
    <row collapsed="false" customFormat="false" customHeight="false" hidden="false" ht="12.9" outlineLevel="0" r="82">
      <c r="A82" s="0" t="n">
        <v>0.5</v>
      </c>
      <c r="B82" s="0" t="n">
        <v>0.5</v>
      </c>
      <c r="C82" s="9" t="n">
        <v>38366.615</v>
      </c>
      <c r="D82" s="7" t="n">
        <v>13</v>
      </c>
      <c r="E82" s="4"/>
      <c r="F82" s="9"/>
      <c r="G82" s="12"/>
      <c r="H82" s="4"/>
    </row>
    <row collapsed="false" customFormat="true" customHeight="false" hidden="false" ht="12.9" outlineLevel="0" r="84" s="13">
      <c r="A84" s="13" t="s">
        <v>4</v>
      </c>
    </row>
    <row collapsed="false" customFormat="true" customHeight="false" hidden="false" ht="13.6" outlineLevel="0" r="85" s="13">
      <c r="A85" s="13" t="s">
        <v>191</v>
      </c>
      <c r="B85" s="1" t="s">
        <v>192</v>
      </c>
    </row>
    <row collapsed="false" customFormat="true" customHeight="false" hidden="false" ht="13.6" outlineLevel="0" r="86" s="13">
      <c r="A86" s="13" t="s">
        <v>195</v>
      </c>
      <c r="B86" s="1" t="s">
        <v>196</v>
      </c>
    </row>
    <row collapsed="false" customFormat="true" customHeight="false" hidden="false" ht="13.6" outlineLevel="0" r="87" s="13">
      <c r="A87" s="0" t="s">
        <v>243</v>
      </c>
      <c r="B87" s="1" t="s">
        <v>244</v>
      </c>
    </row>
  </sheetData>
  <hyperlinks>
    <hyperlink display="http://adsabs.harvard.edu/abs/2009PhST..134a4008A" ref="B85" r:id="rId1"/>
    <hyperlink display="http://adsabs.harvard.edu/abs/2012MNRAS.420.1570N" ref="B86" r:id="rId2"/>
    <hyperlink display="http://adsabs.harvard.edu/abs/2005MNRAS.364..705B" ref="B87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Q32" activeCellId="0" pane="topLeft" sqref="Q32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2.8980392156863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13">
      <c r="A1" s="13" t="s">
        <v>9</v>
      </c>
      <c r="B1" s="44" t="n">
        <v>41024</v>
      </c>
      <c r="C1" s="50"/>
      <c r="AMJ1" s="0"/>
    </row>
    <row collapsed="false" customFormat="true" customHeight="false" hidden="false" ht="12.9" outlineLevel="0" r="2" s="13">
      <c r="B2" s="19"/>
      <c r="AMJ2" s="0"/>
    </row>
    <row collapsed="false" customFormat="true" customHeight="false" hidden="false" ht="12.9" outlineLevel="0" r="3" s="13">
      <c r="A3" s="13" t="s">
        <v>10</v>
      </c>
      <c r="B3" s="19"/>
      <c r="AMJ3" s="0"/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true" customHeight="false" hidden="false" ht="12.9" outlineLevel="0" r="5" s="13">
      <c r="A5" s="13" t="s">
        <v>245</v>
      </c>
      <c r="B5" s="61" t="n">
        <f aca="false">A70</f>
        <v>1608</v>
      </c>
      <c r="C5" s="61" t="s">
        <v>31</v>
      </c>
      <c r="D5" s="9" t="n">
        <f aca="false">55.845</f>
        <v>55.845</v>
      </c>
      <c r="E5" s="45" t="n">
        <f aca="false">F70</f>
        <v>62171.623</v>
      </c>
      <c r="F5" s="45" t="n">
        <f aca="false">G70</f>
        <v>0.003</v>
      </c>
      <c r="G5" s="13" t="n">
        <v>0</v>
      </c>
      <c r="H5" s="0" t="str">
        <f aca="false">K56</f>
        <v>Nave:2012:1570</v>
      </c>
      <c r="I5" s="16" t="n">
        <f aca="false">H70</f>
        <v>1608.45085224814</v>
      </c>
      <c r="J5" s="16" t="n">
        <f aca="false">I70</f>
        <v>7.76134243229329E-005</v>
      </c>
      <c r="K5" s="7" t="n">
        <f aca="false">299792458*J5/I5</f>
        <v>14.4660430370299</v>
      </c>
      <c r="L5" s="0" t="s">
        <v>246</v>
      </c>
      <c r="M5" s="13" t="s">
        <v>247</v>
      </c>
      <c r="N5" s="13" t="s">
        <v>248</v>
      </c>
      <c r="O5" s="8" t="n">
        <v>7.87</v>
      </c>
      <c r="P5" s="8" t="n">
        <v>16.18</v>
      </c>
      <c r="Q5" s="46" t="n">
        <v>0.0577</v>
      </c>
      <c r="R5" s="10" t="n">
        <v>274000000</v>
      </c>
      <c r="S5" s="13" t="n">
        <v>-1165</v>
      </c>
      <c r="T5" s="13" t="n">
        <v>300</v>
      </c>
    </row>
    <row collapsed="false" customFormat="true" customHeight="false" hidden="false" ht="12.9" outlineLevel="0" r="6" s="13">
      <c r="B6" s="0"/>
      <c r="C6" s="0" t="s">
        <v>35</v>
      </c>
      <c r="D6" s="61" t="n">
        <f aca="false">A74</f>
        <v>58</v>
      </c>
      <c r="E6" s="18" t="n">
        <f aca="false">F74</f>
        <v>62171.6672201402</v>
      </c>
      <c r="G6" s="13" t="n">
        <v>3</v>
      </c>
      <c r="H6" s="13" t="str">
        <f aca="false">$A$119</f>
        <v>Porsev:2009:032519</v>
      </c>
      <c r="I6" s="17" t="n">
        <f aca="false">H74</f>
        <v>1608.44970822345</v>
      </c>
      <c r="Q6" s="49" t="inlineStr">
        <f aca="false">B74</f>
        <is>
          <t/>
        </is>
      </c>
      <c r="R6" s="56"/>
    </row>
    <row collapsed="false" customFormat="true" customHeight="false" hidden="false" ht="12.9" outlineLevel="0" r="7" s="13">
      <c r="B7" s="0"/>
      <c r="C7" s="0" t="s">
        <v>35</v>
      </c>
      <c r="D7" s="61" t="n">
        <f aca="false">A73</f>
        <v>57</v>
      </c>
      <c r="E7" s="18" t="n">
        <f aca="false">F73</f>
        <v>62171.6465161619</v>
      </c>
      <c r="G7" s="13" t="n">
        <v>3</v>
      </c>
      <c r="H7" s="13" t="str">
        <f aca="false">$A$119</f>
        <v>Porsev:2009:032519</v>
      </c>
      <c r="I7" s="17" t="n">
        <f aca="false">H73</f>
        <v>1608.45024385842</v>
      </c>
      <c r="Q7" s="49" t="inlineStr">
        <f aca="false">B73</f>
        <is>
          <t/>
        </is>
      </c>
      <c r="R7" s="56"/>
    </row>
    <row collapsed="false" customFormat="true" customHeight="false" hidden="false" ht="12.9" outlineLevel="0" r="8" s="13">
      <c r="B8" s="0"/>
      <c r="C8" s="0" t="s">
        <v>35</v>
      </c>
      <c r="D8" s="61" t="n">
        <f aca="false">A72</f>
        <v>56</v>
      </c>
      <c r="E8" s="18" t="n">
        <f aca="false">F72</f>
        <v>62171.6250727558</v>
      </c>
      <c r="G8" s="13" t="n">
        <v>3</v>
      </c>
      <c r="H8" s="13" t="str">
        <f aca="false">$A$119</f>
        <v>Porsev:2009:032519</v>
      </c>
      <c r="I8" s="17" t="n">
        <f aca="false">H72</f>
        <v>1608.45079862358</v>
      </c>
      <c r="Q8" s="49" t="inlineStr">
        <f aca="false">B72</f>
        <is>
          <t/>
        </is>
      </c>
      <c r="R8" s="56"/>
    </row>
    <row collapsed="false" customFormat="true" customHeight="false" hidden="false" ht="12.9" outlineLevel="0" r="9" s="13">
      <c r="B9" s="0"/>
      <c r="C9" s="0" t="s">
        <v>35</v>
      </c>
      <c r="D9" s="61" t="n">
        <f aca="false">A71</f>
        <v>54</v>
      </c>
      <c r="E9" s="18" t="n">
        <f aca="false">F71</f>
        <v>62171.5798033429</v>
      </c>
      <c r="G9" s="13" t="n">
        <v>3</v>
      </c>
      <c r="H9" s="13" t="str">
        <f aca="false">$A$119</f>
        <v>Porsev:2009:032519</v>
      </c>
      <c r="I9" s="17" t="n">
        <f aca="false">H71</f>
        <v>1608.45196979574</v>
      </c>
      <c r="Q9" s="49" t="inlineStr">
        <f aca="false">B71</f>
        <is>
          <t/>
        </is>
      </c>
      <c r="R9" s="56"/>
    </row>
    <row collapsed="false" customFormat="true" customHeight="false" hidden="false" ht="12.9" outlineLevel="0" r="10" s="13">
      <c r="B10" s="61" t="n">
        <f aca="false">A75</f>
        <v>1611</v>
      </c>
      <c r="C10" s="61" t="s">
        <v>31</v>
      </c>
      <c r="D10" s="9" t="n">
        <f aca="false">$D$5</f>
        <v>55.845</v>
      </c>
      <c r="E10" s="45" t="n">
        <f aca="false">F75</f>
        <v>62065.527</v>
      </c>
      <c r="F10" s="45" t="n">
        <f aca="false">G75</f>
        <v>0.003</v>
      </c>
      <c r="G10" s="13" t="n">
        <v>0</v>
      </c>
      <c r="H10" s="0" t="str">
        <f aca="false">K57</f>
        <v>Nave:2012:1570</v>
      </c>
      <c r="I10" s="16" t="n">
        <f aca="false">H75</f>
        <v>1611.20036892622</v>
      </c>
      <c r="J10" s="16" t="n">
        <f aca="false">I75</f>
        <v>7.78789988648392E-005</v>
      </c>
      <c r="K10" s="7" t="n">
        <f aca="false">299792458*J10/I10</f>
        <v>14.4907715679269</v>
      </c>
      <c r="M10" s="13" t="s">
        <v>249</v>
      </c>
      <c r="N10" s="13" t="s">
        <v>250</v>
      </c>
      <c r="Q10" s="18" t="n">
        <v>0.00138</v>
      </c>
      <c r="R10" s="56" t="n">
        <v>286000000</v>
      </c>
      <c r="S10" s="13" t="n">
        <v>1330</v>
      </c>
      <c r="T10" s="13" t="n">
        <v>300</v>
      </c>
    </row>
    <row collapsed="false" customFormat="true" customHeight="false" hidden="false" ht="12.9" outlineLevel="0" r="11" s="13">
      <c r="B11" s="0"/>
      <c r="C11" s="0" t="s">
        <v>35</v>
      </c>
      <c r="D11" s="61" t="n">
        <f aca="false">A79</f>
        <v>58</v>
      </c>
      <c r="E11" s="18" t="n">
        <f aca="false">F79</f>
        <v>62065.4984249971</v>
      </c>
      <c r="G11" s="13" t="n">
        <v>3</v>
      </c>
      <c r="H11" s="13" t="str">
        <f aca="false">$A$119</f>
        <v>Porsev:2009:032519</v>
      </c>
      <c r="I11" s="17" t="n">
        <f aca="false">H79</f>
        <v>1611.2011107241</v>
      </c>
      <c r="Q11" s="49" t="inlineStr">
        <f aca="false">B79</f>
        <is>
          <t/>
        </is>
      </c>
      <c r="R11" s="56"/>
    </row>
    <row collapsed="false" customFormat="true" customHeight="false" hidden="false" ht="12.9" outlineLevel="0" r="12" s="13">
      <c r="B12" s="0"/>
      <c r="C12" s="0" t="s">
        <v>35</v>
      </c>
      <c r="D12" s="61" t="n">
        <f aca="false">A78</f>
        <v>57</v>
      </c>
      <c r="E12" s="18" t="n">
        <f aca="false">F78</f>
        <v>62065.5118038837</v>
      </c>
      <c r="G12" s="13" t="n">
        <v>3</v>
      </c>
      <c r="H12" s="13" t="str">
        <f aca="false">$A$119</f>
        <v>Porsev:2009:032519</v>
      </c>
      <c r="I12" s="17" t="n">
        <f aca="false">H78</f>
        <v>1611.20076341242</v>
      </c>
      <c r="Q12" s="49" t="inlineStr">
        <f aca="false">B78</f>
        <is>
          <t/>
        </is>
      </c>
      <c r="R12" s="56"/>
    </row>
    <row collapsed="false" customFormat="true" customHeight="false" hidden="false" ht="12.9" outlineLevel="0" r="13" s="13">
      <c r="B13" s="0"/>
      <c r="C13" s="0" t="s">
        <v>35</v>
      </c>
      <c r="D13" s="61" t="n">
        <f aca="false">A77</f>
        <v>56</v>
      </c>
      <c r="E13" s="18" t="n">
        <f aca="false">F77</f>
        <v>62065.5256605876</v>
      </c>
      <c r="G13" s="13" t="n">
        <v>3</v>
      </c>
      <c r="H13" s="13" t="str">
        <f aca="false">$A$119</f>
        <v>Porsev:2009:032519</v>
      </c>
      <c r="I13" s="17" t="n">
        <f aca="false">H77</f>
        <v>1611.20040369691</v>
      </c>
      <c r="Q13" s="49" t="inlineStr">
        <f aca="false">B77</f>
        <is>
          <t/>
        </is>
      </c>
      <c r="R13" s="56"/>
    </row>
    <row collapsed="false" customFormat="true" customHeight="false" hidden="false" ht="12.9" outlineLevel="0" r="14" s="13">
      <c r="B14" s="0"/>
      <c r="C14" s="0" t="s">
        <v>35</v>
      </c>
      <c r="D14" s="61" t="n">
        <f aca="false">A76</f>
        <v>54</v>
      </c>
      <c r="E14" s="18" t="n">
        <f aca="false">F76</f>
        <v>62065.5549136293</v>
      </c>
      <c r="G14" s="13" t="n">
        <v>3</v>
      </c>
      <c r="H14" s="13" t="str">
        <f aca="false">$A$119</f>
        <v>Porsev:2009:032519</v>
      </c>
      <c r="I14" s="17" t="n">
        <f aca="false">H76</f>
        <v>1611.19964429804</v>
      </c>
      <c r="Q14" s="49" t="inlineStr">
        <f aca="false">B76</f>
        <is>
          <t/>
        </is>
      </c>
      <c r="R14" s="56"/>
    </row>
    <row collapsed="false" customFormat="true" customHeight="false" hidden="false" ht="12.9" outlineLevel="0" r="15" s="13">
      <c r="B15" s="61" t="n">
        <f aca="false">A80</f>
        <v>2249</v>
      </c>
      <c r="C15" s="61" t="s">
        <v>31</v>
      </c>
      <c r="D15" s="9" t="n">
        <f aca="false">$D$5</f>
        <v>55.845</v>
      </c>
      <c r="E15" s="46" t="n">
        <f aca="false">F80</f>
        <v>44446.9044</v>
      </c>
      <c r="F15" s="46" t="n">
        <f aca="false">G80</f>
        <v>0.0019</v>
      </c>
      <c r="G15" s="13" t="n">
        <v>0</v>
      </c>
      <c r="H15" s="0" t="str">
        <f aca="false">K58</f>
        <v>Nave:2012:1570</v>
      </c>
      <c r="I15" s="16" t="n">
        <f aca="false">H80</f>
        <v>2249.87547164252</v>
      </c>
      <c r="J15" s="16" t="n">
        <f aca="false">I80</f>
        <v>9.61768531200744E-005</v>
      </c>
      <c r="K15" s="7" t="n">
        <f aca="false">299792458*J15/I15</f>
        <v>12.8154182589148</v>
      </c>
      <c r="M15" s="13" t="s">
        <v>251</v>
      </c>
      <c r="N15" s="13" t="s">
        <v>252</v>
      </c>
      <c r="Q15" s="18" t="n">
        <v>0.00182</v>
      </c>
      <c r="R15" s="56" t="n">
        <v>331000000</v>
      </c>
      <c r="S15" s="13" t="n">
        <v>1604</v>
      </c>
      <c r="T15" s="13" t="n">
        <v>200</v>
      </c>
    </row>
    <row collapsed="false" customFormat="true" customHeight="false" hidden="false" ht="12.9" outlineLevel="0" r="16" s="13">
      <c r="B16" s="0"/>
      <c r="C16" s="0" t="s">
        <v>35</v>
      </c>
      <c r="D16" s="61" t="n">
        <f aca="false">A84</f>
        <v>58</v>
      </c>
      <c r="E16" s="18" t="n">
        <f aca="false">F84</f>
        <v>44446.8729588769</v>
      </c>
      <c r="G16" s="13" t="n">
        <v>3</v>
      </c>
      <c r="H16" s="13" t="str">
        <f aca="false">$A$119</f>
        <v>Porsev:2009:032519</v>
      </c>
      <c r="I16" s="17" t="n">
        <f aca="false">H84</f>
        <v>2249.87706317432</v>
      </c>
      <c r="Q16" s="49" t="inlineStr">
        <f aca="false">B84</f>
        <is>
          <t/>
        </is>
      </c>
      <c r="R16" s="56"/>
    </row>
    <row collapsed="false" customFormat="true" customHeight="false" hidden="false" ht="12.9" outlineLevel="0" r="17" s="13">
      <c r="B17" s="0"/>
      <c r="C17" s="0" t="s">
        <v>35</v>
      </c>
      <c r="D17" s="61" t="n">
        <f aca="false">A83</f>
        <v>57</v>
      </c>
      <c r="E17" s="18" t="n">
        <f aca="false">F83</f>
        <v>44446.887679688</v>
      </c>
      <c r="G17" s="13" t="n">
        <v>3</v>
      </c>
      <c r="H17" s="13" t="str">
        <f aca="false">$A$119</f>
        <v>Porsev:2009:032519</v>
      </c>
      <c r="I17" s="17" t="n">
        <f aca="false">H83</f>
        <v>2249.87631801494</v>
      </c>
      <c r="Q17" s="49" t="inlineStr">
        <f aca="false">B83</f>
        <is>
          <t/>
        </is>
      </c>
      <c r="R17" s="56"/>
    </row>
    <row collapsed="false" customFormat="true" customHeight="false" hidden="false" ht="12.9" outlineLevel="0" r="18" s="13">
      <c r="B18" s="0"/>
      <c r="C18" s="0" t="s">
        <v>35</v>
      </c>
      <c r="D18" s="61" t="n">
        <f aca="false">A82</f>
        <v>56</v>
      </c>
      <c r="E18" s="18" t="n">
        <f aca="false">F82</f>
        <v>44446.9029262423</v>
      </c>
      <c r="G18" s="13" t="n">
        <v>3</v>
      </c>
      <c r="H18" s="13" t="str">
        <f aca="false">$A$119</f>
        <v>Porsev:2009:032519</v>
      </c>
      <c r="I18" s="17" t="n">
        <f aca="false">H82</f>
        <v>2249.87554624325</v>
      </c>
      <c r="Q18" s="49" t="inlineStr">
        <f aca="false">B82</f>
        <is>
          <t/>
        </is>
      </c>
      <c r="R18" s="56"/>
    </row>
    <row collapsed="false" customFormat="true" customHeight="false" hidden="false" ht="12.9" outlineLevel="0" r="19" s="13">
      <c r="B19" s="0"/>
      <c r="C19" s="0" t="s">
        <v>35</v>
      </c>
      <c r="D19" s="61" t="n">
        <f aca="false">A81</f>
        <v>54</v>
      </c>
      <c r="E19" s="18" t="n">
        <f aca="false">F81</f>
        <v>44446.9351134126</v>
      </c>
      <c r="G19" s="13" t="n">
        <v>3</v>
      </c>
      <c r="H19" s="13" t="str">
        <f aca="false">$A$119</f>
        <v>Porsev:2009:032519</v>
      </c>
      <c r="I19" s="17" t="n">
        <f aca="false">H81</f>
        <v>2249.87391694919</v>
      </c>
      <c r="Q19" s="49" t="inlineStr">
        <f aca="false">B81</f>
        <is>
          <t/>
        </is>
      </c>
      <c r="R19" s="56"/>
    </row>
    <row collapsed="false" customFormat="true" customHeight="false" hidden="false" ht="12.9" outlineLevel="0" r="20" s="13">
      <c r="B20" s="0" t="n">
        <f aca="false">A59</f>
        <v>2260</v>
      </c>
      <c r="C20" s="0" t="s">
        <v>128</v>
      </c>
      <c r="D20" s="9" t="n">
        <f aca="false">$D$5</f>
        <v>55.845</v>
      </c>
      <c r="E20" s="3" t="n">
        <f aca="false">I59</f>
        <v>44232.5389736604</v>
      </c>
      <c r="F20" s="3" t="n">
        <f aca="false">J59</f>
        <v>0.00189736659610103</v>
      </c>
      <c r="G20" s="5" t="n">
        <v>0</v>
      </c>
      <c r="H20" s="0" t="s">
        <v>253</v>
      </c>
      <c r="I20" s="4" t="n">
        <f aca="false">L59</f>
        <v>2260.77910787685</v>
      </c>
      <c r="J20" s="4" t="n">
        <f aca="false">M59</f>
        <v>9.69767248270092E-005</v>
      </c>
      <c r="K20" s="7" t="n">
        <f aca="false">299792458*J20/I20</f>
        <v>12.8596777117167</v>
      </c>
      <c r="L20" s="0"/>
      <c r="M20" s="0" t="s">
        <v>254</v>
      </c>
      <c r="N20" s="0" t="s">
        <v>255</v>
      </c>
      <c r="Q20" s="18" t="n">
        <v>0.00244</v>
      </c>
      <c r="R20" s="56" t="n">
        <v>258000000</v>
      </c>
      <c r="S20" s="13" t="n">
        <v>1435</v>
      </c>
      <c r="T20" s="13" t="n">
        <v>150</v>
      </c>
    </row>
    <row collapsed="false" customFormat="true" customHeight="false" hidden="false" ht="12.9" outlineLevel="0" r="21" s="13">
      <c r="B21" s="61" t="n">
        <f aca="false">A85</f>
        <v>2344</v>
      </c>
      <c r="C21" s="61" t="s">
        <v>31</v>
      </c>
      <c r="D21" s="9" t="n">
        <f aca="false">$D$5</f>
        <v>55.845</v>
      </c>
      <c r="E21" s="46" t="n">
        <f aca="false">F85</f>
        <v>42658.2442743576</v>
      </c>
      <c r="F21" s="46" t="n">
        <f aca="false">G85</f>
        <v>0.00137749892382939</v>
      </c>
      <c r="G21" s="13" t="n">
        <v>0</v>
      </c>
      <c r="H21" s="0" t="s">
        <v>253</v>
      </c>
      <c r="I21" s="16" t="n">
        <f aca="false">H85</f>
        <v>2344.21274717373</v>
      </c>
      <c r="J21" s="16" t="n">
        <f aca="false">I85</f>
        <v>7.56981585010995E-005</v>
      </c>
      <c r="K21" s="7" t="n">
        <f aca="false">299792458*J21/I21</f>
        <v>9.68074976577046</v>
      </c>
      <c r="M21" s="13" t="s">
        <v>256</v>
      </c>
      <c r="N21" s="13" t="s">
        <v>257</v>
      </c>
      <c r="Q21" s="45" t="n">
        <v>0.114</v>
      </c>
      <c r="R21" s="56" t="n">
        <v>268000000</v>
      </c>
      <c r="S21" s="13" t="n">
        <v>1375</v>
      </c>
      <c r="T21" s="13" t="n">
        <v>300</v>
      </c>
    </row>
    <row collapsed="false" customFormat="true" customHeight="false" hidden="false" ht="12.9" outlineLevel="0" r="22" s="13">
      <c r="B22" s="0"/>
      <c r="C22" s="0" t="s">
        <v>35</v>
      </c>
      <c r="D22" s="61" t="n">
        <f aca="false">A89</f>
        <v>58</v>
      </c>
      <c r="E22" s="18" t="n">
        <f aca="false">F89</f>
        <v>42658.2190611198</v>
      </c>
      <c r="G22" s="13" t="n">
        <v>3</v>
      </c>
      <c r="H22" s="13" t="str">
        <f aca="false">$A$119</f>
        <v>Porsev:2009:032519</v>
      </c>
      <c r="I22" s="17" t="n">
        <f aca="false">H89</f>
        <v>2344.21413272603</v>
      </c>
      <c r="Q22" s="49" t="inlineStr">
        <f aca="false">B89</f>
        <is>
          <t/>
        </is>
      </c>
      <c r="R22" s="56"/>
    </row>
    <row collapsed="false" customFormat="true" customHeight="false" hidden="false" ht="12.9" outlineLevel="0" r="23" s="13">
      <c r="B23" s="0"/>
      <c r="C23" s="0" t="s">
        <v>35</v>
      </c>
      <c r="D23" s="61" t="n">
        <f aca="false">A88</f>
        <v>57</v>
      </c>
      <c r="E23" s="18" t="n">
        <f aca="false">F88</f>
        <v>42658.2308660197</v>
      </c>
      <c r="G23" s="13" t="n">
        <v>3</v>
      </c>
      <c r="H23" s="13" t="str">
        <f aca="false">$A$119</f>
        <v>Porsev:2009:032519</v>
      </c>
      <c r="I23" s="17" t="n">
        <f aca="false">H88</f>
        <v>2344.21348400684</v>
      </c>
      <c r="Q23" s="49" t="inlineStr">
        <f aca="false">B88</f>
        <is>
          <t/>
        </is>
      </c>
      <c r="R23" s="56"/>
    </row>
    <row collapsed="false" customFormat="true" customHeight="false" hidden="false" ht="12.9" outlineLevel="0" r="24" s="13">
      <c r="B24" s="0"/>
      <c r="C24" s="0" t="s">
        <v>35</v>
      </c>
      <c r="D24" s="61" t="n">
        <f aca="false">A87</f>
        <v>56</v>
      </c>
      <c r="E24" s="18" t="n">
        <f aca="false">F87</f>
        <v>42658.2430925232</v>
      </c>
      <c r="G24" s="13" t="n">
        <v>3</v>
      </c>
      <c r="H24" s="13" t="str">
        <f aca="false">$A$119</f>
        <v>Porsev:2009:032519</v>
      </c>
      <c r="I24" s="17" t="n">
        <f aca="false">H87</f>
        <v>2344.21281211948</v>
      </c>
      <c r="Q24" s="49" t="inlineStr">
        <f aca="false">B87</f>
        <is>
          <t/>
        </is>
      </c>
      <c r="R24" s="56"/>
    </row>
    <row collapsed="false" customFormat="true" customHeight="false" hidden="false" ht="12.9" outlineLevel="0" r="25" s="13">
      <c r="B25" s="0"/>
      <c r="C25" s="0" t="s">
        <v>35</v>
      </c>
      <c r="D25" s="61" t="n">
        <f aca="false">A86</f>
        <v>54</v>
      </c>
      <c r="E25" s="18" t="n">
        <f aca="false">F86</f>
        <v>42658.2689040306</v>
      </c>
      <c r="G25" s="13" t="n">
        <v>3</v>
      </c>
      <c r="H25" s="13" t="str">
        <f aca="false">$A$119</f>
        <v>Porsev:2009:032519</v>
      </c>
      <c r="I25" s="17" t="n">
        <f aca="false">H86</f>
        <v>2344.21139369187</v>
      </c>
      <c r="Q25" s="49" t="inlineStr">
        <f aca="false">B86</f>
        <is>
          <t/>
        </is>
      </c>
      <c r="R25" s="0"/>
    </row>
    <row collapsed="false" customFormat="true" customHeight="false" hidden="false" ht="12.9" outlineLevel="0" r="26" s="13">
      <c r="B26" s="61" t="n">
        <f aca="false">A90</f>
        <v>2367</v>
      </c>
      <c r="C26" s="61" t="s">
        <v>31</v>
      </c>
      <c r="D26" s="9" t="n">
        <f aca="false">$D$5</f>
        <v>55.845</v>
      </c>
      <c r="E26" s="46" t="n">
        <f aca="false">F90</f>
        <v>42237.0563</v>
      </c>
      <c r="F26" s="46" t="n">
        <f aca="false">G90</f>
        <v>0.0019</v>
      </c>
      <c r="G26" s="13" t="n">
        <v>0</v>
      </c>
      <c r="H26" s="13" t="str">
        <f aca="false">K61</f>
        <v>Nave:2012:1570</v>
      </c>
      <c r="I26" s="18" t="n">
        <f aca="false">H90</f>
        <v>2367.58923940445</v>
      </c>
      <c r="J26" s="18" t="n">
        <f aca="false">I90</f>
        <v>0.000106504097324331</v>
      </c>
      <c r="K26" s="7" t="n">
        <f aca="false">299792458*J26/I26</f>
        <v>13.4859225546928</v>
      </c>
      <c r="M26" s="13" t="s">
        <v>258</v>
      </c>
      <c r="N26" s="13" t="s">
        <v>259</v>
      </c>
      <c r="Q26" s="17" t="n">
        <v>2.16E-005</v>
      </c>
      <c r="R26" s="56" t="n">
        <v>307000000</v>
      </c>
      <c r="S26" s="13" t="n">
        <v>1803</v>
      </c>
      <c r="T26" s="13" t="n">
        <v>200</v>
      </c>
    </row>
    <row collapsed="false" customFormat="true" customHeight="false" hidden="false" ht="12.9" outlineLevel="0" r="27" s="13">
      <c r="B27" s="0"/>
      <c r="C27" s="0" t="s">
        <v>35</v>
      </c>
      <c r="D27" s="61" t="n">
        <f aca="false">A94</f>
        <v>58</v>
      </c>
      <c r="E27" s="18" t="n">
        <f aca="false">F94</f>
        <v>42237.0249019765</v>
      </c>
      <c r="G27" s="13" t="n">
        <v>3</v>
      </c>
      <c r="H27" s="13" t="str">
        <f aca="false">$A$119</f>
        <v>Porsev:2009:032519</v>
      </c>
      <c r="I27" s="16" t="n">
        <f aca="false">H94</f>
        <v>2367.59099941532</v>
      </c>
      <c r="Q27" s="49" t="inlineStr">
        <f aca="false">B94</f>
        <is>
          <t/>
        </is>
      </c>
      <c r="R27" s="56"/>
    </row>
    <row collapsed="false" customFormat="true" customHeight="false" hidden="false" ht="12.9" outlineLevel="0" r="28" s="13">
      <c r="B28" s="0"/>
      <c r="C28" s="0" t="s">
        <v>35</v>
      </c>
      <c r="D28" s="61" t="n">
        <f aca="false">A93</f>
        <v>57</v>
      </c>
      <c r="E28" s="18" t="n">
        <f aca="false">F93</f>
        <v>42237.0396026082</v>
      </c>
      <c r="G28" s="13" t="n">
        <v>3</v>
      </c>
      <c r="H28" s="13" t="str">
        <f aca="false">$A$119</f>
        <v>Porsev:2009:032519</v>
      </c>
      <c r="I28" s="16" t="n">
        <f aca="false">H93</f>
        <v>2367.59017537358</v>
      </c>
      <c r="Q28" s="49" t="inlineStr">
        <f aca="false">B93</f>
        <is>
          <t/>
        </is>
      </c>
      <c r="R28" s="56"/>
    </row>
    <row collapsed="false" customFormat="true" customHeight="false" hidden="false" ht="12.9" outlineLevel="0" r="29" s="13">
      <c r="B29" s="0"/>
      <c r="C29" s="0" t="s">
        <v>35</v>
      </c>
      <c r="D29" s="61" t="n">
        <f aca="false">A92</f>
        <v>56</v>
      </c>
      <c r="E29" s="18" t="n">
        <f aca="false">F92</f>
        <v>42237.0548282626</v>
      </c>
      <c r="G29" s="13" t="n">
        <v>3</v>
      </c>
      <c r="H29" s="13" t="str">
        <f aca="false">$A$119</f>
        <v>Porsev:2009:032519</v>
      </c>
      <c r="I29" s="16" t="n">
        <f aca="false">H92</f>
        <v>2367.58932190238</v>
      </c>
      <c r="Q29" s="49" t="inlineStr">
        <f aca="false">B92</f>
        <is>
          <t/>
        </is>
      </c>
      <c r="R29" s="56"/>
    </row>
    <row collapsed="false" customFormat="true" customHeight="false" hidden="false" ht="12.9" outlineLevel="0" r="30" s="13">
      <c r="B30" s="0"/>
      <c r="C30" s="0" t="s">
        <v>35</v>
      </c>
      <c r="D30" s="61" t="n">
        <f aca="false">A91</f>
        <v>54</v>
      </c>
      <c r="E30" s="18" t="n">
        <f aca="false">F91</f>
        <v>42237.0869713106</v>
      </c>
      <c r="G30" s="13" t="n">
        <v>3</v>
      </c>
      <c r="H30" s="13" t="str">
        <f aca="false">$A$119</f>
        <v>Porsev:2009:032519</v>
      </c>
      <c r="I30" s="16" t="n">
        <f aca="false">H91</f>
        <v>2367.58752013188</v>
      </c>
      <c r="Q30" s="49" t="inlineStr">
        <f aca="false">B91</f>
        <is>
          <t/>
        </is>
      </c>
      <c r="R30" s="56"/>
    </row>
    <row collapsed="false" customFormat="true" customHeight="false" hidden="false" ht="12.9" outlineLevel="0" r="31" s="13">
      <c r="B31" s="61" t="n">
        <f aca="false">A95</f>
        <v>2374</v>
      </c>
      <c r="C31" s="61" t="s">
        <v>31</v>
      </c>
      <c r="D31" s="9" t="n">
        <f aca="false">$D$5</f>
        <v>55.845</v>
      </c>
      <c r="E31" s="46" t="n">
        <f aca="false">F95</f>
        <v>42114.8376071325</v>
      </c>
      <c r="F31" s="46" t="n">
        <f aca="false">G95</f>
        <v>0.00137749892382939</v>
      </c>
      <c r="G31" s="13" t="n">
        <v>0</v>
      </c>
      <c r="H31" s="0" t="s">
        <v>253</v>
      </c>
      <c r="I31" s="16" t="n">
        <f aca="false">H95</f>
        <v>2374.46006400044</v>
      </c>
      <c r="J31" s="16" t="n">
        <f aca="false">I95</f>
        <v>7.76642240283153E-005</v>
      </c>
      <c r="K31" s="7" t="n">
        <f aca="false">299792458*J31/I31</f>
        <v>9.80566023118719</v>
      </c>
      <c r="M31" s="13" t="s">
        <v>260</v>
      </c>
      <c r="N31" s="13" t="s">
        <v>261</v>
      </c>
      <c r="Q31" s="18" t="n">
        <v>0.0313</v>
      </c>
      <c r="R31" s="56" t="n">
        <v>309000000</v>
      </c>
      <c r="S31" s="13" t="n">
        <v>1625</v>
      </c>
      <c r="T31" s="13" t="n">
        <v>100</v>
      </c>
    </row>
    <row collapsed="false" customFormat="true" customHeight="false" hidden="false" ht="12.9" outlineLevel="0" r="32" s="13">
      <c r="B32" s="0"/>
      <c r="C32" s="0" t="s">
        <v>35</v>
      </c>
      <c r="D32" s="61" t="n">
        <f aca="false">A99</f>
        <v>58</v>
      </c>
      <c r="E32" s="18" t="n">
        <f aca="false">F99</f>
        <v>42114.8063168579</v>
      </c>
      <c r="G32" s="13" t="n">
        <v>3</v>
      </c>
      <c r="H32" s="13" t="str">
        <f aca="false">$A$119</f>
        <v>Porsev:2009:032519</v>
      </c>
      <c r="I32" s="17" t="n">
        <f aca="false">H99</f>
        <v>2374.46182816639</v>
      </c>
      <c r="Q32" s="49" t="inlineStr">
        <f aca="false">B99</f>
        <is>
          <t/>
        </is>
      </c>
      <c r="R32" s="56"/>
    </row>
    <row collapsed="false" customFormat="true" customHeight="false" hidden="false" ht="12.9" outlineLevel="0" r="33" s="13">
      <c r="B33" s="0"/>
      <c r="C33" s="0" t="s">
        <v>35</v>
      </c>
      <c r="D33" s="61" t="n">
        <f aca="false">A98</f>
        <v>57</v>
      </c>
      <c r="E33" s="18" t="n">
        <f aca="false">F98</f>
        <v>42114.8209670414</v>
      </c>
      <c r="G33" s="13" t="n">
        <v>3</v>
      </c>
      <c r="H33" s="13" t="str">
        <f aca="false">$A$119</f>
        <v>Porsev:2009:032519</v>
      </c>
      <c r="I33" s="17" t="n">
        <f aca="false">H98</f>
        <v>2374.46100217923</v>
      </c>
      <c r="Q33" s="49" t="inlineStr">
        <f aca="false">B98</f>
        <is>
          <t/>
        </is>
      </c>
      <c r="R33" s="56"/>
    </row>
    <row collapsed="false" customFormat="true" customHeight="false" hidden="false" ht="12.9" outlineLevel="0" r="34" s="13">
      <c r="B34" s="0"/>
      <c r="C34" s="0" t="s">
        <v>35</v>
      </c>
      <c r="D34" s="61" t="n">
        <f aca="false">A97</f>
        <v>56</v>
      </c>
      <c r="E34" s="18" t="n">
        <f aca="false">F97</f>
        <v>42114.8361404457</v>
      </c>
      <c r="G34" s="13" t="n">
        <v>3</v>
      </c>
      <c r="H34" s="13" t="str">
        <f aca="false">$A$119</f>
        <v>Porsev:2009:032519</v>
      </c>
      <c r="I34" s="17" t="n">
        <f aca="false">H97</f>
        <v>2374.46014669313</v>
      </c>
      <c r="Q34" s="49" t="inlineStr">
        <f aca="false">B97</f>
        <is>
          <t/>
        </is>
      </c>
      <c r="R34" s="56"/>
    </row>
    <row collapsed="false" customFormat="true" customHeight="false" hidden="false" ht="12.9" outlineLevel="0" r="35" s="13">
      <c r="B35" s="0"/>
      <c r="C35" s="0" t="s">
        <v>35</v>
      </c>
      <c r="D35" s="61" t="n">
        <f aca="false">A96</f>
        <v>54</v>
      </c>
      <c r="E35" s="18" t="n">
        <f aca="false">F96</f>
        <v>42114.8681731882</v>
      </c>
      <c r="G35" s="13" t="n">
        <v>3</v>
      </c>
      <c r="H35" s="13" t="str">
        <f aca="false">$A$119</f>
        <v>Porsev:2009:032519</v>
      </c>
      <c r="I35" s="17" t="n">
        <f aca="false">H96</f>
        <v>2374.45834066895</v>
      </c>
      <c r="Q35" s="49" t="inlineStr">
        <f aca="false">B96</f>
        <is>
          <t/>
        </is>
      </c>
      <c r="R35" s="56"/>
    </row>
    <row collapsed="false" customFormat="true" customHeight="false" hidden="false" ht="12.9" outlineLevel="0" r="36" s="13">
      <c r="B36" s="61" t="n">
        <f aca="false">A100</f>
        <v>2382</v>
      </c>
      <c r="C36" s="61" t="s">
        <v>31</v>
      </c>
      <c r="D36" s="9" t="n">
        <f aca="false">$D$5</f>
        <v>55.845</v>
      </c>
      <c r="E36" s="46" t="n">
        <f aca="false">F100</f>
        <v>41968.0674264092</v>
      </c>
      <c r="F36" s="46" t="n">
        <f aca="false">G100</f>
        <v>0.0014142135623731</v>
      </c>
      <c r="G36" s="13" t="n">
        <v>0</v>
      </c>
      <c r="H36" s="0" t="s">
        <v>253</v>
      </c>
      <c r="I36" s="16" t="n">
        <f aca="false">H100</f>
        <v>2382.76399491946</v>
      </c>
      <c r="J36" s="16" t="n">
        <f aca="false">I100</f>
        <v>8.02928837135094E-005</v>
      </c>
      <c r="K36" s="7" t="n">
        <f aca="false">299792458*J36/I36</f>
        <v>10.1022178527567</v>
      </c>
      <c r="M36" s="13" t="s">
        <v>262</v>
      </c>
      <c r="N36" s="13" t="s">
        <v>263</v>
      </c>
      <c r="Q36" s="45" t="n">
        <v>0.32</v>
      </c>
      <c r="R36" s="56" t="n">
        <v>313000000</v>
      </c>
      <c r="S36" s="13" t="n">
        <v>1505</v>
      </c>
      <c r="T36" s="13" t="n">
        <v>100</v>
      </c>
    </row>
    <row collapsed="false" customFormat="true" customHeight="false" hidden="false" ht="12.9" outlineLevel="0" r="37" s="13">
      <c r="B37" s="0"/>
      <c r="C37" s="0" t="s">
        <v>35</v>
      </c>
      <c r="D37" s="61" t="n">
        <f aca="false">A104</f>
        <v>58</v>
      </c>
      <c r="E37" s="18" t="n">
        <f aca="false">F104</f>
        <v>41968.0363300825</v>
      </c>
      <c r="G37" s="13" t="n">
        <v>3</v>
      </c>
      <c r="H37" s="13" t="str">
        <f aca="false">$A$119</f>
        <v>Porsev:2009:032519</v>
      </c>
      <c r="I37" s="17" t="n">
        <f aca="false">H104</f>
        <v>2382.76576043469</v>
      </c>
      <c r="Q37" s="49" t="inlineStr">
        <f aca="false">B104</f>
        <is>
          <t/>
        </is>
      </c>
      <c r="R37" s="56"/>
    </row>
    <row collapsed="false" customFormat="true" customHeight="false" hidden="false" ht="12.9" outlineLevel="0" r="38" s="13">
      <c r="B38" s="0"/>
      <c r="C38" s="0" t="s">
        <v>35</v>
      </c>
      <c r="D38" s="61" t="n">
        <f aca="false">A103</f>
        <v>57</v>
      </c>
      <c r="E38" s="18" t="n">
        <f aca="false">F103</f>
        <v>41968.0508894591</v>
      </c>
      <c r="G38" s="13" t="n">
        <v>3</v>
      </c>
      <c r="H38" s="13" t="str">
        <f aca="false">$A$119</f>
        <v>Porsev:2009:032519</v>
      </c>
      <c r="I38" s="17" t="n">
        <f aca="false">H103</f>
        <v>2382.7649338158</v>
      </c>
      <c r="Q38" s="49" t="inlineStr">
        <f aca="false">B103</f>
        <is>
          <t/>
        </is>
      </c>
      <c r="R38" s="56"/>
    </row>
    <row collapsed="false" customFormat="true" customHeight="false" hidden="false" ht="12.9" outlineLevel="0" r="39" s="13">
      <c r="B39" s="0"/>
      <c r="C39" s="0" t="s">
        <v>35</v>
      </c>
      <c r="D39" s="61" t="n">
        <f aca="false">A102</f>
        <v>56</v>
      </c>
      <c r="E39" s="18" t="n">
        <f aca="false">F102</f>
        <v>41968.0659688134</v>
      </c>
      <c r="G39" s="13" t="n">
        <v>3</v>
      </c>
      <c r="H39" s="13" t="str">
        <f aca="false">$A$119</f>
        <v>Porsev:2009:032519</v>
      </c>
      <c r="I39" s="17" t="n">
        <f aca="false">H102</f>
        <v>2382.7640776754</v>
      </c>
      <c r="Q39" s="49" t="inlineStr">
        <f aca="false">B102</f>
        <is>
          <t/>
        </is>
      </c>
      <c r="R39" s="56"/>
    </row>
    <row collapsed="false" customFormat="true" customHeight="false" hidden="false" ht="12.9" outlineLevel="0" r="40" s="13">
      <c r="B40" s="0"/>
      <c r="C40" s="0" t="s">
        <v>35</v>
      </c>
      <c r="D40" s="61" t="n">
        <f aca="false">A101</f>
        <v>54</v>
      </c>
      <c r="E40" s="18" t="n">
        <f aca="false">F101</f>
        <v>41968.0978030058</v>
      </c>
      <c r="G40" s="13" t="n">
        <v>3</v>
      </c>
      <c r="H40" s="13" t="str">
        <f aca="false">$A$119</f>
        <v>Porsev:2009:032519</v>
      </c>
      <c r="I40" s="17" t="n">
        <f aca="false">H101</f>
        <v>2382.76227026991</v>
      </c>
      <c r="Q40" s="49" t="inlineStr">
        <f aca="false">B101</f>
        <is>
          <t/>
        </is>
      </c>
      <c r="R40" s="56"/>
    </row>
    <row collapsed="false" customFormat="true" customHeight="false" hidden="false" ht="12.9" outlineLevel="0" r="41" s="13">
      <c r="B41" s="61" t="n">
        <f aca="false">A105</f>
        <v>2586</v>
      </c>
      <c r="C41" s="61" t="s">
        <v>31</v>
      </c>
      <c r="D41" s="9" t="n">
        <f aca="false">$D$5</f>
        <v>55.845</v>
      </c>
      <c r="E41" s="46" t="n">
        <f aca="false">F105</f>
        <v>38660.0531902641</v>
      </c>
      <c r="F41" s="46" t="n">
        <f aca="false">G105</f>
        <v>0.00129529684019108</v>
      </c>
      <c r="G41" s="13" t="n">
        <v>0</v>
      </c>
      <c r="H41" s="0" t="s">
        <v>253</v>
      </c>
      <c r="I41" s="16" t="n">
        <f aca="false">H105</f>
        <v>2586.64931234972</v>
      </c>
      <c r="J41" s="16" t="n">
        <f aca="false">I105</f>
        <v>8.6665133761709E-005</v>
      </c>
      <c r="K41" s="7" t="n">
        <f aca="false">299792458*J41/I41</f>
        <v>10.044482392443</v>
      </c>
      <c r="M41" s="13" t="s">
        <v>264</v>
      </c>
      <c r="N41" s="13" t="s">
        <v>265</v>
      </c>
      <c r="Q41" s="46" t="n">
        <v>0.0691</v>
      </c>
      <c r="R41" s="56" t="n">
        <v>272000000</v>
      </c>
      <c r="S41" s="13" t="n">
        <v>1515</v>
      </c>
      <c r="T41" s="13" t="n">
        <v>100</v>
      </c>
    </row>
    <row collapsed="false" customFormat="true" customHeight="false" hidden="false" ht="12.9" outlineLevel="0" r="42" s="13">
      <c r="B42" s="0"/>
      <c r="C42" s="0" t="s">
        <v>35</v>
      </c>
      <c r="D42" s="61" t="n">
        <f aca="false">A109</f>
        <v>58</v>
      </c>
      <c r="E42" s="18" t="n">
        <f aca="false">F109</f>
        <v>38660.0270719356</v>
      </c>
      <c r="G42" s="13" t="n">
        <v>3</v>
      </c>
      <c r="H42" s="13" t="str">
        <f aca="false">$A$119</f>
        <v>Porsev:2009:032519</v>
      </c>
      <c r="I42" s="17" t="n">
        <f aca="false">H109</f>
        <v>2586.65105986418</v>
      </c>
      <c r="Q42" s="49" t="inlineStr">
        <f aca="false">B109</f>
        <is>
          <t/>
        </is>
      </c>
      <c r="R42" s="56"/>
    </row>
    <row collapsed="false" customFormat="true" customHeight="false" hidden="false" ht="12.9" outlineLevel="0" r="43" s="13">
      <c r="B43" s="0"/>
      <c r="C43" s="0" t="s">
        <v>35</v>
      </c>
      <c r="D43" s="61" t="n">
        <f aca="false">A108</f>
        <v>57</v>
      </c>
      <c r="E43" s="18" t="n">
        <f aca="false">F108</f>
        <v>38660.0393006012</v>
      </c>
      <c r="G43" s="13" t="n">
        <v>3</v>
      </c>
      <c r="H43" s="13" t="str">
        <f aca="false">$A$119</f>
        <v>Porsev:2009:032519</v>
      </c>
      <c r="I43" s="17" t="n">
        <f aca="false">H108</f>
        <v>2586.65024167332</v>
      </c>
      <c r="Q43" s="49" t="inlineStr">
        <f aca="false">B108</f>
        <is>
          <t/>
        </is>
      </c>
      <c r="R43" s="56"/>
    </row>
    <row collapsed="false" customFormat="true" customHeight="false" hidden="false" ht="12.9" outlineLevel="0" r="44" s="13">
      <c r="B44" s="0"/>
      <c r="C44" s="0" t="s">
        <v>35</v>
      </c>
      <c r="D44" s="61" t="n">
        <f aca="false">A107</f>
        <v>56</v>
      </c>
      <c r="E44" s="18" t="n">
        <f aca="false">F107</f>
        <v>38660.0519660048</v>
      </c>
      <c r="G44" s="13" t="n">
        <v>3</v>
      </c>
      <c r="H44" s="13" t="str">
        <f aca="false">$A$119</f>
        <v>Porsev:2009:032519</v>
      </c>
      <c r="I44" s="17" t="n">
        <f aca="false">H107</f>
        <v>2586.6493942619</v>
      </c>
      <c r="Q44" s="49" t="inlineStr">
        <f aca="false">B107</f>
        <is>
          <t/>
        </is>
      </c>
      <c r="R44" s="56"/>
    </row>
    <row collapsed="false" customFormat="true" customHeight="false" hidden="false" ht="12.9" outlineLevel="0" r="45" s="13">
      <c r="B45" s="0"/>
      <c r="C45" s="0" t="s">
        <v>35</v>
      </c>
      <c r="D45" s="61" t="n">
        <f aca="false">A106</f>
        <v>54</v>
      </c>
      <c r="E45" s="18" t="n">
        <f aca="false">F106</f>
        <v>38660.0787040791</v>
      </c>
      <c r="G45" s="13" t="n">
        <v>3</v>
      </c>
      <c r="H45" s="13" t="str">
        <f aca="false">$A$119</f>
        <v>Porsev:2009:032519</v>
      </c>
      <c r="I45" s="17" t="n">
        <f aca="false">H106</f>
        <v>2586.64760528407</v>
      </c>
      <c r="Q45" s="49" t="inlineStr">
        <f aca="false">B106</f>
        <is>
          <t/>
        </is>
      </c>
      <c r="R45" s="56"/>
    </row>
    <row collapsed="false" customFormat="true" customHeight="false" hidden="false" ht="12.9" outlineLevel="0" r="46" s="13">
      <c r="B46" s="61" t="n">
        <f aca="false">A110</f>
        <v>2600</v>
      </c>
      <c r="C46" s="61" t="s">
        <v>31</v>
      </c>
      <c r="D46" s="9" t="n">
        <f aca="false">$D$5</f>
        <v>55.845</v>
      </c>
      <c r="E46" s="46" t="n">
        <f aca="false">F110</f>
        <v>38458.992557971</v>
      </c>
      <c r="F46" s="46" t="n">
        <f aca="false">G110</f>
        <v>0.00129529684019108</v>
      </c>
      <c r="G46" s="13" t="n">
        <v>0</v>
      </c>
      <c r="H46" s="0" t="s">
        <v>253</v>
      </c>
      <c r="I46" s="16" t="n">
        <f aca="false">H110</f>
        <v>2600.17211447402</v>
      </c>
      <c r="J46" s="16" t="n">
        <f aca="false">I110</f>
        <v>8.75736596260142E-005</v>
      </c>
      <c r="K46" s="7" t="n">
        <f aca="false">299792458*J46/I46</f>
        <v>10.0969941678838</v>
      </c>
      <c r="M46" s="13" t="s">
        <v>266</v>
      </c>
      <c r="N46" s="13" t="s">
        <v>267</v>
      </c>
      <c r="Q46" s="45" t="n">
        <v>0.239</v>
      </c>
      <c r="R46" s="56" t="n">
        <v>270000000</v>
      </c>
      <c r="S46" s="13" t="n">
        <v>1370</v>
      </c>
      <c r="T46" s="13" t="n">
        <v>100</v>
      </c>
    </row>
    <row collapsed="false" customFormat="true" customHeight="false" hidden="false" ht="12.9" outlineLevel="0" r="47" s="13">
      <c r="B47" s="0"/>
      <c r="C47" s="0" t="s">
        <v>35</v>
      </c>
      <c r="D47" s="61" t="n">
        <f aca="false">A114</f>
        <v>58</v>
      </c>
      <c r="E47" s="18" t="n">
        <f aca="false">F114</f>
        <v>38458.9666120407</v>
      </c>
      <c r="G47" s="13" t="n">
        <v>3</v>
      </c>
      <c r="H47" s="13" t="str">
        <f aca="false">$A$119</f>
        <v>Porsev:2009:032519</v>
      </c>
      <c r="I47" s="17" t="n">
        <f aca="false">H114</f>
        <v>2600.17386865231</v>
      </c>
      <c r="Q47" s="49" t="inlineStr">
        <f aca="false">B114</f>
        <is>
          <t/>
        </is>
      </c>
      <c r="R47" s="56"/>
    </row>
    <row collapsed="false" customFormat="true" customHeight="false" hidden="false" ht="12.9" outlineLevel="0" r="48" s="13">
      <c r="B48" s="0"/>
      <c r="C48" s="0" t="s">
        <v>35</v>
      </c>
      <c r="D48" s="61" t="n">
        <f aca="false">A113</f>
        <v>57</v>
      </c>
      <c r="E48" s="18" t="n">
        <f aca="false">F113</f>
        <v>38458.978759989</v>
      </c>
      <c r="G48" s="13" t="n">
        <v>3</v>
      </c>
      <c r="H48" s="13" t="str">
        <f aca="false">$A$119</f>
        <v>Porsev:2009:032519</v>
      </c>
      <c r="I48" s="17" t="n">
        <f aca="false">H113</f>
        <v>2600.17304734143</v>
      </c>
      <c r="Q48" s="49" t="inlineStr">
        <f aca="false">B113</f>
        <is>
          <t/>
        </is>
      </c>
      <c r="R48" s="56"/>
    </row>
    <row collapsed="false" customFormat="true" customHeight="false" hidden="false" ht="12.9" outlineLevel="0" r="49" s="13">
      <c r="B49" s="0"/>
      <c r="C49" s="0" t="s">
        <v>35</v>
      </c>
      <c r="D49" s="61" t="n">
        <f aca="false">A112</f>
        <v>56</v>
      </c>
      <c r="E49" s="18" t="n">
        <f aca="false">F112</f>
        <v>38458.9913417926</v>
      </c>
      <c r="G49" s="13" t="n">
        <v>3</v>
      </c>
      <c r="H49" s="13" t="str">
        <f aca="false">$A$119</f>
        <v>Porsev:2009:032519</v>
      </c>
      <c r="I49" s="17" t="n">
        <f aca="false">H112</f>
        <v>2600.17219669857</v>
      </c>
      <c r="Q49" s="49" t="inlineStr">
        <f aca="false">B112</f>
        <is>
          <t/>
        </is>
      </c>
      <c r="R49" s="56"/>
    </row>
    <row collapsed="false" customFormat="true" customHeight="false" hidden="false" ht="12.9" outlineLevel="0" r="50" s="13">
      <c r="B50" s="0"/>
      <c r="C50" s="0" t="s">
        <v>35</v>
      </c>
      <c r="D50" s="61" t="n">
        <f aca="false">A111</f>
        <v>54</v>
      </c>
      <c r="E50" s="18" t="n">
        <f aca="false">F111</f>
        <v>38459.017903378</v>
      </c>
      <c r="G50" s="13" t="n">
        <v>3</v>
      </c>
      <c r="H50" s="13" t="str">
        <f aca="false">$A$119</f>
        <v>Porsev:2009:032519</v>
      </c>
      <c r="I50" s="17" t="n">
        <f aca="false">H111</f>
        <v>2600.17040089879</v>
      </c>
      <c r="Q50" s="49" t="inlineStr">
        <f aca="false">B111</f>
        <is>
          <t/>
        </is>
      </c>
      <c r="R50" s="56"/>
    </row>
    <row collapsed="false" customFormat="true" customHeight="false" hidden="false" ht="12.9" outlineLevel="0" r="51" s="13">
      <c r="A51" s="13" t="s">
        <v>38</v>
      </c>
      <c r="B51" s="19"/>
      <c r="Q51" s="56"/>
      <c r="AMJ51" s="0"/>
    </row>
    <row collapsed="false" customFormat="true" customHeight="false" hidden="false" ht="12.9" outlineLevel="0" r="52" s="13">
      <c r="B52" s="19"/>
      <c r="Q52" s="56"/>
      <c r="AMJ52" s="0"/>
    </row>
    <row collapsed="false" customFormat="true" customHeight="false" hidden="false" ht="12.9" outlineLevel="0" r="53" s="13">
      <c r="A53" s="13" t="s">
        <v>39</v>
      </c>
      <c r="B53" s="19"/>
      <c r="AMJ53" s="0"/>
    </row>
    <row collapsed="false" customFormat="true" customHeight="false" hidden="false" ht="93.3" outlineLevel="0" r="54" s="15">
      <c r="A54" s="13" t="s">
        <v>40</v>
      </c>
      <c r="B54" s="14" t="s">
        <v>15</v>
      </c>
      <c r="C54" s="15" t="s">
        <v>16</v>
      </c>
      <c r="D54" s="15" t="s">
        <v>42</v>
      </c>
      <c r="E54" s="15" t="s">
        <v>182</v>
      </c>
      <c r="F54" s="14" t="s">
        <v>15</v>
      </c>
      <c r="G54" s="15" t="s">
        <v>16</v>
      </c>
      <c r="H54" s="15" t="s">
        <v>42</v>
      </c>
      <c r="I54" s="14" t="s">
        <v>15</v>
      </c>
      <c r="J54" s="15" t="s">
        <v>16</v>
      </c>
      <c r="K54" s="15" t="s">
        <v>43</v>
      </c>
      <c r="L54" s="15" t="s">
        <v>44</v>
      </c>
      <c r="M54" s="15" t="s">
        <v>45</v>
      </c>
      <c r="AMI54" s="13"/>
      <c r="AMJ54" s="0"/>
    </row>
    <row collapsed="false" customFormat="true" customHeight="false" hidden="false" ht="12.9" outlineLevel="0" r="55" s="13">
      <c r="A55" s="13" t="n">
        <v>1260</v>
      </c>
      <c r="B55" s="45"/>
      <c r="C55" s="45"/>
      <c r="D55" s="0"/>
      <c r="E55" s="46"/>
      <c r="F55" s="45" t="n">
        <v>79331.359</v>
      </c>
      <c r="G55" s="45" t="n">
        <v>0.004</v>
      </c>
      <c r="H55" s="13" t="str">
        <f aca="false">A118</f>
        <v>Nave:2012:1570</v>
      </c>
      <c r="I55" s="45" t="n">
        <f aca="false">F55</f>
        <v>79331.359</v>
      </c>
      <c r="J55" s="45" t="n">
        <f aca="false">G55</f>
        <v>0.004</v>
      </c>
      <c r="K55" s="13" t="str">
        <f aca="false">H55</f>
        <v>Nave:2012:1570</v>
      </c>
      <c r="L55" s="16" t="n">
        <f aca="false">100000000/I55</f>
        <v>1260.53557206804</v>
      </c>
      <c r="M55" s="16" t="n">
        <f aca="false">J55/I55*L55</f>
        <v>6.3557997137956E-005</v>
      </c>
      <c r="AMJ55" s="0"/>
    </row>
    <row collapsed="false" customFormat="true" customHeight="false" hidden="false" ht="12.9" outlineLevel="0" r="56" s="13">
      <c r="A56" s="13" t="n">
        <v>1608</v>
      </c>
      <c r="B56" s="45"/>
      <c r="C56" s="45"/>
      <c r="E56" s="46"/>
      <c r="F56" s="45" t="n">
        <v>62171.623</v>
      </c>
      <c r="G56" s="45" t="n">
        <v>0.003</v>
      </c>
      <c r="H56" s="13" t="str">
        <f aca="false">H55</f>
        <v>Nave:2012:1570</v>
      </c>
      <c r="I56" s="45" t="n">
        <f aca="false">F56</f>
        <v>62171.623</v>
      </c>
      <c r="J56" s="45" t="n">
        <f aca="false">G56</f>
        <v>0.003</v>
      </c>
      <c r="K56" s="13" t="str">
        <f aca="false">H56</f>
        <v>Nave:2012:1570</v>
      </c>
      <c r="L56" s="16" t="n">
        <f aca="false">100000000/I56</f>
        <v>1608.45085224814</v>
      </c>
      <c r="M56" s="16" t="n">
        <f aca="false">J56/I56*L56</f>
        <v>7.76134243229329E-005</v>
      </c>
      <c r="AMJ56" s="0"/>
    </row>
    <row collapsed="false" customFormat="true" customHeight="false" hidden="false" ht="12.9" outlineLevel="0" r="57" s="13">
      <c r="A57" s="13" t="n">
        <v>1611</v>
      </c>
      <c r="B57" s="45"/>
      <c r="C57" s="45"/>
      <c r="E57" s="46"/>
      <c r="F57" s="45" t="n">
        <v>62065.527</v>
      </c>
      <c r="G57" s="45" t="n">
        <v>0.003</v>
      </c>
      <c r="H57" s="13" t="str">
        <f aca="false">H56</f>
        <v>Nave:2012:1570</v>
      </c>
      <c r="I57" s="45" t="n">
        <f aca="false">F57</f>
        <v>62065.527</v>
      </c>
      <c r="J57" s="45" t="n">
        <f aca="false">G57</f>
        <v>0.003</v>
      </c>
      <c r="K57" s="13" t="str">
        <f aca="false">H57</f>
        <v>Nave:2012:1570</v>
      </c>
      <c r="L57" s="16" t="n">
        <f aca="false">100000000/I57</f>
        <v>1611.20036892622</v>
      </c>
      <c r="M57" s="16" t="n">
        <f aca="false">J57/I57*L57</f>
        <v>7.78789988648392E-005</v>
      </c>
      <c r="AMJ57" s="0"/>
    </row>
    <row collapsed="false" customFormat="true" customHeight="false" hidden="false" ht="12.9" outlineLevel="0" r="58" s="13">
      <c r="A58" s="13" t="n">
        <v>2249</v>
      </c>
      <c r="B58" s="46"/>
      <c r="C58" s="46"/>
      <c r="E58" s="46"/>
      <c r="F58" s="46" t="n">
        <v>44446.9044</v>
      </c>
      <c r="G58" s="46" t="n">
        <v>0.0019</v>
      </c>
      <c r="H58" s="13" t="str">
        <f aca="false">H57</f>
        <v>Nave:2012:1570</v>
      </c>
      <c r="I58" s="46" t="n">
        <f aca="false">F58</f>
        <v>44446.9044</v>
      </c>
      <c r="J58" s="46" t="n">
        <f aca="false">G58</f>
        <v>0.0019</v>
      </c>
      <c r="K58" s="13" t="str">
        <f aca="false">H58</f>
        <v>Nave:2012:1570</v>
      </c>
      <c r="L58" s="16" t="n">
        <f aca="false">100000000/I58</f>
        <v>2249.87547164252</v>
      </c>
      <c r="M58" s="16" t="n">
        <f aca="false">J58/I58*L58</f>
        <v>9.61768531200744E-005</v>
      </c>
      <c r="AMJ58" s="0"/>
    </row>
    <row collapsed="false" customFormat="true" customHeight="false" hidden="false" ht="12.9" outlineLevel="0" r="59" s="13">
      <c r="A59" s="13" t="n">
        <v>2260</v>
      </c>
      <c r="B59" s="64" t="n">
        <v>44232.5344</v>
      </c>
      <c r="C59" s="46" t="n">
        <v>0.006</v>
      </c>
      <c r="D59" s="13" t="str">
        <f aca="false">A117</f>
        <v>Aldenius:2009:014008</v>
      </c>
      <c r="E59" s="46" t="n">
        <f aca="false">B59*(1+0.000000037)</f>
        <v>44232.5360366038</v>
      </c>
      <c r="F59" s="46" t="n">
        <v>44232.5393</v>
      </c>
      <c r="G59" s="46" t="n">
        <v>0.002</v>
      </c>
      <c r="H59" s="13" t="str">
        <f aca="false">H58</f>
        <v>Nave:2012:1570</v>
      </c>
      <c r="I59" s="46" t="n">
        <f aca="false">(E59/C59/C59+F59/G59/G59)/(1/C59/C59+1/G59/G59)</f>
        <v>44232.5389736604</v>
      </c>
      <c r="J59" s="46" t="n">
        <f aca="false">SQRT(1/(1/C59/C59+1/G59/G59))</f>
        <v>0.00189736659610103</v>
      </c>
      <c r="K59" s="13" t="s">
        <v>183</v>
      </c>
      <c r="L59" s="16" t="n">
        <f aca="false">100000000/I59</f>
        <v>2260.77910787685</v>
      </c>
      <c r="M59" s="16" t="n">
        <f aca="false">J59/I59*L59</f>
        <v>9.69767248270092E-005</v>
      </c>
      <c r="AMJ59" s="0"/>
    </row>
    <row collapsed="false" customFormat="true" customHeight="false" hidden="false" ht="12.9" outlineLevel="0" r="60" s="13">
      <c r="A60" s="13" t="n">
        <v>2344</v>
      </c>
      <c r="B60" s="65" t="n">
        <v>42658.243</v>
      </c>
      <c r="C60" s="46" t="n">
        <v>0.002</v>
      </c>
      <c r="D60" s="13" t="str">
        <f aca="false">D59</f>
        <v>Aldenius:2009:014008</v>
      </c>
      <c r="E60" s="46" t="n">
        <f aca="false">B60*(1+0.000000037)</f>
        <v>42658.244578355</v>
      </c>
      <c r="F60" s="46" t="n">
        <v>42658.244</v>
      </c>
      <c r="G60" s="46" t="n">
        <v>0.0019</v>
      </c>
      <c r="H60" s="13" t="str">
        <f aca="false">H59</f>
        <v>Nave:2012:1570</v>
      </c>
      <c r="I60" s="46" t="n">
        <f aca="false">(E60/C60/C60+F60/G60/G60)/(1/C60/C60+1/G60/G60)</f>
        <v>42658.2442743576</v>
      </c>
      <c r="J60" s="46" t="n">
        <f aca="false">SQRT(1/(1/C60/C60+1/G60/G60))</f>
        <v>0.00137749892382939</v>
      </c>
      <c r="K60" s="13" t="s">
        <v>183</v>
      </c>
      <c r="L60" s="16" t="n">
        <f aca="false">100000000/I60</f>
        <v>2344.21274717373</v>
      </c>
      <c r="M60" s="16" t="n">
        <f aca="false">J60/I60*L60</f>
        <v>7.56981585010995E-005</v>
      </c>
      <c r="AMJ60" s="0"/>
    </row>
    <row collapsed="false" customFormat="true" customHeight="false" hidden="false" ht="12.9" outlineLevel="0" r="61" s="13">
      <c r="A61" s="13" t="n">
        <v>2367</v>
      </c>
      <c r="B61" s="46"/>
      <c r="C61" s="46"/>
      <c r="F61" s="46" t="n">
        <v>42237.0563</v>
      </c>
      <c r="G61" s="46" t="n">
        <v>0.0019</v>
      </c>
      <c r="H61" s="13" t="str">
        <f aca="false">H60</f>
        <v>Nave:2012:1570</v>
      </c>
      <c r="I61" s="46" t="n">
        <f aca="false">F61</f>
        <v>42237.0563</v>
      </c>
      <c r="J61" s="46" t="n">
        <f aca="false">G61</f>
        <v>0.0019</v>
      </c>
      <c r="K61" s="13" t="str">
        <f aca="false">H61</f>
        <v>Nave:2012:1570</v>
      </c>
      <c r="L61" s="16" t="n">
        <f aca="false">100000000/I61</f>
        <v>2367.58923940445</v>
      </c>
      <c r="M61" s="16" t="n">
        <f aca="false">J61/I61*L61</f>
        <v>0.000106504097324331</v>
      </c>
      <c r="AMJ61" s="0"/>
    </row>
    <row collapsed="false" customFormat="true" customHeight="false" hidden="false" ht="12.9" outlineLevel="0" r="62" s="13">
      <c r="A62" s="13" t="n">
        <v>2374</v>
      </c>
      <c r="B62" s="65" t="n">
        <v>42114.8365</v>
      </c>
      <c r="C62" s="46" t="n">
        <v>0.002</v>
      </c>
      <c r="D62" s="13" t="str">
        <f aca="false">A117</f>
        <v>Aldenius:2009:014008</v>
      </c>
      <c r="E62" s="46" t="n">
        <f aca="false">B62*(1+0.000000037)</f>
        <v>42114.838058249</v>
      </c>
      <c r="F62" s="46" t="n">
        <v>42114.8372</v>
      </c>
      <c r="G62" s="46" t="n">
        <v>0.0019</v>
      </c>
      <c r="H62" s="13" t="str">
        <f aca="false">H61</f>
        <v>Nave:2012:1570</v>
      </c>
      <c r="I62" s="46" t="n">
        <f aca="false">(E62/C62/C62+F62/G62/G62)/(1/C62/C62+1/G62/G62)</f>
        <v>42114.8376071325</v>
      </c>
      <c r="J62" s="46" t="n">
        <f aca="false">SQRT(1/(1/C62/C62+1/G62/G62))</f>
        <v>0.00137749892382939</v>
      </c>
      <c r="K62" s="13" t="s">
        <v>183</v>
      </c>
      <c r="L62" s="16" t="n">
        <f aca="false">100000000/I62</f>
        <v>2374.46006400044</v>
      </c>
      <c r="M62" s="16" t="n">
        <f aca="false">J62/I62*L62</f>
        <v>7.76642240283153E-005</v>
      </c>
      <c r="AMJ62" s="0"/>
    </row>
    <row collapsed="false" customFormat="true" customHeight="false" hidden="false" ht="12.9" outlineLevel="0" r="63" s="13">
      <c r="A63" s="13" t="n">
        <v>2382</v>
      </c>
      <c r="B63" s="65" t="n">
        <v>41968.0654</v>
      </c>
      <c r="C63" s="46" t="n">
        <v>0.002</v>
      </c>
      <c r="D63" s="13" t="str">
        <f aca="false">D62</f>
        <v>Aldenius:2009:014008</v>
      </c>
      <c r="E63" s="46" t="n">
        <f aca="false">B63*(1+0.000000037)</f>
        <v>41968.0669528184</v>
      </c>
      <c r="F63" s="46" t="n">
        <v>41968.0679</v>
      </c>
      <c r="G63" s="46" t="n">
        <v>0.002</v>
      </c>
      <c r="H63" s="13" t="str">
        <f aca="false">H62</f>
        <v>Nave:2012:1570</v>
      </c>
      <c r="I63" s="46" t="n">
        <f aca="false">(E63/C63/C63+F63/G63/G63)/(1/C63/C63+1/G63/G63)</f>
        <v>41968.0674264092</v>
      </c>
      <c r="J63" s="46" t="n">
        <f aca="false">SQRT(1/(1/C63/C63+1/G63/G63))</f>
        <v>0.0014142135623731</v>
      </c>
      <c r="K63" s="13" t="s">
        <v>183</v>
      </c>
      <c r="L63" s="16" t="n">
        <f aca="false">100000000/I63</f>
        <v>2382.76399491946</v>
      </c>
      <c r="M63" s="16" t="n">
        <f aca="false">J63/I63*L63</f>
        <v>8.02928837135094E-005</v>
      </c>
      <c r="AMJ63" s="0"/>
    </row>
    <row collapsed="false" customFormat="true" customHeight="false" hidden="false" ht="12.9" outlineLevel="0" r="64" s="13">
      <c r="A64" s="13" t="n">
        <v>2586</v>
      </c>
      <c r="B64" s="65" t="n">
        <v>38660.0523</v>
      </c>
      <c r="C64" s="46" t="n">
        <v>0.002</v>
      </c>
      <c r="D64" s="13" t="str">
        <f aca="false">D63</f>
        <v>Aldenius:2009:014008</v>
      </c>
      <c r="E64" s="46" t="n">
        <f aca="false">B64*(1+0.000000037)</f>
        <v>38660.0537304219</v>
      </c>
      <c r="F64" s="46" t="n">
        <v>38660.0528</v>
      </c>
      <c r="G64" s="46" t="n">
        <v>0.0017</v>
      </c>
      <c r="H64" s="13" t="str">
        <f aca="false">H63</f>
        <v>Nave:2012:1570</v>
      </c>
      <c r="I64" s="46" t="n">
        <f aca="false">(E64/C64/C64+F64/G64/G64)/(1/C64/C64+1/G64/G64)</f>
        <v>38660.0531902641</v>
      </c>
      <c r="J64" s="46" t="n">
        <f aca="false">SQRT(1/(1/C64/C64+1/G64/G64))</f>
        <v>0.00129529684019108</v>
      </c>
      <c r="K64" s="13" t="s">
        <v>183</v>
      </c>
      <c r="L64" s="16" t="n">
        <f aca="false">100000000/I64</f>
        <v>2586.64931234972</v>
      </c>
      <c r="M64" s="16" t="n">
        <f aca="false">J64/I64*L64</f>
        <v>8.6665133761709E-005</v>
      </c>
      <c r="AMJ64" s="0"/>
    </row>
    <row collapsed="false" customFormat="true" customHeight="false" hidden="false" ht="12.9" outlineLevel="0" r="65" s="13">
      <c r="A65" s="13" t="n">
        <v>2600</v>
      </c>
      <c r="B65" s="65" t="n">
        <v>38458.9908</v>
      </c>
      <c r="C65" s="46" t="n">
        <v>0.002</v>
      </c>
      <c r="D65" s="13" t="str">
        <f aca="false">D64</f>
        <v>Aldenius:2009:014008</v>
      </c>
      <c r="E65" s="46" t="n">
        <f aca="false">B65*(1+0.000000037)</f>
        <v>38458.9922229827</v>
      </c>
      <c r="F65" s="46" t="n">
        <v>38458.9928</v>
      </c>
      <c r="G65" s="46" t="n">
        <v>0.0017</v>
      </c>
      <c r="H65" s="13" t="str">
        <f aca="false">H64</f>
        <v>Nave:2012:1570</v>
      </c>
      <c r="I65" s="46" t="n">
        <f aca="false">(E65/C65/C65+F65/G65/G65)/(1/C65/C65+1/G65/G65)</f>
        <v>38458.992557971</v>
      </c>
      <c r="J65" s="46" t="n">
        <f aca="false">SQRT(1/(1/C65/C65+1/G65/G65))</f>
        <v>0.00129529684019108</v>
      </c>
      <c r="K65" s="13" t="s">
        <v>183</v>
      </c>
      <c r="L65" s="16" t="n">
        <f aca="false">100000000/I65</f>
        <v>2600.17211447402</v>
      </c>
      <c r="M65" s="16" t="n">
        <f aca="false">J65/I65*L65</f>
        <v>8.75736596260142E-005</v>
      </c>
      <c r="AMJ65" s="0"/>
    </row>
    <row collapsed="false" customFormat="true" customHeight="false" hidden="false" ht="12.9" outlineLevel="0" r="66" s="13">
      <c r="B66" s="46"/>
      <c r="C66" s="46"/>
      <c r="E66" s="46"/>
      <c r="AMJ66" s="0"/>
    </row>
    <row collapsed="false" customFormat="true" customHeight="false" hidden="false" ht="12.9" outlineLevel="0" r="67" s="13">
      <c r="A67" s="13" t="s">
        <v>71</v>
      </c>
      <c r="B67" s="19"/>
      <c r="AMJ67" s="0"/>
    </row>
    <row collapsed="false" customFormat="false" customHeight="true" hidden="false" ht="48" outlineLevel="0" r="68">
      <c r="A68" s="15" t="s">
        <v>72</v>
      </c>
      <c r="B68" s="15" t="s">
        <v>73</v>
      </c>
      <c r="C68" s="66" t="s">
        <v>268</v>
      </c>
      <c r="D68" s="66"/>
      <c r="E68" s="66"/>
      <c r="F68" s="15" t="s">
        <v>15</v>
      </c>
      <c r="G68" s="15" t="s">
        <v>16</v>
      </c>
      <c r="H68" s="15" t="s">
        <v>44</v>
      </c>
      <c r="I68" s="15" t="s">
        <v>45</v>
      </c>
    </row>
    <row collapsed="false" customFormat="false" customHeight="false" hidden="false" ht="12.9" outlineLevel="0" r="69">
      <c r="A69" s="15"/>
      <c r="B69" s="15"/>
      <c r="C69" s="0" t="s">
        <v>269</v>
      </c>
      <c r="D69" s="0" t="s">
        <v>270</v>
      </c>
      <c r="E69" s="0" t="s">
        <v>271</v>
      </c>
      <c r="F69" s="15"/>
      <c r="G69" s="15"/>
      <c r="H69" s="15"/>
      <c r="I69" s="15"/>
    </row>
    <row collapsed="false" customFormat="false" customHeight="false" hidden="false" ht="12.9" outlineLevel="0" r="70">
      <c r="A70" s="0" t="n">
        <v>1608</v>
      </c>
      <c r="B70" s="11"/>
      <c r="C70" s="0" t="n">
        <v>-3074</v>
      </c>
      <c r="D70" s="0" t="n">
        <v>1022</v>
      </c>
      <c r="E70" s="0" t="n">
        <f aca="false">SUM(C70:D70)</f>
        <v>-2052</v>
      </c>
      <c r="F70" s="12" t="n">
        <f aca="false">$I$56</f>
        <v>62171.623</v>
      </c>
      <c r="G70" s="12" t="n">
        <f aca="false">$J$56</f>
        <v>0.003</v>
      </c>
      <c r="H70" s="4" t="n">
        <f aca="false">100000000/F70</f>
        <v>1608.45085224814</v>
      </c>
      <c r="I70" s="4" t="n">
        <f aca="false">G70/F70*H70</f>
        <v>7.76134243229329E-005</v>
      </c>
    </row>
    <row collapsed="false" customFormat="false" customHeight="false" hidden="false" ht="12.9" outlineLevel="0" r="71">
      <c r="A71" s="0" t="n">
        <v>54</v>
      </c>
      <c r="B71" s="47" t="n">
        <f aca="false">0.05845</f>
        <v>0.05845</v>
      </c>
      <c r="F71" s="4" t="n">
        <f aca="false">F72+E70*10000000/299792458*(1/A71-1/A72)</f>
        <v>62171.5798033429</v>
      </c>
      <c r="G71" s="9"/>
      <c r="H71" s="6" t="n">
        <f aca="false">100000000/F71</f>
        <v>1608.45196979574</v>
      </c>
      <c r="I71" s="4"/>
    </row>
    <row collapsed="false" customFormat="false" customHeight="false" hidden="false" ht="12.9" outlineLevel="0" r="72">
      <c r="A72" s="0" t="n">
        <v>56</v>
      </c>
      <c r="B72" s="47" t="n">
        <f aca="false">0.91754</f>
        <v>0.91754</v>
      </c>
      <c r="F72" s="16" t="n">
        <f aca="false">F70-E70*10000000/299792458*(B71*(1/A71-1/A72)+B73*(1/A73-1/A72)+B74*(1/A74-1/A72))</f>
        <v>62171.6250727558</v>
      </c>
      <c r="G72" s="9"/>
      <c r="H72" s="6" t="n">
        <f aca="false">100000000/F72</f>
        <v>1608.45079862358</v>
      </c>
      <c r="I72" s="4"/>
    </row>
    <row collapsed="false" customFormat="false" customHeight="false" hidden="false" ht="12.9" outlineLevel="0" r="73">
      <c r="A73" s="0" t="n">
        <v>57</v>
      </c>
      <c r="B73" s="47" t="n">
        <f aca="false">0.02119</f>
        <v>0.02119</v>
      </c>
      <c r="F73" s="16" t="n">
        <f aca="false">F72+E70*10000000/299792458*(1/A73-1/A72)</f>
        <v>62171.6465161619</v>
      </c>
      <c r="G73" s="9"/>
      <c r="H73" s="6" t="n">
        <f aca="false">100000000/F73</f>
        <v>1608.45024385842</v>
      </c>
      <c r="I73" s="4"/>
    </row>
    <row collapsed="false" customFormat="false" customHeight="false" hidden="false" ht="12.9" outlineLevel="0" r="74">
      <c r="A74" s="0" t="n">
        <v>58</v>
      </c>
      <c r="B74" s="47" t="n">
        <f aca="false">0.00282</f>
        <v>0.00282</v>
      </c>
      <c r="F74" s="16" t="n">
        <f aca="false">F72+E70*10000000/299792458*(1/A74-1/A72)</f>
        <v>62171.6672201402</v>
      </c>
      <c r="G74" s="9"/>
      <c r="H74" s="6" t="n">
        <f aca="false">100000000/F74</f>
        <v>1608.44970822345</v>
      </c>
      <c r="I74" s="4"/>
    </row>
    <row collapsed="false" customFormat="false" customHeight="false" hidden="false" ht="12.9" outlineLevel="0" r="75">
      <c r="A75" s="0" t="n">
        <v>1611</v>
      </c>
      <c r="B75" s="47"/>
      <c r="C75" s="0" t="n">
        <v>305</v>
      </c>
      <c r="D75" s="0" t="n">
        <v>1021</v>
      </c>
      <c r="E75" s="0" t="n">
        <f aca="false">SUM(C75:D75)</f>
        <v>1326</v>
      </c>
      <c r="F75" s="12" t="n">
        <f aca="false">$I$57</f>
        <v>62065.527</v>
      </c>
      <c r="G75" s="12" t="n">
        <f aca="false">$J$57</f>
        <v>0.003</v>
      </c>
      <c r="H75" s="4" t="n">
        <f aca="false">100000000/F75</f>
        <v>1611.20036892622</v>
      </c>
      <c r="I75" s="4" t="n">
        <f aca="false">G75/F75*H75</f>
        <v>7.78789988648392E-005</v>
      </c>
    </row>
    <row collapsed="false" customFormat="false" customHeight="false" hidden="false" ht="12.9" outlineLevel="0" r="76">
      <c r="A76" s="0" t="n">
        <v>54</v>
      </c>
      <c r="B76" s="47" t="inlineStr">
        <f aca="false">$B$71</f>
        <is>
          <t/>
        </is>
      </c>
      <c r="F76" s="4" t="n">
        <f aca="false">F77+E75*10000000/299792458*(1/A76-1/A77)</f>
        <v>62065.5549136293</v>
      </c>
      <c r="G76" s="9"/>
      <c r="H76" s="6" t="n">
        <f aca="false">100000000/F76</f>
        <v>1611.19964429804</v>
      </c>
      <c r="I76" s="4"/>
    </row>
    <row collapsed="false" customFormat="false" customHeight="false" hidden="false" ht="12.9" outlineLevel="0" r="77">
      <c r="A77" s="0" t="n">
        <v>56</v>
      </c>
      <c r="B77" s="47" t="inlineStr">
        <f aca="false">$B$72</f>
        <is>
          <t/>
        </is>
      </c>
      <c r="F77" s="16" t="n">
        <f aca="false">F75-E75*10000000/299792458*(B76*(1/A76-1/A77)+B78*(1/A78-1/A77)+B79*(1/A79-1/A77))</f>
        <v>62065.5256605876</v>
      </c>
      <c r="G77" s="9"/>
      <c r="H77" s="6" t="n">
        <f aca="false">100000000/F77</f>
        <v>1611.20040369691</v>
      </c>
      <c r="I77" s="4"/>
    </row>
    <row collapsed="false" customFormat="false" customHeight="false" hidden="false" ht="12.9" outlineLevel="0" r="78">
      <c r="A78" s="0" t="n">
        <v>57</v>
      </c>
      <c r="B78" s="47" t="inlineStr">
        <f aca="false">$B$73</f>
        <is>
          <t/>
        </is>
      </c>
      <c r="F78" s="16" t="n">
        <f aca="false">F77+E75*10000000/299792458*(1/A78-1/A77)</f>
        <v>62065.5118038837</v>
      </c>
      <c r="G78" s="9"/>
      <c r="H78" s="6" t="n">
        <f aca="false">100000000/F78</f>
        <v>1611.20076341242</v>
      </c>
      <c r="I78" s="4"/>
    </row>
    <row collapsed="false" customFormat="false" customHeight="false" hidden="false" ht="12.9" outlineLevel="0" r="79">
      <c r="A79" s="0" t="n">
        <v>58</v>
      </c>
      <c r="B79" s="47" t="inlineStr">
        <f aca="false">$B$74</f>
        <is>
          <t/>
        </is>
      </c>
      <c r="F79" s="16" t="n">
        <f aca="false">F77+E75*10000000/299792458*(1/A79-1/A77)</f>
        <v>62065.4984249971</v>
      </c>
      <c r="G79" s="9"/>
      <c r="H79" s="6" t="n">
        <f aca="false">100000000/F79</f>
        <v>1611.2011107241</v>
      </c>
      <c r="I79" s="4"/>
    </row>
    <row collapsed="false" customFormat="false" customHeight="false" hidden="false" ht="12.9" outlineLevel="0" r="80">
      <c r="A80" s="0" t="n">
        <v>2249</v>
      </c>
      <c r="B80" s="47"/>
      <c r="C80" s="0" t="n">
        <v>728</v>
      </c>
      <c r="D80" s="0" t="n">
        <v>731</v>
      </c>
      <c r="E80" s="0" t="n">
        <f aca="false">SUM(C80:D80)</f>
        <v>1459</v>
      </c>
      <c r="F80" s="12" t="n">
        <f aca="false">$I$58</f>
        <v>44446.9044</v>
      </c>
      <c r="G80" s="12" t="n">
        <f aca="false">$J$58</f>
        <v>0.0019</v>
      </c>
      <c r="H80" s="4" t="n">
        <f aca="false">100000000/F80</f>
        <v>2249.87547164252</v>
      </c>
      <c r="I80" s="4" t="n">
        <f aca="false">G80/F80*H80</f>
        <v>9.61768531200744E-005</v>
      </c>
    </row>
    <row collapsed="false" customFormat="false" customHeight="false" hidden="false" ht="12.9" outlineLevel="0" r="81">
      <c r="A81" s="0" t="n">
        <v>54</v>
      </c>
      <c r="B81" s="47" t="inlineStr">
        <f aca="false">$B$71</f>
        <is>
          <t/>
        </is>
      </c>
      <c r="F81" s="4" t="n">
        <f aca="false">F82+E80*10000000/299792458*(1/A81-1/A82)</f>
        <v>44446.9351134126</v>
      </c>
      <c r="G81" s="9"/>
      <c r="H81" s="6" t="n">
        <f aca="false">100000000/F81</f>
        <v>2249.87391694919</v>
      </c>
      <c r="I81" s="12"/>
    </row>
    <row collapsed="false" customFormat="false" customHeight="false" hidden="false" ht="12.9" outlineLevel="0" r="82">
      <c r="A82" s="0" t="n">
        <v>56</v>
      </c>
      <c r="B82" s="47" t="inlineStr">
        <f aca="false">$B$72</f>
        <is>
          <t/>
        </is>
      </c>
      <c r="F82" s="16" t="n">
        <f aca="false">F80-E80*10000000/299792458*(B81*(1/A81-1/A82)+B83*(1/A83-1/A82)+B84*(1/A84-1/A82))</f>
        <v>44446.9029262423</v>
      </c>
      <c r="G82" s="9"/>
      <c r="H82" s="6" t="n">
        <f aca="false">100000000/F82</f>
        <v>2249.87554624325</v>
      </c>
      <c r="I82" s="12"/>
    </row>
    <row collapsed="false" customFormat="false" customHeight="false" hidden="false" ht="12.9" outlineLevel="0" r="83">
      <c r="A83" s="0" t="n">
        <v>57</v>
      </c>
      <c r="B83" s="47" t="inlineStr">
        <f aca="false">$B$73</f>
        <is>
          <t/>
        </is>
      </c>
      <c r="F83" s="16" t="n">
        <f aca="false">F82+E80*10000000/299792458*(1/A83-1/A82)</f>
        <v>44446.887679688</v>
      </c>
      <c r="G83" s="9"/>
      <c r="H83" s="6" t="n">
        <f aca="false">100000000/F83</f>
        <v>2249.87631801494</v>
      </c>
      <c r="I83" s="12"/>
    </row>
    <row collapsed="false" customFormat="false" customHeight="false" hidden="false" ht="12.9" outlineLevel="0" r="84">
      <c r="A84" s="0" t="n">
        <v>58</v>
      </c>
      <c r="B84" s="47" t="inlineStr">
        <f aca="false">$B$74</f>
        <is>
          <t/>
        </is>
      </c>
      <c r="F84" s="16" t="n">
        <f aca="false">F82+E80*10000000/299792458*(1/A84-1/A82)</f>
        <v>44446.8729588769</v>
      </c>
      <c r="G84" s="9"/>
      <c r="H84" s="6" t="n">
        <f aca="false">100000000/F84</f>
        <v>2249.87706317432</v>
      </c>
      <c r="I84" s="12"/>
    </row>
    <row collapsed="false" customFormat="false" customHeight="false" hidden="false" ht="12.9" outlineLevel="0" r="85">
      <c r="A85" s="0" t="n">
        <v>2344</v>
      </c>
      <c r="B85" s="47"/>
      <c r="C85" s="0" t="n">
        <v>468</v>
      </c>
      <c r="D85" s="0" t="n">
        <v>702</v>
      </c>
      <c r="E85" s="0" t="n">
        <f aca="false">SUM(C85:D85)</f>
        <v>1170</v>
      </c>
      <c r="F85" s="12" t="n">
        <f aca="false">$I$60</f>
        <v>42658.2442743576</v>
      </c>
      <c r="G85" s="12" t="n">
        <f aca="false">$J$60</f>
        <v>0.00137749892382939</v>
      </c>
      <c r="H85" s="4" t="n">
        <f aca="false">100000000/F85</f>
        <v>2344.21274717373</v>
      </c>
      <c r="I85" s="4" t="n">
        <f aca="false">G85/F85*H85</f>
        <v>7.56981585010995E-005</v>
      </c>
    </row>
    <row collapsed="false" customFormat="false" customHeight="false" hidden="false" ht="12.9" outlineLevel="0" r="86">
      <c r="A86" s="0" t="n">
        <v>54</v>
      </c>
      <c r="B86" s="47" t="inlineStr">
        <f aca="false">$B$71</f>
        <is>
          <t/>
        </is>
      </c>
      <c r="F86" s="4" t="n">
        <f aca="false">F87+E85*10000000/299792458*(1/A86-1/A87)</f>
        <v>42658.2689040306</v>
      </c>
      <c r="G86" s="9"/>
      <c r="H86" s="6" t="n">
        <f aca="false">100000000/F86</f>
        <v>2344.21139369187</v>
      </c>
      <c r="I86" s="12"/>
    </row>
    <row collapsed="false" customFormat="false" customHeight="false" hidden="false" ht="12.9" outlineLevel="0" r="87">
      <c r="A87" s="0" t="n">
        <v>56</v>
      </c>
      <c r="B87" s="47" t="inlineStr">
        <f aca="false">$B$72</f>
        <is>
          <t/>
        </is>
      </c>
      <c r="F87" s="16" t="n">
        <f aca="false">F85-E85*10000000/299792458*(B86*(1/A86-1/A87)+B88*(1/A88-1/A87)+B89*(1/A89-1/A87))</f>
        <v>42658.2430925232</v>
      </c>
      <c r="G87" s="9"/>
      <c r="H87" s="6" t="n">
        <f aca="false">100000000/F87</f>
        <v>2344.21281211948</v>
      </c>
      <c r="I87" s="12"/>
    </row>
    <row collapsed="false" customFormat="false" customHeight="false" hidden="false" ht="12.9" outlineLevel="0" r="88">
      <c r="A88" s="0" t="n">
        <v>57</v>
      </c>
      <c r="B88" s="47" t="inlineStr">
        <f aca="false">$B$73</f>
        <is>
          <t/>
        </is>
      </c>
      <c r="F88" s="16" t="n">
        <f aca="false">F87+E85*10000000/299792458*(1/A88-1/A87)</f>
        <v>42658.2308660197</v>
      </c>
      <c r="G88" s="9"/>
      <c r="H88" s="6" t="n">
        <f aca="false">100000000/F88</f>
        <v>2344.21348400684</v>
      </c>
      <c r="I88" s="12"/>
    </row>
    <row collapsed="false" customFormat="false" customHeight="false" hidden="false" ht="12.9" outlineLevel="0" r="89">
      <c r="A89" s="0" t="n">
        <v>58</v>
      </c>
      <c r="B89" s="47" t="inlineStr">
        <f aca="false">$B$74</f>
        <is>
          <t/>
        </is>
      </c>
      <c r="F89" s="16" t="n">
        <f aca="false">F87+E85*10000000/299792458*(1/A89-1/A87)</f>
        <v>42658.2190611198</v>
      </c>
      <c r="G89" s="9"/>
      <c r="H89" s="6" t="n">
        <f aca="false">100000000/F89</f>
        <v>2344.21413272603</v>
      </c>
      <c r="I89" s="12"/>
    </row>
    <row collapsed="false" customFormat="false" customHeight="false" hidden="false" ht="12.9" outlineLevel="0" r="90">
      <c r="A90" s="0" t="n">
        <v>2367</v>
      </c>
      <c r="B90" s="47"/>
      <c r="C90" s="0" t="n">
        <v>762</v>
      </c>
      <c r="D90" s="0" t="n">
        <v>695</v>
      </c>
      <c r="E90" s="0" t="n">
        <f aca="false">SUM(C90:D90)</f>
        <v>1457</v>
      </c>
      <c r="F90" s="12" t="n">
        <f aca="false">$I$61</f>
        <v>42237.0563</v>
      </c>
      <c r="G90" s="12" t="n">
        <f aca="false">$J$61</f>
        <v>0.0019</v>
      </c>
      <c r="H90" s="4" t="n">
        <f aca="false">100000000/F90</f>
        <v>2367.58923940445</v>
      </c>
      <c r="I90" s="4" t="n">
        <f aca="false">G90/F90*H90</f>
        <v>0.000106504097324331</v>
      </c>
    </row>
    <row collapsed="false" customFormat="false" customHeight="false" hidden="false" ht="12.9" outlineLevel="0" r="91">
      <c r="A91" s="0" t="n">
        <v>54</v>
      </c>
      <c r="B91" s="47" t="inlineStr">
        <f aca="false">$B$71</f>
        <is>
          <t/>
        </is>
      </c>
      <c r="F91" s="4" t="n">
        <f aca="false">F92+E90*10000000/299792458*(1/A91-1/A92)</f>
        <v>42237.0869713106</v>
      </c>
      <c r="G91" s="9"/>
      <c r="H91" s="6" t="n">
        <f aca="false">100000000/F91</f>
        <v>2367.58752013188</v>
      </c>
      <c r="I91" s="12"/>
    </row>
    <row collapsed="false" customFormat="false" customHeight="false" hidden="false" ht="12.9" outlineLevel="0" r="92">
      <c r="A92" s="0" t="n">
        <v>56</v>
      </c>
      <c r="B92" s="47" t="inlineStr">
        <f aca="false">$B$72</f>
        <is>
          <t/>
        </is>
      </c>
      <c r="F92" s="16" t="n">
        <f aca="false">F90-E90*10000000/299792458*(B91*(1/A91-1/A92)+B93*(1/A93-1/A92)+B94*(1/A94-1/A92))</f>
        <v>42237.0548282626</v>
      </c>
      <c r="G92" s="9"/>
      <c r="H92" s="6" t="n">
        <f aca="false">100000000/F92</f>
        <v>2367.58932190238</v>
      </c>
      <c r="I92" s="12"/>
    </row>
    <row collapsed="false" customFormat="false" customHeight="false" hidden="false" ht="12.9" outlineLevel="0" r="93">
      <c r="A93" s="0" t="n">
        <v>57</v>
      </c>
      <c r="B93" s="47" t="inlineStr">
        <f aca="false">$B$73</f>
        <is>
          <t/>
        </is>
      </c>
      <c r="F93" s="16" t="n">
        <f aca="false">F92+E90*10000000/299792458*(1/A93-1/A92)</f>
        <v>42237.0396026082</v>
      </c>
      <c r="G93" s="9"/>
      <c r="H93" s="6" t="n">
        <f aca="false">100000000/F93</f>
        <v>2367.59017537358</v>
      </c>
      <c r="I93" s="12"/>
    </row>
    <row collapsed="false" customFormat="false" customHeight="false" hidden="false" ht="12.9" outlineLevel="0" r="94">
      <c r="A94" s="0" t="n">
        <v>58</v>
      </c>
      <c r="B94" s="47" t="inlineStr">
        <f aca="false">$B$74</f>
        <is>
          <t/>
        </is>
      </c>
      <c r="F94" s="16" t="n">
        <f aca="false">F92+E90*10000000/299792458*(1/A94-1/A92)</f>
        <v>42237.0249019765</v>
      </c>
      <c r="G94" s="9"/>
      <c r="H94" s="6" t="n">
        <f aca="false">100000000/F94</f>
        <v>2367.59099941532</v>
      </c>
      <c r="I94" s="12"/>
    </row>
    <row collapsed="false" customFormat="false" customHeight="false" hidden="false" ht="12.9" outlineLevel="0" r="95">
      <c r="A95" s="0" t="n">
        <v>2374</v>
      </c>
      <c r="B95" s="47"/>
      <c r="C95" s="0" t="n">
        <v>759</v>
      </c>
      <c r="D95" s="0" t="n">
        <v>693</v>
      </c>
      <c r="E95" s="0" t="n">
        <f aca="false">SUM(C95:D95)</f>
        <v>1452</v>
      </c>
      <c r="F95" s="12" t="n">
        <f aca="false">$I$62</f>
        <v>42114.8376071325</v>
      </c>
      <c r="G95" s="12" t="n">
        <f aca="false">$J$62</f>
        <v>0.00137749892382939</v>
      </c>
      <c r="H95" s="4" t="n">
        <f aca="false">100000000/F95</f>
        <v>2374.46006400044</v>
      </c>
      <c r="I95" s="4" t="n">
        <f aca="false">G95/F95*H95</f>
        <v>7.76642240283153E-005</v>
      </c>
    </row>
    <row collapsed="false" customFormat="false" customHeight="false" hidden="false" ht="12.9" outlineLevel="0" r="96">
      <c r="A96" s="0" t="n">
        <v>54</v>
      </c>
      <c r="B96" s="47" t="inlineStr">
        <f aca="false">$B$71</f>
        <is>
          <t/>
        </is>
      </c>
      <c r="F96" s="4" t="n">
        <f aca="false">F97+E95*10000000/299792458*(1/A96-1/A97)</f>
        <v>42114.8681731882</v>
      </c>
      <c r="G96" s="9"/>
      <c r="H96" s="6" t="n">
        <f aca="false">100000000/F96</f>
        <v>2374.45834066895</v>
      </c>
      <c r="I96" s="12"/>
    </row>
    <row collapsed="false" customFormat="false" customHeight="false" hidden="false" ht="12.9" outlineLevel="0" r="97">
      <c r="A97" s="0" t="n">
        <v>56</v>
      </c>
      <c r="B97" s="47" t="inlineStr">
        <f aca="false">$B$72</f>
        <is>
          <t/>
        </is>
      </c>
      <c r="F97" s="16" t="n">
        <f aca="false">F95-E95*10000000/299792458*(B96*(1/A96-1/A97)+B98*(1/A98-1/A97)+B99*(1/A99-1/A97))</f>
        <v>42114.8361404457</v>
      </c>
      <c r="G97" s="9"/>
      <c r="H97" s="6" t="n">
        <f aca="false">100000000/F97</f>
        <v>2374.46014669313</v>
      </c>
      <c r="I97" s="12"/>
    </row>
    <row collapsed="false" customFormat="false" customHeight="false" hidden="false" ht="12.9" outlineLevel="0" r="98">
      <c r="A98" s="0" t="n">
        <v>57</v>
      </c>
      <c r="B98" s="47" t="inlineStr">
        <f aca="false">$B$73</f>
        <is>
          <t/>
        </is>
      </c>
      <c r="F98" s="16" t="n">
        <f aca="false">F97+E95*10000000/299792458*(1/A98-1/A97)</f>
        <v>42114.8209670414</v>
      </c>
      <c r="G98" s="9"/>
      <c r="H98" s="6" t="n">
        <f aca="false">100000000/F98</f>
        <v>2374.46100217923</v>
      </c>
      <c r="I98" s="12"/>
    </row>
    <row collapsed="false" customFormat="false" customHeight="false" hidden="false" ht="12.9" outlineLevel="0" r="99">
      <c r="A99" s="0" t="n">
        <v>58</v>
      </c>
      <c r="B99" s="47" t="inlineStr">
        <f aca="false">$B$74</f>
        <is>
          <t/>
        </is>
      </c>
      <c r="F99" s="16" t="n">
        <f aca="false">F97+E95*10000000/299792458*(1/A99-1/A97)</f>
        <v>42114.8063168579</v>
      </c>
      <c r="G99" s="9"/>
      <c r="H99" s="6" t="n">
        <f aca="false">100000000/F99</f>
        <v>2374.46182816639</v>
      </c>
      <c r="I99" s="12"/>
    </row>
    <row collapsed="false" customFormat="false" customHeight="false" hidden="false" ht="12.9" outlineLevel="0" r="100">
      <c r="A100" s="0" t="n">
        <v>2382</v>
      </c>
      <c r="B100" s="47"/>
      <c r="C100" s="0" t="n">
        <v>753</v>
      </c>
      <c r="D100" s="0" t="n">
        <v>690</v>
      </c>
      <c r="E100" s="0" t="n">
        <f aca="false">SUM(C100:D100)</f>
        <v>1443</v>
      </c>
      <c r="F100" s="12" t="n">
        <f aca="false">$I$63</f>
        <v>41968.0674264092</v>
      </c>
      <c r="G100" s="12" t="n">
        <f aca="false">$J$63</f>
        <v>0.0014142135623731</v>
      </c>
      <c r="H100" s="4" t="n">
        <f aca="false">100000000/F100</f>
        <v>2382.76399491946</v>
      </c>
      <c r="I100" s="4" t="n">
        <f aca="false">G100/F100*H100</f>
        <v>8.02928837135094E-005</v>
      </c>
    </row>
    <row collapsed="false" customFormat="false" customHeight="false" hidden="false" ht="12.9" outlineLevel="0" r="101">
      <c r="A101" s="0" t="n">
        <v>54</v>
      </c>
      <c r="B101" s="47" t="inlineStr">
        <f aca="false">$B$71</f>
        <is>
          <t/>
        </is>
      </c>
      <c r="F101" s="4" t="n">
        <f aca="false">F102+E100*10000000/299792458*(1/A101-1/A102)</f>
        <v>41968.0978030058</v>
      </c>
      <c r="G101" s="9"/>
      <c r="H101" s="6" t="n">
        <f aca="false">100000000/F101</f>
        <v>2382.76227026991</v>
      </c>
      <c r="I101" s="12"/>
    </row>
    <row collapsed="false" customFormat="false" customHeight="false" hidden="false" ht="12.9" outlineLevel="0" r="102">
      <c r="A102" s="0" t="n">
        <v>56</v>
      </c>
      <c r="B102" s="47" t="inlineStr">
        <f aca="false">$B$72</f>
        <is>
          <t/>
        </is>
      </c>
      <c r="F102" s="16" t="n">
        <f aca="false">F100-E100*10000000/299792458*(B101*(1/A101-1/A102)+B103*(1/A103-1/A102)+B104*(1/A104-1/A102))</f>
        <v>41968.0659688134</v>
      </c>
      <c r="G102" s="9"/>
      <c r="H102" s="6" t="n">
        <f aca="false">100000000/F102</f>
        <v>2382.7640776754</v>
      </c>
      <c r="I102" s="12"/>
    </row>
    <row collapsed="false" customFormat="false" customHeight="false" hidden="false" ht="12.9" outlineLevel="0" r="103">
      <c r="A103" s="0" t="n">
        <v>57</v>
      </c>
      <c r="B103" s="47" t="inlineStr">
        <f aca="false">$B$73</f>
        <is>
          <t/>
        </is>
      </c>
      <c r="F103" s="16" t="n">
        <f aca="false">F102+E100*10000000/299792458*(1/A103-1/A102)</f>
        <v>41968.0508894591</v>
      </c>
      <c r="G103" s="9"/>
      <c r="H103" s="6" t="n">
        <f aca="false">100000000/F103</f>
        <v>2382.7649338158</v>
      </c>
      <c r="I103" s="12"/>
    </row>
    <row collapsed="false" customFormat="false" customHeight="false" hidden="false" ht="12.9" outlineLevel="0" r="104">
      <c r="A104" s="0" t="n">
        <v>58</v>
      </c>
      <c r="B104" s="47" t="inlineStr">
        <f aca="false">$B$74</f>
        <is>
          <t/>
        </is>
      </c>
      <c r="F104" s="16" t="n">
        <f aca="false">F102+E100*10000000/299792458*(1/A104-1/A102)</f>
        <v>41968.0363300825</v>
      </c>
      <c r="G104" s="9"/>
      <c r="H104" s="6" t="n">
        <f aca="false">100000000/F104</f>
        <v>2382.76576043469</v>
      </c>
      <c r="I104" s="12"/>
    </row>
    <row collapsed="false" customFormat="false" customHeight="false" hidden="false" ht="12.9" outlineLevel="0" r="105">
      <c r="A105" s="0" t="n">
        <v>2586</v>
      </c>
      <c r="B105" s="47"/>
      <c r="C105" s="0" t="n">
        <v>576</v>
      </c>
      <c r="D105" s="0" t="n">
        <v>636</v>
      </c>
      <c r="E105" s="0" t="n">
        <f aca="false">SUM(C105:D105)</f>
        <v>1212</v>
      </c>
      <c r="F105" s="12" t="n">
        <f aca="false">$I$64</f>
        <v>38660.0531902641</v>
      </c>
      <c r="G105" s="12" t="n">
        <f aca="false">$J$64</f>
        <v>0.00129529684019108</v>
      </c>
      <c r="H105" s="4" t="n">
        <f aca="false">100000000/F105</f>
        <v>2586.64931234972</v>
      </c>
      <c r="I105" s="4" t="n">
        <f aca="false">G105/F105*H105</f>
        <v>8.6665133761709E-005</v>
      </c>
    </row>
    <row collapsed="false" customFormat="false" customHeight="false" hidden="false" ht="12.9" outlineLevel="0" r="106">
      <c r="A106" s="0" t="n">
        <v>54</v>
      </c>
      <c r="B106" s="47" t="inlineStr">
        <f aca="false">$B$71</f>
        <is>
          <t/>
        </is>
      </c>
      <c r="F106" s="4" t="n">
        <f aca="false">F107+E105*10000000/299792458*(1/A106-1/A107)</f>
        <v>38660.0787040791</v>
      </c>
      <c r="G106" s="9"/>
      <c r="H106" s="6" t="n">
        <f aca="false">100000000/F106</f>
        <v>2586.64760528407</v>
      </c>
      <c r="I106" s="12"/>
    </row>
    <row collapsed="false" customFormat="false" customHeight="false" hidden="false" ht="12.9" outlineLevel="0" r="107">
      <c r="A107" s="0" t="n">
        <v>56</v>
      </c>
      <c r="B107" s="47" t="inlineStr">
        <f aca="false">$B$72</f>
        <is>
          <t/>
        </is>
      </c>
      <c r="F107" s="16" t="n">
        <f aca="false">F105-E105*10000000/299792458*(B106*(1/A106-1/A107)+B108*(1/A108-1/A107)+B109*(1/A109-1/A107))</f>
        <v>38660.0519660048</v>
      </c>
      <c r="G107" s="9"/>
      <c r="H107" s="6" t="n">
        <f aca="false">100000000/F107</f>
        <v>2586.6493942619</v>
      </c>
      <c r="I107" s="12"/>
    </row>
    <row collapsed="false" customFormat="false" customHeight="false" hidden="false" ht="12.9" outlineLevel="0" r="108">
      <c r="A108" s="0" t="n">
        <v>57</v>
      </c>
      <c r="B108" s="47" t="inlineStr">
        <f aca="false">$B$73</f>
        <is>
          <t/>
        </is>
      </c>
      <c r="F108" s="16" t="n">
        <f aca="false">F107+E105*10000000/299792458*(1/A108-1/A107)</f>
        <v>38660.0393006012</v>
      </c>
      <c r="G108" s="9"/>
      <c r="H108" s="6" t="n">
        <f aca="false">100000000/F108</f>
        <v>2586.65024167332</v>
      </c>
      <c r="I108" s="12"/>
    </row>
    <row collapsed="false" customFormat="false" customHeight="false" hidden="false" ht="12.9" outlineLevel="0" r="109">
      <c r="A109" s="0" t="n">
        <v>58</v>
      </c>
      <c r="B109" s="47" t="inlineStr">
        <f aca="false">$B$74</f>
        <is>
          <t/>
        </is>
      </c>
      <c r="F109" s="16" t="n">
        <f aca="false">F107+E105*10000000/299792458*(1/A109-1/A107)</f>
        <v>38660.0270719356</v>
      </c>
      <c r="G109" s="9"/>
      <c r="H109" s="6" t="n">
        <f aca="false">100000000/F109</f>
        <v>2586.65105986418</v>
      </c>
      <c r="I109" s="12"/>
    </row>
    <row collapsed="false" customFormat="false" customHeight="false" hidden="false" ht="12.9" outlineLevel="0" r="110">
      <c r="A110" s="0" t="n">
        <v>2600</v>
      </c>
      <c r="B110" s="47"/>
      <c r="C110" s="0" t="n">
        <v>572</v>
      </c>
      <c r="D110" s="0" t="n">
        <v>632</v>
      </c>
      <c r="E110" s="0" t="n">
        <f aca="false">SUM(C110:D110)</f>
        <v>1204</v>
      </c>
      <c r="F110" s="12" t="n">
        <f aca="false">$I$65</f>
        <v>38458.992557971</v>
      </c>
      <c r="G110" s="12" t="n">
        <f aca="false">$J$65</f>
        <v>0.00129529684019108</v>
      </c>
      <c r="H110" s="4" t="n">
        <f aca="false">100000000/F110</f>
        <v>2600.17211447402</v>
      </c>
      <c r="I110" s="4" t="n">
        <f aca="false">G110/F110*H110</f>
        <v>8.75736596260142E-005</v>
      </c>
    </row>
    <row collapsed="false" customFormat="false" customHeight="false" hidden="false" ht="12.9" outlineLevel="0" r="111">
      <c r="A111" s="0" t="n">
        <v>54</v>
      </c>
      <c r="B111" s="47" t="inlineStr">
        <f aca="false">$B$71</f>
        <is>
          <t/>
        </is>
      </c>
      <c r="F111" s="4" t="n">
        <f aca="false">F112+E110*10000000/299792458*(1/A111-1/A112)</f>
        <v>38459.017903378</v>
      </c>
      <c r="G111" s="9"/>
      <c r="H111" s="6" t="n">
        <f aca="false">100000000/F111</f>
        <v>2600.17040089879</v>
      </c>
      <c r="I111" s="12"/>
    </row>
    <row collapsed="false" customFormat="false" customHeight="false" hidden="false" ht="12.9" outlineLevel="0" r="112">
      <c r="A112" s="0" t="n">
        <v>56</v>
      </c>
      <c r="B112" s="47" t="inlineStr">
        <f aca="false">$B$72</f>
        <is>
          <t/>
        </is>
      </c>
      <c r="F112" s="16" t="n">
        <f aca="false">F110-E110*10000000/299792458*(B111*(1/A111-1/A112)+B113*(1/A113-1/A112)+B114*(1/A114-1/A112))</f>
        <v>38458.9913417926</v>
      </c>
      <c r="G112" s="9"/>
      <c r="H112" s="6" t="n">
        <f aca="false">100000000/F112</f>
        <v>2600.17219669857</v>
      </c>
      <c r="I112" s="12"/>
    </row>
    <row collapsed="false" customFormat="false" customHeight="false" hidden="false" ht="12.9" outlineLevel="0" r="113">
      <c r="A113" s="0" t="n">
        <v>57</v>
      </c>
      <c r="B113" s="47" t="inlineStr">
        <f aca="false">$B$73</f>
        <is>
          <t/>
        </is>
      </c>
      <c r="F113" s="16" t="n">
        <f aca="false">F112+E110*10000000/299792458*(1/A113-1/A112)</f>
        <v>38458.978759989</v>
      </c>
      <c r="G113" s="9"/>
      <c r="H113" s="6" t="n">
        <f aca="false">100000000/F113</f>
        <v>2600.17304734143</v>
      </c>
      <c r="I113" s="12"/>
    </row>
    <row collapsed="false" customFormat="false" customHeight="false" hidden="false" ht="12.9" outlineLevel="0" r="114">
      <c r="A114" s="0" t="n">
        <v>58</v>
      </c>
      <c r="B114" s="47" t="inlineStr">
        <f aca="false">$B$74</f>
        <is>
          <t/>
        </is>
      </c>
      <c r="F114" s="16" t="n">
        <f aca="false">F112+E110*10000000/299792458*(1/A114-1/A112)</f>
        <v>38458.9666120407</v>
      </c>
      <c r="G114" s="9"/>
      <c r="H114" s="6" t="n">
        <f aca="false">100000000/F114</f>
        <v>2600.17386865231</v>
      </c>
      <c r="I114" s="12"/>
    </row>
    <row collapsed="false" customFormat="false" customHeight="false" hidden="false" ht="12.9" outlineLevel="0" r="115">
      <c r="D115" s="4"/>
      <c r="F115" s="9"/>
    </row>
    <row collapsed="false" customFormat="false" customHeight="false" hidden="false" ht="12.9" outlineLevel="0" r="116">
      <c r="A116" s="0" t="s">
        <v>4</v>
      </c>
      <c r="F116" s="9"/>
    </row>
    <row collapsed="false" customFormat="true" customHeight="false" hidden="false" ht="14" outlineLevel="0" r="117" s="13">
      <c r="A117" s="13" t="s">
        <v>191</v>
      </c>
      <c r="B117" s="1" t="s">
        <v>192</v>
      </c>
    </row>
    <row collapsed="false" customFormat="true" customHeight="false" hidden="false" ht="14" outlineLevel="0" r="118" s="13">
      <c r="A118" s="13" t="s">
        <v>195</v>
      </c>
      <c r="B118" s="1" t="s">
        <v>196</v>
      </c>
    </row>
    <row collapsed="false" customFormat="true" customHeight="false" hidden="false" ht="14" outlineLevel="0" r="119" s="13">
      <c r="A119" s="0" t="s">
        <v>272</v>
      </c>
      <c r="B119" s="1" t="s">
        <v>273</v>
      </c>
    </row>
    <row collapsed="false" customFormat="false" customHeight="false" hidden="false" ht="14" outlineLevel="0" r="120">
      <c r="A120" s="13" t="s">
        <v>52</v>
      </c>
      <c r="B120" s="1" t="s">
        <v>53</v>
      </c>
    </row>
  </sheetData>
  <mergeCells count="1">
    <mergeCell ref="C68:E68"/>
  </mergeCells>
  <hyperlinks>
    <hyperlink display="http://adsabs.harvard.edu/abs/2009PhST..134a4008A" ref="B117" r:id="rId1"/>
    <hyperlink display="http://adsabs.harvard.edu/abs/2012MNRAS.420.1570N" ref="B118" r:id="rId2"/>
    <hyperlink display="http://adsabs.harvard.edu/abs/2009PhRvA..79c2519P" ref="B119" r:id="rId3"/>
    <hyperlink display="http://adsabs.harvard.edu/abs/1998JPCRD..27.1275R" ref="B120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7" activeCellId="0" pane="topLeft" sqref="D7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9" outlineLevel="0" r="1" s="13">
      <c r="A1" s="13" t="s">
        <v>9</v>
      </c>
      <c r="B1" s="44" t="n">
        <v>41015</v>
      </c>
    </row>
    <row collapsed="false" customFormat="true" customHeight="false" hidden="false" ht="12.9" outlineLevel="0" r="2" s="13">
      <c r="B2" s="19"/>
    </row>
    <row collapsed="false" customFormat="true" customHeight="false" hidden="false" ht="12.9" outlineLevel="0" r="3" s="13">
      <c r="A3" s="13" t="s">
        <v>10</v>
      </c>
      <c r="B3" s="19"/>
    </row>
    <row collapsed="false" customFormat="false" customHeight="false" hidden="false" ht="13.6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274</v>
      </c>
      <c r="B5" s="0" t="n">
        <f aca="false">A12</f>
        <v>1709</v>
      </c>
      <c r="C5" s="0" t="s">
        <v>128</v>
      </c>
      <c r="D5" s="3" t="n">
        <v>58.6934</v>
      </c>
      <c r="E5" s="3" t="n">
        <f aca="false">F12</f>
        <v>58493.0772002655</v>
      </c>
      <c r="F5" s="3" t="n">
        <f aca="false">G12</f>
        <v>0.004</v>
      </c>
      <c r="G5" s="5" t="n">
        <v>0</v>
      </c>
      <c r="H5" s="0" t="s">
        <v>275</v>
      </c>
      <c r="I5" s="12" t="n">
        <f aca="false">I12</f>
        <v>1709.60402130367</v>
      </c>
      <c r="J5" s="12" t="n">
        <f aca="false">J12</f>
        <v>0.000116909836386307</v>
      </c>
      <c r="K5" s="7" t="n">
        <f aca="false">299792458*J5/I5</f>
        <v>20.5010556701325</v>
      </c>
      <c r="L5" s="0" t="s">
        <v>276</v>
      </c>
      <c r="M5" s="0" t="s">
        <v>277</v>
      </c>
      <c r="N5" s="0" t="s">
        <v>278</v>
      </c>
      <c r="O5" s="8" t="n">
        <v>7.64</v>
      </c>
      <c r="P5" s="8" t="n">
        <v>18.17</v>
      </c>
      <c r="Q5" s="3" t="n">
        <v>0.0324</v>
      </c>
      <c r="R5" s="10" t="n">
        <v>435000000</v>
      </c>
      <c r="S5" s="5" t="n">
        <v>-20</v>
      </c>
      <c r="T5" s="5" t="n">
        <v>250</v>
      </c>
    </row>
    <row collapsed="false" customFormat="true" customHeight="false" hidden="false" ht="12.9" outlineLevel="0" r="6" s="13">
      <c r="B6" s="0" t="n">
        <f aca="false">A13</f>
        <v>1741</v>
      </c>
      <c r="C6" s="0" t="s">
        <v>128</v>
      </c>
      <c r="D6" s="3" t="n">
        <f aca="false">$D$5</f>
        <v>58.6934</v>
      </c>
      <c r="E6" s="3" t="n">
        <f aca="false">F13</f>
        <v>57420.0190865214</v>
      </c>
      <c r="F6" s="3" t="n">
        <f aca="false">G13</f>
        <v>0.004</v>
      </c>
      <c r="G6" s="13" t="n">
        <v>0</v>
      </c>
      <c r="H6" s="0" t="s">
        <v>279</v>
      </c>
      <c r="I6" s="12" t="n">
        <f aca="false">I13</f>
        <v>1741.55288679578</v>
      </c>
      <c r="J6" s="12" t="n">
        <f aca="false">J13</f>
        <v>0.000121320258300268</v>
      </c>
      <c r="K6" s="7" t="n">
        <f aca="false">299792458*J6/I6</f>
        <v>20.8841768267801</v>
      </c>
      <c r="M6" s="13" t="s">
        <v>280</v>
      </c>
      <c r="N6" s="13" t="s">
        <v>281</v>
      </c>
      <c r="Q6" s="46" t="n">
        <v>0.0427</v>
      </c>
      <c r="R6" s="56" t="n">
        <v>500000000</v>
      </c>
      <c r="S6" s="13" t="n">
        <v>-1400</v>
      </c>
      <c r="T6" s="13" t="n">
        <v>250</v>
      </c>
    </row>
    <row collapsed="false" customFormat="true" customHeight="false" hidden="false" ht="12.9" outlineLevel="0" r="7" s="13">
      <c r="B7" s="0" t="n">
        <f aca="false">A14</f>
        <v>1751</v>
      </c>
      <c r="C7" s="0" t="s">
        <v>128</v>
      </c>
      <c r="D7" s="3" t="n">
        <f aca="false">$D$5</f>
        <v>58.6934</v>
      </c>
      <c r="E7" s="3" t="n">
        <f aca="false">F14</f>
        <v>57080.3790505195</v>
      </c>
      <c r="F7" s="3" t="n">
        <f aca="false">G14</f>
        <v>0.004</v>
      </c>
      <c r="G7" s="13" t="n">
        <v>0</v>
      </c>
      <c r="H7" s="0" t="s">
        <v>282</v>
      </c>
      <c r="I7" s="12" t="n">
        <f aca="false">I14</f>
        <v>1751.91548590618</v>
      </c>
      <c r="J7" s="12" t="n">
        <f aca="false">J14</f>
        <v>0.000122768314790316</v>
      </c>
      <c r="K7" s="7" t="n">
        <f aca="false">299792458*J7/I7</f>
        <v>21.0084419891231</v>
      </c>
      <c r="M7" s="13" t="s">
        <v>283</v>
      </c>
      <c r="N7" s="13" t="s">
        <v>284</v>
      </c>
      <c r="Q7" s="46" t="n">
        <v>0.0277</v>
      </c>
      <c r="R7" s="56" t="n">
        <v>370000000</v>
      </c>
      <c r="S7" s="13" t="n">
        <v>-700</v>
      </c>
      <c r="T7" s="13" t="n">
        <v>250</v>
      </c>
    </row>
    <row collapsed="false" customFormat="true" customHeight="false" hidden="false" ht="12.9" outlineLevel="0" r="8" s="13">
      <c r="A8" s="13" t="s">
        <v>38</v>
      </c>
      <c r="B8" s="19"/>
    </row>
    <row collapsed="false" customFormat="true" customHeight="false" hidden="false" ht="12.9" outlineLevel="0" r="9" s="13">
      <c r="B9" s="19"/>
    </row>
    <row collapsed="false" customFormat="true" customHeight="false" hidden="false" ht="12.9" outlineLevel="0" r="10" s="13">
      <c r="A10" s="13" t="s">
        <v>39</v>
      </c>
      <c r="B10" s="19"/>
    </row>
    <row collapsed="false" customFormat="true" customHeight="false" hidden="false" ht="104.5" outlineLevel="0" r="11" s="15">
      <c r="A11" s="15" t="s">
        <v>40</v>
      </c>
      <c r="B11" s="14" t="s">
        <v>15</v>
      </c>
      <c r="C11" s="15" t="s">
        <v>16</v>
      </c>
      <c r="D11" s="15" t="s">
        <v>42</v>
      </c>
      <c r="E11" s="15" t="s">
        <v>208</v>
      </c>
      <c r="F11" s="14" t="s">
        <v>15</v>
      </c>
      <c r="G11" s="15" t="s">
        <v>16</v>
      </c>
      <c r="H11" s="15" t="s">
        <v>43</v>
      </c>
      <c r="I11" s="15" t="s">
        <v>44</v>
      </c>
      <c r="J11" s="15" t="s">
        <v>45</v>
      </c>
    </row>
    <row collapsed="false" customFormat="true" customHeight="false" hidden="false" ht="12.9" outlineLevel="0" r="12" s="13">
      <c r="A12" s="13" t="n">
        <v>1709</v>
      </c>
      <c r="B12" s="45" t="n">
        <f aca="false">58493.071</f>
        <v>58493.071</v>
      </c>
      <c r="C12" s="45" t="n">
        <f aca="false">0.004</f>
        <v>0.004</v>
      </c>
      <c r="D12" s="45" t="n">
        <f aca="false">A18</f>
        <v>0</v>
      </c>
      <c r="E12" s="46" t="n">
        <f aca="false">B12*(1+0.000000106)</f>
        <v>58493.0772002655</v>
      </c>
      <c r="F12" s="46" t="n">
        <f aca="false">E12</f>
        <v>58493.0772002655</v>
      </c>
      <c r="G12" s="46" t="n">
        <f aca="false">C12</f>
        <v>0.004</v>
      </c>
      <c r="H12" s="13" t="n">
        <f aca="false">D12</f>
        <v>0</v>
      </c>
      <c r="I12" s="18" t="n">
        <f aca="false">100000000/F12</f>
        <v>1709.60402130367</v>
      </c>
      <c r="J12" s="18" t="n">
        <f aca="false">G12/F12*I12</f>
        <v>0.000116909836386307</v>
      </c>
      <c r="AMG12" s="0"/>
      <c r="AMH12" s="0"/>
      <c r="AMI12" s="0"/>
      <c r="AMJ12" s="0"/>
    </row>
    <row collapsed="false" customFormat="true" customHeight="false" hidden="false" ht="12.9" outlineLevel="0" r="13" s="13">
      <c r="A13" s="13" t="n">
        <v>1741</v>
      </c>
      <c r="B13" s="45" t="n">
        <f aca="false">57420.013</f>
        <v>57420.013</v>
      </c>
      <c r="C13" s="45" t="n">
        <f aca="false">0.004</f>
        <v>0.004</v>
      </c>
      <c r="D13" s="45" t="n">
        <f aca="false">D12</f>
        <v>0</v>
      </c>
      <c r="E13" s="46" t="n">
        <f aca="false">B13*(1+0.000000106)</f>
        <v>57420.0190865214</v>
      </c>
      <c r="F13" s="46" t="n">
        <f aca="false">E13</f>
        <v>57420.0190865214</v>
      </c>
      <c r="G13" s="46" t="n">
        <f aca="false">C13</f>
        <v>0.004</v>
      </c>
      <c r="H13" s="13" t="n">
        <f aca="false">D13</f>
        <v>0</v>
      </c>
      <c r="I13" s="18" t="n">
        <f aca="false">100000000/F13</f>
        <v>1741.55288679578</v>
      </c>
      <c r="J13" s="18" t="n">
        <f aca="false">G13/F13*I13</f>
        <v>0.000121320258300268</v>
      </c>
      <c r="AMG13" s="0"/>
      <c r="AMH13" s="0"/>
      <c r="AMI13" s="0"/>
      <c r="AMJ13" s="0"/>
    </row>
    <row collapsed="false" customFormat="true" customHeight="false" hidden="false" ht="12.9" outlineLevel="0" r="14" s="13">
      <c r="A14" s="13" t="n">
        <v>1751</v>
      </c>
      <c r="B14" s="45" t="n">
        <f aca="false">57080.373</f>
        <v>57080.373</v>
      </c>
      <c r="C14" s="45" t="n">
        <f aca="false">0.004</f>
        <v>0.004</v>
      </c>
      <c r="D14" s="45" t="n">
        <f aca="false">D13</f>
        <v>0</v>
      </c>
      <c r="E14" s="46" t="n">
        <f aca="false">B14*(1+0.000000106)</f>
        <v>57080.3790505195</v>
      </c>
      <c r="F14" s="46" t="n">
        <f aca="false">E14</f>
        <v>57080.3790505195</v>
      </c>
      <c r="G14" s="46" t="n">
        <f aca="false">C14</f>
        <v>0.004</v>
      </c>
      <c r="H14" s="13" t="n">
        <f aca="false">D14</f>
        <v>0</v>
      </c>
      <c r="I14" s="18" t="n">
        <f aca="false">100000000/F14</f>
        <v>1751.91548590618</v>
      </c>
      <c r="J14" s="18" t="n">
        <f aca="false">G14/F14*I14</f>
        <v>0.000122768314790316</v>
      </c>
      <c r="AMG14" s="0"/>
      <c r="AMH14" s="0"/>
      <c r="AMI14" s="0"/>
      <c r="AMJ14" s="0"/>
    </row>
    <row collapsed="false" customFormat="true" customHeight="false" hidden="false" ht="12.9" outlineLevel="0" r="16" s="13">
      <c r="A16" s="13" t="s">
        <v>4</v>
      </c>
    </row>
    <row collapsed="false" customFormat="true" customHeight="false" hidden="false" ht="13.6" outlineLevel="0" r="17" s="13">
      <c r="A17" s="13" t="s">
        <v>195</v>
      </c>
      <c r="B17" s="1" t="s">
        <v>196</v>
      </c>
    </row>
    <row collapsed="false" customFormat="true" customHeight="false" hidden="false" ht="13.6" outlineLevel="0" r="18" s="13">
      <c r="A18" s="0" t="s">
        <v>212</v>
      </c>
      <c r="B18" s="1" t="s">
        <v>213</v>
      </c>
    </row>
  </sheetData>
  <hyperlinks>
    <hyperlink display="http://adsabs.harvard.edu/abs/2012MNRAS.420.1570N" ref="B17" r:id="rId1"/>
    <hyperlink display="http://adsabs.harvard.edu/abs/2000MNRAS.319..163P" ref="B18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C1" activeCellId="0" pane="topLeft" sqref="C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2.5372549019608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13">
      <c r="A1" s="13" t="s">
        <v>9</v>
      </c>
      <c r="B1" s="2" t="n">
        <v>41023</v>
      </c>
      <c r="C1" s="50" t="s">
        <v>285</v>
      </c>
    </row>
    <row collapsed="false" customFormat="true" customHeight="false" hidden="false" ht="12.9" outlineLevel="0" r="2" s="13">
      <c r="B2" s="19"/>
    </row>
    <row collapsed="false" customFormat="true" customHeight="false" hidden="false" ht="12.9" outlineLevel="0" r="3" s="13">
      <c r="A3" s="13" t="s">
        <v>10</v>
      </c>
      <c r="B3" s="19"/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286</v>
      </c>
      <c r="B5" s="0" t="n">
        <f aca="false">A23</f>
        <v>2026</v>
      </c>
      <c r="C5" s="0" t="s">
        <v>31</v>
      </c>
      <c r="D5" s="8" t="n">
        <v>65.38</v>
      </c>
      <c r="E5" s="12" t="n">
        <f aca="false">E74</f>
        <v>49355.005443379</v>
      </c>
      <c r="F5" s="12" t="n">
        <f aca="false">F74</f>
        <v>0.000759284173097276</v>
      </c>
      <c r="G5" s="5" t="n">
        <v>0</v>
      </c>
      <c r="H5" s="0" t="s">
        <v>287</v>
      </c>
      <c r="I5" s="4" t="n">
        <f aca="false">G74</f>
        <v>2026.13694602307</v>
      </c>
      <c r="J5" s="4" t="n">
        <f aca="false">H74</f>
        <v>3.11703686753285E-005</v>
      </c>
      <c r="K5" s="7" t="n">
        <f aca="false">299792458*J5/I5</f>
        <v>4.61204829233518</v>
      </c>
      <c r="L5" s="0" t="s">
        <v>288</v>
      </c>
      <c r="M5" s="0" t="s">
        <v>289</v>
      </c>
      <c r="N5" s="0" t="s">
        <v>290</v>
      </c>
      <c r="O5" s="8" t="n">
        <v>9.39</v>
      </c>
      <c r="P5" s="8" t="n">
        <v>17.96</v>
      </c>
      <c r="Q5" s="9" t="n">
        <v>0.501</v>
      </c>
      <c r="R5" s="21" t="n">
        <v>407000000</v>
      </c>
      <c r="S5" s="5" t="n">
        <v>2470</v>
      </c>
      <c r="T5" s="5" t="n">
        <v>25</v>
      </c>
    </row>
    <row collapsed="false" customFormat="false" customHeight="false" hidden="false" ht="12.9" outlineLevel="0" r="6">
      <c r="C6" s="0" t="s">
        <v>35</v>
      </c>
      <c r="D6" s="5" t="n">
        <f aca="false">A75</f>
        <v>70</v>
      </c>
      <c r="E6" s="12" t="n">
        <f aca="false">E75</f>
        <v>49355.0527203952</v>
      </c>
      <c r="F6" s="12" t="n">
        <f aca="false">F75</f>
        <v>0.000863501745242107</v>
      </c>
      <c r="G6" s="5" t="n">
        <v>2</v>
      </c>
      <c r="H6" s="0" t="n">
        <f aca="false">K30</f>
        <v>0</v>
      </c>
      <c r="I6" s="4" t="n">
        <f aca="false">G75</f>
        <v>2026.13500519424</v>
      </c>
      <c r="J6" s="4" t="n">
        <f aca="false">H75</f>
        <v>3.54486727629078E-005</v>
      </c>
      <c r="K6" s="7" t="n">
        <f aca="false">299792458*J6/I6</f>
        <v>5.24508224436455</v>
      </c>
      <c r="O6" s="8"/>
      <c r="P6" s="8"/>
      <c r="Q6" s="11" t="n">
        <f aca="false">B75</f>
        <v>0.0062</v>
      </c>
      <c r="R6" s="10"/>
      <c r="S6" s="5"/>
      <c r="T6" s="5"/>
    </row>
    <row collapsed="false" customFormat="false" customHeight="false" hidden="false" ht="12.9" outlineLevel="0" r="7">
      <c r="C7" s="0" t="s">
        <v>35</v>
      </c>
      <c r="D7" s="5" t="n">
        <f aca="false">A76</f>
        <v>68</v>
      </c>
      <c r="E7" s="12" t="n">
        <f aca="false">E76</f>
        <v>49355.0337739546</v>
      </c>
      <c r="F7" s="12" t="n">
        <f aca="false">F76</f>
        <v>0.000796473639507801</v>
      </c>
      <c r="G7" s="5" t="n">
        <v>2</v>
      </c>
      <c r="H7" s="0" t="n">
        <f aca="false">K31</f>
        <v>0</v>
      </c>
      <c r="I7" s="4" t="n">
        <f aca="false">G76</f>
        <v>2026.13578298819</v>
      </c>
      <c r="J7" s="4" t="n">
        <f aca="false">H76</f>
        <v>3.26970446136175E-005</v>
      </c>
      <c r="K7" s="7" t="n">
        <f aca="false">299792458*J7/I7</f>
        <v>4.83794198609698</v>
      </c>
      <c r="O7" s="8"/>
      <c r="P7" s="8"/>
      <c r="Q7" s="11" t="n">
        <f aca="false">B76</f>
        <v>0.1875</v>
      </c>
      <c r="R7" s="10"/>
      <c r="S7" s="5"/>
      <c r="T7" s="5"/>
    </row>
    <row collapsed="false" customFormat="false" customHeight="false" hidden="false" ht="12.9" outlineLevel="0" r="8">
      <c r="C8" s="0" t="s">
        <v>60</v>
      </c>
      <c r="D8" s="5" t="n">
        <f aca="false">A77</f>
        <v>67</v>
      </c>
      <c r="E8" s="12" t="n">
        <f aca="false">E77</f>
        <v>49355.1580789336</v>
      </c>
      <c r="F8" s="12" t="n">
        <f aca="false">F77</f>
        <v>0.00503108719656487</v>
      </c>
      <c r="G8" s="5" t="n">
        <v>3</v>
      </c>
      <c r="H8" s="0" t="s">
        <v>291</v>
      </c>
      <c r="I8" s="4" t="n">
        <f aca="false">G77</f>
        <v>2026.13068000046</v>
      </c>
      <c r="J8" s="4" t="n">
        <f aca="false">H77</f>
        <v>0.000206536469935218</v>
      </c>
      <c r="K8" s="7" t="n">
        <f aca="false">299792458*J8/I8</f>
        <v>30.5597642835693</v>
      </c>
      <c r="L8" s="0" t="s">
        <v>62</v>
      </c>
      <c r="M8" s="0" t="s">
        <v>63</v>
      </c>
      <c r="O8" s="8"/>
      <c r="P8" s="8"/>
      <c r="Q8" s="11" t="n">
        <f aca="false">B77</f>
        <v>0.0170833333333333</v>
      </c>
      <c r="R8" s="10"/>
      <c r="S8" s="5"/>
      <c r="T8" s="5"/>
    </row>
    <row collapsed="false" customFormat="false" customHeight="false" hidden="false" ht="12.9" outlineLevel="0" r="9">
      <c r="C9" s="0" t="s">
        <v>60</v>
      </c>
      <c r="D9" s="5" t="n">
        <f aca="false">A78</f>
        <v>67</v>
      </c>
      <c r="E9" s="12" t="n">
        <f aca="false">E78</f>
        <v>49354.9291394517</v>
      </c>
      <c r="F9" s="12" t="n">
        <f aca="false">F78</f>
        <v>0.00191300944906316</v>
      </c>
      <c r="G9" s="5" t="n">
        <v>3</v>
      </c>
      <c r="H9" s="0" t="n">
        <f aca="false">H8</f>
        <v>0</v>
      </c>
      <c r="I9" s="4" t="n">
        <f aca="false">G78</f>
        <v>2026.14007848033</v>
      </c>
      <c r="J9" s="4" t="n">
        <f aca="false">H78</f>
        <v>7.85336983122149E-005</v>
      </c>
      <c r="K9" s="7" t="n">
        <f aca="false">299792458*J9/I9</f>
        <v>11.6200309657306</v>
      </c>
      <c r="L9" s="0" t="s">
        <v>64</v>
      </c>
      <c r="M9" s="0" t="s">
        <v>65</v>
      </c>
      <c r="O9" s="8"/>
      <c r="P9" s="8"/>
      <c r="Q9" s="11" t="n">
        <f aca="false">B78</f>
        <v>0.0239166666666667</v>
      </c>
      <c r="R9" s="10"/>
      <c r="S9" s="5"/>
      <c r="T9" s="5"/>
    </row>
    <row collapsed="false" customFormat="false" customHeight="false" hidden="false" ht="12.9" outlineLevel="0" r="10">
      <c r="C10" s="0" t="s">
        <v>35</v>
      </c>
      <c r="D10" s="5" t="n">
        <f aca="false">A79</f>
        <v>66</v>
      </c>
      <c r="E10" s="12" t="n">
        <f aca="false">E79</f>
        <v>49355.0114251602</v>
      </c>
      <c r="F10" s="12" t="n">
        <f aca="false">F79</f>
        <v>0.000785218350227467</v>
      </c>
      <c r="G10" s="5" t="n">
        <v>2</v>
      </c>
      <c r="H10" s="0" t="n">
        <f aca="false">K33</f>
        <v>0</v>
      </c>
      <c r="I10" s="4" t="n">
        <f aca="false">G79</f>
        <v>2026.13670045717</v>
      </c>
      <c r="J10" s="4" t="n">
        <f aca="false">H79</f>
        <v>3.22350187210627E-005</v>
      </c>
      <c r="K10" s="7" t="n">
        <f aca="false">299792458*J10/I10</f>
        <v>4.76957724218849</v>
      </c>
      <c r="O10" s="8"/>
      <c r="P10" s="8"/>
      <c r="Q10" s="11" t="n">
        <f aca="false">B79</f>
        <v>0.279</v>
      </c>
      <c r="R10" s="10"/>
      <c r="S10" s="5"/>
      <c r="T10" s="5"/>
    </row>
    <row collapsed="false" customFormat="false" customHeight="false" hidden="false" ht="12.9" outlineLevel="0" r="11">
      <c r="C11" s="0" t="s">
        <v>35</v>
      </c>
      <c r="D11" s="5" t="n">
        <f aca="false">A80</f>
        <v>64</v>
      </c>
      <c r="E11" s="12" t="n">
        <f aca="false">E80</f>
        <v>49354.9888762274</v>
      </c>
      <c r="F11" s="12" t="n">
        <f aca="false">F80</f>
        <v>0.00104684474987198</v>
      </c>
      <c r="G11" s="5" t="n">
        <v>2</v>
      </c>
      <c r="H11" s="0" t="n">
        <f aca="false">H10</f>
        <v>0</v>
      </c>
      <c r="I11" s="4" t="n">
        <f aca="false">G80</f>
        <v>2026.13762614313</v>
      </c>
      <c r="J11" s="4" t="n">
        <f aca="false">H80</f>
        <v>4.29754232498196E-005</v>
      </c>
      <c r="K11" s="7" t="n">
        <f aca="false">299792458*J11/I11</f>
        <v>6.35875253655826</v>
      </c>
      <c r="O11" s="8"/>
      <c r="P11" s="8"/>
      <c r="Q11" s="11" t="n">
        <f aca="false">B80</f>
        <v>0.4863</v>
      </c>
      <c r="R11" s="10"/>
      <c r="S11" s="5"/>
      <c r="T11" s="5"/>
    </row>
    <row collapsed="false" customFormat="false" customHeight="false" hidden="false" ht="12.9" outlineLevel="0" r="12">
      <c r="B12" s="0" t="n">
        <f aca="false">A24</f>
        <v>2062</v>
      </c>
      <c r="C12" s="0" t="s">
        <v>31</v>
      </c>
      <c r="D12" s="8" t="n">
        <f aca="false">$D$5</f>
        <v>65.38</v>
      </c>
      <c r="E12" s="12" t="n">
        <f aca="false">E90</f>
        <v>48481.0806965415</v>
      </c>
      <c r="F12" s="12" t="n">
        <f aca="false">F90</f>
        <v>0.000759284173097276</v>
      </c>
      <c r="G12" s="5" t="n">
        <v>0</v>
      </c>
      <c r="H12" s="0" t="n">
        <f aca="false">H5</f>
        <v>0</v>
      </c>
      <c r="I12" s="4" t="n">
        <f aca="false">G90</f>
        <v>2062.66029063856</v>
      </c>
      <c r="J12" s="4" t="n">
        <f aca="false">H90</f>
        <v>3.23042574682089E-005</v>
      </c>
      <c r="K12" s="7" t="n">
        <f aca="false">299792458*J12/I12</f>
        <v>4.69518553016843</v>
      </c>
      <c r="M12" s="0" t="s">
        <v>292</v>
      </c>
      <c r="N12" s="0" t="s">
        <v>293</v>
      </c>
      <c r="O12" s="8"/>
      <c r="P12" s="3"/>
      <c r="Q12" s="9" t="n">
        <v>0.246</v>
      </c>
      <c r="R12" s="21" t="n">
        <v>386000000</v>
      </c>
      <c r="S12" s="5" t="n">
        <v>1560</v>
      </c>
      <c r="T12" s="5" t="n">
        <v>25</v>
      </c>
    </row>
    <row collapsed="false" customFormat="false" customHeight="false" hidden="false" ht="12.9" outlineLevel="0" r="13">
      <c r="C13" s="0" t="s">
        <v>35</v>
      </c>
      <c r="D13" s="5" t="n">
        <f aca="false">A91</f>
        <v>70</v>
      </c>
      <c r="E13" s="12" t="n">
        <f aca="false">E91</f>
        <v>48481.1289895003</v>
      </c>
      <c r="F13" s="3"/>
      <c r="G13" s="5" t="n">
        <v>3</v>
      </c>
      <c r="H13" s="0" t="s">
        <v>294</v>
      </c>
      <c r="I13" s="4" t="n">
        <f aca="false">G91</f>
        <v>2062.6582359841</v>
      </c>
      <c r="J13" s="12"/>
      <c r="K13" s="7"/>
      <c r="O13" s="8"/>
      <c r="P13" s="8"/>
      <c r="Q13" s="11" t="n">
        <f aca="false">B91</f>
        <v>0.0062</v>
      </c>
      <c r="R13" s="10"/>
      <c r="S13" s="5"/>
      <c r="T13" s="5"/>
    </row>
    <row collapsed="false" customFormat="false" customHeight="false" hidden="false" ht="12.9" outlineLevel="0" r="14">
      <c r="C14" s="0" t="s">
        <v>35</v>
      </c>
      <c r="D14" s="5" t="n">
        <f aca="false">A92</f>
        <v>68</v>
      </c>
      <c r="E14" s="12" t="n">
        <f aca="false">E92</f>
        <v>48481.1096944653</v>
      </c>
      <c r="F14" s="3"/>
      <c r="G14" s="5" t="n">
        <v>3</v>
      </c>
      <c r="H14" s="0" t="n">
        <f aca="false">H13</f>
        <v>0</v>
      </c>
      <c r="I14" s="4" t="n">
        <f aca="false">G92</f>
        <v>2062.65905690307</v>
      </c>
      <c r="J14" s="12"/>
      <c r="K14" s="7"/>
      <c r="O14" s="8"/>
      <c r="P14" s="8"/>
      <c r="Q14" s="11" t="n">
        <f aca="false">B92</f>
        <v>0.1875</v>
      </c>
      <c r="R14" s="10"/>
      <c r="S14" s="5"/>
      <c r="T14" s="5"/>
    </row>
    <row collapsed="false" customFormat="false" customHeight="false" hidden="false" ht="12.9" outlineLevel="0" r="15">
      <c r="C15" s="0" t="s">
        <v>60</v>
      </c>
      <c r="D15" s="5" t="n">
        <f aca="false">A93</f>
        <v>67</v>
      </c>
      <c r="E15" s="12" t="n">
        <f aca="false">E93</f>
        <v>48481.2378749246</v>
      </c>
      <c r="F15" s="3"/>
      <c r="G15" s="5" t="n">
        <v>3</v>
      </c>
      <c r="H15" s="0" t="s">
        <v>295</v>
      </c>
      <c r="I15" s="4" t="n">
        <f aca="false">G93</f>
        <v>2062.65360339988</v>
      </c>
      <c r="J15" s="12"/>
      <c r="K15" s="7"/>
      <c r="L15" s="0" t="s">
        <v>62</v>
      </c>
      <c r="M15" s="0" t="s">
        <v>68</v>
      </c>
      <c r="O15" s="8"/>
      <c r="P15" s="8"/>
      <c r="Q15" s="11" t="n">
        <f aca="false">B93</f>
        <v>0.0170833333333333</v>
      </c>
      <c r="R15" s="10"/>
      <c r="S15" s="5"/>
      <c r="T15" s="5"/>
    </row>
    <row collapsed="false" customFormat="false" customHeight="false" hidden="false" ht="12.9" outlineLevel="0" r="16">
      <c r="C16" s="0" t="s">
        <v>60</v>
      </c>
      <c r="D16" s="5" t="n">
        <f aca="false">A94</f>
        <v>67</v>
      </c>
      <c r="E16" s="12" t="n">
        <f aca="false">E94</f>
        <v>48481.0037549588</v>
      </c>
      <c r="F16" s="3"/>
      <c r="G16" s="5" t="n">
        <v>3</v>
      </c>
      <c r="H16" s="0" t="n">
        <f aca="false">H15</f>
        <v>0</v>
      </c>
      <c r="I16" s="4" t="n">
        <f aca="false">G94</f>
        <v>2062.66356417531</v>
      </c>
      <c r="J16" s="12"/>
      <c r="K16" s="7"/>
      <c r="L16" s="0" t="s">
        <v>64</v>
      </c>
      <c r="M16" s="0" t="s">
        <v>68</v>
      </c>
      <c r="O16" s="8"/>
      <c r="P16" s="8"/>
      <c r="Q16" s="11" t="n">
        <f aca="false">B94</f>
        <v>0.0239166666666667</v>
      </c>
      <c r="R16" s="10"/>
      <c r="S16" s="5"/>
      <c r="T16" s="5"/>
    </row>
    <row collapsed="false" customFormat="false" customHeight="false" hidden="false" ht="12.9" outlineLevel="0" r="17">
      <c r="C17" s="0" t="s">
        <v>35</v>
      </c>
      <c r="D17" s="5" t="n">
        <f aca="false">A95</f>
        <v>66</v>
      </c>
      <c r="E17" s="12" t="n">
        <f aca="false">E95</f>
        <v>48481.0868546536</v>
      </c>
      <c r="F17" s="3"/>
      <c r="G17" s="0" t="n">
        <v>3</v>
      </c>
      <c r="H17" s="0" t="n">
        <f aca="false">H14</f>
        <v>0</v>
      </c>
      <c r="I17" s="4" t="n">
        <f aca="false">G95</f>
        <v>2062.66002863756</v>
      </c>
      <c r="J17" s="12"/>
      <c r="K17" s="7"/>
      <c r="Q17" s="11" t="n">
        <f aca="false">B95</f>
        <v>0.279</v>
      </c>
    </row>
    <row collapsed="false" customFormat="true" customHeight="false" hidden="false" ht="12.9" outlineLevel="0" r="18" s="13">
      <c r="B18" s="19"/>
      <c r="C18" s="0" t="s">
        <v>35</v>
      </c>
      <c r="D18" s="5" t="n">
        <f aca="false">A96</f>
        <v>64</v>
      </c>
      <c r="E18" s="12" t="n">
        <f aca="false">E96</f>
        <v>48481.0636297415</v>
      </c>
      <c r="F18" s="3"/>
      <c r="G18" s="13" t="n">
        <v>3</v>
      </c>
      <c r="H18" s="0" t="n">
        <f aca="false">H17</f>
        <v>0</v>
      </c>
      <c r="I18" s="4" t="n">
        <f aca="false">G96</f>
        <v>2062.66101675734</v>
      </c>
      <c r="J18" s="12"/>
      <c r="K18" s="7"/>
      <c r="Q18" s="11" t="n">
        <f aca="false">B96</f>
        <v>0.4863</v>
      </c>
    </row>
    <row collapsed="false" customFormat="false" customHeight="false" hidden="false" ht="12.9" outlineLevel="0" r="19">
      <c r="A19" s="0" t="s">
        <v>38</v>
      </c>
      <c r="C19" s="5"/>
      <c r="D19" s="6"/>
      <c r="E19" s="6"/>
      <c r="F19" s="5"/>
      <c r="H19" s="22"/>
      <c r="I19" s="22"/>
      <c r="J19" s="23"/>
      <c r="N19" s="8"/>
      <c r="O19" s="8"/>
      <c r="P19" s="11"/>
      <c r="Q19" s="10"/>
      <c r="R19" s="5"/>
      <c r="S19" s="5"/>
    </row>
    <row collapsed="false" customFormat="true" customHeight="false" hidden="false" ht="12.9" outlineLevel="0" r="20" s="13">
      <c r="B20" s="19"/>
    </row>
    <row collapsed="false" customFormat="true" customHeight="false" hidden="false" ht="12.9" outlineLevel="0" r="21" s="13">
      <c r="A21" s="13" t="s">
        <v>39</v>
      </c>
      <c r="B21" s="19"/>
    </row>
    <row collapsed="false" customFormat="true" customHeight="false" hidden="false" ht="93.15" outlineLevel="0" r="22" s="15">
      <c r="A22" s="13" t="s">
        <v>40</v>
      </c>
      <c r="B22" s="14" t="s">
        <v>15</v>
      </c>
      <c r="C22" s="15" t="s">
        <v>16</v>
      </c>
      <c r="D22" s="15" t="s">
        <v>42</v>
      </c>
      <c r="E22" s="15" t="s">
        <v>182</v>
      </c>
      <c r="F22" s="14" t="s">
        <v>15</v>
      </c>
      <c r="G22" s="15" t="s">
        <v>16</v>
      </c>
      <c r="H22" s="15" t="s">
        <v>42</v>
      </c>
      <c r="I22" s="15" t="s">
        <v>208</v>
      </c>
      <c r="J22" s="14" t="s">
        <v>15</v>
      </c>
      <c r="K22" s="15" t="s">
        <v>16</v>
      </c>
      <c r="L22" s="15" t="s">
        <v>42</v>
      </c>
      <c r="M22" s="14" t="s">
        <v>15</v>
      </c>
      <c r="N22" s="15" t="s">
        <v>16</v>
      </c>
      <c r="O22" s="15" t="s">
        <v>43</v>
      </c>
      <c r="P22" s="15" t="s">
        <v>44</v>
      </c>
      <c r="Q22" s="15" t="s">
        <v>45</v>
      </c>
    </row>
    <row collapsed="false" customFormat="true" customHeight="false" hidden="false" ht="12.9" outlineLevel="0" r="23" s="13">
      <c r="A23" s="13" t="n">
        <v>2026</v>
      </c>
      <c r="B23" s="46" t="n">
        <f aca="false">49355.0055</f>
        <v>49355.0055</v>
      </c>
      <c r="C23" s="46" t="n">
        <f aca="false">0.002</f>
        <v>0.002</v>
      </c>
      <c r="D23" s="13" t="n">
        <f aca="false">A99</f>
        <v>0</v>
      </c>
      <c r="E23" s="46" t="n">
        <f aca="false">B23*(1+0.000000037)</f>
        <v>49355.0073261352</v>
      </c>
      <c r="F23" s="45" t="n">
        <f aca="false">49355.002</f>
        <v>49355.002</v>
      </c>
      <c r="G23" s="45" t="n">
        <f aca="false">0.002</f>
        <v>0.002</v>
      </c>
      <c r="H23" s="45" t="n">
        <f aca="false">A104</f>
        <v>0</v>
      </c>
      <c r="I23" s="46" t="n">
        <f aca="false">F23*(1+0.000000106)</f>
        <v>49355.0072316302</v>
      </c>
      <c r="J23" s="46" t="n">
        <f aca="false">49355.0047</f>
        <v>49355.0047</v>
      </c>
      <c r="K23" s="46" t="n">
        <f aca="false">0.0009</f>
        <v>0.0009</v>
      </c>
      <c r="L23" s="45" t="n">
        <f aca="false">A107</f>
        <v>0</v>
      </c>
      <c r="M23" s="18" t="n">
        <f aca="false">(E23/C23/C23+I23/G23/G23+J23/K23/K23)/(1/C23/C23+1/G23/G23+1/K23/K23)</f>
        <v>49355.005443379</v>
      </c>
      <c r="N23" s="18" t="n">
        <f aca="false">SQRT(1/(1/C23/C23+1/G23/G23+1/K23/K23))</f>
        <v>0.000759284173097276</v>
      </c>
      <c r="O23" s="13" t="s">
        <v>183</v>
      </c>
      <c r="P23" s="16" t="n">
        <f aca="false">100000000/M23</f>
        <v>2026.13694602307</v>
      </c>
      <c r="Q23" s="16" t="n">
        <f aca="false">N23/M23*P23</f>
        <v>3.11703686753285E-005</v>
      </c>
    </row>
    <row collapsed="false" customFormat="true" customHeight="false" hidden="false" ht="12.9" outlineLevel="0" r="24" s="13">
      <c r="A24" s="13" t="n">
        <v>2062</v>
      </c>
      <c r="B24" s="46" t="n">
        <f aca="false">48481.0809</f>
        <v>48481.0809</v>
      </c>
      <c r="C24" s="46" t="n">
        <f aca="false">0.002</f>
        <v>0.002</v>
      </c>
      <c r="D24" s="13" t="n">
        <f aca="false">D23</f>
        <v>0</v>
      </c>
      <c r="E24" s="46" t="n">
        <f aca="false">B24*(1+0.000000037)</f>
        <v>48481.0826938</v>
      </c>
      <c r="F24" s="45" t="n">
        <f aca="false">48481.077</f>
        <v>48481.077</v>
      </c>
      <c r="G24" s="45" t="n">
        <f aca="false">0.002</f>
        <v>0.002</v>
      </c>
      <c r="H24" s="45" t="n">
        <f aca="false">H23</f>
        <v>0</v>
      </c>
      <c r="I24" s="46" t="n">
        <f aca="false">F24*(1+0.000000106)</f>
        <v>48481.0821389942</v>
      </c>
      <c r="J24" s="46" t="n">
        <f aca="false">48481.08</f>
        <v>48481.08</v>
      </c>
      <c r="K24" s="46" t="n">
        <f aca="false">0.0009</f>
        <v>0.0009</v>
      </c>
      <c r="L24" s="45" t="n">
        <f aca="false">L23</f>
        <v>0</v>
      </c>
      <c r="M24" s="18" t="n">
        <f aca="false">(E24/C24/C24+I24/G24/G24+J24/K24/K24)/(1/C24/C24+1/G24/G24+1/K24/K24)</f>
        <v>48481.0806965415</v>
      </c>
      <c r="N24" s="18" t="n">
        <f aca="false">SQRT(1/(1/C24/C24+1/G24/G24+1/K24/K24))</f>
        <v>0.000759284173097276</v>
      </c>
      <c r="O24" s="13" t="s">
        <v>183</v>
      </c>
      <c r="P24" s="16" t="n">
        <f aca="false">100000000/M24</f>
        <v>2062.66029063856</v>
      </c>
      <c r="Q24" s="16" t="n">
        <f aca="false">N24/M24*P24</f>
        <v>3.23042574682089E-005</v>
      </c>
    </row>
    <row collapsed="false" customFormat="true" customHeight="false" hidden="false" ht="12.9" outlineLevel="0" r="25" s="13">
      <c r="B25" s="46"/>
      <c r="C25" s="46"/>
      <c r="D25" s="46"/>
      <c r="M25" s="18"/>
      <c r="N25" s="18"/>
    </row>
    <row collapsed="false" customFormat="true" customHeight="false" hidden="false" ht="12.9" outlineLevel="0" r="26" s="13">
      <c r="A26" s="13" t="s">
        <v>71</v>
      </c>
      <c r="B26" s="19"/>
      <c r="M26" s="18"/>
      <c r="N26" s="18"/>
    </row>
    <row collapsed="false" customFormat="true" customHeight="true" hidden="false" ht="25" outlineLevel="0" r="27" s="13">
      <c r="B27" s="19"/>
      <c r="C27" s="48" t="s">
        <v>296</v>
      </c>
      <c r="D27" s="48"/>
      <c r="E27" s="48"/>
      <c r="F27" s="48"/>
      <c r="G27" s="48"/>
      <c r="H27" s="48"/>
      <c r="M27" s="18"/>
      <c r="N27" s="18"/>
    </row>
    <row collapsed="false" customFormat="true" customHeight="false" hidden="false" ht="47.7" outlineLevel="0" r="28" s="15">
      <c r="A28" s="15" t="s">
        <v>72</v>
      </c>
      <c r="B28" s="15" t="s">
        <v>73</v>
      </c>
      <c r="C28" s="15" t="s">
        <v>147</v>
      </c>
      <c r="D28" s="15" t="s">
        <v>148</v>
      </c>
      <c r="E28" s="15" t="s">
        <v>297</v>
      </c>
      <c r="F28" s="15" t="s">
        <v>149</v>
      </c>
      <c r="G28" s="15" t="s">
        <v>298</v>
      </c>
      <c r="H28" s="15" t="s">
        <v>299</v>
      </c>
      <c r="I28" s="25" t="s">
        <v>74</v>
      </c>
      <c r="J28" s="15" t="s">
        <v>75</v>
      </c>
      <c r="K28" s="15" t="s">
        <v>76</v>
      </c>
      <c r="L28" s="15" t="s">
        <v>15</v>
      </c>
      <c r="M28" s="15" t="s">
        <v>16</v>
      </c>
      <c r="N28" s="15" t="s">
        <v>44</v>
      </c>
      <c r="O28" s="15" t="s">
        <v>45</v>
      </c>
      <c r="U28" s="13"/>
    </row>
    <row collapsed="false" customFormat="true" customHeight="false" hidden="false" ht="12.9" outlineLevel="0" r="29" s="26">
      <c r="A29" s="0" t="n">
        <v>2026</v>
      </c>
      <c r="B29" s="11"/>
      <c r="C29" s="61" t="n">
        <f aca="false">-M23*299792458/10000000/1823</f>
        <v>-811.643356910256</v>
      </c>
      <c r="D29" s="61" t="n">
        <v>-1365</v>
      </c>
      <c r="E29" s="61" t="n">
        <v>20</v>
      </c>
      <c r="F29" s="61" t="n">
        <f aca="false">SUM(C29:D29)</f>
        <v>-2176.64335691026</v>
      </c>
      <c r="G29" s="13"/>
      <c r="H29" s="13"/>
      <c r="I29" s="13"/>
      <c r="J29" s="13"/>
      <c r="K29" s="28"/>
      <c r="L29" s="12" t="n">
        <f aca="false">M23</f>
        <v>49355.005443379</v>
      </c>
      <c r="M29" s="12" t="n">
        <f aca="false">N23</f>
        <v>0.000759284173097276</v>
      </c>
      <c r="N29" s="4" t="n">
        <f aca="false">100000000/L29</f>
        <v>2026.13694602307</v>
      </c>
      <c r="O29" s="4" t="n">
        <f aca="false">M29/L29*N29</f>
        <v>3.11703686753285E-005</v>
      </c>
      <c r="P29" s="30"/>
      <c r="Q29" s="30"/>
      <c r="R29" s="30"/>
      <c r="S29" s="30"/>
      <c r="T29" s="30"/>
    </row>
    <row collapsed="false" customFormat="true" customHeight="false" hidden="false" ht="12.9" outlineLevel="0" r="30" s="26">
      <c r="A30" s="0" t="n">
        <v>70</v>
      </c>
      <c r="B30" s="11" t="n">
        <f aca="false">0.0062</f>
        <v>0.0062</v>
      </c>
      <c r="C30" s="61"/>
      <c r="D30" s="61"/>
      <c r="E30" s="61"/>
      <c r="F30" s="61"/>
      <c r="G30" s="61" t="n">
        <f aca="false">G31-350</f>
        <v>-1000</v>
      </c>
      <c r="H30" s="61"/>
      <c r="I30" s="61" t="n">
        <f aca="false">568+I31</f>
        <v>1914</v>
      </c>
      <c r="J30" s="61" t="n">
        <f aca="false">SQRT(10*10+J31*J31)</f>
        <v>12.328828005938</v>
      </c>
      <c r="K30" s="28" t="str">
        <f aca="false">A105</f>
        <v>Matsubara:2003:209</v>
      </c>
      <c r="L30" s="4" t="n">
        <f aca="false">$L$34+10000/299792458*I30</f>
        <v>49355.0526754961</v>
      </c>
      <c r="M30" s="0"/>
      <c r="N30" s="6" t="n">
        <f aca="false">100000000/L30</f>
        <v>2026.13500703745</v>
      </c>
      <c r="O30" s="0"/>
      <c r="P30" s="30"/>
      <c r="Q30" s="30"/>
      <c r="R30" s="30"/>
      <c r="S30" s="30"/>
      <c r="T30" s="30"/>
    </row>
    <row collapsed="false" customFormat="true" customHeight="false" hidden="false" ht="12.9" outlineLevel="0" r="31" s="26">
      <c r="A31" s="0" t="n">
        <v>68</v>
      </c>
      <c r="B31" s="11" t="n">
        <f aca="false">0.1875</f>
        <v>0.1875</v>
      </c>
      <c r="C31" s="61"/>
      <c r="D31" s="61"/>
      <c r="E31" s="61"/>
      <c r="F31" s="61"/>
      <c r="G31" s="61" t="n">
        <f aca="false">G33-300</f>
        <v>-650</v>
      </c>
      <c r="H31" s="61"/>
      <c r="I31" s="61" t="n">
        <f aca="false">670+I33</f>
        <v>1346</v>
      </c>
      <c r="J31" s="61" t="n">
        <f aca="false">SQRT(4*4+J33*J33)</f>
        <v>7.21110255092798</v>
      </c>
      <c r="K31" s="28" t="str">
        <f aca="false">A105</f>
        <v>Matsubara:2003:209</v>
      </c>
      <c r="L31" s="4" t="n">
        <f aca="false">$L$34+10000/299792458*I31</f>
        <v>49355.0337290555</v>
      </c>
      <c r="M31" s="0"/>
      <c r="N31" s="6" t="n">
        <f aca="false">100000000/L31</f>
        <v>2026.1357848314</v>
      </c>
      <c r="O31" s="0"/>
      <c r="P31" s="30"/>
      <c r="Q31" s="30"/>
      <c r="R31" s="30"/>
      <c r="S31" s="30"/>
      <c r="T31" s="30"/>
    </row>
    <row collapsed="false" customFormat="true" customHeight="false" hidden="false" ht="12.9" outlineLevel="0" r="32" s="26">
      <c r="A32" s="0" t="n">
        <v>67</v>
      </c>
      <c r="B32" s="11" t="n">
        <f aca="false">0.041</f>
        <v>0.041</v>
      </c>
      <c r="C32" s="61"/>
      <c r="D32" s="61"/>
      <c r="E32" s="61"/>
      <c r="F32" s="61"/>
      <c r="G32" s="61" t="n">
        <f aca="false">-350*0.19</f>
        <v>-66.5</v>
      </c>
      <c r="H32" s="61" t="n">
        <f aca="false">350*0.09</f>
        <v>31.5</v>
      </c>
      <c r="I32" s="61" t="n">
        <f aca="false">I33+1000*F29*(1/A32-1/A33)+G32</f>
        <v>1101.73051942792</v>
      </c>
      <c r="J32" s="61" t="n">
        <f aca="false">SQRT(J33*J33+1000*E29*(1/A32-1/A33)*1000*E29*(1/A32-1/A33)+H32*H32)</f>
        <v>32.3837317919804</v>
      </c>
      <c r="K32" s="0" t="s">
        <v>300</v>
      </c>
      <c r="L32" s="4" t="n">
        <f aca="false">$L$34+10000/299792458*I32</f>
        <v>49355.0255811027</v>
      </c>
      <c r="M32" s="0"/>
      <c r="N32" s="6" t="n">
        <f aca="false">100000000/L32</f>
        <v>2026.13611932335</v>
      </c>
      <c r="O32" s="0"/>
      <c r="P32" s="30"/>
      <c r="Q32" s="30"/>
      <c r="R32" s="30"/>
      <c r="S32" s="30"/>
      <c r="T32" s="30"/>
    </row>
    <row collapsed="false" customFormat="true" customHeight="false" hidden="false" ht="12.9" outlineLevel="0" r="33" s="26">
      <c r="A33" s="0" t="n">
        <v>66</v>
      </c>
      <c r="B33" s="11" t="n">
        <f aca="false">0.279</f>
        <v>0.279</v>
      </c>
      <c r="C33" s="61"/>
      <c r="D33" s="61"/>
      <c r="E33" s="61"/>
      <c r="F33" s="61"/>
      <c r="G33" s="61" t="n">
        <v>-350</v>
      </c>
      <c r="H33" s="61"/>
      <c r="I33" s="61" t="n">
        <v>676</v>
      </c>
      <c r="J33" s="61" t="n">
        <v>6</v>
      </c>
      <c r="K33" s="28" t="str">
        <f aca="false">A105</f>
        <v>Matsubara:2003:209</v>
      </c>
      <c r="L33" s="4" t="n">
        <f aca="false">$L$34+10000/299792458*I33</f>
        <v>49355.0113802611</v>
      </c>
      <c r="M33" s="0"/>
      <c r="N33" s="6" t="n">
        <f aca="false">100000000/L33</f>
        <v>2026.13670230038</v>
      </c>
      <c r="O33" s="0"/>
      <c r="P33" s="30"/>
      <c r="Q33" s="30"/>
      <c r="R33" s="30"/>
      <c r="S33" s="30"/>
      <c r="T33" s="30"/>
    </row>
    <row collapsed="false" customFormat="true" customHeight="false" hidden="false" ht="12.9" outlineLevel="0" r="34" s="26">
      <c r="A34" s="0" t="n">
        <v>64</v>
      </c>
      <c r="B34" s="11" t="n">
        <f aca="false">0.4863</f>
        <v>0.4863</v>
      </c>
      <c r="C34" s="61"/>
      <c r="D34" s="61"/>
      <c r="E34" s="61"/>
      <c r="F34" s="61"/>
      <c r="G34" s="61"/>
      <c r="H34" s="61"/>
      <c r="I34" s="61" t="n">
        <v>0</v>
      </c>
      <c r="J34" s="61" t="n">
        <v>0</v>
      </c>
      <c r="K34" s="28"/>
      <c r="L34" s="4" t="n">
        <f aca="false">L29-10000/299792458*SUMPRODUCT(B30:B33,I30:I33)</f>
        <v>49354.9888313283</v>
      </c>
      <c r="M34" s="0"/>
      <c r="N34" s="6" t="n">
        <f aca="false">100000000/L34</f>
        <v>2026.13762798634</v>
      </c>
      <c r="O34" s="0"/>
      <c r="P34" s="30"/>
      <c r="Q34" s="30"/>
      <c r="R34" s="30"/>
      <c r="S34" s="30"/>
      <c r="T34" s="30"/>
    </row>
    <row collapsed="false" customFormat="true" customHeight="false" hidden="false" ht="12.9" outlineLevel="0" r="35" s="26">
      <c r="A35" s="0" t="n">
        <v>2062</v>
      </c>
      <c r="B35" s="11"/>
      <c r="C35" s="61" t="n">
        <f aca="false">-M24*299792458/10000000/1823</f>
        <v>-797.271659271121</v>
      </c>
      <c r="D35" s="61" t="n">
        <f aca="false">D29/(-1266)*-1310</f>
        <v>-1412.44075829384</v>
      </c>
      <c r="E35" s="61" t="n">
        <f aca="false">D29/(-1266)*69</f>
        <v>74.3957345971564</v>
      </c>
      <c r="F35" s="61" t="n">
        <f aca="false">SUM(C35:D35)</f>
        <v>-2209.71241756496</v>
      </c>
      <c r="G35" s="61"/>
      <c r="H35" s="61"/>
      <c r="I35" s="61"/>
      <c r="J35" s="61"/>
      <c r="K35" s="28"/>
      <c r="L35" s="12" t="n">
        <f aca="false">M24</f>
        <v>48481.0806965415</v>
      </c>
      <c r="M35" s="12" t="n">
        <f aca="false">N24</f>
        <v>0.000759284173097276</v>
      </c>
      <c r="N35" s="4" t="n">
        <f aca="false">100000000/L35</f>
        <v>2062.66029063856</v>
      </c>
      <c r="O35" s="4" t="n">
        <f aca="false">M35/L35*N35</f>
        <v>3.23042574682089E-005</v>
      </c>
      <c r="P35" s="30"/>
      <c r="Q35" s="30"/>
      <c r="R35" s="30"/>
      <c r="S35" s="30"/>
      <c r="T35" s="30"/>
    </row>
    <row collapsed="false" customFormat="true" customHeight="false" hidden="false" ht="12.9" outlineLevel="0" r="36" s="26">
      <c r="A36" s="0" t="n">
        <v>70</v>
      </c>
      <c r="B36" s="11" t="inlineStr">
        <f aca="false">B30</f>
        <is>
          <t/>
        </is>
      </c>
      <c r="C36" s="61"/>
      <c r="D36" s="61"/>
      <c r="E36" s="61"/>
      <c r="F36" s="61"/>
      <c r="G36" s="61" t="n">
        <f aca="false">G30</f>
        <v>-1000</v>
      </c>
      <c r="H36" s="61"/>
      <c r="I36" s="61" t="n">
        <f aca="false">1000*$F$35*(1/A36-1/$A$40)+G36</f>
        <v>1959.4362735245</v>
      </c>
      <c r="J36" s="61"/>
      <c r="K36" s="0" t="s">
        <v>301</v>
      </c>
      <c r="L36" s="4" t="n">
        <f aca="false">$L$40+10000/299792458*I36</f>
        <v>48481.1289895003</v>
      </c>
      <c r="M36" s="0"/>
      <c r="N36" s="6" t="n">
        <f aca="false">100000000/L36</f>
        <v>2062.6582359841</v>
      </c>
      <c r="O36" s="0"/>
      <c r="P36" s="30"/>
      <c r="Q36" s="30"/>
      <c r="R36" s="30"/>
      <c r="S36" s="30"/>
      <c r="T36" s="30"/>
    </row>
    <row collapsed="false" customFormat="true" customHeight="false" hidden="false" ht="12.9" outlineLevel="0" r="37" s="26">
      <c r="A37" s="0" t="n">
        <v>68</v>
      </c>
      <c r="B37" s="11" t="inlineStr">
        <f aca="false">B31</f>
        <is>
          <t/>
        </is>
      </c>
      <c r="C37" s="61"/>
      <c r="D37" s="61"/>
      <c r="E37" s="61"/>
      <c r="F37" s="61"/>
      <c r="G37" s="61" t="n">
        <f aca="false">G31</f>
        <v>-650</v>
      </c>
      <c r="H37" s="61"/>
      <c r="I37" s="61" t="n">
        <f aca="false">1000*$F$35*(1/A37-1/$A$40)+G37</f>
        <v>1380.98567790897</v>
      </c>
      <c r="J37" s="61"/>
      <c r="K37" s="0" t="s">
        <v>301</v>
      </c>
      <c r="L37" s="4" t="n">
        <f aca="false">$L$40+10000/299792458*I37</f>
        <v>48481.1096944653</v>
      </c>
      <c r="M37" s="0"/>
      <c r="N37" s="6" t="n">
        <f aca="false">100000000/L37</f>
        <v>2062.65905690307</v>
      </c>
      <c r="O37" s="0"/>
      <c r="P37" s="30"/>
      <c r="Q37" s="30"/>
      <c r="R37" s="30"/>
      <c r="S37" s="30"/>
      <c r="T37" s="30"/>
    </row>
    <row collapsed="false" customFormat="true" customHeight="false" hidden="false" ht="12.9" outlineLevel="0" r="38" s="26">
      <c r="A38" s="0" t="n">
        <v>67</v>
      </c>
      <c r="B38" s="11" t="inlineStr">
        <f aca="false">B32</f>
        <is>
          <t/>
        </is>
      </c>
      <c r="C38" s="61"/>
      <c r="D38" s="61"/>
      <c r="E38" s="61"/>
      <c r="F38" s="61"/>
      <c r="G38" s="61" t="n">
        <f aca="false">G32</f>
        <v>-66.5</v>
      </c>
      <c r="H38" s="61"/>
      <c r="I38" s="61" t="n">
        <f aca="false">I39+1000*$F$35*(1/A38-1/A39)+G38</f>
        <v>1129.47417273668</v>
      </c>
      <c r="J38" s="61"/>
      <c r="K38" s="0" t="s">
        <v>301</v>
      </c>
      <c r="L38" s="4" t="n">
        <f aca="false">$L$40+10000/299792458*I38</f>
        <v>48481.1013049445</v>
      </c>
      <c r="M38" s="0"/>
      <c r="N38" s="6" t="n">
        <f aca="false">100000000/L38</f>
        <v>2062.65941384052</v>
      </c>
      <c r="O38" s="0"/>
      <c r="P38" s="30"/>
      <c r="Q38" s="30"/>
      <c r="R38" s="30"/>
      <c r="S38" s="30"/>
      <c r="T38" s="30"/>
    </row>
    <row collapsed="false" customFormat="true" customHeight="false" hidden="false" ht="12.9" outlineLevel="0" r="39" s="26">
      <c r="A39" s="0" t="n">
        <v>66</v>
      </c>
      <c r="B39" s="11" t="inlineStr">
        <f aca="false">B33</f>
        <is>
          <t/>
        </is>
      </c>
      <c r="C39" s="61"/>
      <c r="D39" s="61"/>
      <c r="E39" s="61"/>
      <c r="F39" s="61"/>
      <c r="G39" s="61" t="n">
        <f aca="false">G33</f>
        <v>-350</v>
      </c>
      <c r="H39" s="61"/>
      <c r="I39" s="61" t="n">
        <f aca="false">1000*$F$35*(1/A39-1/$A$40)+G39</f>
        <v>696.265349225832</v>
      </c>
      <c r="J39" s="61"/>
      <c r="K39" s="0" t="s">
        <v>301</v>
      </c>
      <c r="L39" s="4" t="n">
        <f aca="false">$L$40+10000/299792458*I39</f>
        <v>48481.0868546536</v>
      </c>
      <c r="M39" s="0"/>
      <c r="N39" s="6" t="n">
        <f aca="false">100000000/L39</f>
        <v>2062.66002863756</v>
      </c>
      <c r="O39" s="0"/>
      <c r="P39" s="30"/>
      <c r="Q39" s="30"/>
      <c r="R39" s="30"/>
      <c r="S39" s="30"/>
      <c r="T39" s="30"/>
    </row>
    <row collapsed="false" customFormat="true" customHeight="false" hidden="false" ht="12.9" outlineLevel="0" r="40" s="26">
      <c r="A40" s="0" t="n">
        <v>64</v>
      </c>
      <c r="B40" s="11" t="inlineStr">
        <f aca="false">B34</f>
        <is>
          <t/>
        </is>
      </c>
      <c r="C40" s="61"/>
      <c r="D40" s="61"/>
      <c r="E40" s="61"/>
      <c r="F40" s="61"/>
      <c r="G40" s="61"/>
      <c r="H40" s="61"/>
      <c r="I40" s="61" t="n">
        <f aca="false">I34*653/632</f>
        <v>0</v>
      </c>
      <c r="J40" s="61"/>
      <c r="K40" s="63"/>
      <c r="L40" s="4" t="n">
        <f aca="false">L35-10000/299792458*SUMPRODUCT(B36:B39,I36:I39)</f>
        <v>48481.0636297415</v>
      </c>
      <c r="M40" s="0"/>
      <c r="N40" s="6" t="n">
        <f aca="false">100000000/L40</f>
        <v>2062.66101675734</v>
      </c>
      <c r="O40" s="0"/>
      <c r="P40" s="30"/>
    </row>
    <row collapsed="false" customFormat="true" customHeight="false" hidden="false" ht="12.9" outlineLevel="0" r="41" s="26">
      <c r="B41" s="51"/>
      <c r="C41" s="28"/>
      <c r="D41" s="30"/>
      <c r="E41" s="28"/>
      <c r="F41" s="31"/>
      <c r="G41" s="30"/>
      <c r="H41" s="30"/>
      <c r="I41" s="30"/>
      <c r="J41" s="30"/>
      <c r="K41" s="30"/>
      <c r="L41" s="30"/>
    </row>
    <row collapsed="false" customFormat="false" customHeight="false" hidden="false" ht="12.9" outlineLevel="0" r="42">
      <c r="A42" s="0" t="s">
        <v>79</v>
      </c>
      <c r="B42" s="8"/>
      <c r="C42" s="8"/>
    </row>
    <row collapsed="false" customFormat="false" customHeight="false" hidden="false" ht="12.9" outlineLevel="0" r="43">
      <c r="B43" s="8"/>
      <c r="C43" s="8"/>
    </row>
    <row collapsed="false" customFormat="false" customHeight="false" hidden="false" ht="12.9" outlineLevel="0" r="44">
      <c r="A44" s="0" t="s">
        <v>80</v>
      </c>
    </row>
    <row collapsed="false" customFormat="false" customHeight="false" hidden="false" ht="12.9" outlineLevel="0" r="45">
      <c r="A45" s="0" t="s">
        <v>81</v>
      </c>
      <c r="B45" s="0" t="s">
        <v>82</v>
      </c>
      <c r="C45" s="0" t="s">
        <v>76</v>
      </c>
    </row>
    <row collapsed="false" customFormat="false" customHeight="false" hidden="false" ht="12.9" outlineLevel="0" r="46">
      <c r="A46" s="0" t="s">
        <v>302</v>
      </c>
      <c r="B46" s="8" t="n">
        <v>2339.58</v>
      </c>
      <c r="C46" s="0" t="s">
        <v>303</v>
      </c>
    </row>
    <row collapsed="false" customFormat="false" customHeight="false" hidden="false" ht="12.9" outlineLevel="0" r="47">
      <c r="A47" s="0" t="s">
        <v>304</v>
      </c>
      <c r="B47" s="8" t="n">
        <v>526.68</v>
      </c>
      <c r="C47" s="0" t="s">
        <v>305</v>
      </c>
    </row>
    <row collapsed="false" customFormat="false" customHeight="false" hidden="false" ht="12.9" outlineLevel="0" r="48">
      <c r="A48" s="0" t="s">
        <v>306</v>
      </c>
      <c r="B48" s="8" t="n">
        <v>50.74</v>
      </c>
      <c r="C48" s="0" t="s">
        <v>305</v>
      </c>
    </row>
    <row collapsed="false" customFormat="false" customHeight="false" hidden="false" ht="12.9" outlineLevel="0" r="49">
      <c r="A49" s="0" t="s">
        <v>306</v>
      </c>
      <c r="B49" s="8" t="n">
        <v>61.74</v>
      </c>
      <c r="C49" s="0" t="s">
        <v>307</v>
      </c>
    </row>
    <row collapsed="false" customFormat="false" customHeight="false" hidden="false" ht="12.9" outlineLevel="0" r="51">
      <c r="A51" s="0" t="s">
        <v>91</v>
      </c>
    </row>
    <row collapsed="false" customFormat="false" customHeight="false" hidden="false" ht="12.9" outlineLevel="0" r="52">
      <c r="A52" s="0" t="s">
        <v>92</v>
      </c>
      <c r="B52" s="0" t="s">
        <v>93</v>
      </c>
      <c r="C52" s="0" t="s">
        <v>94</v>
      </c>
      <c r="D52" s="0" t="s">
        <v>95</v>
      </c>
      <c r="E52" s="0" t="s">
        <v>96</v>
      </c>
      <c r="F52" s="0" t="s">
        <v>97</v>
      </c>
      <c r="G52" s="0" t="s">
        <v>99</v>
      </c>
      <c r="H52" s="0" t="s">
        <v>101</v>
      </c>
    </row>
    <row collapsed="false" customFormat="false" customHeight="false" hidden="false" ht="12.9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7" t="n">
        <f aca="false">(3*D53*(D53+1)-4*C53*(C53+1)*A53*(A53+1))/(2*C53*(2*C53-1)*2*A53*(2*A53-1))</f>
        <v>0.5</v>
      </c>
      <c r="F53" s="9" t="n">
        <f aca="false">B48*D53/2</f>
        <v>190.275</v>
      </c>
      <c r="G53" s="9" t="n">
        <f aca="false">B49*E53/2</f>
        <v>15.435</v>
      </c>
      <c r="H53" s="9" t="n">
        <f aca="false">F53+G53</f>
        <v>205.71</v>
      </c>
    </row>
    <row collapsed="false" customFormat="false" customHeight="false" hidden="false" ht="12.9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7" t="n">
        <f aca="false">(3*D54*(D54+1)-4*C54*(C54+1)*A54*(A54+1))/(2*C54*(2*C54-1)*2*A54*(2*A54-1))</f>
        <v>-1.1</v>
      </c>
      <c r="F54" s="9" t="n">
        <f aca="false">B48*D54/2</f>
        <v>-12.685</v>
      </c>
      <c r="G54" s="9" t="n">
        <f aca="false">B49*E54/2</f>
        <v>-33.957</v>
      </c>
      <c r="H54" s="9" t="n">
        <f aca="false">F54+G54</f>
        <v>-46.642</v>
      </c>
    </row>
    <row collapsed="false" customFormat="false" customHeight="false" hidden="false" ht="12.9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7" t="n">
        <f aca="false">(3*D55*(D55+1)-4*C55*(C55+1)*A55*(A55+1))/(2*C55*(2*C55-1)*2*A55*(2*A55-1))</f>
        <v>-0.2</v>
      </c>
      <c r="F55" s="9" t="n">
        <f aca="false">B48*D55/2</f>
        <v>-164.905</v>
      </c>
      <c r="G55" s="9" t="n">
        <f aca="false">B49*E55/2</f>
        <v>-6.174</v>
      </c>
      <c r="H55" s="9" t="n">
        <f aca="false">F55+G55</f>
        <v>-171.079</v>
      </c>
    </row>
    <row collapsed="false" customFormat="false" customHeight="false" hidden="false" ht="12.9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7" t="n">
        <f aca="false">(3*D56*(D56+1)-4*C56*(C56+1)*A56*(A56+1))/(2*C56*(2*C56-1)*2*A56*(2*A56-1))</f>
        <v>1.4</v>
      </c>
      <c r="F56" s="9" t="n">
        <f aca="false">B48*D56/2</f>
        <v>-266.385</v>
      </c>
      <c r="G56" s="9" t="n">
        <f aca="false">B49*E56/2</f>
        <v>43.218</v>
      </c>
      <c r="H56" s="9" t="n">
        <f aca="false">F56+G56</f>
        <v>-223.167</v>
      </c>
    </row>
    <row collapsed="false" customFormat="false" customHeight="false" hidden="false" ht="12.9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7" t="n">
        <f aca="false">0</f>
        <v>0</v>
      </c>
      <c r="F57" s="9" t="n">
        <f aca="false">B47*D57/2</f>
        <v>658.35</v>
      </c>
      <c r="G57" s="9" t="n">
        <f aca="false">0</f>
        <v>0</v>
      </c>
      <c r="H57" s="9" t="n">
        <f aca="false">F57+G57</f>
        <v>658.35</v>
      </c>
    </row>
    <row collapsed="false" customFormat="false" customHeight="false" hidden="false" ht="12.9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7" t="n">
        <f aca="false">0</f>
        <v>0</v>
      </c>
      <c r="F58" s="9" t="n">
        <f aca="false">B47*D58/2</f>
        <v>-921.69</v>
      </c>
      <c r="G58" s="9" t="n">
        <f aca="false">0</f>
        <v>0</v>
      </c>
      <c r="H58" s="9" t="n">
        <f aca="false">F58+G58</f>
        <v>-921.69</v>
      </c>
    </row>
    <row collapsed="false" customFormat="false" customHeight="false" hidden="false" ht="12.9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7" t="n">
        <f aca="false">0</f>
        <v>0</v>
      </c>
      <c r="F59" s="9" t="n">
        <f aca="false">B46*D59/2</f>
        <v>2924.475</v>
      </c>
      <c r="G59" s="9" t="n">
        <f aca="false">0</f>
        <v>0</v>
      </c>
      <c r="H59" s="9" t="n">
        <f aca="false">F59+G59</f>
        <v>2924.475</v>
      </c>
    </row>
    <row collapsed="false" customFormat="false" customHeight="false" hidden="false" ht="12.9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7" t="n">
        <f aca="false">0</f>
        <v>0</v>
      </c>
      <c r="F60" s="9" t="n">
        <f aca="false">B46*D60/2</f>
        <v>-4094.265</v>
      </c>
      <c r="G60" s="9" t="n">
        <f aca="false">0</f>
        <v>0</v>
      </c>
      <c r="H60" s="9" t="n">
        <f aca="false">F60+G60</f>
        <v>-4094.265</v>
      </c>
    </row>
    <row collapsed="false" customFormat="false" customHeight="false" hidden="false" ht="12.9" outlineLevel="0" r="62">
      <c r="A62" s="0" t="s">
        <v>308</v>
      </c>
    </row>
    <row collapsed="false" customFormat="false" customHeight="false" hidden="false" ht="12.9" outlineLevel="0" r="63">
      <c r="A63" s="0" t="s">
        <v>104</v>
      </c>
      <c r="B63" s="0" t="s">
        <v>105</v>
      </c>
      <c r="C63" s="34" t="s">
        <v>146</v>
      </c>
      <c r="D63" s="0" t="s">
        <v>309</v>
      </c>
      <c r="E63" s="0" t="s">
        <v>111</v>
      </c>
      <c r="F63" s="0" t="s">
        <v>112</v>
      </c>
      <c r="G63" s="0" t="s">
        <v>309</v>
      </c>
      <c r="H63" s="0" t="s">
        <v>113</v>
      </c>
    </row>
    <row collapsed="false" customFormat="false" customHeight="false" hidden="false" ht="12.9" outlineLevel="0" r="64">
      <c r="A64" s="0" t="n">
        <f aca="false">2</f>
        <v>2</v>
      </c>
      <c r="B64" s="0" t="n">
        <v>4</v>
      </c>
      <c r="C64" s="35" t="n">
        <f aca="false">I32+H53-H60</f>
        <v>5401.70551942792</v>
      </c>
      <c r="D64" s="12" t="n">
        <f aca="false">C64*10000/299792458</f>
        <v>0.180181501411484</v>
      </c>
      <c r="E64" s="0" t="s">
        <v>114</v>
      </c>
      <c r="G64" s="4"/>
      <c r="H64" s="8"/>
    </row>
    <row collapsed="false" customFormat="false" customHeight="false" hidden="false" ht="12.9" outlineLevel="0" r="65">
      <c r="A65" s="0" t="n">
        <f aca="false">2</f>
        <v>2</v>
      </c>
      <c r="B65" s="0" t="n">
        <v>3</v>
      </c>
      <c r="C65" s="35" t="n">
        <f aca="false">I32+H54-H60</f>
        <v>5149.35351942792</v>
      </c>
      <c r="D65" s="12" t="n">
        <f aca="false">C65*10000/299792458</f>
        <v>0.171763944756339</v>
      </c>
      <c r="F65" s="0" t="n">
        <f aca="false">2*B65+1</f>
        <v>7</v>
      </c>
      <c r="G65" s="39" t="n">
        <f aca="false">SUMPRODUCT(D65:D67,F65:F67)/SUM(F65:F67)</f>
        <v>0.16920270620777</v>
      </c>
      <c r="H65" s="67" t="n">
        <f aca="false">2*A65+1</f>
        <v>5</v>
      </c>
    </row>
    <row collapsed="false" customFormat="false" customHeight="false" hidden="false" ht="12.9" outlineLevel="0" r="66">
      <c r="A66" s="0" t="n">
        <f aca="false">2</f>
        <v>2</v>
      </c>
      <c r="B66" s="0" t="n">
        <v>2</v>
      </c>
      <c r="C66" s="35" t="n">
        <f aca="false">I32+H55-H60</f>
        <v>5024.91651942792</v>
      </c>
      <c r="D66" s="12" t="n">
        <f aca="false">C66*10000/299792458</f>
        <v>0.167613173224922</v>
      </c>
      <c r="F66" s="0" t="n">
        <f aca="false">2*B66+1</f>
        <v>5</v>
      </c>
      <c r="G66" s="39"/>
      <c r="H66" s="67"/>
    </row>
    <row collapsed="false" customFormat="false" customHeight="false" hidden="false" ht="12.9" outlineLevel="0" r="67">
      <c r="A67" s="0" t="n">
        <f aca="false">2</f>
        <v>2</v>
      </c>
      <c r="B67" s="0" t="n">
        <v>1</v>
      </c>
      <c r="C67" s="35" t="n">
        <f aca="false">I32+H56-H60</f>
        <v>4972.82851942792</v>
      </c>
      <c r="D67" s="12" t="n">
        <f aca="false">C67*10000/299792458</f>
        <v>0.165875704565854</v>
      </c>
      <c r="F67" s="0" t="n">
        <f aca="false">2*B67+1</f>
        <v>3</v>
      </c>
      <c r="G67" s="39"/>
      <c r="H67" s="67"/>
    </row>
    <row collapsed="false" customFormat="false" customHeight="false" hidden="false" ht="12.9" outlineLevel="0" r="68">
      <c r="A68" s="0" t="n">
        <f aca="false">3</f>
        <v>3</v>
      </c>
      <c r="B68" s="0" t="n">
        <v>4</v>
      </c>
      <c r="C68" s="35" t="n">
        <f aca="false">I32+H53-H59</f>
        <v>-1617.03448057208</v>
      </c>
      <c r="D68" s="12" t="n">
        <f aca="false">C68*10000/299792458</f>
        <v>-0.053938464341624</v>
      </c>
      <c r="F68" s="0" t="n">
        <f aca="false">2*B68+1</f>
        <v>9</v>
      </c>
      <c r="G68" s="39" t="n">
        <f aca="false">SUMPRODUCT(D68:D70,F68:F70)/SUM(F68:F70)</f>
        <v>-0.0597367756520439</v>
      </c>
      <c r="H68" s="67" t="n">
        <f aca="false">2*A68+1</f>
        <v>7</v>
      </c>
    </row>
    <row collapsed="false" customFormat="false" customHeight="false" hidden="false" ht="12.9" outlineLevel="0" r="69">
      <c r="A69" s="0" t="n">
        <f aca="false">3</f>
        <v>3</v>
      </c>
      <c r="B69" s="0" t="n">
        <v>3</v>
      </c>
      <c r="C69" s="35" t="n">
        <f aca="false">I32+H54-H59</f>
        <v>-1869.38648057208</v>
      </c>
      <c r="D69" s="12" t="n">
        <f aca="false">C69*10000/299792458</f>
        <v>-0.0623560209967684</v>
      </c>
      <c r="F69" s="0" t="n">
        <f aca="false">2*B69+1</f>
        <v>7</v>
      </c>
      <c r="G69" s="39"/>
      <c r="H69" s="67"/>
    </row>
    <row collapsed="false" customFormat="false" customHeight="false" hidden="false" ht="12.9" outlineLevel="0" r="70">
      <c r="A70" s="0" t="n">
        <f aca="false">3</f>
        <v>3</v>
      </c>
      <c r="B70" s="0" t="n">
        <v>2</v>
      </c>
      <c r="C70" s="35" t="n">
        <f aca="false">I32+H55-H59</f>
        <v>-1993.82348057208</v>
      </c>
      <c r="D70" s="12" t="n">
        <f aca="false">C70*10000/299792458</f>
        <v>-0.0665067925281856</v>
      </c>
      <c r="F70" s="0" t="n">
        <f aca="false">2*B70+1</f>
        <v>5</v>
      </c>
      <c r="G70" s="39"/>
      <c r="H70" s="67"/>
    </row>
    <row collapsed="false" customFormat="false" customHeight="false" hidden="false" ht="12.9" outlineLevel="0" r="71">
      <c r="A71" s="0" t="n">
        <f aca="false">3</f>
        <v>3</v>
      </c>
      <c r="B71" s="0" t="n">
        <v>1</v>
      </c>
      <c r="C71" s="35" t="n">
        <f aca="false">I32+H56-H59</f>
        <v>-2045.91148057208</v>
      </c>
      <c r="D71" s="12" t="n">
        <f aca="false">C71*10000/299792458</f>
        <v>-0.0682442611872537</v>
      </c>
      <c r="E71" s="0" t="s">
        <v>114</v>
      </c>
      <c r="G71" s="4"/>
      <c r="H71" s="8"/>
    </row>
    <row collapsed="false" customFormat="false" customHeight="false" hidden="false" ht="12.9" outlineLevel="0" r="72">
      <c r="C72" s="35"/>
      <c r="D72" s="12"/>
      <c r="G72" s="4"/>
      <c r="H72" s="8"/>
    </row>
    <row collapsed="false" customFormat="true" customHeight="false" hidden="false" ht="47.7" outlineLevel="0" r="73" s="15">
      <c r="A73" s="15" t="s">
        <v>41</v>
      </c>
      <c r="B73" s="15" t="n">
        <f aca="false">$B$28</f>
        <v>0</v>
      </c>
      <c r="C73" s="68" t="s">
        <v>310</v>
      </c>
      <c r="D73" s="15" t="s">
        <v>311</v>
      </c>
      <c r="E73" s="41" t="s">
        <v>107</v>
      </c>
      <c r="F73" s="15" t="s">
        <v>116</v>
      </c>
      <c r="G73" s="15" t="s">
        <v>117</v>
      </c>
      <c r="H73" s="42" t="s">
        <v>118</v>
      </c>
    </row>
    <row collapsed="false" customFormat="false" customHeight="false" hidden="false" ht="12.9" outlineLevel="0" r="74">
      <c r="A74" s="0" t="s">
        <v>46</v>
      </c>
      <c r="E74" s="69" t="n">
        <f aca="false">M23</f>
        <v>49355.005443379</v>
      </c>
      <c r="F74" s="12" t="n">
        <f aca="false">N23</f>
        <v>0.000759284173097276</v>
      </c>
      <c r="G74" s="4" t="n">
        <f aca="false">100000000/E74</f>
        <v>2026.13694602307</v>
      </c>
      <c r="H74" s="4" t="n">
        <f aca="false">F74/E74*G74</f>
        <v>3.11703686753285E-005</v>
      </c>
    </row>
    <row collapsed="false" customFormat="false" customHeight="false" hidden="false" ht="12.9" outlineLevel="0" r="75">
      <c r="A75" s="0" t="n">
        <v>70</v>
      </c>
      <c r="B75" s="11" t="inlineStr">
        <f aca="false">B30</f>
        <is>
          <t/>
        </is>
      </c>
      <c r="C75" s="70" t="n">
        <f aca="false">I30*10000/299792458</f>
        <v>0.0638441678209263</v>
      </c>
      <c r="D75" s="12" t="n">
        <f aca="false">J30*10000/299792458</f>
        <v>0.000411245435865433</v>
      </c>
      <c r="E75" s="12" t="n">
        <f aca="false">E80+C75</f>
        <v>49355.0527203952</v>
      </c>
      <c r="F75" s="12" t="n">
        <f aca="false">SQRT(F74*F74+D75*D75)</f>
        <v>0.000863501745242107</v>
      </c>
      <c r="G75" s="4" t="n">
        <f aca="false">100000000/E75</f>
        <v>2026.13500519424</v>
      </c>
      <c r="H75" s="4" t="n">
        <f aca="false">F75/E75*G75</f>
        <v>3.54486727629078E-005</v>
      </c>
    </row>
    <row collapsed="false" customFormat="false" customHeight="false" hidden="false" ht="12.9" outlineLevel="0" r="76">
      <c r="A76" s="0" t="n">
        <v>68</v>
      </c>
      <c r="B76" s="11" t="inlineStr">
        <f aca="false">B31</f>
        <is>
          <t/>
        </is>
      </c>
      <c r="C76" s="70" t="n">
        <f aca="false">I31*10000/299792458</f>
        <v>0.0448977272136713</v>
      </c>
      <c r="D76" s="12" t="n">
        <f aca="false">J31*10000/299792458</f>
        <v>0.000240536489778138</v>
      </c>
      <c r="E76" s="12" t="n">
        <f aca="false">E80+C76</f>
        <v>49355.0337739546</v>
      </c>
      <c r="F76" s="12" t="n">
        <f aca="false">SQRT(F74*F74+D76*D76)</f>
        <v>0.000796473639507801</v>
      </c>
      <c r="G76" s="4" t="n">
        <f aca="false">100000000/E76</f>
        <v>2026.13578298819</v>
      </c>
      <c r="H76" s="4" t="n">
        <f aca="false">F76/E76*G76</f>
        <v>3.26970446136175E-005</v>
      </c>
    </row>
    <row collapsed="false" customFormat="false" customHeight="false" hidden="false" ht="12.9" outlineLevel="0" r="77">
      <c r="A77" s="0" t="n">
        <v>67</v>
      </c>
      <c r="B77" s="20" t="n">
        <f aca="false">B32*H65/SUM(H65:H68)</f>
        <v>0.0170833333333333</v>
      </c>
      <c r="C77" s="70" t="n">
        <f aca="false">G65</f>
        <v>0.16920270620777</v>
      </c>
      <c r="D77" s="12" t="n">
        <f aca="false">ABS(J32/I32*C77)</f>
        <v>0.00497346216673284</v>
      </c>
      <c r="E77" s="12" t="n">
        <f aca="false">E80+C77</f>
        <v>49355.1580789336</v>
      </c>
      <c r="F77" s="18" t="n">
        <f aca="false">SQRT(F74*F74+D77*D77)</f>
        <v>0.00503108719656487</v>
      </c>
      <c r="G77" s="4" t="n">
        <f aca="false">100000000/E77</f>
        <v>2026.13068000046</v>
      </c>
      <c r="H77" s="4" t="n">
        <f aca="false">F77/E77*G77</f>
        <v>0.000206536469935218</v>
      </c>
    </row>
    <row collapsed="false" customFormat="false" customHeight="false" hidden="false" ht="12.9" outlineLevel="0" r="78">
      <c r="A78" s="0" t="n">
        <v>67</v>
      </c>
      <c r="B78" s="11" t="n">
        <f aca="false">B32*H68/SUM(H65:H68)</f>
        <v>0.0239166666666667</v>
      </c>
      <c r="C78" s="70" t="n">
        <f aca="false">G68</f>
        <v>-0.0597367756520439</v>
      </c>
      <c r="D78" s="18" t="n">
        <f aca="false">ABS(J32/I32*C78)</f>
        <v>0.00175587377014662</v>
      </c>
      <c r="E78" s="12" t="n">
        <f aca="false">E80+C78</f>
        <v>49354.9291394517</v>
      </c>
      <c r="F78" s="18" t="n">
        <f aca="false">SQRT(F74*F74+D78*D78)</f>
        <v>0.00191300944906316</v>
      </c>
      <c r="G78" s="4" t="n">
        <f aca="false">100000000/E78</f>
        <v>2026.14007848033</v>
      </c>
      <c r="H78" s="4" t="n">
        <f aca="false">F78/E78*G78</f>
        <v>7.85336983122149E-005</v>
      </c>
    </row>
    <row collapsed="false" customFormat="false" customHeight="false" hidden="false" ht="12.9" outlineLevel="0" r="79">
      <c r="A79" s="0" t="n">
        <v>66</v>
      </c>
      <c r="B79" s="11" t="inlineStr">
        <f aca="false">B33</f>
        <is>
          <t/>
        </is>
      </c>
      <c r="C79" s="70" t="n">
        <f aca="false">I33*10000/299792458</f>
        <v>0.0225489328353951</v>
      </c>
      <c r="D79" s="12" t="n">
        <f aca="false">J33*10000/299792458</f>
        <v>0.000200138457118891</v>
      </c>
      <c r="E79" s="12" t="n">
        <f aca="false">E80+C79</f>
        <v>49355.0114251602</v>
      </c>
      <c r="F79" s="18" t="n">
        <f aca="false">SQRT(F74*F74+D79*D79)</f>
        <v>0.000785218350227467</v>
      </c>
      <c r="G79" s="4" t="n">
        <f aca="false">100000000/E79</f>
        <v>2026.13670045717</v>
      </c>
      <c r="H79" s="4" t="n">
        <f aca="false">F79/E79*G79</f>
        <v>3.22350187210627E-005</v>
      </c>
    </row>
    <row collapsed="false" customFormat="false" customHeight="false" hidden="false" ht="12.9" outlineLevel="0" r="80">
      <c r="A80" s="0" t="n">
        <v>64</v>
      </c>
      <c r="B80" s="11" t="inlineStr">
        <f aca="false">B34</f>
        <is>
          <t/>
        </is>
      </c>
      <c r="C80" s="70"/>
      <c r="D80" s="12"/>
      <c r="E80" s="12" t="n">
        <f aca="false">E74-SUMPRODUCT(B75:B79,C75:C79)</f>
        <v>49354.9888762274</v>
      </c>
      <c r="F80" s="18" t="n">
        <f aca="false">SQRT(F74*F74+D75*D75*B75+D76*D76*B76+D77*D77*B77+D78*D78*B78+D79*D79*B79)</f>
        <v>0.00104684474987198</v>
      </c>
      <c r="G80" s="4" t="n">
        <f aca="false">100000000/E80</f>
        <v>2026.13762614313</v>
      </c>
      <c r="H80" s="4" t="n">
        <f aca="false">F80/E80*G80</f>
        <v>4.29754232498196E-005</v>
      </c>
    </row>
    <row collapsed="false" customFormat="false" customHeight="false" hidden="false" ht="12.9" outlineLevel="0" r="81">
      <c r="B81" s="3"/>
      <c r="E81" s="12"/>
    </row>
    <row collapsed="false" customFormat="false" customHeight="false" hidden="false" ht="12.9" outlineLevel="0" r="82">
      <c r="A82" s="0" t="s">
        <v>312</v>
      </c>
    </row>
    <row collapsed="false" customFormat="false" customHeight="false" hidden="false" ht="12.9" outlineLevel="0" r="83">
      <c r="A83" s="0" t="s">
        <v>104</v>
      </c>
      <c r="B83" s="0" t="s">
        <v>105</v>
      </c>
      <c r="C83" s="0" t="s">
        <v>146</v>
      </c>
      <c r="D83" s="0" t="s">
        <v>309</v>
      </c>
      <c r="E83" s="0" t="s">
        <v>111</v>
      </c>
      <c r="F83" s="0" t="s">
        <v>112</v>
      </c>
      <c r="G83" s="0" t="s">
        <v>309</v>
      </c>
      <c r="H83" s="0" t="s">
        <v>113</v>
      </c>
    </row>
    <row collapsed="false" customFormat="false" customHeight="false" hidden="false" ht="12.9" outlineLevel="0" r="84">
      <c r="A84" s="0" t="n">
        <f aca="false">2</f>
        <v>2</v>
      </c>
      <c r="B84" s="0" t="n">
        <f aca="false">3</f>
        <v>3</v>
      </c>
      <c r="C84" s="35" t="n">
        <f aca="false">I38+H57-H60</f>
        <v>5882.08917273668</v>
      </c>
      <c r="D84" s="12" t="n">
        <f aca="false">C84*10000/299792458</f>
        <v>0.196205375277876</v>
      </c>
      <c r="F84" s="0" t="n">
        <f aca="false">2*B84+1</f>
        <v>7</v>
      </c>
      <c r="G84" s="40" t="n">
        <f aca="false">SUMPRODUCT(D84:D85,F84:F85)/SUM(F84:F85)</f>
        <v>0.174245183070505</v>
      </c>
      <c r="H84" s="36" t="n">
        <f aca="false">2*A84+1</f>
        <v>5</v>
      </c>
    </row>
    <row collapsed="false" customFormat="false" customHeight="false" hidden="false" ht="12.9" outlineLevel="0" r="85">
      <c r="A85" s="0" t="n">
        <f aca="false">2</f>
        <v>2</v>
      </c>
      <c r="B85" s="0" t="n">
        <f aca="false">2</f>
        <v>2</v>
      </c>
      <c r="C85" s="35" t="n">
        <f aca="false">I38+H58-H60</f>
        <v>4302.04917273668</v>
      </c>
      <c r="D85" s="12" t="n">
        <f aca="false">C85*10000/299792458</f>
        <v>0.143500913980187</v>
      </c>
      <c r="F85" s="0" t="n">
        <f aca="false">2*B85+1</f>
        <v>5</v>
      </c>
      <c r="G85" s="40"/>
      <c r="H85" s="40"/>
    </row>
    <row collapsed="false" customFormat="false" customHeight="false" hidden="false" ht="12.9" outlineLevel="0" r="86">
      <c r="A86" s="0" t="n">
        <f aca="false">3</f>
        <v>3</v>
      </c>
      <c r="B86" s="0" t="n">
        <f aca="false">3</f>
        <v>3</v>
      </c>
      <c r="C86" s="35" t="n">
        <f aca="false">I38+H57-H59</f>
        <v>-1136.65082726332</v>
      </c>
      <c r="D86" s="12" t="n">
        <f aca="false">C86*10000/299792458</f>
        <v>-0.037914590475232</v>
      </c>
      <c r="F86" s="0" t="n">
        <f aca="false">2*B86+1</f>
        <v>7</v>
      </c>
      <c r="G86" s="40" t="n">
        <f aca="false">SUMPRODUCT(D86:D87,F86:F87)/SUM(F86:F87)</f>
        <v>-0.0598747826826024</v>
      </c>
      <c r="H86" s="36" t="n">
        <f aca="false">2*A86+1</f>
        <v>7</v>
      </c>
    </row>
    <row collapsed="false" customFormat="false" customHeight="false" hidden="false" ht="12.9" outlineLevel="0" r="87">
      <c r="A87" s="0" t="n">
        <f aca="false">3</f>
        <v>3</v>
      </c>
      <c r="B87" s="0" t="n">
        <f aca="false">2</f>
        <v>2</v>
      </c>
      <c r="C87" s="35" t="n">
        <f aca="false">I38+H58-H59</f>
        <v>-2716.69082726332</v>
      </c>
      <c r="D87" s="12" t="n">
        <f aca="false">C87*10000/299792458</f>
        <v>-0.0906190517729209</v>
      </c>
      <c r="F87" s="0" t="n">
        <f aca="false">2*B87+1</f>
        <v>5</v>
      </c>
      <c r="G87" s="40"/>
      <c r="H87" s="40"/>
    </row>
    <row collapsed="false" customFormat="false" customHeight="false" hidden="false" ht="12.9" outlineLevel="0" r="88">
      <c r="E88" s="12"/>
    </row>
    <row collapsed="false" customFormat="false" customHeight="false" hidden="false" ht="47.7" outlineLevel="0" r="89">
      <c r="B89" s="15" t="n">
        <f aca="false">$B$28</f>
        <v>0</v>
      </c>
      <c r="C89" s="68" t="s">
        <v>310</v>
      </c>
      <c r="D89" s="15" t="s">
        <v>311</v>
      </c>
      <c r="E89" s="41" t="s">
        <v>107</v>
      </c>
      <c r="F89" s="15" t="s">
        <v>116</v>
      </c>
      <c r="G89" s="15" t="s">
        <v>117</v>
      </c>
      <c r="H89" s="42" t="s">
        <v>118</v>
      </c>
    </row>
    <row collapsed="false" customFormat="false" customHeight="false" hidden="false" ht="12.9" outlineLevel="0" r="90">
      <c r="A90" s="0" t="s">
        <v>46</v>
      </c>
      <c r="E90" s="69" t="n">
        <f aca="false">M24</f>
        <v>48481.0806965415</v>
      </c>
      <c r="F90" s="12" t="n">
        <f aca="false">N24</f>
        <v>0.000759284173097276</v>
      </c>
      <c r="G90" s="4" t="n">
        <f aca="false">100000000/E90</f>
        <v>2062.66029063856</v>
      </c>
      <c r="H90" s="4" t="n">
        <f aca="false">F90/E90*G90</f>
        <v>3.23042574682089E-005</v>
      </c>
    </row>
    <row collapsed="false" customFormat="false" customHeight="false" hidden="false" ht="12.9" outlineLevel="0" r="91">
      <c r="A91" s="0" t="n">
        <v>70</v>
      </c>
      <c r="B91" s="11" t="inlineStr">
        <f aca="false">B36</f>
        <is>
          <t/>
        </is>
      </c>
      <c r="C91" s="70" t="n">
        <f aca="false">I36*10000/299792458</f>
        <v>0.0653597587676639</v>
      </c>
      <c r="D91" s="70"/>
      <c r="E91" s="12" t="n">
        <f aca="false">E96+C91</f>
        <v>48481.1289895003</v>
      </c>
      <c r="F91" s="12"/>
      <c r="G91" s="4" t="n">
        <f aca="false">100000000/E91</f>
        <v>2062.6582359841</v>
      </c>
      <c r="H91" s="4"/>
    </row>
    <row collapsed="false" customFormat="false" customHeight="false" hidden="false" ht="12.9" outlineLevel="0" r="92">
      <c r="A92" s="0" t="n">
        <v>68</v>
      </c>
      <c r="B92" s="11" t="inlineStr">
        <f aca="false">B37</f>
        <is>
          <t/>
        </is>
      </c>
      <c r="C92" s="70" t="n">
        <f aca="false">I37*10000/299792458</f>
        <v>0.0460647238133312</v>
      </c>
      <c r="D92" s="70"/>
      <c r="E92" s="12" t="n">
        <f aca="false">E96+C92</f>
        <v>48481.1096944653</v>
      </c>
      <c r="F92" s="12"/>
      <c r="G92" s="4" t="n">
        <f aca="false">100000000/E92</f>
        <v>2062.65905690307</v>
      </c>
      <c r="H92" s="4"/>
    </row>
    <row collapsed="false" customFormat="false" customHeight="false" hidden="false" ht="12.9" outlineLevel="0" r="93">
      <c r="A93" s="0" t="n">
        <v>67</v>
      </c>
      <c r="B93" s="20" t="n">
        <f aca="false">B38*H84/SUM(H84:H87)</f>
        <v>0.0170833333333333</v>
      </c>
      <c r="C93" s="70" t="n">
        <f aca="false">G84</f>
        <v>0.174245183070505</v>
      </c>
      <c r="D93" s="4"/>
      <c r="E93" s="12" t="n">
        <f aca="false">E96+C93</f>
        <v>48481.2378749246</v>
      </c>
      <c r="F93" s="18"/>
      <c r="G93" s="4" t="n">
        <f aca="false">100000000/E93</f>
        <v>2062.65360339988</v>
      </c>
      <c r="H93" s="4"/>
    </row>
    <row collapsed="false" customFormat="false" customHeight="false" hidden="false" ht="12.9" outlineLevel="0" r="94">
      <c r="A94" s="0" t="n">
        <v>67</v>
      </c>
      <c r="B94" s="11" t="n">
        <f aca="false">B38*H86/SUM(H84:H87)</f>
        <v>0.0239166666666667</v>
      </c>
      <c r="C94" s="70" t="n">
        <f aca="false">G86</f>
        <v>-0.0598747826826024</v>
      </c>
      <c r="D94" s="16"/>
      <c r="E94" s="12" t="n">
        <f aca="false">E96+C94</f>
        <v>48481.0037549588</v>
      </c>
      <c r="F94" s="18"/>
      <c r="G94" s="4" t="n">
        <f aca="false">100000000/E94</f>
        <v>2062.66356417531</v>
      </c>
      <c r="H94" s="4"/>
    </row>
    <row collapsed="false" customFormat="false" customHeight="false" hidden="false" ht="12.9" outlineLevel="0" r="95">
      <c r="A95" s="0" t="n">
        <v>66</v>
      </c>
      <c r="B95" s="11" t="inlineStr">
        <f aca="false">B39</f>
        <is>
          <t/>
        </is>
      </c>
      <c r="C95" s="70" t="n">
        <f aca="false">I39*10000/299792458</f>
        <v>0.023224912123234</v>
      </c>
      <c r="D95" s="70"/>
      <c r="E95" s="12" t="n">
        <f aca="false">E96+C95</f>
        <v>48481.0868546536</v>
      </c>
      <c r="F95" s="18"/>
      <c r="G95" s="4" t="n">
        <f aca="false">100000000/E95</f>
        <v>2062.66002863756</v>
      </c>
      <c r="H95" s="4"/>
    </row>
    <row collapsed="false" customFormat="false" customHeight="false" hidden="false" ht="12.9" outlineLevel="0" r="96">
      <c r="A96" s="0" t="n">
        <v>64</v>
      </c>
      <c r="B96" s="11" t="inlineStr">
        <f aca="false">B40</f>
        <is>
          <t/>
        </is>
      </c>
      <c r="C96" s="70"/>
      <c r="D96" s="12"/>
      <c r="E96" s="12" t="n">
        <f aca="false">E90-SUMPRODUCT(B91:B95,C91:C95)</f>
        <v>48481.0636297415</v>
      </c>
      <c r="F96" s="18"/>
      <c r="G96" s="4" t="n">
        <f aca="false">100000000/E96</f>
        <v>2062.66101675734</v>
      </c>
      <c r="H96" s="4"/>
    </row>
    <row collapsed="false" customFormat="false" customHeight="false" hidden="false" ht="12.9" outlineLevel="0" r="97">
      <c r="B97" s="71"/>
      <c r="C97" s="70"/>
      <c r="D97" s="12"/>
      <c r="E97" s="4"/>
      <c r="F97" s="16"/>
      <c r="G97" s="6"/>
      <c r="H97" s="6"/>
    </row>
    <row collapsed="false" customFormat="true" customHeight="false" hidden="false" ht="12.9" outlineLevel="0" r="98" s="13">
      <c r="A98" s="13" t="s">
        <v>4</v>
      </c>
    </row>
    <row collapsed="false" customFormat="true" customHeight="false" hidden="false" ht="13.6" outlineLevel="0" r="99" s="13">
      <c r="A99" s="13" t="s">
        <v>191</v>
      </c>
      <c r="B99" s="1" t="s">
        <v>192</v>
      </c>
    </row>
    <row collapsed="false" customFormat="true" customHeight="false" hidden="false" ht="13.6" outlineLevel="0" r="100" s="26">
      <c r="A100" s="26" t="s">
        <v>162</v>
      </c>
      <c r="B100" s="54" t="s">
        <v>163</v>
      </c>
      <c r="C100" s="28"/>
      <c r="D100" s="28"/>
      <c r="E100" s="28"/>
      <c r="F100" s="28"/>
      <c r="G100" s="28"/>
      <c r="H100" s="30"/>
      <c r="I100" s="30"/>
      <c r="J100" s="30"/>
      <c r="K100" s="30"/>
    </row>
    <row collapsed="false" customFormat="true" customHeight="false" hidden="false" ht="13.6" outlineLevel="0" r="101" s="26">
      <c r="A101" s="26" t="s">
        <v>313</v>
      </c>
      <c r="B101" s="54" t="s">
        <v>314</v>
      </c>
      <c r="C101" s="28"/>
      <c r="D101" s="28"/>
      <c r="E101" s="28"/>
      <c r="F101" s="28"/>
      <c r="G101" s="28"/>
      <c r="H101" s="30"/>
      <c r="I101" s="30"/>
      <c r="J101" s="30"/>
      <c r="K101" s="30"/>
    </row>
    <row collapsed="false" customFormat="true" customHeight="false" hidden="false" ht="13.6" outlineLevel="0" r="102" s="26">
      <c r="A102" s="26" t="s">
        <v>315</v>
      </c>
      <c r="B102" s="54" t="s">
        <v>316</v>
      </c>
      <c r="C102" s="28"/>
      <c r="D102" s="28"/>
      <c r="E102" s="28"/>
      <c r="F102" s="28"/>
      <c r="G102" s="28"/>
      <c r="H102" s="30"/>
      <c r="I102" s="30"/>
      <c r="J102" s="30"/>
      <c r="K102" s="30"/>
    </row>
    <row collapsed="false" customFormat="true" customHeight="false" hidden="false" ht="13.6" outlineLevel="0" r="103" s="13">
      <c r="A103" s="13" t="s">
        <v>195</v>
      </c>
      <c r="B103" s="1" t="s">
        <v>196</v>
      </c>
    </row>
    <row collapsed="false" customFormat="true" customHeight="false" hidden="false" ht="13.6" outlineLevel="0" r="104" s="13">
      <c r="A104" s="0" t="s">
        <v>212</v>
      </c>
      <c r="B104" s="1" t="s">
        <v>213</v>
      </c>
    </row>
    <row collapsed="false" customFormat="true" customHeight="false" hidden="false" ht="13.6" outlineLevel="0" r="105" s="13">
      <c r="A105" s="0" t="s">
        <v>317</v>
      </c>
      <c r="B105" s="1" t="s">
        <v>318</v>
      </c>
    </row>
    <row collapsed="false" customFormat="false" customHeight="false" hidden="false" ht="13.6" outlineLevel="0" r="106">
      <c r="A106" s="13" t="s">
        <v>52</v>
      </c>
      <c r="B106" s="1" t="s">
        <v>53</v>
      </c>
    </row>
    <row collapsed="false" customFormat="true" customHeight="false" hidden="false" ht="13.6" outlineLevel="0" r="107" s="13">
      <c r="A107" s="13" t="s">
        <v>197</v>
      </c>
      <c r="B107" s="1" t="s">
        <v>198</v>
      </c>
    </row>
  </sheetData>
  <mergeCells count="9">
    <mergeCell ref="C27:H27"/>
    <mergeCell ref="G65:G67"/>
    <mergeCell ref="H65:H67"/>
    <mergeCell ref="G68:G70"/>
    <mergeCell ref="H68:H70"/>
    <mergeCell ref="G84:G85"/>
    <mergeCell ref="H84:H85"/>
    <mergeCell ref="G86:G87"/>
    <mergeCell ref="H86:H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12MNRAS.420.1570N" ref="B103" r:id="rId5"/>
    <hyperlink display="http://adsabs.harvard.edu/abs/2000MNRAS.319..163P" ref="B104" r:id="rId6"/>
    <hyperlink display="http://adsabs.harvard.edu/abs/2003ApPhB..76..209M" ref="B105" r:id="rId7"/>
    <hyperlink display="http://adsabs.harvard.edu/abs/1998JPCRD..27.1275R" ref="B106" r:id="rId8"/>
    <hyperlink display="http://adsabs.harvard.edu/abs/2010ApJ...725..424R" ref="B107" r:id="rId9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0" activeCellId="0" pane="topLeft" sqref="D10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9" outlineLevel="0" r="1">
      <c r="A1" s="0" t="s">
        <v>9</v>
      </c>
      <c r="B1" s="2" t="n">
        <v>41010</v>
      </c>
    </row>
    <row collapsed="false" customFormat="false" customHeight="false" hidden="false" ht="12.9" outlineLevel="0" r="3">
      <c r="A3" s="0" t="s">
        <v>10</v>
      </c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30</v>
      </c>
      <c r="B5" s="0" t="n">
        <f aca="false">A17</f>
        <v>2026</v>
      </c>
      <c r="C5" s="0" t="s">
        <v>31</v>
      </c>
      <c r="D5" s="3" t="n">
        <v>24.305</v>
      </c>
      <c r="E5" s="4" t="n">
        <f aca="false">F17</f>
        <v>49346.7726202764</v>
      </c>
      <c r="F5" s="4" t="n">
        <f aca="false">G17</f>
        <v>3.6107997729035E-005</v>
      </c>
      <c r="G5" s="5" t="n">
        <v>1</v>
      </c>
      <c r="I5" s="6" t="n">
        <f aca="false">I17</f>
        <v>2026.47497880967</v>
      </c>
      <c r="J5" s="6" t="n">
        <f aca="false">J17</f>
        <v>1.48281133795444E-006</v>
      </c>
      <c r="K5" s="7" t="n">
        <f aca="false">299792458*J5/I5</f>
        <v>0.219363999261786</v>
      </c>
      <c r="L5" s="0" t="s">
        <v>32</v>
      </c>
      <c r="M5" s="0" t="s">
        <v>33</v>
      </c>
      <c r="N5" s="0" t="s">
        <v>34</v>
      </c>
      <c r="O5" s="8" t="n">
        <v>0</v>
      </c>
      <c r="P5" s="8" t="n">
        <v>7.65</v>
      </c>
      <c r="Q5" s="9" t="n">
        <v>0.113</v>
      </c>
      <c r="R5" s="10" t="n">
        <v>61200000</v>
      </c>
      <c r="S5" s="5" t="n">
        <v>87</v>
      </c>
      <c r="T5" s="5" t="n">
        <v>7</v>
      </c>
    </row>
    <row collapsed="false" customFormat="false" customHeight="false" hidden="false" ht="12.9" outlineLevel="0" r="6">
      <c r="C6" s="0" t="s">
        <v>35</v>
      </c>
      <c r="D6" s="5" t="n">
        <f aca="false">B18</f>
        <v>26</v>
      </c>
      <c r="E6" s="4" t="n">
        <f aca="false">F18</f>
        <v>49346.854173</v>
      </c>
      <c r="F6" s="4" t="n">
        <f aca="false">G18</f>
        <v>4E-005</v>
      </c>
      <c r="G6" s="5" t="n">
        <v>0</v>
      </c>
      <c r="H6" s="0" t="n">
        <f aca="false">E18</f>
        <v>0</v>
      </c>
      <c r="I6" s="6" t="n">
        <f aca="false">I18</f>
        <v>2026.47162977037</v>
      </c>
      <c r="J6" s="6" t="n">
        <f aca="false">J18</f>
        <v>1.64263490650567E-006</v>
      </c>
      <c r="K6" s="7" t="n">
        <f aca="false">299792458*J6/I6</f>
        <v>0.24300836438245</v>
      </c>
      <c r="O6" s="8"/>
      <c r="P6" s="8"/>
      <c r="Q6" s="11" t="n">
        <f aca="false">C27</f>
        <v>0.1101</v>
      </c>
      <c r="R6" s="10"/>
      <c r="S6" s="5"/>
      <c r="T6" s="5"/>
    </row>
    <row collapsed="false" customFormat="false" customHeight="false" hidden="false" ht="12.9" outlineLevel="0" r="7">
      <c r="C7" s="0" t="s">
        <v>35</v>
      </c>
      <c r="D7" s="5" t="n">
        <f aca="false">B19</f>
        <v>25</v>
      </c>
      <c r="E7" s="4" t="n">
        <f aca="false">F19</f>
        <v>49346.807724</v>
      </c>
      <c r="F7" s="4" t="n">
        <f aca="false">G19</f>
        <v>4E-005</v>
      </c>
      <c r="G7" s="5" t="n">
        <v>0</v>
      </c>
      <c r="H7" s="0" t="n">
        <f aca="false">H6</f>
        <v>0</v>
      </c>
      <c r="I7" s="6" t="n">
        <f aca="false">I19</f>
        <v>2026.47353724088</v>
      </c>
      <c r="J7" s="6" t="n">
        <f aca="false">J19</f>
        <v>1.64263799885503E-006</v>
      </c>
      <c r="K7" s="7" t="n">
        <f aca="false">299792458*J7/I7</f>
        <v>0.24300859312056</v>
      </c>
      <c r="O7" s="8"/>
      <c r="P7" s="8"/>
      <c r="Q7" s="11" t="n">
        <f aca="false">C28</f>
        <v>0.1</v>
      </c>
      <c r="R7" s="10"/>
      <c r="S7" s="5"/>
      <c r="T7" s="5"/>
    </row>
    <row collapsed="false" customFormat="false" customHeight="false" hidden="false" ht="12.9" outlineLevel="0" r="8">
      <c r="C8" s="0" t="s">
        <v>35</v>
      </c>
      <c r="D8" s="5" t="n">
        <f aca="false">B20</f>
        <v>24</v>
      </c>
      <c r="E8" s="4" t="n">
        <f aca="false">F20</f>
        <v>49346.756809</v>
      </c>
      <c r="F8" s="4" t="n">
        <f aca="false">G20</f>
        <v>3.5E-005</v>
      </c>
      <c r="G8" s="5" t="n">
        <v>0</v>
      </c>
      <c r="H8" s="0" t="n">
        <f aca="false">H7</f>
        <v>0</v>
      </c>
      <c r="I8" s="6" t="n">
        <f aca="false">I20</f>
        <v>2026.47562811588</v>
      </c>
      <c r="J8" s="6" t="n">
        <f aca="false">J20</f>
        <v>1.43731121497168E-006</v>
      </c>
      <c r="K8" s="7" t="n">
        <f aca="false">299792458*J8/I8</f>
        <v>0.212632738370484</v>
      </c>
      <c r="O8" s="8"/>
      <c r="P8" s="8"/>
      <c r="Q8" s="11" t="n">
        <f aca="false">C29</f>
        <v>0.7899</v>
      </c>
      <c r="R8" s="10"/>
      <c r="S8" s="5"/>
      <c r="T8" s="5"/>
    </row>
    <row collapsed="false" customFormat="false" customHeight="false" hidden="false" ht="12.9" outlineLevel="0" r="9">
      <c r="B9" s="0" t="n">
        <f aca="false">A21</f>
        <v>2852</v>
      </c>
      <c r="C9" s="0" t="s">
        <v>31</v>
      </c>
      <c r="D9" s="3" t="n">
        <f aca="false">$D$5</f>
        <v>24.305</v>
      </c>
      <c r="E9" s="12" t="n">
        <f aca="false">F21</f>
        <v>35051.280762104</v>
      </c>
      <c r="F9" s="12" t="n">
        <f aca="false">G21</f>
        <v>0.00018962953356479</v>
      </c>
      <c r="G9" s="5" t="n">
        <v>1</v>
      </c>
      <c r="I9" s="4" t="n">
        <f aca="false">I21</f>
        <v>2852.96279695765</v>
      </c>
      <c r="J9" s="4" t="n">
        <f aca="false">J21</f>
        <v>1.54347000366872E-005</v>
      </c>
      <c r="K9" s="7" t="n">
        <f aca="false">299792458*J9/I9</f>
        <v>1.62189519871255</v>
      </c>
      <c r="M9" s="0" t="s">
        <v>36</v>
      </c>
      <c r="N9" s="0" t="s">
        <v>37</v>
      </c>
      <c r="O9" s="8"/>
      <c r="P9" s="8"/>
      <c r="Q9" s="8" t="n">
        <v>1.83</v>
      </c>
      <c r="R9" s="10" t="n">
        <v>500000000</v>
      </c>
      <c r="S9" s="5" t="n">
        <v>90</v>
      </c>
      <c r="T9" s="5" t="n">
        <v>10</v>
      </c>
    </row>
    <row collapsed="false" customFormat="false" customHeight="false" hidden="false" ht="12.9" outlineLevel="0" r="10">
      <c r="C10" s="0" t="s">
        <v>35</v>
      </c>
      <c r="D10" s="5" t="n">
        <f aca="false">D6</f>
        <v>26</v>
      </c>
      <c r="E10" s="12" t="n">
        <f aca="false">F22</f>
        <v>35051.32015</v>
      </c>
      <c r="F10" s="12" t="n">
        <f aca="false">G22</f>
        <v>0.00025</v>
      </c>
      <c r="G10" s="5" t="n">
        <v>0</v>
      </c>
      <c r="H10" s="0" t="n">
        <f aca="false">E22</f>
        <v>0</v>
      </c>
      <c r="I10" s="4" t="n">
        <f aca="false">I22</f>
        <v>2852.95959102413</v>
      </c>
      <c r="J10" s="4" t="n">
        <f aca="false">J22</f>
        <v>2.03484460700415E-005</v>
      </c>
      <c r="K10" s="7" t="n">
        <f aca="false">299792458*J10/I10</f>
        <v>2.1382394209195</v>
      </c>
      <c r="O10" s="8"/>
      <c r="P10" s="8"/>
      <c r="Q10" s="11" t="n">
        <f aca="false">Q6</f>
        <v>0.1101</v>
      </c>
      <c r="R10" s="10"/>
      <c r="S10" s="5"/>
      <c r="T10" s="5"/>
    </row>
    <row collapsed="false" customFormat="false" customHeight="false" hidden="false" ht="12.9" outlineLevel="0" r="11">
      <c r="C11" s="0" t="s">
        <v>35</v>
      </c>
      <c r="D11" s="5" t="n">
        <f aca="false">D7</f>
        <v>25</v>
      </c>
      <c r="E11" s="12" t="n">
        <f aca="false">F23</f>
        <v>35051.29784</v>
      </c>
      <c r="F11" s="12" t="n">
        <f aca="false">G23</f>
        <v>0.00025</v>
      </c>
      <c r="G11" s="5" t="n">
        <v>0</v>
      </c>
      <c r="H11" s="0" t="n">
        <f aca="false">H10</f>
        <v>0</v>
      </c>
      <c r="I11" s="4" t="n">
        <f aca="false">I23</f>
        <v>2852.96140692062</v>
      </c>
      <c r="J11" s="4" t="n">
        <f aca="false">J23</f>
        <v>2.03484719734462E-005</v>
      </c>
      <c r="K11" s="7" t="n">
        <f aca="false">299792458*J11/I11</f>
        <v>2.13824078189968</v>
      </c>
      <c r="O11" s="8"/>
      <c r="P11" s="8"/>
      <c r="Q11" s="11" t="n">
        <f aca="false">Q7</f>
        <v>0.1</v>
      </c>
      <c r="R11" s="10"/>
      <c r="S11" s="5"/>
      <c r="T11" s="5"/>
    </row>
    <row collapsed="false" customFormat="false" customHeight="false" hidden="false" ht="12.9" outlineLevel="0" r="12">
      <c r="C12" s="0" t="s">
        <v>35</v>
      </c>
      <c r="D12" s="5" t="n">
        <f aca="false">D8</f>
        <v>24</v>
      </c>
      <c r="E12" s="12" t="n">
        <f aca="false">F24</f>
        <v>35051.27311</v>
      </c>
      <c r="F12" s="12" t="n">
        <f aca="false">G24</f>
        <v>0.00017</v>
      </c>
      <c r="G12" s="5" t="n">
        <v>0</v>
      </c>
      <c r="H12" s="0" t="n">
        <f aca="false">H11</f>
        <v>0</v>
      </c>
      <c r="I12" s="4" t="n">
        <f aca="false">I24</f>
        <v>2852.96341979288</v>
      </c>
      <c r="J12" s="4" t="n">
        <f aca="false">J24</f>
        <v>1.38369804669497E-005</v>
      </c>
      <c r="K12" s="7" t="n">
        <f aca="false">299792458*J12/I12</f>
        <v>1.45400475754645</v>
      </c>
      <c r="O12" s="8"/>
      <c r="P12" s="8"/>
      <c r="Q12" s="11" t="n">
        <f aca="false">Q8</f>
        <v>0.7899</v>
      </c>
      <c r="R12" s="10"/>
      <c r="S12" s="5"/>
      <c r="T12" s="5"/>
    </row>
    <row collapsed="false" customFormat="false" customHeight="false" hidden="false" ht="12.9" outlineLevel="0" r="13">
      <c r="A13" s="0" t="s">
        <v>38</v>
      </c>
      <c r="C13" s="5"/>
      <c r="D13" s="12"/>
      <c r="E13" s="12"/>
      <c r="F13" s="5"/>
      <c r="H13" s="4"/>
      <c r="I13" s="4"/>
      <c r="J13" s="7"/>
      <c r="N13" s="8"/>
      <c r="O13" s="8"/>
      <c r="P13" s="11"/>
      <c r="Q13" s="10"/>
      <c r="R13" s="5"/>
      <c r="S13" s="5"/>
    </row>
    <row collapsed="false" customFormat="false" customHeight="false" hidden="false" ht="12.9" outlineLevel="0" r="15">
      <c r="A15" s="0" t="s">
        <v>39</v>
      </c>
    </row>
    <row collapsed="false" customFormat="false" customHeight="false" hidden="false" ht="13.6" outlineLevel="0" r="16">
      <c r="A16" s="13" t="s">
        <v>40</v>
      </c>
      <c r="B16" s="0" t="s">
        <v>41</v>
      </c>
      <c r="C16" s="14" t="s">
        <v>15</v>
      </c>
      <c r="D16" s="15" t="s">
        <v>16</v>
      </c>
      <c r="E16" s="0" t="s">
        <v>42</v>
      </c>
      <c r="F16" s="14" t="s">
        <v>15</v>
      </c>
      <c r="G16" s="15" t="s">
        <v>16</v>
      </c>
      <c r="H16" s="15" t="s">
        <v>43</v>
      </c>
      <c r="I16" s="15" t="s">
        <v>44</v>
      </c>
      <c r="J16" s="15" t="s">
        <v>45</v>
      </c>
    </row>
    <row collapsed="false" customFormat="false" customHeight="false" hidden="false" ht="12.9" outlineLevel="0" r="17">
      <c r="A17" s="0" t="n">
        <v>2026</v>
      </c>
      <c r="B17" s="0" t="s">
        <v>46</v>
      </c>
      <c r="F17" s="16" t="n">
        <f aca="false">SUMPRODUCT(F18:F20,C27:C29)</f>
        <v>49346.7726202764</v>
      </c>
      <c r="G17" s="16" t="n">
        <f aca="false">SQRT(C27*G18*G18+C28*G19*G19+C29*G20*G20)</f>
        <v>3.6107997729035E-005</v>
      </c>
      <c r="H17" s="13" t="s">
        <v>47</v>
      </c>
      <c r="I17" s="17" t="n">
        <f aca="false">100000000/F17</f>
        <v>2026.47497880967</v>
      </c>
      <c r="J17" s="17" t="n">
        <f aca="false">G17/F17*I17</f>
        <v>1.48281133795444E-006</v>
      </c>
    </row>
    <row collapsed="false" customFormat="false" customHeight="false" hidden="false" ht="12.9" outlineLevel="0" r="18">
      <c r="B18" s="0" t="n">
        <v>26</v>
      </c>
      <c r="C18" s="4" t="n">
        <f aca="false">49346.854173</f>
        <v>49346.854173</v>
      </c>
      <c r="D18" s="4" t="n">
        <f aca="false">0.00004</f>
        <v>4E-005</v>
      </c>
      <c r="E18" s="0" t="str">
        <f aca="false">A33</f>
        <v>Hannemann:2006:012505</v>
      </c>
      <c r="F18" s="4" t="n">
        <f aca="false">C18</f>
        <v>49346.854173</v>
      </c>
      <c r="G18" s="4" t="n">
        <f aca="false">D18</f>
        <v>4E-005</v>
      </c>
      <c r="H18" s="0" t="n">
        <f aca="false">E18</f>
        <v>0</v>
      </c>
      <c r="I18" s="17" t="n">
        <f aca="false">100000000/F18</f>
        <v>2026.47162977037</v>
      </c>
      <c r="J18" s="17" t="n">
        <f aca="false">G18/F18*I18</f>
        <v>1.64263490650567E-006</v>
      </c>
    </row>
    <row collapsed="false" customFormat="false" customHeight="false" hidden="false" ht="12.9" outlineLevel="0" r="19">
      <c r="B19" s="0" t="n">
        <v>25</v>
      </c>
      <c r="C19" s="4" t="n">
        <f aca="false">49346.807724</f>
        <v>49346.807724</v>
      </c>
      <c r="D19" s="4" t="n">
        <f aca="false">0.00004</f>
        <v>4E-005</v>
      </c>
      <c r="E19" s="0" t="n">
        <f aca="false">E18</f>
        <v>0</v>
      </c>
      <c r="F19" s="4" t="n">
        <f aca="false">C19</f>
        <v>49346.807724</v>
      </c>
      <c r="G19" s="4" t="n">
        <f aca="false">D19</f>
        <v>4E-005</v>
      </c>
      <c r="H19" s="0" t="n">
        <f aca="false">E19</f>
        <v>0</v>
      </c>
      <c r="I19" s="17" t="n">
        <f aca="false">100000000/F19</f>
        <v>2026.47353724088</v>
      </c>
      <c r="J19" s="17" t="n">
        <f aca="false">G19/F19*I19</f>
        <v>1.64263799885503E-006</v>
      </c>
    </row>
    <row collapsed="false" customFormat="false" customHeight="false" hidden="false" ht="12.9" outlineLevel="0" r="20">
      <c r="B20" s="0" t="n">
        <v>24</v>
      </c>
      <c r="C20" s="4" t="n">
        <f aca="false">49346.756809</f>
        <v>49346.756809</v>
      </c>
      <c r="D20" s="4" t="n">
        <f aca="false">0.000035</f>
        <v>3.5E-005</v>
      </c>
      <c r="E20" s="0" t="n">
        <f aca="false">E19</f>
        <v>0</v>
      </c>
      <c r="F20" s="4" t="n">
        <f aca="false">C20</f>
        <v>49346.756809</v>
      </c>
      <c r="G20" s="4" t="n">
        <f aca="false">D20</f>
        <v>3.5E-005</v>
      </c>
      <c r="H20" s="0" t="n">
        <f aca="false">E20</f>
        <v>0</v>
      </c>
      <c r="I20" s="17" t="n">
        <f aca="false">100000000/F20</f>
        <v>2026.47562811588</v>
      </c>
      <c r="J20" s="17" t="n">
        <f aca="false">G20/F20*I20</f>
        <v>1.43731121497168E-006</v>
      </c>
    </row>
    <row collapsed="false" customFormat="false" customHeight="false" hidden="false" ht="12.9" outlineLevel="0" r="21">
      <c r="A21" s="0" t="n">
        <v>2852</v>
      </c>
      <c r="B21" s="0" t="s">
        <v>46</v>
      </c>
      <c r="F21" s="18" t="n">
        <f aca="false">SUMPRODUCT(F22:F24,C27:C29)</f>
        <v>35051.280762104</v>
      </c>
      <c r="G21" s="18" t="n">
        <f aca="false">SQRT(C27*G22*G22+C28*G23*G23+C29*G24*G24)</f>
        <v>0.00018962953356479</v>
      </c>
      <c r="H21" s="13" t="s">
        <v>47</v>
      </c>
      <c r="I21" s="16" t="n">
        <f aca="false">100000000/F21</f>
        <v>2852.96279695765</v>
      </c>
      <c r="J21" s="16" t="n">
        <f aca="false">G21/F21*I21</f>
        <v>1.54347000366872E-005</v>
      </c>
    </row>
    <row collapsed="false" customFormat="false" customHeight="false" hidden="false" ht="12.9" outlineLevel="0" r="22">
      <c r="B22" s="0" t="n">
        <f aca="false">B18</f>
        <v>26</v>
      </c>
      <c r="C22" s="12" t="n">
        <f aca="false">35051.32015</f>
        <v>35051.32015</v>
      </c>
      <c r="D22" s="12" t="n">
        <f aca="false">0.00025</f>
        <v>0.00025</v>
      </c>
      <c r="E22" s="0" t="str">
        <f aca="false">A35</f>
        <v>Salumbides:2006:L41</v>
      </c>
      <c r="F22" s="12" t="n">
        <f aca="false">C22</f>
        <v>35051.32015</v>
      </c>
      <c r="G22" s="12" t="n">
        <f aca="false">D22</f>
        <v>0.00025</v>
      </c>
      <c r="H22" s="0" t="n">
        <f aca="false">E22</f>
        <v>0</v>
      </c>
      <c r="I22" s="16" t="n">
        <f aca="false">100000000/F22</f>
        <v>2852.95959102413</v>
      </c>
      <c r="J22" s="16" t="n">
        <f aca="false">G22/F22*I22</f>
        <v>2.03484460700415E-005</v>
      </c>
    </row>
    <row collapsed="false" customFormat="false" customHeight="false" hidden="false" ht="12.9" outlineLevel="0" r="23">
      <c r="B23" s="0" t="n">
        <f aca="false">B19</f>
        <v>25</v>
      </c>
      <c r="C23" s="12" t="n">
        <f aca="false">35051.29784</f>
        <v>35051.29784</v>
      </c>
      <c r="D23" s="12" t="n">
        <f aca="false">0.00025</f>
        <v>0.00025</v>
      </c>
      <c r="E23" s="0" t="n">
        <f aca="false">E22</f>
        <v>0</v>
      </c>
      <c r="F23" s="12" t="n">
        <f aca="false">C23</f>
        <v>35051.29784</v>
      </c>
      <c r="G23" s="12" t="n">
        <f aca="false">D23</f>
        <v>0.00025</v>
      </c>
      <c r="H23" s="0" t="n">
        <f aca="false">E23</f>
        <v>0</v>
      </c>
      <c r="I23" s="16" t="n">
        <f aca="false">100000000/F23</f>
        <v>2852.96140692062</v>
      </c>
      <c r="J23" s="16" t="n">
        <f aca="false">G23/F23*I23</f>
        <v>2.03484719734462E-005</v>
      </c>
    </row>
    <row collapsed="false" customFormat="false" customHeight="false" hidden="false" ht="12.9" outlineLevel="0" r="24">
      <c r="B24" s="0" t="n">
        <f aca="false">B20</f>
        <v>24</v>
      </c>
      <c r="C24" s="12" t="n">
        <f aca="false">35051.27311</f>
        <v>35051.27311</v>
      </c>
      <c r="D24" s="12" t="n">
        <f aca="false">0.00017</f>
        <v>0.00017</v>
      </c>
      <c r="E24" s="0" t="n">
        <f aca="false">E23</f>
        <v>0</v>
      </c>
      <c r="F24" s="12" t="n">
        <f aca="false">C24</f>
        <v>35051.27311</v>
      </c>
      <c r="G24" s="12" t="n">
        <f aca="false">D24</f>
        <v>0.00017</v>
      </c>
      <c r="H24" s="0" t="n">
        <f aca="false">E24</f>
        <v>0</v>
      </c>
      <c r="I24" s="16" t="n">
        <f aca="false">100000000/F24</f>
        <v>2852.96341979288</v>
      </c>
      <c r="J24" s="16" t="n">
        <f aca="false">G24/F24*I24</f>
        <v>1.38369804669497E-005</v>
      </c>
    </row>
    <row collapsed="false" customFormat="true" customHeight="false" hidden="false" ht="12.9" outlineLevel="0" r="26" s="13">
      <c r="B26" s="19" t="s">
        <v>41</v>
      </c>
      <c r="C26" s="13" t="s">
        <v>48</v>
      </c>
      <c r="D26" s="13" t="s">
        <v>42</v>
      </c>
    </row>
    <row collapsed="false" customFormat="true" customHeight="false" hidden="false" ht="12.9" outlineLevel="0" r="27" s="13">
      <c r="A27" s="19"/>
      <c r="B27" s="13" t="n">
        <v>26</v>
      </c>
      <c r="C27" s="20" t="n">
        <f aca="false">0.1101</f>
        <v>0.1101</v>
      </c>
      <c r="D27" s="13" t="n">
        <f aca="false">A34</f>
        <v>0</v>
      </c>
      <c r="K27" s="16"/>
    </row>
    <row collapsed="false" customFormat="true" customHeight="false" hidden="false" ht="12.9" outlineLevel="0" r="28" s="13">
      <c r="B28" s="13" t="n">
        <v>25</v>
      </c>
      <c r="C28" s="20" t="n">
        <f aca="false">0.1</f>
        <v>0.1</v>
      </c>
      <c r="D28" s="13" t="n">
        <f aca="false">D27</f>
        <v>0</v>
      </c>
    </row>
    <row collapsed="false" customFormat="true" customHeight="false" hidden="false" ht="12.9" outlineLevel="0" r="29" s="13">
      <c r="B29" s="13" t="n">
        <v>24</v>
      </c>
      <c r="C29" s="20" t="n">
        <f aca="false">0.7899</f>
        <v>0.7899</v>
      </c>
      <c r="D29" s="13" t="n">
        <f aca="false">D28</f>
        <v>0</v>
      </c>
    </row>
    <row collapsed="false" customFormat="true" customHeight="false" hidden="false" ht="12.9" outlineLevel="0" r="30" s="13">
      <c r="B30" s="13" t="s">
        <v>49</v>
      </c>
      <c r="C30" s="13" t="n">
        <f aca="false">SUM(C27:C29)</f>
        <v>1</v>
      </c>
    </row>
    <row collapsed="false" customFormat="false" customHeight="false" hidden="false" ht="12.9" outlineLevel="0" r="32">
      <c r="A32" s="0" t="s">
        <v>4</v>
      </c>
    </row>
    <row collapsed="false" customFormat="false" customHeight="false" hidden="false" ht="13.6" outlineLevel="0" r="33">
      <c r="A33" s="0" t="s">
        <v>50</v>
      </c>
      <c r="B33" s="1" t="s">
        <v>51</v>
      </c>
    </row>
    <row collapsed="false" customFormat="false" customHeight="false" hidden="false" ht="13.6" outlineLevel="0" r="34">
      <c r="A34" s="13" t="s">
        <v>52</v>
      </c>
      <c r="B34" s="1" t="s">
        <v>53</v>
      </c>
    </row>
    <row collapsed="false" customFormat="false" customHeight="false" hidden="false" ht="13.6" outlineLevel="0" r="35">
      <c r="A35" s="0" t="s">
        <v>54</v>
      </c>
      <c r="B35" s="1" t="s">
        <v>55</v>
      </c>
    </row>
  </sheetData>
  <hyperlinks>
    <hyperlink display="http://adsabs.harvard.edu/abs/2006PhRvA..74a2505H" ref="B33" r:id="rId1"/>
    <hyperlink display="http://adsabs.harvard.edu/abs/1998JPCRD..27.1275R" ref="B34" r:id="rId2"/>
    <hyperlink display="http://adsabs.harvard.edu/abs/2006MNRAS.373L..41S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11" activeCellId="0" pane="topLeft" sqref="D1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4.0823529411765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9.15294117647059"/>
    <col collapsed="false" hidden="false" max="1025" min="16" style="0" width="11.5764705882353"/>
  </cols>
  <sheetData>
    <row collapsed="false" customFormat="true" customHeight="false" hidden="false" ht="12.9" outlineLevel="0" r="1" s="13">
      <c r="A1" s="13" t="s">
        <v>9</v>
      </c>
      <c r="B1" s="2" t="n">
        <v>41010</v>
      </c>
      <c r="AMJ1" s="0"/>
    </row>
    <row collapsed="false" customFormat="true" customHeight="false" hidden="false" ht="12.9" outlineLevel="0" r="2" s="13">
      <c r="B2" s="19"/>
      <c r="AMJ2" s="0"/>
    </row>
    <row collapsed="false" customFormat="true" customHeight="false" hidden="false" ht="12.9" outlineLevel="0" r="3" s="13">
      <c r="A3" s="13" t="s">
        <v>10</v>
      </c>
      <c r="B3" s="19"/>
      <c r="AMJ3" s="0"/>
    </row>
    <row collapsed="false" customFormat="false" customHeight="false" hidden="false" ht="13.6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56</v>
      </c>
      <c r="B5" s="0" t="n">
        <f aca="false">A19</f>
        <v>2796</v>
      </c>
      <c r="C5" s="0" t="s">
        <v>31</v>
      </c>
      <c r="D5" s="3" t="n">
        <v>24.305</v>
      </c>
      <c r="E5" s="12" t="n">
        <f aca="false">C74</f>
        <v>35760.8541837195</v>
      </c>
      <c r="F5" s="12" t="n">
        <f aca="false">D74</f>
        <v>0.000202954964816538</v>
      </c>
      <c r="G5" s="5" t="n">
        <v>1</v>
      </c>
      <c r="I5" s="4" t="n">
        <f aca="false">E74</f>
        <v>2796.35378635687</v>
      </c>
      <c r="J5" s="4" t="n">
        <f aca="false">F74</f>
        <v>1.58702552631706E-005</v>
      </c>
      <c r="K5" s="7" t="n">
        <f aca="false">299792458*J5/I5</f>
        <v>1.70142378179975</v>
      </c>
      <c r="L5" s="0" t="s">
        <v>57</v>
      </c>
      <c r="M5" s="0" t="s">
        <v>58</v>
      </c>
      <c r="N5" s="0" t="s">
        <v>59</v>
      </c>
      <c r="O5" s="8" t="n">
        <v>7.65</v>
      </c>
      <c r="P5" s="8" t="n">
        <v>15.04</v>
      </c>
      <c r="Q5" s="3" t="n">
        <v>0.6155</v>
      </c>
      <c r="R5" s="21" t="n">
        <v>262500000</v>
      </c>
      <c r="S5" s="5" t="n">
        <v>212</v>
      </c>
      <c r="T5" s="5" t="n">
        <v>2</v>
      </c>
    </row>
    <row collapsed="false" customFormat="false" customHeight="false" hidden="false" ht="12.9" outlineLevel="0" r="6">
      <c r="C6" s="0" t="s">
        <v>35</v>
      </c>
      <c r="D6" s="5" t="n">
        <f aca="false">A75</f>
        <v>26</v>
      </c>
      <c r="E6" s="6" t="n">
        <f aca="false">C75</f>
        <v>35760.9403866324</v>
      </c>
      <c r="F6" s="6" t="n">
        <f aca="false">D75</f>
        <v>5.33702552317043E-006</v>
      </c>
      <c r="G6" s="5" t="n">
        <v>0</v>
      </c>
      <c r="H6" s="0" t="n">
        <f aca="false">G19</f>
        <v>0</v>
      </c>
      <c r="I6" s="22" t="n">
        <f aca="false">E75</f>
        <v>2796.34704565489</v>
      </c>
      <c r="J6" s="22" t="n">
        <f aca="false">F75</f>
        <v>4.17331742201083E-007</v>
      </c>
      <c r="K6" s="23" t="n">
        <f aca="false">299792458*J6/I6</f>
        <v>0.0447415527304782</v>
      </c>
      <c r="O6" s="8"/>
      <c r="P6" s="8"/>
      <c r="Q6" s="11" t="n">
        <f aca="false">B75</f>
        <v>0.1101</v>
      </c>
      <c r="R6" s="10"/>
      <c r="S6" s="5"/>
      <c r="T6" s="5"/>
    </row>
    <row collapsed="false" customFormat="false" customHeight="false" hidden="false" ht="13.6" outlineLevel="0" r="7">
      <c r="C7" s="0" t="s">
        <v>60</v>
      </c>
      <c r="D7" s="5" t="n">
        <f aca="false">A76</f>
        <v>25</v>
      </c>
      <c r="E7" s="12" t="n">
        <f aca="false">C76</f>
        <v>35760.8581942312</v>
      </c>
      <c r="F7" s="12" t="n">
        <f aca="false">D76</f>
        <v>0.000641909934258882</v>
      </c>
      <c r="G7" s="5" t="n">
        <v>4</v>
      </c>
      <c r="H7" s="0" t="s">
        <v>61</v>
      </c>
      <c r="I7" s="4" t="n">
        <f aca="false">E76</f>
        <v>2796.35347275116</v>
      </c>
      <c r="J7" s="4" t="n">
        <f aca="false">F76</f>
        <v>5.01947426459653E-005</v>
      </c>
      <c r="K7" s="7" t="n">
        <f aca="false">299792458*J7/I7</f>
        <v>5.38129582799365</v>
      </c>
      <c r="L7" s="0" t="s">
        <v>62</v>
      </c>
      <c r="M7" s="0" t="s">
        <v>63</v>
      </c>
      <c r="O7" s="8"/>
      <c r="P7" s="8"/>
      <c r="Q7" s="11" t="n">
        <f aca="false">B76</f>
        <v>0.0416666666666667</v>
      </c>
      <c r="R7" s="10"/>
      <c r="S7" s="5"/>
      <c r="T7" s="5"/>
    </row>
    <row collapsed="false" customFormat="false" customHeight="false" hidden="false" ht="12.9" outlineLevel="0" r="8">
      <c r="C8" s="0" t="s">
        <v>60</v>
      </c>
      <c r="D8" s="5" t="n">
        <f aca="false">D7</f>
        <v>25</v>
      </c>
      <c r="E8" s="12" t="n">
        <f aca="false">C77</f>
        <v>35760.9159324315</v>
      </c>
      <c r="F8" s="12" t="n">
        <f aca="false">D77</f>
        <v>0.000641378877983728</v>
      </c>
      <c r="G8" s="5" t="n">
        <v>4</v>
      </c>
      <c r="H8" s="0" t="n">
        <f aca="false">H7</f>
        <v>0</v>
      </c>
      <c r="I8" s="4" t="n">
        <f aca="false">E77</f>
        <v>2796.34895786632</v>
      </c>
      <c r="J8" s="4" t="n">
        <f aca="false">F77</f>
        <v>5.01530542572242E-005</v>
      </c>
      <c r="K8" s="7" t="n">
        <f aca="false">299792458*J8/I8</f>
        <v>5.37683516561289</v>
      </c>
      <c r="L8" s="0" t="s">
        <v>64</v>
      </c>
      <c r="M8" s="0" t="s">
        <v>65</v>
      </c>
      <c r="O8" s="8"/>
      <c r="P8" s="8"/>
      <c r="Q8" s="11" t="n">
        <f aca="false">B77</f>
        <v>0.0583333333333333</v>
      </c>
      <c r="R8" s="10"/>
      <c r="S8" s="5"/>
      <c r="T8" s="5"/>
    </row>
    <row collapsed="false" customFormat="false" customHeight="false" hidden="false" ht="12.9" outlineLevel="0" r="9">
      <c r="C9" s="0" t="s">
        <v>35</v>
      </c>
      <c r="D9" s="5" t="n">
        <f aca="false">A78</f>
        <v>24</v>
      </c>
      <c r="E9" s="6" t="n">
        <f aca="false">C78</f>
        <v>35760.8373967166</v>
      </c>
      <c r="F9" s="6" t="n">
        <f aca="false">D78</f>
        <v>5.33702552317043E-006</v>
      </c>
      <c r="G9" s="5" t="n">
        <v>0</v>
      </c>
      <c r="H9" s="0" t="n">
        <f aca="false">G20</f>
        <v>0</v>
      </c>
      <c r="I9" s="22" t="n">
        <f aca="false">E78</f>
        <v>2796.35509903304</v>
      </c>
      <c r="J9" s="22" t="n">
        <f aca="false">F78</f>
        <v>4.17334146005132E-007</v>
      </c>
      <c r="K9" s="23" t="n">
        <f aca="false">299792458*J9/I9</f>
        <v>0.0447416815845287</v>
      </c>
      <c r="O9" s="8"/>
      <c r="P9" s="8"/>
      <c r="Q9" s="11" t="n">
        <f aca="false">B78</f>
        <v>0.7899</v>
      </c>
      <c r="R9" s="10"/>
      <c r="S9" s="5"/>
      <c r="T9" s="5"/>
    </row>
    <row collapsed="false" customFormat="false" customHeight="false" hidden="false" ht="12.9" outlineLevel="0" r="10">
      <c r="B10" s="0" t="n">
        <f aca="false">A21</f>
        <v>2803</v>
      </c>
      <c r="C10" s="0" t="s">
        <v>31</v>
      </c>
      <c r="D10" s="3" t="n">
        <f aca="false">$D$5</f>
        <v>24.305</v>
      </c>
      <c r="E10" s="12" t="n">
        <f aca="false">C79</f>
        <v>35669.3044028676</v>
      </c>
      <c r="F10" s="12" t="n">
        <f aca="false">D79</f>
        <v>0.000201848416826297</v>
      </c>
      <c r="G10" s="5" t="n">
        <v>1</v>
      </c>
      <c r="I10" s="4" t="n">
        <f aca="false">E79</f>
        <v>2803.53098200481</v>
      </c>
      <c r="J10" s="4" t="n">
        <f aca="false">F79</f>
        <v>1.58648535404478E-005</v>
      </c>
      <c r="K10" s="7" t="n">
        <f aca="false">299792458*J10/I10</f>
        <v>1.6964904148481</v>
      </c>
      <c r="M10" s="0" t="s">
        <v>66</v>
      </c>
      <c r="N10" s="0" t="s">
        <v>67</v>
      </c>
      <c r="O10" s="8"/>
      <c r="P10" s="8"/>
      <c r="Q10" s="3" t="n">
        <v>0.3058</v>
      </c>
      <c r="R10" s="21" t="n">
        <v>259500000</v>
      </c>
      <c r="S10" s="5" t="n">
        <v>121</v>
      </c>
      <c r="T10" s="5" t="n">
        <v>2</v>
      </c>
    </row>
    <row collapsed="false" customFormat="false" customHeight="false" hidden="false" ht="12.9" outlineLevel="0" r="11">
      <c r="C11" s="0" t="s">
        <v>35</v>
      </c>
      <c r="D11" s="5" t="n">
        <f aca="false">D6</f>
        <v>26</v>
      </c>
      <c r="E11" s="6" t="n">
        <f aca="false">C80</f>
        <v>35669.3905711931</v>
      </c>
      <c r="F11" s="6" t="n">
        <f aca="false">D80</f>
        <v>5.33702552317043E-006</v>
      </c>
      <c r="G11" s="5" t="n">
        <v>0</v>
      </c>
      <c r="H11" s="0" t="n">
        <f aca="false">G21</f>
        <v>0</v>
      </c>
      <c r="I11" s="22" t="n">
        <f aca="false">E80</f>
        <v>2803.52420937522</v>
      </c>
      <c r="J11" s="22" t="n">
        <f aca="false">F80</f>
        <v>4.19476756419427E-007</v>
      </c>
      <c r="K11" s="23" t="n">
        <f aca="false">299792458*J11/I11</f>
        <v>0.0448563873500035</v>
      </c>
      <c r="O11" s="8"/>
      <c r="P11" s="8"/>
      <c r="Q11" s="11" t="n">
        <f aca="false">B80</f>
        <v>0.1101</v>
      </c>
      <c r="R11" s="10"/>
      <c r="S11" s="5"/>
      <c r="T11" s="5"/>
    </row>
    <row collapsed="false" customFormat="false" customHeight="false" hidden="false" ht="13.6" outlineLevel="0" r="12">
      <c r="C12" s="0" t="s">
        <v>60</v>
      </c>
      <c r="D12" s="5" t="n">
        <f aca="false">D7</f>
        <v>25</v>
      </c>
      <c r="E12" s="12" t="n">
        <f aca="false">C81</f>
        <v>35669.3069014698</v>
      </c>
      <c r="F12" s="12" t="n">
        <f aca="false">D81</f>
        <v>0.000638099897683194</v>
      </c>
      <c r="G12" s="5" t="n">
        <v>4</v>
      </c>
      <c r="H12" s="0" t="s">
        <v>61</v>
      </c>
      <c r="I12" s="4" t="n">
        <f aca="false">E81</f>
        <v>2803.53078562004</v>
      </c>
      <c r="J12" s="4" t="n">
        <f aca="false">F81</f>
        <v>5.01532791875504E-005</v>
      </c>
      <c r="K12" s="7" t="n">
        <f aca="false">299792458*J12/I12</f>
        <v>5.36308533564779</v>
      </c>
      <c r="L12" s="0" t="s">
        <v>62</v>
      </c>
      <c r="M12" s="0" t="s">
        <v>68</v>
      </c>
      <c r="O12" s="8"/>
      <c r="P12" s="8"/>
      <c r="Q12" s="11" t="n">
        <f aca="false">B81</f>
        <v>0.0416666666666667</v>
      </c>
      <c r="R12" s="10"/>
      <c r="S12" s="5"/>
      <c r="T12" s="5"/>
    </row>
    <row collapsed="false" customFormat="false" customHeight="false" hidden="false" ht="12.9" outlineLevel="0" r="13">
      <c r="C13" s="0" t="s">
        <v>60</v>
      </c>
      <c r="D13" s="5" t="n">
        <f aca="false">D12</f>
        <v>25</v>
      </c>
      <c r="E13" s="12" t="n">
        <f aca="false">C82</f>
        <v>35669.3665681876</v>
      </c>
      <c r="F13" s="12" t="n">
        <f aca="false">D82</f>
        <v>0.000638099897356252</v>
      </c>
      <c r="G13" s="5" t="n">
        <v>4</v>
      </c>
      <c r="H13" s="0" t="n">
        <f aca="false">H12</f>
        <v>0</v>
      </c>
      <c r="I13" s="4" t="n">
        <f aca="false">E82</f>
        <v>2803.52609595223</v>
      </c>
      <c r="J13" s="4" t="n">
        <f aca="false">F82</f>
        <v>5.0153111371991E-005</v>
      </c>
      <c r="K13" s="7" t="n">
        <f aca="false">299792458*J13/I13</f>
        <v>5.36307636168091</v>
      </c>
      <c r="L13" s="0" t="s">
        <v>64</v>
      </c>
      <c r="M13" s="0" t="s">
        <v>68</v>
      </c>
      <c r="O13" s="8"/>
      <c r="P13" s="8"/>
      <c r="Q13" s="11" t="n">
        <f aca="false">B82</f>
        <v>0.0583333333333333</v>
      </c>
      <c r="R13" s="10"/>
      <c r="S13" s="5"/>
      <c r="T13" s="5"/>
    </row>
    <row collapsed="false" customFormat="false" customHeight="false" hidden="false" ht="12.9" outlineLevel="0" r="14">
      <c r="C14" s="0" t="s">
        <v>35</v>
      </c>
      <c r="D14" s="5" t="n">
        <f aca="false">D9</f>
        <v>24</v>
      </c>
      <c r="E14" s="6" t="n">
        <f aca="false">C83</f>
        <v>35669.2876696718</v>
      </c>
      <c r="F14" s="6" t="n">
        <f aca="false">D83</f>
        <v>5.33702552317043E-006</v>
      </c>
      <c r="G14" s="5" t="n">
        <v>0</v>
      </c>
      <c r="H14" s="0" t="n">
        <f aca="false">G22</f>
        <v>0</v>
      </c>
      <c r="I14" s="22" t="n">
        <f aca="false">E83</f>
        <v>2803.53229719881</v>
      </c>
      <c r="J14" s="22" t="n">
        <f aca="false">F83</f>
        <v>4.19479176700933E-007</v>
      </c>
      <c r="K14" s="23" t="n">
        <f aca="false">299792458*J14/I14</f>
        <v>0.0448565167551809</v>
      </c>
      <c r="O14" s="8"/>
      <c r="P14" s="8"/>
      <c r="Q14" s="11" t="n">
        <f aca="false">B83</f>
        <v>0.7899</v>
      </c>
      <c r="R14" s="10"/>
      <c r="S14" s="5"/>
      <c r="T14" s="5"/>
    </row>
    <row collapsed="false" customFormat="false" customHeight="false" hidden="false" ht="12.9" outlineLevel="0" r="15">
      <c r="A15" s="0" t="s">
        <v>38</v>
      </c>
      <c r="C15" s="5"/>
      <c r="D15" s="6"/>
      <c r="E15" s="6"/>
      <c r="F15" s="5"/>
      <c r="H15" s="22"/>
      <c r="I15" s="22"/>
      <c r="J15" s="23"/>
      <c r="N15" s="8"/>
      <c r="O15" s="8"/>
      <c r="P15" s="11"/>
      <c r="Q15" s="10"/>
      <c r="R15" s="5"/>
      <c r="S15" s="5"/>
    </row>
    <row collapsed="false" customFormat="true" customHeight="false" hidden="false" ht="12.9" outlineLevel="0" r="16" s="13">
      <c r="B16" s="19"/>
      <c r="AMJ16" s="0"/>
    </row>
    <row collapsed="false" customFormat="true" customHeight="false" hidden="false" ht="12.9" outlineLevel="0" r="17" s="13">
      <c r="A17" s="13" t="s">
        <v>39</v>
      </c>
      <c r="B17" s="19"/>
      <c r="AMJ17" s="0"/>
    </row>
    <row collapsed="false" customFormat="false" customHeight="false" hidden="false" ht="25" outlineLevel="0" r="18">
      <c r="A18" s="13" t="s">
        <v>40</v>
      </c>
      <c r="B18" s="0" t="s">
        <v>41</v>
      </c>
      <c r="C18" s="0" t="s">
        <v>69</v>
      </c>
      <c r="D18" s="0" t="s">
        <v>70</v>
      </c>
      <c r="E18" s="14" t="s">
        <v>15</v>
      </c>
      <c r="F18" s="15" t="s">
        <v>16</v>
      </c>
      <c r="G18" s="0" t="s">
        <v>42</v>
      </c>
      <c r="H18" s="14" t="s">
        <v>15</v>
      </c>
      <c r="I18" s="15" t="s">
        <v>16</v>
      </c>
      <c r="J18" s="15" t="s">
        <v>43</v>
      </c>
      <c r="K18" s="15" t="s">
        <v>44</v>
      </c>
      <c r="L18" s="15" t="s">
        <v>45</v>
      </c>
    </row>
    <row collapsed="false" customFormat="false" customHeight="false" hidden="false" ht="12.9" outlineLevel="0" r="19">
      <c r="A19" s="0" t="n">
        <v>2796</v>
      </c>
      <c r="B19" s="0" t="n">
        <v>26</v>
      </c>
      <c r="C19" s="8" t="n">
        <f aca="false">1072086021.89</f>
        <v>1072086021.89</v>
      </c>
      <c r="D19" s="8" t="n">
        <f aca="false">0.16</f>
        <v>0.16</v>
      </c>
      <c r="E19" s="6" t="n">
        <f aca="false">C19*10000/299792458</f>
        <v>35760.9403866324</v>
      </c>
      <c r="F19" s="6" t="n">
        <f aca="false">D19/C19*E19</f>
        <v>5.33702552317043E-006</v>
      </c>
      <c r="G19" s="0" t="str">
        <f aca="false">A86</f>
        <v>Batteiger:2009:022503</v>
      </c>
      <c r="H19" s="6" t="n">
        <f aca="false">E19</f>
        <v>35760.9403866324</v>
      </c>
      <c r="I19" s="6" t="n">
        <f aca="false">F19</f>
        <v>5.33702552317043E-006</v>
      </c>
      <c r="J19" s="0" t="n">
        <f aca="false">G19</f>
        <v>0</v>
      </c>
      <c r="K19" s="19" t="n">
        <f aca="false">100000000/H19</f>
        <v>2796.34704565489</v>
      </c>
      <c r="L19" s="19" t="n">
        <f aca="false">I19/H19*K19</f>
        <v>4.17331742201083E-007</v>
      </c>
    </row>
    <row collapsed="false" customFormat="false" customHeight="false" hidden="false" ht="12.9" outlineLevel="0" r="20">
      <c r="B20" s="0" t="n">
        <v>24</v>
      </c>
      <c r="C20" s="24" t="n">
        <f aca="false">1072082934.33</f>
        <v>1072082934.33</v>
      </c>
      <c r="D20" s="8" t="n">
        <f aca="false">0.16</f>
        <v>0.16</v>
      </c>
      <c r="E20" s="6" t="n">
        <f aca="false">C20*10000/299792458</f>
        <v>35760.8373967166</v>
      </c>
      <c r="F20" s="6" t="n">
        <f aca="false">D20/C20*E20</f>
        <v>5.33702552317043E-006</v>
      </c>
      <c r="G20" s="0" t="str">
        <f aca="false">G19</f>
        <v>Batteiger:2009:022503</v>
      </c>
      <c r="H20" s="6" t="n">
        <f aca="false">E20</f>
        <v>35760.8373967166</v>
      </c>
      <c r="I20" s="6" t="n">
        <f aca="false">F20</f>
        <v>5.33702552317043E-006</v>
      </c>
      <c r="J20" s="0" t="n">
        <f aca="false">G20</f>
        <v>0</v>
      </c>
      <c r="K20" s="19" t="n">
        <f aca="false">100000000/H20</f>
        <v>2796.35509903304</v>
      </c>
      <c r="L20" s="19" t="n">
        <f aca="false">I20/H20*K20</f>
        <v>4.17334146005132E-007</v>
      </c>
    </row>
    <row collapsed="false" customFormat="false" customHeight="false" hidden="false" ht="12.9" outlineLevel="0" r="21">
      <c r="A21" s="0" t="n">
        <v>2803</v>
      </c>
      <c r="B21" s="0" t="n">
        <v>26</v>
      </c>
      <c r="C21" s="24" t="n">
        <f aca="false">1069341427.47</f>
        <v>1069341427.47</v>
      </c>
      <c r="D21" s="8" t="n">
        <f aca="false">0.16</f>
        <v>0.16</v>
      </c>
      <c r="E21" s="6" t="n">
        <f aca="false">C21*10000/299792458</f>
        <v>35669.3905711931</v>
      </c>
      <c r="F21" s="6" t="n">
        <f aca="false">D21/C21*E21</f>
        <v>5.33702552317043E-006</v>
      </c>
      <c r="G21" s="0" t="str">
        <f aca="false">G19</f>
        <v>Batteiger:2009:022503</v>
      </c>
      <c r="H21" s="6" t="n">
        <f aca="false">E21</f>
        <v>35669.3905711931</v>
      </c>
      <c r="I21" s="6" t="n">
        <f aca="false">F21</f>
        <v>5.33702552317043E-006</v>
      </c>
      <c r="J21" s="0" t="n">
        <f aca="false">G21</f>
        <v>0</v>
      </c>
      <c r="K21" s="19" t="n">
        <f aca="false">100000000/H21</f>
        <v>2803.52420937522</v>
      </c>
      <c r="L21" s="19" t="n">
        <f aca="false">I21/H21*K21</f>
        <v>4.19476756419427E-007</v>
      </c>
    </row>
    <row collapsed="false" customFormat="false" customHeight="false" hidden="false" ht="12.9" outlineLevel="0" r="22">
      <c r="B22" s="0" t="n">
        <v>24</v>
      </c>
      <c r="C22" s="24" t="n">
        <f aca="false">1069338342.56</f>
        <v>1069338342.56</v>
      </c>
      <c r="D22" s="8" t="n">
        <f aca="false">0.16</f>
        <v>0.16</v>
      </c>
      <c r="E22" s="6" t="n">
        <f aca="false">C22*10000/299792458</f>
        <v>35669.2876696718</v>
      </c>
      <c r="F22" s="6" t="n">
        <f aca="false">D22/C22*E22</f>
        <v>5.33702552317043E-006</v>
      </c>
      <c r="G22" s="0" t="str">
        <f aca="false">G19</f>
        <v>Batteiger:2009:022503</v>
      </c>
      <c r="H22" s="6" t="n">
        <f aca="false">E22</f>
        <v>35669.2876696718</v>
      </c>
      <c r="I22" s="6" t="n">
        <f aca="false">F22</f>
        <v>5.33702552317043E-006</v>
      </c>
      <c r="J22" s="0" t="n">
        <f aca="false">G22</f>
        <v>0</v>
      </c>
      <c r="K22" s="19" t="n">
        <f aca="false">100000000/H22</f>
        <v>2803.53229719881</v>
      </c>
      <c r="L22" s="19" t="n">
        <f aca="false">I22/H22*K22</f>
        <v>4.19479176700933E-007</v>
      </c>
    </row>
    <row collapsed="false" customFormat="true" customHeight="false" hidden="false" ht="12.9" outlineLevel="0" r="24" s="13">
      <c r="A24" s="13" t="s">
        <v>71</v>
      </c>
      <c r="B24" s="19"/>
      <c r="M24" s="18"/>
      <c r="N24" s="18"/>
      <c r="AMJ24" s="0"/>
    </row>
    <row collapsed="false" customFormat="true" customHeight="false" hidden="false" ht="47.7" outlineLevel="0" r="25" s="15">
      <c r="A25" s="15" t="s">
        <v>72</v>
      </c>
      <c r="B25" s="15" t="s">
        <v>73</v>
      </c>
      <c r="C25" s="25" t="s">
        <v>74</v>
      </c>
      <c r="D25" s="15" t="s">
        <v>75</v>
      </c>
      <c r="E25" s="15" t="s">
        <v>76</v>
      </c>
      <c r="F25" s="15" t="s">
        <v>15</v>
      </c>
      <c r="G25" s="15" t="s">
        <v>16</v>
      </c>
      <c r="H25" s="15" t="s">
        <v>44</v>
      </c>
      <c r="I25" s="15" t="s">
        <v>45</v>
      </c>
      <c r="O25" s="13"/>
      <c r="AMI25" s="0"/>
      <c r="AMJ25" s="0"/>
    </row>
    <row collapsed="false" customFormat="true" customHeight="false" hidden="false" ht="12.9" outlineLevel="0" r="26" s="26">
      <c r="A26" s="26" t="n">
        <v>2796</v>
      </c>
      <c r="B26" s="13"/>
      <c r="C26" s="27"/>
      <c r="D26" s="27"/>
      <c r="E26" s="28"/>
      <c r="F26" s="29"/>
      <c r="G26" s="29"/>
      <c r="H26" s="30"/>
      <c r="I26" s="30"/>
      <c r="J26" s="30"/>
      <c r="K26" s="30"/>
      <c r="L26" s="30"/>
      <c r="M26" s="30"/>
      <c r="N26" s="30"/>
      <c r="AMI26" s="0"/>
      <c r="AMJ26" s="0"/>
    </row>
    <row collapsed="false" customFormat="true" customHeight="false" hidden="false" ht="12.9" outlineLevel="0" r="27" s="26">
      <c r="A27" s="26" t="n">
        <v>26</v>
      </c>
      <c r="B27" s="20" t="n">
        <f aca="false">0.1101</f>
        <v>0.1101</v>
      </c>
      <c r="C27" s="27" t="n">
        <f aca="false">C19-C20</f>
        <v>3087.55999994278</v>
      </c>
      <c r="D27" s="27" t="n">
        <f aca="false">SQRT(D19*D19+D20*D20)</f>
        <v>0.226274169979695</v>
      </c>
      <c r="E27" s="28" t="s">
        <v>77</v>
      </c>
      <c r="F27" s="30"/>
      <c r="G27" s="28"/>
      <c r="H27" s="31"/>
      <c r="I27" s="30"/>
      <c r="J27" s="30"/>
      <c r="K27" s="30"/>
      <c r="L27" s="30"/>
      <c r="M27" s="30"/>
      <c r="N27" s="30"/>
      <c r="AMI27" s="0"/>
      <c r="AMJ27" s="0"/>
    </row>
    <row collapsed="false" customFormat="true" customHeight="false" hidden="false" ht="13.6" outlineLevel="0" r="28" s="26">
      <c r="A28" s="26" t="n">
        <v>25</v>
      </c>
      <c r="B28" s="20" t="n">
        <f aca="false">0.1</f>
        <v>0.1</v>
      </c>
      <c r="C28" s="32" t="n">
        <v>1621</v>
      </c>
      <c r="D28" s="32" t="n">
        <v>19</v>
      </c>
      <c r="E28" s="0" t="s">
        <v>78</v>
      </c>
      <c r="F28" s="30"/>
      <c r="G28" s="28"/>
      <c r="H28" s="31"/>
      <c r="I28" s="30"/>
      <c r="J28" s="30"/>
      <c r="K28" s="30"/>
      <c r="L28" s="30"/>
      <c r="M28" s="30"/>
      <c r="N28" s="30"/>
      <c r="AMI28" s="0"/>
      <c r="AMJ28" s="0"/>
    </row>
    <row collapsed="false" customFormat="true" customHeight="false" hidden="false" ht="12.9" outlineLevel="0" r="29" s="26">
      <c r="A29" s="26" t="n">
        <v>24</v>
      </c>
      <c r="B29" s="20" t="n">
        <f aca="false">0.7899</f>
        <v>0.7899</v>
      </c>
      <c r="C29" s="27" t="n">
        <v>0</v>
      </c>
      <c r="D29" s="27"/>
      <c r="E29" s="28"/>
      <c r="F29" s="30"/>
      <c r="G29" s="28"/>
      <c r="H29" s="31"/>
      <c r="I29" s="30"/>
      <c r="J29" s="30"/>
      <c r="K29" s="30"/>
      <c r="L29" s="30"/>
      <c r="M29" s="30"/>
      <c r="N29" s="30"/>
      <c r="AMI29" s="0"/>
      <c r="AMJ29" s="0"/>
    </row>
    <row collapsed="false" customFormat="true" customHeight="false" hidden="false" ht="12.9" outlineLevel="0" r="30" s="26">
      <c r="A30" s="26" t="n">
        <v>2803</v>
      </c>
      <c r="B30" s="33"/>
      <c r="C30" s="27"/>
      <c r="D30" s="27"/>
      <c r="E30" s="28"/>
      <c r="F30" s="29"/>
      <c r="G30" s="29"/>
      <c r="H30" s="30"/>
      <c r="I30" s="30"/>
      <c r="J30" s="30"/>
      <c r="K30" s="30"/>
      <c r="L30" s="30"/>
      <c r="M30" s="30"/>
      <c r="N30" s="30"/>
      <c r="AMI30" s="0"/>
      <c r="AMJ30" s="0"/>
    </row>
    <row collapsed="false" customFormat="true" customHeight="false" hidden="false" ht="12.9" outlineLevel="0" r="31" s="26">
      <c r="A31" s="26" t="n">
        <v>26</v>
      </c>
      <c r="B31" s="20" t="inlineStr">
        <f aca="false">$B27</f>
        <is>
          <t/>
        </is>
      </c>
      <c r="C31" s="27" t="n">
        <f aca="false">C21-C22</f>
        <v>3084.91000008583</v>
      </c>
      <c r="D31" s="27" t="n">
        <f aca="false">SQRT(D21*D21+D22*D22)</f>
        <v>0.226274169979695</v>
      </c>
      <c r="E31" s="28" t="n">
        <f aca="false">E27</f>
        <v>0</v>
      </c>
      <c r="F31" s="30"/>
      <c r="G31" s="28"/>
      <c r="H31" s="31"/>
      <c r="I31" s="30"/>
      <c r="J31" s="30"/>
      <c r="K31" s="30"/>
      <c r="L31" s="30"/>
      <c r="M31" s="30"/>
      <c r="N31" s="30"/>
      <c r="AMI31" s="0"/>
      <c r="AMJ31" s="0"/>
    </row>
    <row collapsed="false" customFormat="true" customHeight="false" hidden="false" ht="12.9" outlineLevel="0" r="32" s="26">
      <c r="A32" s="26" t="n">
        <v>25</v>
      </c>
      <c r="B32" s="20" t="inlineStr">
        <f aca="false">$B28</f>
        <is>
          <t/>
        </is>
      </c>
      <c r="C32" s="32" t="n">
        <v>1620</v>
      </c>
      <c r="D32" s="32" t="n">
        <v>19</v>
      </c>
      <c r="E32" s="28" t="n">
        <f aca="false">E28</f>
        <v>0</v>
      </c>
      <c r="F32" s="30"/>
      <c r="G32" s="28"/>
      <c r="H32" s="31"/>
      <c r="I32" s="30"/>
      <c r="J32" s="30"/>
      <c r="K32" s="30"/>
      <c r="L32" s="30"/>
      <c r="M32" s="30"/>
      <c r="N32" s="30"/>
      <c r="AMI32" s="0"/>
      <c r="AMJ32" s="0"/>
    </row>
    <row collapsed="false" customFormat="true" customHeight="false" hidden="false" ht="12.9" outlineLevel="0" r="33" s="26">
      <c r="A33" s="26" t="n">
        <v>24</v>
      </c>
      <c r="B33" s="20" t="inlineStr">
        <f aca="false">$B29</f>
        <is>
          <t/>
        </is>
      </c>
      <c r="C33" s="27" t="n">
        <v>0</v>
      </c>
      <c r="D33" s="27"/>
      <c r="E33" s="28"/>
      <c r="F33" s="30"/>
      <c r="G33" s="28"/>
      <c r="H33" s="31"/>
      <c r="I33" s="30"/>
      <c r="J33" s="30"/>
      <c r="K33" s="30"/>
      <c r="L33" s="30"/>
      <c r="M33" s="30"/>
      <c r="N33" s="30"/>
      <c r="AMI33" s="0"/>
      <c r="AMJ33" s="0"/>
    </row>
    <row collapsed="false" customFormat="false" customHeight="false" hidden="false" ht="12.9" outlineLevel="0" r="35">
      <c r="A35" s="0" t="s">
        <v>79</v>
      </c>
      <c r="B35" s="8"/>
      <c r="C35" s="8"/>
    </row>
    <row collapsed="false" customFormat="false" customHeight="false" hidden="false" ht="12.9" outlineLevel="0" r="37">
      <c r="A37" s="0" t="s">
        <v>80</v>
      </c>
    </row>
    <row collapsed="false" customFormat="false" customHeight="false" hidden="false" ht="12.9" outlineLevel="0" r="38">
      <c r="A38" s="0" t="s">
        <v>81</v>
      </c>
      <c r="B38" s="0" t="s">
        <v>82</v>
      </c>
      <c r="C38" s="0" t="s">
        <v>83</v>
      </c>
      <c r="D38" s="0" t="s">
        <v>76</v>
      </c>
    </row>
    <row collapsed="false" customFormat="false" customHeight="false" hidden="false" ht="13.6" outlineLevel="0" r="39">
      <c r="A39" s="0" t="s">
        <v>84</v>
      </c>
      <c r="B39" s="3" t="n">
        <v>-596.2544</v>
      </c>
      <c r="C39" s="3" t="n">
        <v>0.0005</v>
      </c>
      <c r="D39" s="0" t="s">
        <v>85</v>
      </c>
    </row>
    <row collapsed="false" customFormat="false" customHeight="false" hidden="false" ht="13.6" outlineLevel="0" r="40">
      <c r="A40" s="0" t="s">
        <v>86</v>
      </c>
      <c r="B40" s="7" t="n">
        <v>-101.7</v>
      </c>
      <c r="C40" s="7" t="n">
        <v>1.5</v>
      </c>
      <c r="D40" s="0" t="s">
        <v>87</v>
      </c>
    </row>
    <row collapsed="false" customFormat="false" customHeight="false" hidden="false" ht="12.9" outlineLevel="0" r="41">
      <c r="A41" s="0" t="s">
        <v>88</v>
      </c>
      <c r="B41" s="7" t="n">
        <v>-18.89</v>
      </c>
      <c r="C41" s="7" t="n">
        <v>1</v>
      </c>
      <c r="D41" s="0" t="n">
        <f aca="false">D40</f>
        <v>0</v>
      </c>
    </row>
    <row collapsed="false" customFormat="false" customHeight="false" hidden="false" ht="13.6" outlineLevel="0" r="42">
      <c r="A42" s="0" t="s">
        <v>88</v>
      </c>
      <c r="B42" s="8" t="n">
        <v>-22.91</v>
      </c>
      <c r="C42" s="8" t="n">
        <v>1</v>
      </c>
      <c r="D42" s="0" t="s">
        <v>89</v>
      </c>
    </row>
    <row collapsed="false" customFormat="false" customHeight="false" hidden="false" ht="13.6" outlineLevel="0" r="43">
      <c r="D43" s="0" t="s">
        <v>90</v>
      </c>
    </row>
    <row collapsed="false" customFormat="false" customHeight="false" hidden="false" ht="12.9" outlineLevel="0" r="44">
      <c r="A44" s="0" t="s">
        <v>91</v>
      </c>
    </row>
    <row collapsed="false" customFormat="true" customHeight="false" hidden="false" ht="13.6" outlineLevel="0" r="45" s="15">
      <c r="A45" s="15" t="s">
        <v>92</v>
      </c>
      <c r="B45" s="15" t="s">
        <v>93</v>
      </c>
      <c r="C45" s="15" t="s">
        <v>94</v>
      </c>
      <c r="D45" s="15" t="s">
        <v>95</v>
      </c>
      <c r="E45" s="15" t="s">
        <v>96</v>
      </c>
      <c r="F45" s="15" t="s">
        <v>97</v>
      </c>
      <c r="G45" s="15" t="s">
        <v>98</v>
      </c>
      <c r="H45" s="15" t="s">
        <v>99</v>
      </c>
      <c r="I45" s="15" t="s">
        <v>100</v>
      </c>
      <c r="J45" s="15" t="s">
        <v>101</v>
      </c>
      <c r="K45" s="15" t="s">
        <v>102</v>
      </c>
    </row>
    <row collapsed="false" customFormat="false" customHeight="false" hidden="false" ht="12.9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7" t="n">
        <f aca="false">(3*D46*(D46+1)-4*C46*(C46+1)*A46*(A46+1))/(2*C46*(2*C46-1)*2*A46*(2*A46-1))</f>
        <v>0.5</v>
      </c>
      <c r="F46" s="0" t="n">
        <f aca="false">B41*D46/2</f>
        <v>-70.8375</v>
      </c>
      <c r="G46" s="8" t="n">
        <f aca="false">ABS(C41*D46/2)</f>
        <v>3.75</v>
      </c>
      <c r="H46" s="8" t="n">
        <f aca="false">B42*E46/2</f>
        <v>-5.7275</v>
      </c>
      <c r="I46" s="8" t="n">
        <f aca="false">ABS(C42*E46/2)</f>
        <v>0.25</v>
      </c>
      <c r="J46" s="8" t="n">
        <f aca="false">F46+H46</f>
        <v>-76.565</v>
      </c>
      <c r="K46" s="3" t="n">
        <f aca="false">SQRT(G46*G46+I46*I46)</f>
        <v>3.75832409459323</v>
      </c>
    </row>
    <row collapsed="false" customFormat="false" customHeight="false" hidden="false" ht="12.9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7" t="n">
        <f aca="false">(3*D47*(D47+1)-4*C47*(C47+1)*A47*(A47+1))/(2*C47*(2*C47-1)*2*A47*(2*A47-1))</f>
        <v>-1.1</v>
      </c>
      <c r="F47" s="0" t="n">
        <f aca="false">B41*D47/2</f>
        <v>4.7225</v>
      </c>
      <c r="G47" s="8" t="n">
        <f aca="false">ABS(C41*D47/2)</f>
        <v>0.25</v>
      </c>
      <c r="H47" s="8" t="n">
        <f aca="false">B42*E47/2</f>
        <v>12.6005</v>
      </c>
      <c r="I47" s="8" t="n">
        <f aca="false">ABS(C42*E47/2)</f>
        <v>0.55</v>
      </c>
      <c r="J47" s="8" t="n">
        <f aca="false">F47+H47</f>
        <v>17.323</v>
      </c>
      <c r="K47" s="3" t="n">
        <f aca="false">SQRT(G47*G47+I47*I47)</f>
        <v>0.604152298679729</v>
      </c>
    </row>
    <row collapsed="false" customFormat="false" customHeight="false" hidden="false" ht="12.9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7" t="n">
        <f aca="false">(3*D48*(D48+1)-4*C48*(C48+1)*A48*(A48+1))/(2*C48*(2*C48-1)*2*A48*(2*A48-1))</f>
        <v>-0.2</v>
      </c>
      <c r="F48" s="0" t="n">
        <f aca="false">B41*D48/2</f>
        <v>61.3925</v>
      </c>
      <c r="G48" s="8" t="n">
        <f aca="false">ABS(C41*D48/2)</f>
        <v>3.25</v>
      </c>
      <c r="H48" s="8" t="n">
        <f aca="false">B42*E48/2</f>
        <v>2.291</v>
      </c>
      <c r="I48" s="8" t="n">
        <f aca="false">ABS(C42*E48/2)</f>
        <v>0.1</v>
      </c>
      <c r="J48" s="8" t="n">
        <f aca="false">F48+H48</f>
        <v>63.6835</v>
      </c>
      <c r="K48" s="3" t="n">
        <f aca="false">SQRT(G48*G48+I48*I48)</f>
        <v>3.25153809757782</v>
      </c>
    </row>
    <row collapsed="false" customFormat="false" customHeight="false" hidden="false" ht="12.9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7" t="n">
        <f aca="false">(3*D49*(D49+1)-4*C49*(C49+1)*A49*(A49+1))/(2*C49*(2*C49-1)*2*A49*(2*A49-1))</f>
        <v>1.4</v>
      </c>
      <c r="F49" s="0" t="n">
        <f aca="false">B41*D49/2</f>
        <v>99.1725</v>
      </c>
      <c r="G49" s="8" t="n">
        <f aca="false">ABS(C41*D49/2)</f>
        <v>5.25</v>
      </c>
      <c r="H49" s="8" t="n">
        <f aca="false">B42*E49/2</f>
        <v>-16.037</v>
      </c>
      <c r="I49" s="8" t="n">
        <f aca="false">ABS(C42*E49/2)</f>
        <v>0.7</v>
      </c>
      <c r="J49" s="8" t="n">
        <f aca="false">F49+H49</f>
        <v>83.1355</v>
      </c>
      <c r="K49" s="3" t="n">
        <f aca="false">SQRT(G49*G49+I49*I49)</f>
        <v>5.29646108264755</v>
      </c>
    </row>
    <row collapsed="false" customFormat="false" customHeight="false" hidden="false" ht="12.9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7" t="n">
        <f aca="false">0</f>
        <v>0</v>
      </c>
      <c r="F50" s="0" t="n">
        <f aca="false">B40*D50/2</f>
        <v>-127.125</v>
      </c>
      <c r="G50" s="8" t="n">
        <f aca="false">ABS(C40*D50/2)</f>
        <v>1.875</v>
      </c>
      <c r="H50" s="8" t="n">
        <f aca="false">0</f>
        <v>0</v>
      </c>
      <c r="I50" s="8" t="n">
        <f aca="false">0</f>
        <v>0</v>
      </c>
      <c r="J50" s="8" t="n">
        <f aca="false">F50+H50</f>
        <v>-127.125</v>
      </c>
      <c r="K50" s="3" t="n">
        <f aca="false">SQRT(G50*G50+I50*I50)</f>
        <v>1.875</v>
      </c>
    </row>
    <row collapsed="false" customFormat="false" customHeight="false" hidden="false" ht="12.9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7" t="n">
        <f aca="false">0</f>
        <v>0</v>
      </c>
      <c r="F51" s="0" t="n">
        <f aca="false">B40*D51/2</f>
        <v>177.975</v>
      </c>
      <c r="G51" s="8" t="n">
        <f aca="false">ABS(C40*D51/2)</f>
        <v>2.625</v>
      </c>
      <c r="H51" s="8" t="n">
        <f aca="false">0</f>
        <v>0</v>
      </c>
      <c r="I51" s="8" t="n">
        <f aca="false">0</f>
        <v>0</v>
      </c>
      <c r="J51" s="8" t="n">
        <f aca="false">F51+H51</f>
        <v>177.975</v>
      </c>
      <c r="K51" s="3" t="n">
        <f aca="false">SQRT(G51*G51+I51*I51)</f>
        <v>2.625</v>
      </c>
    </row>
    <row collapsed="false" customFormat="false" customHeight="false" hidden="false" ht="12.9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7" t="n">
        <f aca="false">0</f>
        <v>0</v>
      </c>
      <c r="F52" s="3" t="n">
        <f aca="false">B39*D52/2</f>
        <v>-745.318</v>
      </c>
      <c r="G52" s="3" t="n">
        <f aca="false">ABS(C39*D52/2)</f>
        <v>0.000625</v>
      </c>
      <c r="H52" s="3" t="n">
        <f aca="false">0</f>
        <v>0</v>
      </c>
      <c r="I52" s="3" t="n">
        <f aca="false">0</f>
        <v>0</v>
      </c>
      <c r="J52" s="3" t="n">
        <f aca="false">F52+H52</f>
        <v>-745.318</v>
      </c>
      <c r="K52" s="3" t="n">
        <f aca="false">SQRT(G52*G52+I52*I52)</f>
        <v>0.000625</v>
      </c>
    </row>
    <row collapsed="false" customFormat="false" customHeight="false" hidden="false" ht="12.9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7" t="n">
        <f aca="false">0</f>
        <v>0</v>
      </c>
      <c r="F53" s="3" t="n">
        <f aca="false">B39*D53/2</f>
        <v>1043.4452</v>
      </c>
      <c r="G53" s="3" t="n">
        <f aca="false">ABS(C39*D53/2)</f>
        <v>0.000875</v>
      </c>
      <c r="H53" s="3" t="n">
        <f aca="false">0</f>
        <v>0</v>
      </c>
      <c r="I53" s="3" t="n">
        <f aca="false">0</f>
        <v>0</v>
      </c>
      <c r="J53" s="3" t="n">
        <f aca="false">F53+H53</f>
        <v>1043.4452</v>
      </c>
      <c r="K53" s="3" t="n">
        <f aca="false">SQRT(G53*G53+I53*I53)</f>
        <v>0.000875</v>
      </c>
    </row>
    <row collapsed="false" customFormat="false" customHeight="false" hidden="false" ht="12.9" outlineLevel="0" r="55">
      <c r="A55" s="0" t="s">
        <v>103</v>
      </c>
    </row>
    <row collapsed="false" customFormat="false" customHeight="false" hidden="false" ht="13.6" outlineLevel="0" r="56">
      <c r="A56" s="0" t="s">
        <v>104</v>
      </c>
      <c r="B56" s="0" t="s">
        <v>105</v>
      </c>
      <c r="C56" s="34" t="s">
        <v>69</v>
      </c>
      <c r="D56" s="0" t="s">
        <v>106</v>
      </c>
      <c r="E56" s="0" t="s">
        <v>107</v>
      </c>
      <c r="F56" s="0" t="s">
        <v>108</v>
      </c>
      <c r="G56" s="0" t="s">
        <v>109</v>
      </c>
      <c r="H56" s="0" t="s">
        <v>110</v>
      </c>
      <c r="I56" s="0" t="s">
        <v>111</v>
      </c>
      <c r="J56" s="0" t="s">
        <v>112</v>
      </c>
      <c r="K56" s="0" t="s">
        <v>113</v>
      </c>
      <c r="L56" s="0" t="s">
        <v>107</v>
      </c>
      <c r="M56" s="0" t="s">
        <v>108</v>
      </c>
      <c r="N56" s="0" t="s">
        <v>109</v>
      </c>
      <c r="O56" s="0" t="s">
        <v>110</v>
      </c>
    </row>
    <row collapsed="false" customFormat="false" customHeight="false" hidden="false" ht="12.9" outlineLevel="0" r="57">
      <c r="A57" s="0" t="n">
        <f aca="false">2</f>
        <v>2</v>
      </c>
      <c r="B57" s="0" t="n">
        <v>4</v>
      </c>
      <c r="C57" s="35" t="n">
        <f aca="false">$C$20+$C$28+J46-J53</f>
        <v>1072083435.3198</v>
      </c>
      <c r="D57" s="35" t="n">
        <f aca="false">SQRT($D$20*$D$20+$D$28*$D$28+K46*K46+K53*K53)</f>
        <v>19.3688048357565</v>
      </c>
      <c r="E57" s="12" t="n">
        <f aca="false">C57*10000/299792458</f>
        <v>35760.8541079376</v>
      </c>
      <c r="F57" s="12" t="n">
        <f aca="false">D57*10000/299792458</f>
        <v>0.000646073786010871</v>
      </c>
      <c r="G57" s="4" t="n">
        <f aca="false">100000000/E57</f>
        <v>2796.35379228271</v>
      </c>
      <c r="H57" s="4" t="n">
        <f aca="false">F57/E57*G57</f>
        <v>5.0520350441097E-005</v>
      </c>
      <c r="I57" s="0" t="s">
        <v>114</v>
      </c>
      <c r="L57" s="4"/>
      <c r="M57" s="4"/>
      <c r="N57" s="6"/>
      <c r="O57" s="6"/>
    </row>
    <row collapsed="false" customFormat="false" customHeight="false" hidden="false" ht="12.9" outlineLevel="0" r="58">
      <c r="A58" s="0" t="n">
        <f aca="false">2</f>
        <v>2</v>
      </c>
      <c r="B58" s="0" t="n">
        <v>3</v>
      </c>
      <c r="C58" s="35" t="n">
        <f aca="false">$C$20+$C$28+J47-J53</f>
        <v>1072083529.2078</v>
      </c>
      <c r="D58" s="35" t="n">
        <f aca="false">SQRT($D$20*$D$20+$D$28*$D$28+K47*K47+K53*K53)</f>
        <v>19.0102761885677</v>
      </c>
      <c r="E58" s="12" t="n">
        <f aca="false">C58*10000/299792458</f>
        <v>35760.8572397041</v>
      </c>
      <c r="F58" s="12" t="n">
        <f aca="false">D58*10000/299792458</f>
        <v>0.000634114557630657</v>
      </c>
      <c r="G58" s="4" t="n">
        <f aca="false">100000000/E58</f>
        <v>2796.35354739128</v>
      </c>
      <c r="H58" s="4" t="n">
        <f aca="false">F58/E58*G58</f>
        <v>4.9585178587783E-005</v>
      </c>
      <c r="J58" s="0" t="n">
        <f aca="false">2*B58+1</f>
        <v>7</v>
      </c>
      <c r="K58" s="36" t="n">
        <f aca="false">2*A58+1</f>
        <v>5</v>
      </c>
      <c r="L58" s="37" t="n">
        <f aca="false">SUMPRODUCT($E$58:$E$60,$J$58:$J$60)/SUM($J58:$J60)</f>
        <v>35760.8581942312</v>
      </c>
      <c r="M58" s="38" t="n">
        <f aca="false">SQRT(($F$58*$F$58*$J$58+$F$59*$F$59*$J$59+$F$60*$F$60*$J$60)/SUM($J$58:$J$60))</f>
        <v>0.000641909934258882</v>
      </c>
      <c r="N58" s="39" t="n">
        <f aca="false">100000000/L58</f>
        <v>2796.35347275116</v>
      </c>
      <c r="O58" s="39" t="n">
        <f aca="false">M58/L58*N58</f>
        <v>5.01947426459653E-005</v>
      </c>
    </row>
    <row collapsed="false" customFormat="false" customHeight="false" hidden="false" ht="12.9" outlineLevel="0" r="59">
      <c r="A59" s="0" t="n">
        <f aca="false">2</f>
        <v>2</v>
      </c>
      <c r="B59" s="0" t="n">
        <v>2</v>
      </c>
      <c r="C59" s="35" t="n">
        <f aca="false">$C$20+$C$28+J48-J53</f>
        <v>1072083575.5683</v>
      </c>
      <c r="D59" s="35" t="n">
        <f aca="false">SQRT($D$20*$D$20+$D$28*$D$28+K48*K48+K53*K53)</f>
        <v>19.2768799541219</v>
      </c>
      <c r="E59" s="12" t="n">
        <f aca="false">C59*10000/299792458</f>
        <v>35760.858786124</v>
      </c>
      <c r="F59" s="12" t="n">
        <f aca="false">D59*10000/299792458</f>
        <v>0.000643007502014005</v>
      </c>
      <c r="G59" s="4" t="n">
        <f aca="false">100000000/E59</f>
        <v>2796.35342646755</v>
      </c>
      <c r="H59" s="4" t="n">
        <f aca="false">F59/E59*G59</f>
        <v>5.02805663100825E-005</v>
      </c>
      <c r="J59" s="0" t="n">
        <f aca="false">2*B59+1</f>
        <v>5</v>
      </c>
      <c r="K59" s="36"/>
      <c r="L59" s="37"/>
      <c r="M59" s="37"/>
      <c r="N59" s="39"/>
      <c r="O59" s="39"/>
    </row>
    <row collapsed="false" customFormat="false" customHeight="false" hidden="false" ht="12.9" outlineLevel="0" r="60">
      <c r="A60" s="0" t="n">
        <f aca="false">2</f>
        <v>2</v>
      </c>
      <c r="B60" s="0" t="n">
        <v>1</v>
      </c>
      <c r="C60" s="35" t="n">
        <f aca="false">$C$20+$C$28+J49-J53</f>
        <v>1072083595.0203</v>
      </c>
      <c r="D60" s="35" t="n">
        <f aca="false">SQRT($D$20*$D$20+$D$28*$D$28+K49*K49+K53*K53)</f>
        <v>19.7250627569502</v>
      </c>
      <c r="E60" s="12" t="n">
        <f aca="false">C60*10000/299792458</f>
        <v>35760.8594349728</v>
      </c>
      <c r="F60" s="12" t="n">
        <f aca="false">D60*10000/299792458</f>
        <v>0.000657957271124887</v>
      </c>
      <c r="G60" s="4" t="n">
        <f aca="false">100000000/E60</f>
        <v>2796.35337573021</v>
      </c>
      <c r="H60" s="4" t="n">
        <f aca="false">F60/E60*G60</f>
        <v>5.14495754650958E-005</v>
      </c>
      <c r="J60" s="0" t="n">
        <f aca="false">2*B60+1</f>
        <v>3</v>
      </c>
      <c r="K60" s="36"/>
      <c r="L60" s="37"/>
      <c r="M60" s="37"/>
      <c r="N60" s="39"/>
      <c r="O60" s="39"/>
    </row>
    <row collapsed="false" customFormat="false" customHeight="false" hidden="false" ht="12.9" outlineLevel="0" r="61">
      <c r="A61" s="0" t="n">
        <f aca="false">3</f>
        <v>3</v>
      </c>
      <c r="B61" s="0" t="n">
        <v>4</v>
      </c>
      <c r="C61" s="35" t="n">
        <f aca="false">$C$20+$C$28+J46-J52</f>
        <v>1072085224.083</v>
      </c>
      <c r="D61" s="35" t="n">
        <f aca="false">SQRT($D$20*$D$20+$D$28*$D$28+K46*K46+K52*K52)</f>
        <v>19.368804826076</v>
      </c>
      <c r="E61" s="12" t="n">
        <f aca="false">C61*10000/299792458</f>
        <v>35760.9137746554</v>
      </c>
      <c r="F61" s="12" t="n">
        <f aca="false">D61*10000/299792458</f>
        <v>0.000646073785687964</v>
      </c>
      <c r="G61" s="4" t="n">
        <f aca="false">100000000/E61</f>
        <v>2796.34912659509</v>
      </c>
      <c r="H61" s="4" t="n">
        <f aca="false">F61/E61*G61</f>
        <v>5.05201818306146E-005</v>
      </c>
      <c r="J61" s="0" t="n">
        <f aca="false">2*B61+1</f>
        <v>9</v>
      </c>
      <c r="K61" s="36" t="n">
        <f aca="false">2*A61+1</f>
        <v>7</v>
      </c>
      <c r="L61" s="37" t="n">
        <f aca="false">SUMPRODUCT($E$61:$E$63,$J$61:$J$63)/SUM($J$61:$J$63)</f>
        <v>35760.9159324315</v>
      </c>
      <c r="M61" s="38" t="n">
        <f aca="false">SQRT(($F$61*$F$61*$J$61+$F$62*$F$62*$J$62+$F$63*$F$63*$J$63)/SUM($J$61:$J$63))</f>
        <v>0.000641378877983728</v>
      </c>
      <c r="N61" s="39" t="n">
        <f aca="false">100000000/L61</f>
        <v>2796.34895786632</v>
      </c>
      <c r="O61" s="39" t="n">
        <f aca="false">M61/L61*N61</f>
        <v>5.01530542572242E-005</v>
      </c>
    </row>
    <row collapsed="false" customFormat="false" customHeight="false" hidden="false" ht="12.9" outlineLevel="0" r="62">
      <c r="A62" s="0" t="n">
        <f aca="false">3</f>
        <v>3</v>
      </c>
      <c r="B62" s="0" t="n">
        <v>3</v>
      </c>
      <c r="C62" s="35" t="n">
        <f aca="false">$C$20+$C$28+J47-J52</f>
        <v>1072085317.971</v>
      </c>
      <c r="D62" s="35" t="n">
        <f aca="false">SQRT($D$20*$D$20+$D$28*$D$28+K47*K47+K52*K52)</f>
        <v>19.0102761787046</v>
      </c>
      <c r="E62" s="12" t="n">
        <f aca="false">C62*10000/299792458</f>
        <v>35760.916906422</v>
      </c>
      <c r="F62" s="12" t="n">
        <f aca="false">D62*10000/299792458</f>
        <v>0.00063411455730166</v>
      </c>
      <c r="G62" s="4" t="n">
        <f aca="false">100000000/E62</f>
        <v>2796.34888170448</v>
      </c>
      <c r="H62" s="4" t="n">
        <f aca="false">F62/E62*G62</f>
        <v>4.95850130974856E-005</v>
      </c>
      <c r="J62" s="0" t="n">
        <f aca="false">2*B62+1</f>
        <v>7</v>
      </c>
      <c r="K62" s="36"/>
      <c r="L62" s="37"/>
      <c r="M62" s="37"/>
      <c r="N62" s="39"/>
      <c r="O62" s="39"/>
    </row>
    <row collapsed="false" customFormat="false" customHeight="false" hidden="false" ht="12.9" outlineLevel="0" r="63">
      <c r="A63" s="0" t="n">
        <f aca="false">3</f>
        <v>3</v>
      </c>
      <c r="B63" s="0" t="n">
        <v>2</v>
      </c>
      <c r="C63" s="35" t="n">
        <f aca="false">$C$20+$C$28+J48-J52</f>
        <v>1072085364.3315</v>
      </c>
      <c r="D63" s="35" t="n">
        <f aca="false">SQRT($D$20*$D$20+$D$28*$D$28+K48*K48+K52*K52)</f>
        <v>19.2768799443952</v>
      </c>
      <c r="E63" s="12" t="n">
        <f aca="false">C63*10000/299792458</f>
        <v>35760.9184528418</v>
      </c>
      <c r="F63" s="12" t="n">
        <f aca="false">D63*10000/299792458</f>
        <v>0.000643007501689558</v>
      </c>
      <c r="G63" s="4" t="n">
        <f aca="false">100000000/E63</f>
        <v>2796.34876078115</v>
      </c>
      <c r="H63" s="4" t="n">
        <f aca="false">F63/E63*G63</f>
        <v>5.02803984996558E-005</v>
      </c>
      <c r="J63" s="0" t="n">
        <f aca="false">2*B63+1</f>
        <v>5</v>
      </c>
      <c r="K63" s="36"/>
      <c r="L63" s="37"/>
      <c r="M63" s="37"/>
      <c r="N63" s="39"/>
      <c r="O63" s="39"/>
    </row>
    <row collapsed="false" customFormat="false" customHeight="false" hidden="false" ht="12.9" outlineLevel="0" r="64">
      <c r="A64" s="0" t="n">
        <f aca="false">3</f>
        <v>3</v>
      </c>
      <c r="B64" s="0" t="n">
        <v>1</v>
      </c>
      <c r="C64" s="35" t="n">
        <f aca="false">$C$20+$C$28+J49-J52</f>
        <v>1072085383.7835</v>
      </c>
      <c r="D64" s="35" t="n">
        <f aca="false">SQRT($D$20*$D$20+$D$28*$D$28+K49*K49+K52*K52)</f>
        <v>19.7250627474446</v>
      </c>
      <c r="E64" s="12" t="n">
        <f aca="false">C64*10000/299792458</f>
        <v>35760.9191016907</v>
      </c>
      <c r="F64" s="12" t="n">
        <f aca="false">D64*10000/299792458</f>
        <v>0.000657957270807812</v>
      </c>
      <c r="G64" s="4" t="n">
        <f aca="false">100000000/E64</f>
        <v>2796.34871004398</v>
      </c>
      <c r="H64" s="4" t="n">
        <f aca="false">F64/E64*G64</f>
        <v>5.14494037542928E-005</v>
      </c>
      <c r="I64" s="0" t="s">
        <v>114</v>
      </c>
      <c r="K64" s="4"/>
      <c r="L64" s="4"/>
      <c r="M64" s="6"/>
      <c r="N64" s="6"/>
    </row>
    <row collapsed="false" customFormat="false" customHeight="false" hidden="false" ht="12.9" outlineLevel="0" r="65">
      <c r="C65" s="35"/>
      <c r="D65" s="35"/>
      <c r="E65" s="12"/>
      <c r="F65" s="12"/>
      <c r="G65" s="4"/>
      <c r="H65" s="4"/>
      <c r="K65" s="4"/>
      <c r="L65" s="4"/>
      <c r="M65" s="6"/>
      <c r="N65" s="6"/>
    </row>
    <row collapsed="false" customFormat="false" customHeight="false" hidden="false" ht="12.9" outlineLevel="0" r="66">
      <c r="A66" s="0" t="s">
        <v>115</v>
      </c>
    </row>
    <row collapsed="false" customFormat="false" customHeight="false" hidden="false" ht="13.6" outlineLevel="0" r="67">
      <c r="A67" s="0" t="s">
        <v>104</v>
      </c>
      <c r="B67" s="0" t="s">
        <v>105</v>
      </c>
      <c r="C67" s="0" t="s">
        <v>69</v>
      </c>
      <c r="D67" s="0" t="s">
        <v>106</v>
      </c>
      <c r="E67" s="0" t="s">
        <v>107</v>
      </c>
      <c r="F67" s="0" t="s">
        <v>108</v>
      </c>
      <c r="G67" s="0" t="s">
        <v>109</v>
      </c>
      <c r="H67" s="0" t="s">
        <v>110</v>
      </c>
      <c r="I67" s="0" t="s">
        <v>111</v>
      </c>
      <c r="J67" s="0" t="s">
        <v>112</v>
      </c>
      <c r="K67" s="0" t="s">
        <v>113</v>
      </c>
      <c r="L67" s="0" t="s">
        <v>107</v>
      </c>
      <c r="M67" s="0" t="s">
        <v>108</v>
      </c>
      <c r="N67" s="0" t="s">
        <v>109</v>
      </c>
      <c r="O67" s="0" t="s">
        <v>110</v>
      </c>
    </row>
    <row collapsed="false" customFormat="false" customHeight="false" hidden="false" ht="12.9" outlineLevel="0" r="68">
      <c r="A68" s="0" t="n">
        <f aca="false">2</f>
        <v>2</v>
      </c>
      <c r="B68" s="0" t="n">
        <f aca="false">3</f>
        <v>3</v>
      </c>
      <c r="C68" s="35" t="n">
        <f aca="false">$C$22+$C$32+J50-J53</f>
        <v>1069338791.9898</v>
      </c>
      <c r="D68" s="35" t="n">
        <f aca="false">SQRT($D$22*$D$22+$D$32*$D$32+K50*K50+K53*K53)</f>
        <v>19.0929627288597</v>
      </c>
      <c r="E68" s="12" t="n">
        <f aca="false">C68*10000/299792458</f>
        <v>35669.3026610363</v>
      </c>
      <c r="F68" s="12" t="n">
        <f aca="false">D68*10000/299792458</f>
        <v>0.000636872683730412</v>
      </c>
      <c r="G68" s="4" t="n">
        <f aca="false">100000000/E68</f>
        <v>2803.53111890903</v>
      </c>
      <c r="H68" s="4" t="n">
        <f aca="false">F68/E68*G68</f>
        <v>5.00568347127157E-005</v>
      </c>
      <c r="J68" s="0" t="n">
        <f aca="false">2*B68+1</f>
        <v>7</v>
      </c>
      <c r="K68" s="36" t="n">
        <f aca="false">2*A68+1</f>
        <v>5</v>
      </c>
      <c r="L68" s="38" t="n">
        <f aca="false">SUMPRODUCT(E68:E69,J68:J69)/SUM(J68:J69)</f>
        <v>35669.3069014698</v>
      </c>
      <c r="M68" s="38" t="n">
        <f aca="false">SQRT((F68*F68*J68+F69*F69*J69)/SUM(J68:J69))</f>
        <v>0.000638099897683194</v>
      </c>
      <c r="N68" s="40" t="n">
        <f aca="false">100000000/L68</f>
        <v>2803.53078562004</v>
      </c>
      <c r="O68" s="40" t="n">
        <f aca="false">M68/L68*N68</f>
        <v>5.01532791875504E-005</v>
      </c>
    </row>
    <row collapsed="false" customFormat="false" customHeight="false" hidden="false" ht="12.9" outlineLevel="0" r="69">
      <c r="A69" s="0" t="n">
        <f aca="false">2</f>
        <v>2</v>
      </c>
      <c r="B69" s="0" t="n">
        <f aca="false">2</f>
        <v>2</v>
      </c>
      <c r="C69" s="35" t="n">
        <f aca="false">$C$22+$C$32+J51-J53</f>
        <v>1069339097.0898</v>
      </c>
      <c r="D69" s="35" t="n">
        <f aca="false">SQRT($D$22*$D$22+$D$32*$D$32+K51*K51+K53*K53)</f>
        <v>19.1811424520445</v>
      </c>
      <c r="E69" s="12" t="n">
        <f aca="false">C69*10000/299792458</f>
        <v>35669.3128380768</v>
      </c>
      <c r="F69" s="12" t="n">
        <f aca="false">D69*10000/299792458</f>
        <v>0.00063981404268831</v>
      </c>
      <c r="G69" s="4" t="n">
        <f aca="false">100000000/E69</f>
        <v>2803.53031901558</v>
      </c>
      <c r="H69" s="4" t="n">
        <f aca="false">F69/E69*G69</f>
        <v>5.02879905579173E-005</v>
      </c>
      <c r="J69" s="0" t="n">
        <f aca="false">2*B69+1</f>
        <v>5</v>
      </c>
      <c r="K69" s="36"/>
      <c r="L69" s="38"/>
      <c r="M69" s="38"/>
      <c r="N69" s="40"/>
      <c r="O69" s="40"/>
    </row>
    <row collapsed="false" customFormat="false" customHeight="false" hidden="false" ht="12.9" outlineLevel="0" r="70">
      <c r="A70" s="0" t="n">
        <f aca="false">3</f>
        <v>3</v>
      </c>
      <c r="B70" s="0" t="n">
        <f aca="false">3</f>
        <v>3</v>
      </c>
      <c r="C70" s="35" t="n">
        <f aca="false">$C$22+$C$32+J50-J52</f>
        <v>1069340580.753</v>
      </c>
      <c r="D70" s="35" t="n">
        <f aca="false">SQRT($D$22*$D$22+$D$32*$D$32+K50*K50+K52*K52)</f>
        <v>19.0929627190393</v>
      </c>
      <c r="E70" s="12" t="n">
        <f aca="false">C70*10000/299792458</f>
        <v>35669.3623277541</v>
      </c>
      <c r="F70" s="12" t="n">
        <f aca="false">D70*10000/299792458</f>
        <v>0.00063687268340284</v>
      </c>
      <c r="G70" s="4" t="n">
        <f aca="false">100000000/E70</f>
        <v>2803.52642924011</v>
      </c>
      <c r="H70" s="4" t="n">
        <f aca="false">F70/E70*G70</f>
        <v>5.00566672197459E-005</v>
      </c>
      <c r="J70" s="0" t="n">
        <f aca="false">2*B70+1</f>
        <v>7</v>
      </c>
      <c r="K70" s="36" t="n">
        <f aca="false">2*A70+1</f>
        <v>7</v>
      </c>
      <c r="L70" s="38" t="n">
        <f aca="false">SUMPRODUCT(E70:E71,J70:J71)/SUM(J70:J71)</f>
        <v>35669.3665681876</v>
      </c>
      <c r="M70" s="38" t="n">
        <f aca="false">SQRT((F70*F70*J70+F71*F71*J71)/SUM(J70:J71))</f>
        <v>0.000638099897356252</v>
      </c>
      <c r="N70" s="40" t="n">
        <f aca="false">100000000/L70</f>
        <v>2803.52609595223</v>
      </c>
      <c r="O70" s="40" t="n">
        <f aca="false">M70/L70*N70</f>
        <v>5.0153111371991E-005</v>
      </c>
    </row>
    <row collapsed="false" customFormat="false" customHeight="false" hidden="false" ht="12.9" outlineLevel="0" r="71">
      <c r="A71" s="0" t="n">
        <f aca="false">3</f>
        <v>3</v>
      </c>
      <c r="B71" s="0" t="n">
        <f aca="false">2</f>
        <v>2</v>
      </c>
      <c r="C71" s="35" t="n">
        <f aca="false">$C$22+$C$32+J51-J52</f>
        <v>1069340885.853</v>
      </c>
      <c r="D71" s="35" t="n">
        <f aca="false">SQRT($D$22*$D$22+$D$32*$D$32+K51*K51+K52*K52)</f>
        <v>19.1811424422693</v>
      </c>
      <c r="E71" s="12" t="n">
        <f aca="false">C71*10000/299792458</f>
        <v>35669.3725047946</v>
      </c>
      <c r="F71" s="12" t="n">
        <f aca="false">D71*10000/299792458</f>
        <v>0.000639814042362243</v>
      </c>
      <c r="G71" s="4" t="n">
        <f aca="false">100000000/E71</f>
        <v>2803.52562934933</v>
      </c>
      <c r="H71" s="4" t="n">
        <f aca="false">F71/E71*G71</f>
        <v>5.02878222917724E-005</v>
      </c>
      <c r="J71" s="0" t="n">
        <f aca="false">2*B71+1</f>
        <v>5</v>
      </c>
      <c r="K71" s="36"/>
      <c r="L71" s="38"/>
      <c r="M71" s="38"/>
      <c r="N71" s="40"/>
      <c r="O71" s="40"/>
    </row>
    <row collapsed="false" customFormat="true" customHeight="false" hidden="false" ht="47.7" outlineLevel="0" r="73" s="15">
      <c r="A73" s="15" t="s">
        <v>72</v>
      </c>
      <c r="B73" s="15" t="s">
        <v>73</v>
      </c>
      <c r="C73" s="41" t="s">
        <v>107</v>
      </c>
      <c r="D73" s="15" t="s">
        <v>116</v>
      </c>
      <c r="E73" s="15" t="s">
        <v>117</v>
      </c>
      <c r="F73" s="42" t="s">
        <v>118</v>
      </c>
      <c r="AMI73" s="0"/>
      <c r="AMJ73" s="0"/>
    </row>
    <row collapsed="false" customFormat="true" customHeight="false" hidden="false" ht="12.9" outlineLevel="0" r="74" s="26">
      <c r="A74" s="26" t="n">
        <v>2796</v>
      </c>
      <c r="B74" s="13" t="s">
        <v>46</v>
      </c>
      <c r="C74" s="29" t="n">
        <f aca="false">SUMPRODUCT(C75:C78,B75:B78)</f>
        <v>35760.8541837195</v>
      </c>
      <c r="D74" s="29" t="n">
        <f aca="false">SQRT(B75*D75*D75+B76*D76*D76+B77*D77*D77+B78*D78*D78)</f>
        <v>0.000202954964816538</v>
      </c>
      <c r="E74" s="30" t="n">
        <f aca="false">100000000/C74</f>
        <v>2796.35378635687</v>
      </c>
      <c r="F74" s="30" t="n">
        <f aca="false">D74/C74*E74</f>
        <v>1.58702552631706E-005</v>
      </c>
      <c r="G74" s="30"/>
      <c r="H74" s="30"/>
      <c r="I74" s="30"/>
      <c r="J74" s="30"/>
      <c r="K74" s="30"/>
      <c r="L74" s="30"/>
      <c r="AMG74" s="0"/>
      <c r="AMH74" s="0"/>
      <c r="AMI74" s="0"/>
      <c r="AMJ74" s="0"/>
    </row>
    <row collapsed="false" customFormat="true" customHeight="false" hidden="false" ht="12.9" outlineLevel="0" r="75" s="26">
      <c r="A75" s="26" t="n">
        <v>26</v>
      </c>
      <c r="B75" s="20" t="inlineStr">
        <f aca="false">$B$27</f>
        <is>
          <t/>
        </is>
      </c>
      <c r="C75" s="31" t="n">
        <f aca="false">H$19</f>
        <v>35760.9403866324</v>
      </c>
      <c r="D75" s="31" t="n">
        <f aca="false">I$19</f>
        <v>5.33702552317043E-006</v>
      </c>
      <c r="E75" s="43" t="n">
        <f aca="false">100000000/C75</f>
        <v>2796.34704565489</v>
      </c>
      <c r="F75" s="43" t="n">
        <f aca="false">D75/C75*E75</f>
        <v>4.17331742201083E-007</v>
      </c>
      <c r="G75" s="30"/>
      <c r="H75" s="30"/>
      <c r="I75" s="30"/>
      <c r="J75" s="30"/>
      <c r="K75" s="30"/>
      <c r="L75" s="30"/>
      <c r="AMG75" s="0"/>
      <c r="AMH75" s="0"/>
      <c r="AMI75" s="0"/>
      <c r="AMJ75" s="0"/>
    </row>
    <row collapsed="false" customFormat="true" customHeight="false" hidden="false" ht="12.9" outlineLevel="0" r="76" s="26">
      <c r="A76" s="26" t="n">
        <v>25</v>
      </c>
      <c r="B76" s="20" t="n">
        <f aca="false">$B$28*K58/SUM(K58:K61)</f>
        <v>0.0416666666666667</v>
      </c>
      <c r="C76" s="29" t="n">
        <f aca="false">L$58</f>
        <v>35760.8581942312</v>
      </c>
      <c r="D76" s="29" t="n">
        <f aca="false">M$58</f>
        <v>0.000641909934258882</v>
      </c>
      <c r="E76" s="30" t="n">
        <f aca="false">100000000/C76</f>
        <v>2796.35347275116</v>
      </c>
      <c r="F76" s="30" t="n">
        <f aca="false">D76/C76*E76</f>
        <v>5.01947426459653E-005</v>
      </c>
      <c r="G76" s="30"/>
      <c r="H76" s="30"/>
      <c r="I76" s="30"/>
      <c r="J76" s="30"/>
      <c r="K76" s="30"/>
      <c r="L76" s="30"/>
      <c r="AMG76" s="0"/>
      <c r="AMH76" s="0"/>
      <c r="AMI76" s="0"/>
      <c r="AMJ76" s="0"/>
    </row>
    <row collapsed="false" customFormat="true" customHeight="false" hidden="false" ht="12.9" outlineLevel="0" r="77" s="26">
      <c r="A77" s="26" t="n">
        <v>25</v>
      </c>
      <c r="B77" s="20" t="n">
        <f aca="false">$B$28*K61/SUM(K58:K61)</f>
        <v>0.0583333333333333</v>
      </c>
      <c r="C77" s="29" t="n">
        <f aca="false">L$61</f>
        <v>35760.9159324315</v>
      </c>
      <c r="D77" s="29" t="n">
        <f aca="false">M$61</f>
        <v>0.000641378877983728</v>
      </c>
      <c r="E77" s="30" t="n">
        <f aca="false">100000000/C77</f>
        <v>2796.34895786632</v>
      </c>
      <c r="F77" s="30" t="n">
        <f aca="false">D77/C77*E77</f>
        <v>5.01530542572242E-005</v>
      </c>
      <c r="G77" s="30"/>
      <c r="H77" s="30"/>
      <c r="I77" s="30"/>
      <c r="J77" s="30"/>
      <c r="K77" s="30"/>
      <c r="L77" s="30"/>
      <c r="AMG77" s="0"/>
      <c r="AMH77" s="0"/>
      <c r="AMI77" s="0"/>
      <c r="AMJ77" s="0"/>
    </row>
    <row collapsed="false" customFormat="true" customHeight="false" hidden="false" ht="12.9" outlineLevel="0" r="78" s="26">
      <c r="A78" s="26" t="n">
        <v>24</v>
      </c>
      <c r="B78" s="20" t="inlineStr">
        <f aca="false">$B$29</f>
        <is>
          <t/>
        </is>
      </c>
      <c r="C78" s="31" t="n">
        <f aca="false">H$20</f>
        <v>35760.8373967166</v>
      </c>
      <c r="D78" s="31" t="n">
        <f aca="false">I$20</f>
        <v>5.33702552317043E-006</v>
      </c>
      <c r="E78" s="43" t="n">
        <f aca="false">100000000/C78</f>
        <v>2796.35509903304</v>
      </c>
      <c r="F78" s="43" t="n">
        <f aca="false">D78/C78*E78</f>
        <v>4.17334146005132E-007</v>
      </c>
      <c r="G78" s="30"/>
      <c r="H78" s="30"/>
      <c r="I78" s="30"/>
      <c r="J78" s="30"/>
      <c r="K78" s="30"/>
      <c r="L78" s="30"/>
      <c r="AMG78" s="0"/>
      <c r="AMH78" s="0"/>
      <c r="AMI78" s="0"/>
      <c r="AMJ78" s="0"/>
    </row>
    <row collapsed="false" customFormat="true" customHeight="false" hidden="false" ht="12.9" outlineLevel="0" r="79" s="26">
      <c r="A79" s="26" t="n">
        <v>2803</v>
      </c>
      <c r="B79" s="13" t="s">
        <v>46</v>
      </c>
      <c r="C79" s="29" t="n">
        <f aca="false">SUMPRODUCT(C80:C83,B80:B83)</f>
        <v>35669.3044028676</v>
      </c>
      <c r="D79" s="29" t="n">
        <f aca="false">SQRT(B80*D80*D80+B81*D81*D81+B82*D82*D82+B83*D83*D83)</f>
        <v>0.000201848416826297</v>
      </c>
      <c r="E79" s="30" t="n">
        <f aca="false">100000000/C79</f>
        <v>2803.53098200481</v>
      </c>
      <c r="F79" s="30" t="n">
        <f aca="false">D79/C79*E79</f>
        <v>1.58648535404478E-005</v>
      </c>
      <c r="G79" s="30"/>
      <c r="H79" s="30"/>
      <c r="I79" s="30"/>
      <c r="J79" s="30"/>
      <c r="K79" s="30"/>
      <c r="L79" s="30"/>
      <c r="AMG79" s="0"/>
      <c r="AMH79" s="0"/>
      <c r="AMI79" s="0"/>
      <c r="AMJ79" s="0"/>
    </row>
    <row collapsed="false" customFormat="true" customHeight="false" hidden="false" ht="12.9" outlineLevel="0" r="80" s="26">
      <c r="A80" s="26" t="n">
        <v>26</v>
      </c>
      <c r="B80" s="20" t="inlineStr">
        <f aca="false">$B$31</f>
        <is>
          <t/>
        </is>
      </c>
      <c r="C80" s="31" t="n">
        <f aca="false">H$21</f>
        <v>35669.3905711931</v>
      </c>
      <c r="D80" s="31" t="n">
        <f aca="false">I$21</f>
        <v>5.33702552317043E-006</v>
      </c>
      <c r="E80" s="43" t="n">
        <f aca="false">100000000/C80</f>
        <v>2803.52420937522</v>
      </c>
      <c r="F80" s="43" t="n">
        <f aca="false">D80/C80*E80</f>
        <v>4.19476756419427E-007</v>
      </c>
      <c r="G80" s="30"/>
      <c r="H80" s="30"/>
      <c r="I80" s="30"/>
      <c r="J80" s="30"/>
      <c r="K80" s="30"/>
      <c r="L80" s="30"/>
      <c r="AMG80" s="0"/>
      <c r="AMH80" s="0"/>
      <c r="AMI80" s="0"/>
      <c r="AMJ80" s="0"/>
    </row>
    <row collapsed="false" customFormat="true" customHeight="false" hidden="false" ht="12.9" outlineLevel="0" r="81" s="26">
      <c r="A81" s="26" t="n">
        <v>25</v>
      </c>
      <c r="B81" s="20" t="n">
        <f aca="false">$B$32*K68/SUM(K68:K70)</f>
        <v>0.0416666666666667</v>
      </c>
      <c r="C81" s="29" t="n">
        <f aca="false">L$68</f>
        <v>35669.3069014698</v>
      </c>
      <c r="D81" s="29" t="n">
        <f aca="false">M$68</f>
        <v>0.000638099897683194</v>
      </c>
      <c r="E81" s="30" t="n">
        <f aca="false">100000000/C81</f>
        <v>2803.53078562004</v>
      </c>
      <c r="F81" s="30" t="n">
        <f aca="false">D81/C81*E81</f>
        <v>5.01532791875504E-005</v>
      </c>
      <c r="G81" s="30"/>
      <c r="H81" s="30"/>
      <c r="I81" s="30"/>
      <c r="J81" s="30"/>
      <c r="K81" s="30"/>
      <c r="L81" s="30"/>
      <c r="AMG81" s="0"/>
      <c r="AMH81" s="0"/>
      <c r="AMI81" s="0"/>
      <c r="AMJ81" s="0"/>
    </row>
    <row collapsed="false" customFormat="true" customHeight="false" hidden="false" ht="12.9" outlineLevel="0" r="82" s="26">
      <c r="A82" s="26" t="n">
        <v>25</v>
      </c>
      <c r="B82" s="20" t="n">
        <f aca="false">$B$32*K70/SUM(K68:K70)</f>
        <v>0.0583333333333333</v>
      </c>
      <c r="C82" s="29" t="n">
        <f aca="false">L$70</f>
        <v>35669.3665681876</v>
      </c>
      <c r="D82" s="29" t="n">
        <f aca="false">M$70</f>
        <v>0.000638099897356252</v>
      </c>
      <c r="E82" s="30" t="n">
        <f aca="false">100000000/C82</f>
        <v>2803.52609595223</v>
      </c>
      <c r="F82" s="30" t="n">
        <f aca="false">D82/C82*E82</f>
        <v>5.0153111371991E-005</v>
      </c>
      <c r="G82" s="30"/>
      <c r="H82" s="30"/>
      <c r="I82" s="30"/>
      <c r="J82" s="30"/>
      <c r="K82" s="30"/>
      <c r="L82" s="30"/>
      <c r="AMG82" s="0"/>
      <c r="AMH82" s="0"/>
      <c r="AMI82" s="0"/>
      <c r="AMJ82" s="0"/>
    </row>
    <row collapsed="false" customFormat="true" customHeight="false" hidden="false" ht="12.9" outlineLevel="0" r="83" s="26">
      <c r="A83" s="26" t="n">
        <v>24</v>
      </c>
      <c r="B83" s="20" t="inlineStr">
        <f aca="false">$B$33</f>
        <is>
          <t/>
        </is>
      </c>
      <c r="C83" s="31" t="n">
        <f aca="false">H$22</f>
        <v>35669.2876696718</v>
      </c>
      <c r="D83" s="31" t="n">
        <f aca="false">I$22</f>
        <v>5.33702552317043E-006</v>
      </c>
      <c r="E83" s="43" t="n">
        <f aca="false">100000000/C83</f>
        <v>2803.53229719881</v>
      </c>
      <c r="F83" s="43" t="n">
        <f aca="false">D83/C83*E83</f>
        <v>4.19479176700933E-007</v>
      </c>
      <c r="G83" s="30"/>
      <c r="H83" s="30"/>
      <c r="I83" s="30"/>
      <c r="J83" s="30"/>
      <c r="K83" s="30"/>
      <c r="L83" s="30"/>
      <c r="AMG83" s="0"/>
      <c r="AMH83" s="0"/>
      <c r="AMI83" s="0"/>
      <c r="AMJ83" s="0"/>
    </row>
    <row collapsed="false" customFormat="false" customHeight="false" hidden="false" ht="12.9" outlineLevel="0" r="85">
      <c r="A85" s="0" t="s">
        <v>4</v>
      </c>
    </row>
    <row collapsed="false" customFormat="false" customHeight="false" hidden="false" ht="13.6" outlineLevel="0" r="86">
      <c r="A86" s="0" t="s">
        <v>119</v>
      </c>
      <c r="B86" s="1" t="s">
        <v>120</v>
      </c>
    </row>
    <row collapsed="false" customFormat="false" customHeight="false" hidden="false" ht="13.6" outlineLevel="0" r="87">
      <c r="A87" s="0" t="s">
        <v>121</v>
      </c>
      <c r="B87" s="1" t="s">
        <v>122</v>
      </c>
    </row>
    <row collapsed="false" customFormat="false" customHeight="false" hidden="false" ht="13.6" outlineLevel="0" r="88">
      <c r="A88" s="0" t="s">
        <v>123</v>
      </c>
      <c r="B88" s="1" t="s">
        <v>124</v>
      </c>
    </row>
    <row collapsed="false" customFormat="false" customHeight="false" hidden="false" ht="13.6" outlineLevel="0" r="89">
      <c r="A89" s="13" t="s">
        <v>52</v>
      </c>
      <c r="B89" s="1" t="s">
        <v>53</v>
      </c>
    </row>
    <row collapsed="false" customFormat="false" customHeight="false" hidden="false" ht="13.6" outlineLevel="0" r="90">
      <c r="A90" s="0" t="s">
        <v>125</v>
      </c>
      <c r="B90" s="1" t="s">
        <v>126</v>
      </c>
    </row>
  </sheetData>
  <mergeCells count="20">
    <mergeCell ref="K58:K60"/>
    <mergeCell ref="L58:L60"/>
    <mergeCell ref="M58:M60"/>
    <mergeCell ref="N58:N60"/>
    <mergeCell ref="O58:O60"/>
    <mergeCell ref="K61:K63"/>
    <mergeCell ref="L61:L63"/>
    <mergeCell ref="M61:M63"/>
    <mergeCell ref="N61:N63"/>
    <mergeCell ref="O61:O63"/>
    <mergeCell ref="K68:K69"/>
    <mergeCell ref="L68:L69"/>
    <mergeCell ref="M68:M69"/>
    <mergeCell ref="N68:N69"/>
    <mergeCell ref="O68:O69"/>
    <mergeCell ref="K70:K71"/>
    <mergeCell ref="L70:L71"/>
    <mergeCell ref="M70:M71"/>
    <mergeCell ref="N70:N71"/>
    <mergeCell ref="O70:O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1981PhRvA..24.1364I" ref="B88" r:id="rId3"/>
    <hyperlink display="http://adsabs.harvard.edu/abs/1998JPCRD..27.1275R" ref="B89" r:id="rId4"/>
    <hyperlink display="http://adsabs.harvard.edu/abs/2005EPJD...32...25S" ref="B90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5" activeCellId="0" pane="topLeft" sqref="D5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9" outlineLevel="0" r="1" s="13">
      <c r="A1" s="13" t="s">
        <v>9</v>
      </c>
      <c r="B1" s="44" t="n">
        <v>41010</v>
      </c>
      <c r="AMJ1" s="0"/>
    </row>
    <row collapsed="false" customFormat="true" customHeight="false" hidden="false" ht="12.9" outlineLevel="0" r="2" s="13">
      <c r="B2" s="19"/>
      <c r="AMJ2" s="0"/>
    </row>
    <row collapsed="false" customFormat="true" customHeight="false" hidden="false" ht="12.9" outlineLevel="0" r="3" s="13">
      <c r="A3" s="13" t="s">
        <v>10</v>
      </c>
      <c r="B3" s="19"/>
      <c r="AMJ3" s="0"/>
    </row>
    <row collapsed="false" customFormat="false" customHeight="false" hidden="false" ht="13.6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127</v>
      </c>
      <c r="B5" s="0" t="n">
        <f aca="false">A10</f>
        <v>1670</v>
      </c>
      <c r="C5" s="0" t="s">
        <v>128</v>
      </c>
      <c r="D5" s="4" t="n">
        <v>26.981538</v>
      </c>
      <c r="E5" s="9" t="n">
        <f aca="false">E10</f>
        <v>59851.976</v>
      </c>
      <c r="F5" s="9" t="n">
        <f aca="false">F10</f>
        <v>0.004</v>
      </c>
      <c r="G5" s="5" t="n">
        <v>0</v>
      </c>
      <c r="H5" s="0" t="n">
        <f aca="false">G10</f>
        <v>0</v>
      </c>
      <c r="I5" s="12" t="n">
        <f aca="false">H10</f>
        <v>1670.78861356223</v>
      </c>
      <c r="J5" s="12" t="n">
        <f aca="false">I10</f>
        <v>0.000111661383648368</v>
      </c>
      <c r="K5" s="7" t="n">
        <f aca="false">299792458*J5/I5</f>
        <v>20.0355930103294</v>
      </c>
      <c r="L5" s="0" t="s">
        <v>32</v>
      </c>
      <c r="M5" s="0" t="s">
        <v>36</v>
      </c>
      <c r="N5" s="0" t="s">
        <v>129</v>
      </c>
      <c r="O5" s="8" t="n">
        <v>5.99</v>
      </c>
      <c r="P5" s="8" t="n">
        <v>18.83</v>
      </c>
      <c r="Q5" s="8" t="n">
        <v>1.74</v>
      </c>
      <c r="R5" s="10" t="n">
        <v>1390000000</v>
      </c>
      <c r="S5" s="5" t="n">
        <v>270</v>
      </c>
      <c r="T5" s="5" t="n">
        <v>30</v>
      </c>
    </row>
    <row collapsed="false" customFormat="false" customHeight="false" hidden="false" ht="12.9" outlineLevel="0" r="6">
      <c r="A6" s="0" t="s">
        <v>38</v>
      </c>
      <c r="D6" s="8"/>
      <c r="E6" s="9"/>
      <c r="F6" s="9"/>
      <c r="G6" s="5"/>
      <c r="I6" s="12"/>
      <c r="J6" s="12"/>
      <c r="K6" s="7"/>
      <c r="O6" s="8"/>
      <c r="P6" s="8"/>
      <c r="Q6" s="8"/>
      <c r="R6" s="10"/>
      <c r="S6" s="5"/>
      <c r="T6" s="5"/>
    </row>
    <row collapsed="false" customFormat="true" customHeight="false" hidden="false" ht="12.9" outlineLevel="0" r="7" s="13">
      <c r="B7" s="19"/>
      <c r="AMJ7" s="0"/>
    </row>
    <row collapsed="false" customFormat="true" customHeight="false" hidden="false" ht="12.9" outlineLevel="0" r="8" s="13">
      <c r="A8" s="13" t="s">
        <v>39</v>
      </c>
      <c r="B8" s="19"/>
      <c r="AMJ8" s="0"/>
    </row>
    <row collapsed="false" customFormat="true" customHeight="false" hidden="false" ht="13.6" outlineLevel="0" r="9" s="15">
      <c r="A9" s="15" t="s">
        <v>40</v>
      </c>
      <c r="B9" s="14" t="s">
        <v>15</v>
      </c>
      <c r="C9" s="15" t="s">
        <v>16</v>
      </c>
      <c r="D9" s="15" t="s">
        <v>42</v>
      </c>
      <c r="E9" s="14" t="s">
        <v>15</v>
      </c>
      <c r="F9" s="15" t="s">
        <v>16</v>
      </c>
      <c r="G9" s="15" t="s">
        <v>43</v>
      </c>
      <c r="H9" s="15" t="s">
        <v>44</v>
      </c>
      <c r="I9" s="15" t="s">
        <v>45</v>
      </c>
      <c r="AMJ9" s="0"/>
    </row>
    <row collapsed="false" customFormat="true" customHeight="false" hidden="false" ht="12.9" outlineLevel="0" r="10" s="13">
      <c r="A10" s="13" t="n">
        <v>1670</v>
      </c>
      <c r="B10" s="45" t="n">
        <f aca="false">59851.976</f>
        <v>59851.976</v>
      </c>
      <c r="C10" s="45" t="n">
        <f aca="false">0.004</f>
        <v>0.004</v>
      </c>
      <c r="D10" s="45" t="str">
        <f aca="false">A13</f>
        <v>Griesmann:2000:L113</v>
      </c>
      <c r="E10" s="45" t="n">
        <f aca="false">B10</f>
        <v>59851.976</v>
      </c>
      <c r="F10" s="45" t="n">
        <f aca="false">C10</f>
        <v>0.004</v>
      </c>
      <c r="G10" s="13" t="str">
        <f aca="false">D10</f>
        <v>Griesmann:2000:L113</v>
      </c>
      <c r="H10" s="18" t="n">
        <f aca="false">100000000/E10</f>
        <v>1670.78861356223</v>
      </c>
      <c r="I10" s="18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9" outlineLevel="0" r="12">
      <c r="A12" s="0" t="s">
        <v>4</v>
      </c>
    </row>
    <row collapsed="false" customFormat="false" customHeight="false" hidden="false" ht="13.6" outlineLevel="0" r="13">
      <c r="A13" s="0" t="s">
        <v>130</v>
      </c>
      <c r="B13" s="1" t="s">
        <v>131</v>
      </c>
    </row>
  </sheetData>
  <hyperlinks>
    <hyperlink display="http://adsabs.harvard.edu/abs/2000ApJ...536L.113G" ref="B1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9" activeCellId="0" pane="topLeft" sqref="D9"/>
    </sheetView>
  </sheetViews>
  <cols>
    <col collapsed="false" hidden="false" max="5" min="1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9" outlineLevel="0" r="1" s="13">
      <c r="A1" s="13" t="s">
        <v>9</v>
      </c>
      <c r="B1" s="44" t="n">
        <v>41011</v>
      </c>
      <c r="AMJ1" s="0"/>
    </row>
    <row collapsed="false" customFormat="true" customHeight="false" hidden="false" ht="12.9" outlineLevel="0" r="2" s="13">
      <c r="B2" s="19"/>
      <c r="AMJ2" s="0"/>
    </row>
    <row collapsed="false" customFormat="true" customHeight="false" hidden="false" ht="12.9" outlineLevel="0" r="3" s="13">
      <c r="A3" s="13" t="s">
        <v>10</v>
      </c>
      <c r="B3" s="19"/>
      <c r="AMJ3" s="0"/>
    </row>
    <row collapsed="false" customFormat="false" customHeight="false" hidden="false" ht="13.6" outlineLevel="0" r="4">
      <c r="A4" s="0" t="s">
        <v>11</v>
      </c>
      <c r="B4" s="0" t="s">
        <v>12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</row>
    <row collapsed="false" customFormat="false" customHeight="false" hidden="false" ht="12.9" outlineLevel="0" r="5">
      <c r="A5" s="0" t="s">
        <v>132</v>
      </c>
      <c r="B5" s="0" t="n">
        <f aca="false">A15</f>
        <v>1854</v>
      </c>
      <c r="C5" s="0" t="s">
        <v>31</v>
      </c>
      <c r="D5" s="4" t="n">
        <v>26.981538</v>
      </c>
      <c r="E5" s="3" t="n">
        <f aca="false">E15</f>
        <v>53916.548025</v>
      </c>
      <c r="F5" s="3" t="n">
        <f aca="false">F15</f>
        <v>0.00113137084989848</v>
      </c>
      <c r="G5" s="5" t="n">
        <v>1</v>
      </c>
      <c r="I5" s="4" t="n">
        <f aca="false">H15</f>
        <v>1854.71814615491</v>
      </c>
      <c r="J5" s="4" t="n">
        <f aca="false">I15</f>
        <v>3.89189241930776E-005</v>
      </c>
      <c r="K5" s="7" t="n">
        <f aca="false">299792458*J5/I5</f>
        <v>6.29076712855103</v>
      </c>
      <c r="L5" s="0" t="s">
        <v>57</v>
      </c>
      <c r="M5" s="0" t="s">
        <v>133</v>
      </c>
      <c r="N5" s="0" t="s">
        <v>134</v>
      </c>
      <c r="O5" s="8" t="n">
        <v>18.83</v>
      </c>
      <c r="P5" s="8" t="n">
        <v>28.45</v>
      </c>
      <c r="Q5" s="9" t="n">
        <v>0.559</v>
      </c>
      <c r="R5" s="10" t="n">
        <v>542000000</v>
      </c>
      <c r="S5" s="5" t="n">
        <v>458</v>
      </c>
      <c r="T5" s="5" t="n">
        <v>6</v>
      </c>
    </row>
    <row collapsed="false" customFormat="false" customHeight="false" hidden="false" ht="12.9" outlineLevel="0" r="6">
      <c r="C6" s="0" t="s">
        <v>135</v>
      </c>
      <c r="D6" s="5" t="n">
        <v>27</v>
      </c>
      <c r="E6" s="3" t="n">
        <f aca="false">E16</f>
        <v>53916.8149</v>
      </c>
      <c r="F6" s="3" t="n">
        <f aca="false">F16</f>
        <v>0.0008</v>
      </c>
      <c r="G6" s="5" t="n">
        <v>0</v>
      </c>
      <c r="H6" s="0" t="n">
        <f aca="false">A23</f>
        <v>0</v>
      </c>
      <c r="I6" s="4" t="n">
        <f aca="false">H16</f>
        <v>1854.70896575532</v>
      </c>
      <c r="J6" s="4" t="n">
        <f aca="false">I16</f>
        <v>2.75195627812253E-005</v>
      </c>
      <c r="K6" s="7" t="n">
        <f aca="false">299792458*J6/I6</f>
        <v>4.4482220777474</v>
      </c>
      <c r="L6" s="0" t="s">
        <v>62</v>
      </c>
      <c r="M6" s="0" t="s">
        <v>63</v>
      </c>
      <c r="O6" s="8"/>
      <c r="P6" s="8"/>
      <c r="Q6" s="11" t="n">
        <f aca="false">J16/SUM(J16:J17)</f>
        <v>0.416666666666667</v>
      </c>
      <c r="R6" s="10"/>
      <c r="S6" s="5"/>
      <c r="T6" s="5"/>
    </row>
    <row collapsed="false" customFormat="false" customHeight="false" hidden="false" ht="12.9" outlineLevel="0" r="7">
      <c r="C7" s="0" t="s">
        <v>135</v>
      </c>
      <c r="D7" s="5" t="n">
        <f aca="false">D6</f>
        <v>27</v>
      </c>
      <c r="E7" s="3" t="n">
        <f aca="false">E17</f>
        <v>53916.3574</v>
      </c>
      <c r="F7" s="3" t="n">
        <f aca="false">F17</f>
        <v>0.0008</v>
      </c>
      <c r="G7" s="5" t="n">
        <v>0</v>
      </c>
      <c r="H7" s="0" t="n">
        <f aca="false">H6</f>
        <v>0</v>
      </c>
      <c r="I7" s="4" t="n">
        <f aca="false">H17</f>
        <v>1854.72470363883</v>
      </c>
      <c r="J7" s="4" t="n">
        <f aca="false">I17</f>
        <v>2.7520029810305E-005</v>
      </c>
      <c r="K7" s="7" t="n">
        <f aca="false">299792458*J7/I7</f>
        <v>4.44825982253764</v>
      </c>
      <c r="L7" s="0" t="s">
        <v>64</v>
      </c>
      <c r="M7" s="0" t="s">
        <v>65</v>
      </c>
      <c r="O7" s="8"/>
      <c r="P7" s="8"/>
      <c r="Q7" s="11" t="n">
        <f aca="false">J17/SUM(J16:J17)</f>
        <v>0.583333333333333</v>
      </c>
      <c r="R7" s="10"/>
      <c r="S7" s="5"/>
      <c r="T7" s="5"/>
    </row>
    <row collapsed="false" customFormat="false" customHeight="false" hidden="false" ht="12.9" outlineLevel="0" r="8">
      <c r="B8" s="0" t="n">
        <f aca="false">A18</f>
        <v>1862</v>
      </c>
      <c r="C8" s="0" t="s">
        <v>31</v>
      </c>
      <c r="D8" s="4" t="n">
        <f aca="false">$D$5</f>
        <v>26.981538</v>
      </c>
      <c r="E8" s="3" t="n">
        <f aca="false">E18</f>
        <v>53682.8884083333</v>
      </c>
      <c r="F8" s="3" t="n">
        <f aca="false">F18</f>
        <v>0.00113137084989848</v>
      </c>
      <c r="G8" s="5" t="n">
        <v>1</v>
      </c>
      <c r="I8" s="4" t="n">
        <f aca="false">H18</f>
        <v>1862.79097427397</v>
      </c>
      <c r="J8" s="4" t="n">
        <f aca="false">I18</f>
        <v>3.92584577736767E-005</v>
      </c>
      <c r="K8" s="7" t="n">
        <f aca="false">299792458*J8/I8</f>
        <v>6.31814826021846</v>
      </c>
      <c r="M8" s="0" t="s">
        <v>66</v>
      </c>
      <c r="N8" s="0" t="s">
        <v>136</v>
      </c>
      <c r="O8" s="8"/>
      <c r="P8" s="8"/>
      <c r="Q8" s="9" t="n">
        <v>0.278</v>
      </c>
      <c r="R8" s="10" t="n">
        <v>534000000</v>
      </c>
      <c r="S8" s="5" t="n">
        <v>224</v>
      </c>
      <c r="T8" s="5" t="n">
        <v>8</v>
      </c>
    </row>
    <row collapsed="false" customFormat="false" customHeight="false" hidden="false" ht="12.9" outlineLevel="0" r="9">
      <c r="C9" s="0" t="s">
        <v>135</v>
      </c>
      <c r="D9" s="5" t="n">
        <v>27</v>
      </c>
      <c r="E9" s="3" t="n">
        <f aca="false">E19</f>
        <v>53683.1953</v>
      </c>
      <c r="F9" s="3" t="n">
        <f aca="false">F19</f>
        <v>0.0008</v>
      </c>
      <c r="G9" s="5" t="n">
        <v>0</v>
      </c>
      <c r="H9" s="0" t="n">
        <f aca="false">A23</f>
        <v>0</v>
      </c>
      <c r="I9" s="4" t="n">
        <f aca="false">H19</f>
        <v>1862.78032522405</v>
      </c>
      <c r="J9" s="4" t="n">
        <f aca="false">I19</f>
        <v>2.77596043203344E-005</v>
      </c>
      <c r="K9" s="7" t="n">
        <f aca="false">299792458*J9/I9</f>
        <v>4.46757993930365</v>
      </c>
      <c r="L9" s="0" t="s">
        <v>62</v>
      </c>
      <c r="M9" s="0" t="s">
        <v>63</v>
      </c>
      <c r="O9" s="8"/>
      <c r="P9" s="8"/>
      <c r="Q9" s="11" t="n">
        <f aca="false">J19/SUM(J19:J20)</f>
        <v>0.416666666666667</v>
      </c>
      <c r="R9" s="10"/>
      <c r="S9" s="5"/>
      <c r="T9" s="5"/>
    </row>
    <row collapsed="false" customFormat="false" customHeight="false" hidden="false" ht="12.9" outlineLevel="0" r="10">
      <c r="C10" s="0" t="s">
        <v>135</v>
      </c>
      <c r="D10" s="5" t="n">
        <f aca="false">D9</f>
        <v>27</v>
      </c>
      <c r="E10" s="3" t="n">
        <f aca="false">E20</f>
        <v>53682.6692</v>
      </c>
      <c r="F10" s="3" t="n">
        <f aca="false">F20</f>
        <v>0.0008</v>
      </c>
      <c r="G10" s="5" t="n">
        <v>0</v>
      </c>
      <c r="H10" s="0" t="n">
        <f aca="false">H9</f>
        <v>0</v>
      </c>
      <c r="I10" s="4" t="n">
        <f aca="false">H20</f>
        <v>1862.79858081274</v>
      </c>
      <c r="J10" s="4" t="n">
        <f aca="false">I20</f>
        <v>2.77601484214238E-005</v>
      </c>
      <c r="K10" s="7" t="n">
        <f aca="false">299792458*J10/I10</f>
        <v>4.46762372240611</v>
      </c>
      <c r="L10" s="0" t="s">
        <v>64</v>
      </c>
      <c r="M10" s="0" t="s">
        <v>65</v>
      </c>
      <c r="O10" s="8"/>
      <c r="P10" s="8"/>
      <c r="Q10" s="11" t="n">
        <f aca="false">J20/SUM(J19:J20)</f>
        <v>0.583333333333333</v>
      </c>
      <c r="R10" s="10"/>
      <c r="S10" s="5"/>
      <c r="T10" s="5"/>
    </row>
    <row collapsed="false" customFormat="true" customHeight="false" hidden="false" ht="12.9" outlineLevel="0" r="11" s="13">
      <c r="A11" s="13" t="s">
        <v>38</v>
      </c>
      <c r="B11" s="19"/>
      <c r="AMJ11" s="0"/>
    </row>
    <row collapsed="false" customFormat="true" customHeight="false" hidden="false" ht="12.9" outlineLevel="0" r="12" s="13">
      <c r="B12" s="19"/>
      <c r="AMJ12" s="0"/>
    </row>
    <row collapsed="false" customFormat="true" customHeight="false" hidden="false" ht="12.9" outlineLevel="0" r="13" s="13">
      <c r="A13" s="13" t="s">
        <v>39</v>
      </c>
      <c r="B13" s="19"/>
      <c r="AMJ13" s="0"/>
    </row>
    <row collapsed="false" customFormat="true" customHeight="false" hidden="false" ht="25" outlineLevel="0" r="14" s="15">
      <c r="A14" s="15" t="s">
        <v>137</v>
      </c>
      <c r="B14" s="14" t="s">
        <v>15</v>
      </c>
      <c r="C14" s="15" t="s">
        <v>16</v>
      </c>
      <c r="D14" s="15" t="s">
        <v>42</v>
      </c>
      <c r="E14" s="14" t="s">
        <v>15</v>
      </c>
      <c r="F14" s="15" t="s">
        <v>16</v>
      </c>
      <c r="G14" s="15" t="s">
        <v>43</v>
      </c>
      <c r="H14" s="15" t="s">
        <v>44</v>
      </c>
      <c r="I14" s="15" t="s">
        <v>45</v>
      </c>
      <c r="J14" s="15" t="s">
        <v>138</v>
      </c>
      <c r="AMJ14" s="0"/>
    </row>
    <row collapsed="false" customFormat="true" customHeight="false" hidden="false" ht="12.9" outlineLevel="0" r="15" s="13">
      <c r="A15" s="13" t="n">
        <v>1854</v>
      </c>
      <c r="B15" s="3" t="n">
        <f aca="false">SUMPRODUCT(B16:B17,J16:J17)/SUM(J16:J17)</f>
        <v>53916.548025</v>
      </c>
      <c r="C15" s="3" t="n">
        <f aca="false">SQRT(C16*C16+C17*C17)</f>
        <v>0.00113137084989848</v>
      </c>
      <c r="D15" s="0" t="s">
        <v>46</v>
      </c>
      <c r="E15" s="3" t="n">
        <f aca="false">B15</f>
        <v>53916.548025</v>
      </c>
      <c r="F15" s="3" t="n">
        <f aca="false">C15</f>
        <v>0.00113137084989848</v>
      </c>
      <c r="G15" s="0" t="n">
        <f aca="false">D15</f>
        <v>0</v>
      </c>
      <c r="H15" s="16" t="n">
        <f aca="false">100000000/E15</f>
        <v>1854.71814615491</v>
      </c>
      <c r="I15" s="16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9" outlineLevel="0" r="16">
      <c r="A16" s="0" t="n">
        <v>2</v>
      </c>
      <c r="B16" s="46" t="n">
        <f aca="false">53916.8149</f>
        <v>53916.8149</v>
      </c>
      <c r="C16" s="46" t="n">
        <f aca="false">0.0008</f>
        <v>0.0008</v>
      </c>
      <c r="D16" s="45" t="n">
        <f aca="false">A23</f>
        <v>0</v>
      </c>
      <c r="E16" s="46" t="n">
        <f aca="false">B16</f>
        <v>53916.8149</v>
      </c>
      <c r="F16" s="46" t="n">
        <f aca="false">C16</f>
        <v>0.0008</v>
      </c>
      <c r="G16" s="13" t="n">
        <f aca="false">D16</f>
        <v>0</v>
      </c>
      <c r="H16" s="16" t="n">
        <f aca="false">100000000/E16</f>
        <v>1854.70896575532</v>
      </c>
      <c r="I16" s="16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9" outlineLevel="0" r="17">
      <c r="A17" s="0" t="n">
        <v>3</v>
      </c>
      <c r="B17" s="46" t="n">
        <f aca="false">53916.3574</f>
        <v>53916.3574</v>
      </c>
      <c r="C17" s="46" t="n">
        <f aca="false">0.0008</f>
        <v>0.0008</v>
      </c>
      <c r="D17" s="45" t="n">
        <f aca="false">D16</f>
        <v>0</v>
      </c>
      <c r="E17" s="46" t="n">
        <f aca="false">B17</f>
        <v>53916.3574</v>
      </c>
      <c r="F17" s="46" t="n">
        <f aca="false">C17</f>
        <v>0.0008</v>
      </c>
      <c r="G17" s="13" t="n">
        <f aca="false">D17</f>
        <v>0</v>
      </c>
      <c r="H17" s="16" t="n">
        <f aca="false">100000000/E17</f>
        <v>1854.72470363883</v>
      </c>
      <c r="I17" s="16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9" outlineLevel="0" r="18">
      <c r="A18" s="0" t="n">
        <v>1862</v>
      </c>
      <c r="B18" s="3" t="n">
        <f aca="false">SUMPRODUCT(B19:B20,J19:J20)/SUM(J19:J20)</f>
        <v>53682.8884083333</v>
      </c>
      <c r="C18" s="3" t="n">
        <f aca="false">SQRT(C19*C19+C20*C20)</f>
        <v>0.00113137084989848</v>
      </c>
      <c r="D18" s="0" t="s">
        <v>46</v>
      </c>
      <c r="E18" s="3" t="n">
        <f aca="false">B18</f>
        <v>53682.8884083333</v>
      </c>
      <c r="F18" s="3" t="n">
        <f aca="false">C18</f>
        <v>0.00113137084989848</v>
      </c>
      <c r="G18" s="0" t="n">
        <f aca="false">D18</f>
        <v>0</v>
      </c>
      <c r="H18" s="16" t="n">
        <f aca="false">100000000/E18</f>
        <v>1862.79097427397</v>
      </c>
      <c r="I18" s="16" t="n">
        <f aca="false">F18/E18*H18</f>
        <v>3.92584577736767E-005</v>
      </c>
    </row>
    <row collapsed="false" customFormat="false" customHeight="false" hidden="false" ht="12.9" outlineLevel="0" r="19">
      <c r="A19" s="0" t="n">
        <v>2</v>
      </c>
      <c r="B19" s="46" t="n">
        <f aca="false">53683.1953</f>
        <v>53683.1953</v>
      </c>
      <c r="C19" s="46" t="n">
        <f aca="false">0.0008</f>
        <v>0.0008</v>
      </c>
      <c r="D19" s="45" t="n">
        <f aca="false">A23</f>
        <v>0</v>
      </c>
      <c r="E19" s="46" t="n">
        <f aca="false">B19</f>
        <v>53683.1953</v>
      </c>
      <c r="F19" s="46" t="n">
        <f aca="false">C19</f>
        <v>0.0008</v>
      </c>
      <c r="G19" s="13" t="n">
        <f aca="false">D19</f>
        <v>0</v>
      </c>
      <c r="H19" s="16" t="n">
        <f aca="false">100000000/E19</f>
        <v>1862.78032522405</v>
      </c>
      <c r="I19" s="16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9" outlineLevel="0" r="20">
      <c r="A20" s="0" t="n">
        <v>3</v>
      </c>
      <c r="B20" s="46" t="n">
        <f aca="false">53682.6692</f>
        <v>53682.6692</v>
      </c>
      <c r="C20" s="46" t="n">
        <f aca="false">0.0008</f>
        <v>0.0008</v>
      </c>
      <c r="D20" s="45" t="n">
        <f aca="false">D19</f>
        <v>0</v>
      </c>
      <c r="E20" s="46" t="n">
        <f aca="false">B20</f>
        <v>53682.6692</v>
      </c>
      <c r="F20" s="46" t="n">
        <f aca="false">C20</f>
        <v>0.0008</v>
      </c>
      <c r="G20" s="13" t="n">
        <f aca="false">D20</f>
        <v>0</v>
      </c>
      <c r="H20" s="16" t="n">
        <f aca="false">100000000/E20</f>
        <v>1862.79858081274</v>
      </c>
      <c r="I20" s="16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9" outlineLevel="0" r="22">
      <c r="A22" s="0" t="s">
        <v>4</v>
      </c>
    </row>
    <row collapsed="false" customFormat="false" customHeight="false" hidden="false" ht="13.6" outlineLevel="0" r="23">
      <c r="A23" s="0" t="s">
        <v>130</v>
      </c>
      <c r="B23" s="1" t="s">
        <v>131</v>
      </c>
    </row>
  </sheetData>
  <hyperlinks>
    <hyperlink display="http://adsabs.harvard.edu/abs/2000ApJ...536L.113G" ref="B2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colorId="64" defaultGridColor="true" rightToLeft="false" showFormulas="false" showGridLines="true" showOutlineSymbols="true" showRowColHeaders="true" showZeros="true" tabSelected="false" topLeftCell="A9" view="normal" windowProtection="false" workbookViewId="0" zoomScale="90" zoomScaleNormal="90" zoomScalePageLayoutView="100">
      <selection activeCell="L26" activeCellId="0" pane="topLeft" sqref="L26"/>
    </sheetView>
  </sheetViews>
  <cols>
    <col collapsed="false" hidden="false" max="2" min="1" style="26" width="11.6235294117647"/>
    <col collapsed="false" hidden="false" max="3" min="3" style="28" width="11.6235294117647"/>
    <col collapsed="false" hidden="false" max="5" min="4" style="28" width="13.7647058823529"/>
    <col collapsed="false" hidden="false" max="6" min="6" style="28" width="9.50588235294118"/>
    <col collapsed="false" hidden="false" max="7" min="7" style="28" width="14.0627450980392"/>
    <col collapsed="false" hidden="false" max="8" min="8" style="30" width="12.3176470588235"/>
    <col collapsed="false" hidden="false" max="9" min="9" style="30" width="14.0627450980392"/>
    <col collapsed="false" hidden="false" max="10" min="10" style="30" width="13.7019607843137"/>
    <col collapsed="false" hidden="false" max="11" min="11" style="30" width="10.0470588235294"/>
    <col collapsed="false" hidden="false" max="12" min="12" style="26" width="30.0078431372549"/>
    <col collapsed="false" hidden="false" max="13" min="13" style="26" width="30.4078431372549"/>
    <col collapsed="false" hidden="false" max="14" min="14" style="26" width="7.86666666666667"/>
    <col collapsed="false" hidden="false" max="15" min="15" style="26" width="9.13333333333333"/>
    <col collapsed="false" hidden="false" max="16" min="16" style="26" width="8.50196078431373"/>
    <col collapsed="false" hidden="false" max="17" min="17" style="26" width="11.6235294117647"/>
    <col collapsed="false" hidden="false" max="18" min="18" style="26" width="10.0470588235294"/>
    <col collapsed="false" hidden="false" max="19" min="19" style="26" width="8.50196078431373"/>
    <col collapsed="false" hidden="false" max="1025" min="20" style="26" width="11.6235294117647"/>
  </cols>
  <sheetData>
    <row collapsed="false" customFormat="true" customHeight="false" hidden="false" ht="12.9" outlineLevel="0" r="1" s="13">
      <c r="A1" s="13" t="s">
        <v>9</v>
      </c>
      <c r="B1" s="2" t="n">
        <v>41030</v>
      </c>
    </row>
    <row collapsed="false" customFormat="true" customHeight="false" hidden="false" ht="12.9" outlineLevel="0" r="2" s="13">
      <c r="B2" s="19"/>
    </row>
    <row collapsed="false" customFormat="true" customHeight="false" hidden="false" ht="12.9" outlineLevel="0" r="3" s="13">
      <c r="A3" s="13" t="s">
        <v>10</v>
      </c>
      <c r="B3" s="19"/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139</v>
      </c>
      <c r="B5" s="0" t="n">
        <f aca="false">A20</f>
        <v>1526</v>
      </c>
      <c r="C5" s="0" t="s">
        <v>31</v>
      </c>
      <c r="D5" s="3" t="n">
        <v>28.0855</v>
      </c>
      <c r="E5" s="3" t="n">
        <f aca="false">J20</f>
        <v>65500.4538</v>
      </c>
      <c r="F5" s="3" t="n">
        <f aca="false">K20</f>
        <v>0.0007</v>
      </c>
      <c r="G5" s="5" t="n">
        <v>0</v>
      </c>
      <c r="H5" s="0" t="n">
        <f aca="false">A30</f>
        <v>0</v>
      </c>
      <c r="I5" s="4" t="n">
        <f aca="false">L20</f>
        <v>1526.70697985302</v>
      </c>
      <c r="J5" s="4" t="n">
        <f aca="false">M20</f>
        <v>1.63158394163234E-005</v>
      </c>
      <c r="K5" s="7" t="n">
        <f aca="false">299792458*J5/I5</f>
        <v>3.20386666695124</v>
      </c>
      <c r="L5" s="0" t="s">
        <v>140</v>
      </c>
      <c r="M5" s="0" t="s">
        <v>141</v>
      </c>
      <c r="N5" s="0" t="s">
        <v>142</v>
      </c>
      <c r="O5" s="8" t="n">
        <v>8.15</v>
      </c>
      <c r="P5" s="8" t="n">
        <v>16.35</v>
      </c>
      <c r="Q5" s="9" t="n">
        <v>0.133</v>
      </c>
      <c r="R5" s="10" t="n">
        <v>1130000000</v>
      </c>
      <c r="S5" s="5" t="n">
        <v>50</v>
      </c>
      <c r="T5" s="5" t="n">
        <v>30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35</v>
      </c>
      <c r="D6" s="5" t="n">
        <f aca="false">A21</f>
        <v>30</v>
      </c>
      <c r="E6" s="12" t="n">
        <f aca="false">J21</f>
        <v>65500.4256435064</v>
      </c>
      <c r="F6" s="4"/>
      <c r="G6" s="5" t="n">
        <v>3</v>
      </c>
      <c r="H6" s="0" t="n">
        <f aca="false">A31</f>
        <v>0</v>
      </c>
      <c r="I6" s="6" t="n">
        <f aca="false">L21</f>
        <v>1526.70763613448</v>
      </c>
      <c r="J6" s="6"/>
      <c r="K6" s="7"/>
      <c r="L6" s="0"/>
      <c r="M6" s="0"/>
      <c r="N6" s="0"/>
      <c r="O6" s="8"/>
      <c r="P6" s="8"/>
      <c r="Q6" s="47" t="n">
        <f aca="false">B21</f>
        <v>0.030872</v>
      </c>
      <c r="R6" s="10"/>
      <c r="S6" s="5"/>
      <c r="T6" s="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35</v>
      </c>
      <c r="D7" s="5" t="n">
        <f aca="false">A22</f>
        <v>29</v>
      </c>
      <c r="E7" s="12" t="n">
        <f aca="false">J22</f>
        <v>65500.4400036597</v>
      </c>
      <c r="F7" s="4"/>
      <c r="G7" s="5" t="n">
        <f aca="false">G6</f>
        <v>3</v>
      </c>
      <c r="H7" s="0" t="n">
        <f aca="false">H6</f>
        <v>0</v>
      </c>
      <c r="I7" s="6" t="n">
        <f aca="false">L22</f>
        <v>1526.7073014229</v>
      </c>
      <c r="J7" s="6"/>
      <c r="K7" s="7"/>
      <c r="L7" s="0"/>
      <c r="M7" s="0"/>
      <c r="N7" s="0"/>
      <c r="O7" s="8"/>
      <c r="P7" s="8"/>
      <c r="Q7" s="47" t="n">
        <f aca="false">B22</f>
        <v>0.046832</v>
      </c>
      <c r="R7" s="10"/>
      <c r="S7" s="5"/>
      <c r="T7" s="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35</v>
      </c>
      <c r="D8" s="5" t="n">
        <f aca="false">A23</f>
        <v>28</v>
      </c>
      <c r="E8" s="12" t="n">
        <f aca="false">J23</f>
        <v>65500.4554430273</v>
      </c>
      <c r="F8" s="4"/>
      <c r="G8" s="5" t="n">
        <f aca="false">G7</f>
        <v>3</v>
      </c>
      <c r="H8" s="0" t="n">
        <f aca="false">H7</f>
        <v>0</v>
      </c>
      <c r="I8" s="6" t="n">
        <f aca="false">L23</f>
        <v>1526.70694155678</v>
      </c>
      <c r="J8" s="6"/>
      <c r="K8" s="7"/>
      <c r="L8" s="0"/>
      <c r="M8" s="0"/>
      <c r="N8" s="0"/>
      <c r="O8" s="8"/>
      <c r="P8" s="8"/>
      <c r="Q8" s="47" t="n">
        <f aca="false">B23</f>
        <v>0.922297</v>
      </c>
      <c r="R8" s="10"/>
      <c r="S8" s="5"/>
      <c r="T8" s="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13">
      <c r="B9" s="0" t="n">
        <f aca="false">A24</f>
        <v>1808</v>
      </c>
      <c r="C9" s="0" t="s">
        <v>128</v>
      </c>
      <c r="D9" s="3" t="n">
        <f aca="false">$D$5</f>
        <v>28.0855</v>
      </c>
      <c r="E9" s="3" t="n">
        <f aca="false">E15</f>
        <v>55309.3404</v>
      </c>
      <c r="F9" s="3" t="n">
        <f aca="false">F15</f>
        <v>0.0004</v>
      </c>
      <c r="G9" s="5" t="n">
        <v>0</v>
      </c>
      <c r="H9" s="0" t="n">
        <f aca="false">A30</f>
        <v>0</v>
      </c>
      <c r="I9" s="4" t="n">
        <f aca="false">H15</f>
        <v>1808.01288311874</v>
      </c>
      <c r="J9" s="4" t="n">
        <f aca="false">I15</f>
        <v>1.30756423420934E-005</v>
      </c>
      <c r="K9" s="7" t="n">
        <f aca="false">299792458*J9/I9</f>
        <v>2.16811450530334</v>
      </c>
      <c r="L9" s="0"/>
      <c r="M9" s="0" t="s">
        <v>143</v>
      </c>
      <c r="N9" s="0" t="s">
        <v>144</v>
      </c>
      <c r="O9" s="8"/>
      <c r="P9" s="8"/>
      <c r="Q9" s="12" t="n">
        <v>0.00208</v>
      </c>
      <c r="R9" s="10" t="n">
        <v>2380000</v>
      </c>
      <c r="S9" s="5" t="n">
        <v>520</v>
      </c>
      <c r="T9" s="5" t="n">
        <v>30</v>
      </c>
    </row>
    <row collapsed="false" customFormat="true" customHeight="false" hidden="false" ht="12.9" outlineLevel="0" r="10" s="13">
      <c r="A10" s="13" t="s">
        <v>38</v>
      </c>
      <c r="B10" s="19"/>
    </row>
    <row collapsed="false" customFormat="true" customHeight="false" hidden="false" ht="12.9" outlineLevel="0" r="11" s="13">
      <c r="B11" s="19"/>
    </row>
    <row collapsed="false" customFormat="true" customHeight="false" hidden="false" ht="12.9" outlineLevel="0" r="12" s="13">
      <c r="A12" s="13" t="s">
        <v>39</v>
      </c>
      <c r="B12" s="19"/>
    </row>
    <row collapsed="false" customFormat="true" customHeight="false" hidden="false" ht="13.6" outlineLevel="0" r="13" s="15">
      <c r="A13" s="13" t="s">
        <v>40</v>
      </c>
      <c r="B13" s="14" t="s">
        <v>15</v>
      </c>
      <c r="C13" s="15" t="s">
        <v>16</v>
      </c>
      <c r="D13" s="15" t="s">
        <v>42</v>
      </c>
      <c r="E13" s="14" t="s">
        <v>15</v>
      </c>
      <c r="F13" s="15" t="s">
        <v>16</v>
      </c>
      <c r="G13" s="15" t="s">
        <v>43</v>
      </c>
      <c r="H13" s="15" t="s">
        <v>44</v>
      </c>
      <c r="I13" s="15" t="s">
        <v>45</v>
      </c>
      <c r="AME13" s="13"/>
      <c r="AMF13" s="0"/>
      <c r="AMG13" s="0"/>
      <c r="AMH13" s="0"/>
      <c r="AMI13" s="0"/>
      <c r="AMJ13" s="0"/>
    </row>
    <row collapsed="false" customFormat="true" customHeight="false" hidden="false" ht="12.9" outlineLevel="0" r="14" s="13">
      <c r="A14" s="13" t="n">
        <v>1526</v>
      </c>
      <c r="B14" s="46" t="n">
        <f aca="false">65500.4538</f>
        <v>65500.4538</v>
      </c>
      <c r="C14" s="46" t="n">
        <f aca="false">0.0007</f>
        <v>0.0007</v>
      </c>
      <c r="D14" s="13" t="n">
        <f aca="false">A30</f>
        <v>0</v>
      </c>
      <c r="E14" s="46" t="n">
        <f aca="false">B14</f>
        <v>65500.4538</v>
      </c>
      <c r="F14" s="46" t="n">
        <f aca="false">C14</f>
        <v>0.0007</v>
      </c>
      <c r="G14" s="13" t="n">
        <f aca="false">D14</f>
        <v>0</v>
      </c>
      <c r="H14" s="16" t="n">
        <f aca="false">100000000/E14</f>
        <v>1526.70697985302</v>
      </c>
      <c r="I14" s="16" t="n">
        <f aca="false">F14/E14*H14</f>
        <v>1.63158394163234E-005</v>
      </c>
      <c r="AMF14" s="0"/>
      <c r="AMG14" s="0"/>
      <c r="AMH14" s="0"/>
      <c r="AMI14" s="0"/>
      <c r="AMJ14" s="0"/>
    </row>
    <row collapsed="false" customFormat="true" customHeight="false" hidden="false" ht="12.9" outlineLevel="0" r="15" s="13">
      <c r="A15" s="13" t="n">
        <v>1808</v>
      </c>
      <c r="B15" s="46" t="n">
        <f aca="false">55309.3404</f>
        <v>55309.3404</v>
      </c>
      <c r="C15" s="46" t="n">
        <f aca="false">0.0004</f>
        <v>0.0004</v>
      </c>
      <c r="D15" s="13" t="n">
        <f aca="false">D14</f>
        <v>0</v>
      </c>
      <c r="E15" s="46" t="n">
        <f aca="false">B15</f>
        <v>55309.3404</v>
      </c>
      <c r="F15" s="46" t="n">
        <f aca="false">C15</f>
        <v>0.0004</v>
      </c>
      <c r="G15" s="13" t="n">
        <f aca="false">D15</f>
        <v>0</v>
      </c>
      <c r="H15" s="16" t="n">
        <f aca="false">100000000/E15</f>
        <v>1808.01288311874</v>
      </c>
      <c r="I15" s="16" t="n">
        <f aca="false">F15/E15*H15</f>
        <v>1.30756423420934E-005</v>
      </c>
      <c r="AMF15" s="0"/>
      <c r="AMG15" s="0"/>
      <c r="AMH15" s="0"/>
      <c r="AMI15" s="0"/>
      <c r="AMJ15" s="0"/>
    </row>
    <row collapsed="false" customFormat="true" customHeight="false" hidden="false" ht="12.9" outlineLevel="0" r="16" s="13">
      <c r="B16" s="46"/>
      <c r="C16" s="46"/>
      <c r="D16" s="46"/>
      <c r="E16" s="46"/>
    </row>
    <row collapsed="false" customFormat="true" customHeight="false" hidden="false" ht="12.9" outlineLevel="0" r="17" s="13">
      <c r="A17" s="13" t="s">
        <v>71</v>
      </c>
      <c r="B17" s="19"/>
    </row>
    <row collapsed="false" customFormat="true" customHeight="true" hidden="false" ht="59.3" outlineLevel="0" r="18" s="13">
      <c r="A18" s="15" t="s">
        <v>72</v>
      </c>
      <c r="B18" s="15" t="s">
        <v>73</v>
      </c>
      <c r="C18" s="48" t="s">
        <v>145</v>
      </c>
      <c r="D18" s="48"/>
      <c r="E18" s="48"/>
      <c r="F18" s="48"/>
      <c r="G18" s="48"/>
      <c r="H18" s="0" t="s">
        <v>146</v>
      </c>
      <c r="I18" s="0" t="s">
        <v>16</v>
      </c>
      <c r="J18" s="15" t="s">
        <v>15</v>
      </c>
      <c r="K18" s="15" t="s">
        <v>16</v>
      </c>
      <c r="L18" s="15" t="s">
        <v>44</v>
      </c>
      <c r="M18" s="15" t="s">
        <v>45</v>
      </c>
      <c r="AMJ18" s="0"/>
    </row>
    <row collapsed="false" customFormat="true" customHeight="false" hidden="false" ht="12.9" outlineLevel="0" r="19" s="15">
      <c r="A19" s="0"/>
      <c r="B19" s="0"/>
      <c r="C19" s="0" t="s">
        <v>147</v>
      </c>
      <c r="D19" s="0" t="s">
        <v>148</v>
      </c>
      <c r="E19" s="0" t="s">
        <v>149</v>
      </c>
      <c r="F19" s="0" t="s">
        <v>150</v>
      </c>
      <c r="G19" s="0" t="s">
        <v>151</v>
      </c>
      <c r="H19" s="0"/>
      <c r="I19" s="0"/>
      <c r="O19" s="13"/>
      <c r="AMJ19" s="0"/>
    </row>
    <row collapsed="false" customFormat="false" customHeight="false" hidden="false" ht="12.9" outlineLevel="0" r="20">
      <c r="A20" s="26" t="n">
        <v>1526</v>
      </c>
      <c r="B20" s="49"/>
      <c r="C20" s="5" t="n">
        <f aca="false">-E14/10000000*299792458/1823</f>
        <v>-1077.15535078538</v>
      </c>
      <c r="D20" s="5" t="n">
        <v>1475</v>
      </c>
      <c r="E20" s="5" t="n">
        <f aca="false">SUM(C20:D20)</f>
        <v>397.844649214622</v>
      </c>
      <c r="F20" s="5" t="n">
        <v>171</v>
      </c>
      <c r="G20" s="50" t="s">
        <v>152</v>
      </c>
      <c r="H20" s="0"/>
      <c r="I20" s="0"/>
      <c r="J20" s="3" t="n">
        <f aca="false">E$14</f>
        <v>65500.4538</v>
      </c>
      <c r="K20" s="3" t="n">
        <f aca="false">F$14</f>
        <v>0.0007</v>
      </c>
      <c r="L20" s="4" t="n">
        <f aca="false">100000000/J20</f>
        <v>1526.70697985302</v>
      </c>
      <c r="M20" s="4" t="n">
        <f aca="false">K20/J20*L20</f>
        <v>1.63158394163234E-005</v>
      </c>
      <c r="N20" s="30"/>
      <c r="AMJ20" s="0"/>
    </row>
    <row collapsed="false" customFormat="false" customHeight="false" hidden="false" ht="12.9" outlineLevel="0" r="21">
      <c r="A21" s="26" t="n">
        <v>30</v>
      </c>
      <c r="B21" s="51" t="n">
        <f aca="false">0.030872</f>
        <v>0.030872</v>
      </c>
      <c r="C21" s="0"/>
      <c r="D21" s="0"/>
      <c r="E21" s="0"/>
      <c r="F21" s="0"/>
      <c r="G21" s="3" t="n">
        <f aca="false">3/5*1.21*(POWER($A21,2/3)-POWER($A$23,2/3))</f>
        <v>0.315099436168008</v>
      </c>
      <c r="H21" s="8" t="n">
        <f aca="false">1000*$E$20*(1/$A21-1/$A$23)+$F$20*G21</f>
        <v>-893.367161211989</v>
      </c>
      <c r="I21" s="12" t="n">
        <f aca="false">10000*H21/299792458</f>
        <v>-0.0297995208809419</v>
      </c>
      <c r="J21" s="12" t="n">
        <f aca="false">$J$23+$I21</f>
        <v>65500.4256435064</v>
      </c>
      <c r="K21" s="0"/>
      <c r="L21" s="6" t="n">
        <f aca="false">100000000/J21</f>
        <v>1526.70763613448</v>
      </c>
      <c r="M21" s="30"/>
      <c r="AMJ21" s="0"/>
    </row>
    <row collapsed="false" customFormat="false" customHeight="false" hidden="false" ht="12.9" outlineLevel="0" r="22">
      <c r="A22" s="26" t="n">
        <v>29</v>
      </c>
      <c r="B22" s="51" t="n">
        <f aca="false">0.046832</f>
        <v>0.046832</v>
      </c>
      <c r="C22" s="0"/>
      <c r="D22" s="0"/>
      <c r="E22" s="0"/>
      <c r="F22" s="0"/>
      <c r="G22" s="3" t="n">
        <f aca="false">3/5*1.21*(POWER($A22,2/3)-POWER($A$23,2/3))</f>
        <v>0.15845537571799</v>
      </c>
      <c r="H22" s="8" t="n">
        <f aca="false">1000*$E$20*(1/$A22-1/$A$23)+$F$20*G22</f>
        <v>-462.86059530225</v>
      </c>
      <c r="I22" s="12" t="n">
        <f aca="false">10000*H22/299792458</f>
        <v>-0.0154393675674873</v>
      </c>
      <c r="J22" s="12" t="n">
        <f aca="false">$J$23+$I22</f>
        <v>65500.4400036597</v>
      </c>
      <c r="L22" s="6" t="n">
        <f aca="false">100000000/J22</f>
        <v>1526.7073014229</v>
      </c>
      <c r="AMJ22" s="0"/>
    </row>
    <row collapsed="false" customFormat="false" customHeight="false" hidden="false" ht="12.9" outlineLevel="0" r="23">
      <c r="A23" s="26" t="n">
        <v>28</v>
      </c>
      <c r="B23" s="51" t="n">
        <f aca="false">0.922297</f>
        <v>0.922297</v>
      </c>
      <c r="C23" s="0"/>
      <c r="D23" s="0"/>
      <c r="E23" s="0"/>
      <c r="F23" s="0"/>
      <c r="G23" s="8"/>
      <c r="H23" s="8" t="n">
        <f aca="false">0</f>
        <v>0</v>
      </c>
      <c r="I23" s="12" t="n">
        <f aca="false">0</f>
        <v>0</v>
      </c>
      <c r="J23" s="12" t="n">
        <f aca="false">J20-SUMPRODUCT(I21:I22,B21:B22)</f>
        <v>65500.4554430273</v>
      </c>
      <c r="L23" s="6" t="n">
        <f aca="false">100000000/J23</f>
        <v>1526.70694155678</v>
      </c>
      <c r="AMJ23" s="0"/>
    </row>
    <row collapsed="false" customFormat="false" customHeight="false" hidden="false" ht="12.9" outlineLevel="0" r="24">
      <c r="A24" s="26" t="n">
        <v>1808</v>
      </c>
      <c r="B24" s="51"/>
      <c r="C24" s="5" t="n">
        <f aca="false">-E15/10000000*299792458/1823</f>
        <v>-909.562430547159</v>
      </c>
      <c r="D24" s="0" t="n">
        <v>-1113</v>
      </c>
      <c r="E24" s="5" t="n">
        <f aca="false">SUM(C24:D24)</f>
        <v>-2022.56243054716</v>
      </c>
      <c r="F24" s="0" t="n">
        <v>0</v>
      </c>
      <c r="G24" s="50" t="s">
        <v>152</v>
      </c>
      <c r="H24" s="9"/>
      <c r="I24" s="6"/>
      <c r="J24" s="3" t="n">
        <f aca="false">E$15</f>
        <v>55309.3404</v>
      </c>
      <c r="K24" s="3" t="n">
        <f aca="false">F15</f>
        <v>0.0004</v>
      </c>
      <c r="L24" s="4" t="n">
        <f aca="false">100000000/J24</f>
        <v>1808.01288311874</v>
      </c>
      <c r="M24" s="4" t="n">
        <f aca="false">K24/J24*L24</f>
        <v>1.30756423420934E-005</v>
      </c>
      <c r="AMJ24" s="0"/>
    </row>
    <row collapsed="false" customFormat="false" customHeight="false" hidden="false" ht="12.9" outlineLevel="0" r="25">
      <c r="A25" s="26" t="n">
        <v>30</v>
      </c>
      <c r="B25" s="51" t="n">
        <f aca="false">B21</f>
        <v>0.030872</v>
      </c>
      <c r="C25" s="0"/>
      <c r="D25" s="0"/>
      <c r="E25" s="0"/>
      <c r="F25" s="0"/>
      <c r="G25" s="3" t="n">
        <f aca="false">3/5*1.21*(POWER($A25,2/3)-POWER($A$27,2/3))</f>
        <v>0.315099436168008</v>
      </c>
      <c r="H25" s="8" t="n">
        <f aca="false">1000*$E$24*(1/$A25-1/$A$27)+$F$24*G25</f>
        <v>4815.62483463609</v>
      </c>
      <c r="I25" s="12" t="n">
        <f aca="false">10000*H25/299792458</f>
        <v>0.160631954077914</v>
      </c>
      <c r="J25" s="12" t="n">
        <f aca="false">$J$27+$I25</f>
        <v>55309.4921818646</v>
      </c>
      <c r="L25" s="6" t="n">
        <f aca="false">100000000/J25</f>
        <v>1808.00792151892</v>
      </c>
      <c r="M25" s="30"/>
      <c r="AMJ25" s="0"/>
    </row>
    <row collapsed="false" customFormat="false" customHeight="false" hidden="false" ht="12.9" outlineLevel="0" r="26">
      <c r="A26" s="26" t="n">
        <v>29</v>
      </c>
      <c r="B26" s="51" t="inlineStr">
        <f aca="false">B22</f>
        <is>
          <t/>
        </is>
      </c>
      <c r="C26" s="52"/>
      <c r="E26" s="30"/>
      <c r="F26" s="30"/>
      <c r="G26" s="3" t="n">
        <f aca="false">3/5*1.21*(POWER($A26,2/3)-POWER($A$27,2/3))</f>
        <v>0.15845537571799</v>
      </c>
      <c r="H26" s="8" t="n">
        <f aca="false">1000*$E$24*(1/$A26-1/$A$27)+$F$24*G26</f>
        <v>2490.84043170832</v>
      </c>
      <c r="I26" s="12" t="n">
        <f aca="false">10000*H26/299792458</f>
        <v>0.083085493488576</v>
      </c>
      <c r="J26" s="12" t="n">
        <f aca="false">$J$27+$I26</f>
        <v>55309.414635404</v>
      </c>
      <c r="L26" s="6" t="n">
        <f aca="false">100000000/J26</f>
        <v>1808.01045643302</v>
      </c>
      <c r="AMJ26" s="0"/>
    </row>
    <row collapsed="false" customFormat="false" customHeight="false" hidden="false" ht="12.9" outlineLevel="0" r="27">
      <c r="A27" s="26" t="n">
        <v>28</v>
      </c>
      <c r="B27" s="51" t="n">
        <f aca="false">B23</f>
        <v>0.922297</v>
      </c>
      <c r="C27" s="52"/>
      <c r="E27" s="30"/>
      <c r="F27" s="30"/>
      <c r="G27" s="8"/>
      <c r="H27" s="8" t="n">
        <f aca="false">0</f>
        <v>0</v>
      </c>
      <c r="I27" s="12" t="n">
        <f aca="false">0</f>
        <v>0</v>
      </c>
      <c r="J27" s="12" t="n">
        <f aca="false">J24-SUMPRODUCT(I25:I26,B25:B26)</f>
        <v>55309.3315499105</v>
      </c>
      <c r="L27" s="6" t="n">
        <f aca="false">100000000/J27</f>
        <v>1808.0131724203</v>
      </c>
      <c r="AMJ27" s="0"/>
    </row>
    <row collapsed="false" customFormat="false" customHeight="false" hidden="false" ht="12.9" outlineLevel="0" r="29">
      <c r="A29" s="26" t="s">
        <v>4</v>
      </c>
    </row>
    <row collapsed="false" customFormat="false" customHeight="false" hidden="false" ht="13.6" outlineLevel="0" r="30">
      <c r="A30" s="0" t="s">
        <v>130</v>
      </c>
      <c r="B30" s="1" t="s">
        <v>131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9" outlineLevel="0" r="31">
      <c r="A31" s="26" t="s">
        <v>153</v>
      </c>
      <c r="B31" s="26" t="s">
        <v>154</v>
      </c>
    </row>
    <row collapsed="false" customFormat="false" customHeight="false" hidden="false" ht="13.6" outlineLevel="0" r="32">
      <c r="A32" s="13" t="s">
        <v>52</v>
      </c>
      <c r="B32" s="1" t="s">
        <v>53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</sheetData>
  <mergeCells count="1">
    <mergeCell ref="C18:G18"/>
  </mergeCells>
  <hyperlinks>
    <hyperlink display="http://adsabs.harvard.edu/abs/2000ApJ...536L.113G" ref="B30" r:id="rId1"/>
    <hyperlink display="http://adsabs.harvard.edu/abs/1998JPCRD..27.1275R" ref="B32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8" activeCellId="0" pane="topLeft" sqref="D8"/>
    </sheetView>
  </sheetViews>
  <cols>
    <col collapsed="false" hidden="false" max="2" min="1" style="26" width="11.6235294117647"/>
    <col collapsed="false" hidden="false" max="3" min="3" style="28" width="11.6235294117647"/>
    <col collapsed="false" hidden="false" max="5" min="4" style="28" width="13.7647058823529"/>
    <col collapsed="false" hidden="false" max="6" min="6" style="28" width="13.2588235294118"/>
    <col collapsed="false" hidden="false" max="7" min="7" style="28" width="12.7803921568627"/>
    <col collapsed="false" hidden="false" max="8" min="8" style="30" width="12.7803921568627"/>
    <col collapsed="false" hidden="false" max="9" min="9" style="30" width="15.5372549019608"/>
    <col collapsed="false" hidden="false" max="10" min="10" style="30" width="12.4549019607843"/>
    <col collapsed="false" hidden="false" max="11" min="11" style="30" width="9.91372549019608"/>
    <col collapsed="false" hidden="false" max="12" min="12" style="26" width="30.5411764705882"/>
    <col collapsed="false" hidden="false" max="13" min="13" style="26" width="31.7529411764706"/>
    <col collapsed="false" hidden="false" max="14" min="14" style="26" width="7.86666666666667"/>
    <col collapsed="false" hidden="false" max="15" min="15" style="26" width="9.13333333333333"/>
    <col collapsed="false" hidden="false" max="16" min="16" style="26" width="8.50196078431373"/>
    <col collapsed="false" hidden="false" max="17" min="17" style="26" width="11.6235294117647"/>
    <col collapsed="false" hidden="false" max="18" min="18" style="26" width="9.10588235294118"/>
    <col collapsed="false" hidden="false" max="19" min="19" style="26" width="8.50196078431373"/>
    <col collapsed="false" hidden="false" max="1025" min="20" style="26" width="11.6235294117647"/>
  </cols>
  <sheetData>
    <row collapsed="false" customFormat="true" customHeight="false" hidden="false" ht="12.9" outlineLevel="0" r="1" s="13">
      <c r="A1" s="13" t="s">
        <v>9</v>
      </c>
      <c r="B1" s="2" t="n">
        <v>41011</v>
      </c>
    </row>
    <row collapsed="false" customFormat="true" customHeight="false" hidden="false" ht="12.9" outlineLevel="0" r="2" s="13">
      <c r="B2" s="19"/>
    </row>
    <row collapsed="false" customFormat="true" customHeight="false" hidden="false" ht="12.9" outlineLevel="0" r="3" s="13">
      <c r="A3" s="13" t="s">
        <v>10</v>
      </c>
      <c r="B3" s="19"/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155</v>
      </c>
      <c r="B5" s="0" t="n">
        <f aca="false">A23</f>
        <v>1393</v>
      </c>
      <c r="C5" s="0" t="s">
        <v>31</v>
      </c>
      <c r="D5" s="4" t="n">
        <v>26.981538</v>
      </c>
      <c r="E5" s="9" t="n">
        <f aca="false">J23</f>
        <v>71748.355</v>
      </c>
      <c r="F5" s="9" t="n">
        <f aca="false">K23</f>
        <v>0.002</v>
      </c>
      <c r="G5" s="5" t="n">
        <v>0</v>
      </c>
      <c r="H5" s="0" t="n">
        <f aca="false">A34</f>
        <v>0</v>
      </c>
      <c r="I5" s="4" t="n">
        <f aca="false">L23</f>
        <v>1393.76017749815</v>
      </c>
      <c r="J5" s="4" t="n">
        <f aca="false">M23</f>
        <v>3.88513486475933E-005</v>
      </c>
      <c r="K5" s="7" t="n">
        <f aca="false">299792458*J5/I5</f>
        <v>8.35677578949371</v>
      </c>
      <c r="L5" s="0" t="s">
        <v>156</v>
      </c>
      <c r="M5" s="0" t="s">
        <v>157</v>
      </c>
      <c r="N5" s="0" t="s">
        <v>158</v>
      </c>
      <c r="O5" s="8" t="n">
        <v>33.49</v>
      </c>
      <c r="P5" s="8" t="n">
        <v>45.14</v>
      </c>
      <c r="Q5" s="9" t="n">
        <v>0.513</v>
      </c>
      <c r="R5" s="10" t="n">
        <v>880000000</v>
      </c>
      <c r="S5" s="5" t="n">
        <v>823</v>
      </c>
      <c r="T5" s="5" t="n">
        <v>40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35</v>
      </c>
      <c r="D6" s="0" t="n">
        <f aca="false">A24</f>
        <v>30</v>
      </c>
      <c r="E6" s="3" t="n">
        <f aca="false">J24</f>
        <v>71748.5516738477</v>
      </c>
      <c r="F6" s="4"/>
      <c r="G6" s="5" t="n">
        <v>3</v>
      </c>
      <c r="H6" s="0" t="n">
        <f aca="false">A33</f>
        <v>0</v>
      </c>
      <c r="I6" s="6" t="n">
        <f aca="false">L24</f>
        <v>1393.7563569865</v>
      </c>
      <c r="J6" s="6"/>
      <c r="K6" s="7"/>
      <c r="L6" s="0"/>
      <c r="M6" s="0"/>
      <c r="N6" s="0"/>
      <c r="O6" s="8"/>
      <c r="P6" s="8"/>
      <c r="Q6" s="47" t="n">
        <f aca="false">B24</f>
        <v>0.030872</v>
      </c>
      <c r="R6" s="10"/>
      <c r="S6" s="5"/>
      <c r="T6" s="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35</v>
      </c>
      <c r="D7" s="0" t="n">
        <f aca="false">A25</f>
        <v>29</v>
      </c>
      <c r="E7" s="3" t="n">
        <f aca="false">J25</f>
        <v>71748.4512632321</v>
      </c>
      <c r="F7" s="4"/>
      <c r="G7" s="5" t="n">
        <f aca="false">G6</f>
        <v>3</v>
      </c>
      <c r="H7" s="0" t="n">
        <f aca="false">H6</f>
        <v>0</v>
      </c>
      <c r="I7" s="6" t="n">
        <f aca="false">L25</f>
        <v>1393.75830752246</v>
      </c>
      <c r="J7" s="6"/>
      <c r="K7" s="7"/>
      <c r="L7" s="0"/>
      <c r="M7" s="0"/>
      <c r="N7" s="0"/>
      <c r="O7" s="8"/>
      <c r="P7" s="8"/>
      <c r="Q7" s="47" t="n">
        <f aca="false">B25</f>
        <v>0.046832</v>
      </c>
      <c r="R7" s="10"/>
      <c r="S7" s="5"/>
      <c r="T7" s="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35</v>
      </c>
      <c r="D8" s="0" t="n">
        <f aca="false">A26</f>
        <v>28</v>
      </c>
      <c r="E8" s="3" t="n">
        <f aca="false">J26</f>
        <v>71748.343528721</v>
      </c>
      <c r="F8" s="4"/>
      <c r="G8" s="5" t="n">
        <f aca="false">G7</f>
        <v>3</v>
      </c>
      <c r="H8" s="0" t="n">
        <f aca="false">H7</f>
        <v>0</v>
      </c>
      <c r="I8" s="6" t="n">
        <f aca="false">L26</f>
        <v>1393.76040033551</v>
      </c>
      <c r="J8" s="6"/>
      <c r="K8" s="7"/>
      <c r="L8" s="0"/>
      <c r="M8" s="0"/>
      <c r="N8" s="0"/>
      <c r="O8" s="8"/>
      <c r="P8" s="8"/>
      <c r="Q8" s="47" t="n">
        <f aca="false">B26</f>
        <v>0.922297</v>
      </c>
      <c r="R8" s="10"/>
      <c r="S8" s="5"/>
      <c r="T8" s="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13">
      <c r="B9" s="0" t="n">
        <f aca="false">A27</f>
        <v>1402</v>
      </c>
      <c r="C9" s="0" t="s">
        <v>31</v>
      </c>
      <c r="D9" s="4" t="n">
        <f aca="false">$D$5</f>
        <v>26.981538</v>
      </c>
      <c r="E9" s="9" t="n">
        <f aca="false">J27</f>
        <v>71287.376</v>
      </c>
      <c r="F9" s="9" t="n">
        <f aca="false">K27</f>
        <v>0.002</v>
      </c>
      <c r="G9" s="5" t="n">
        <v>0</v>
      </c>
      <c r="H9" s="0" t="n">
        <f aca="false">A34</f>
        <v>0</v>
      </c>
      <c r="I9" s="4" t="n">
        <f aca="false">L27</f>
        <v>1402.77291171441</v>
      </c>
      <c r="J9" s="4" t="n">
        <f aca="false">M27</f>
        <v>3.93554368367945E-005</v>
      </c>
      <c r="K9" s="7" t="n">
        <f aca="false">299792458*J9/I9</f>
        <v>8.4108147843736</v>
      </c>
      <c r="L9" s="0"/>
      <c r="M9" s="0" t="s">
        <v>159</v>
      </c>
      <c r="N9" s="0" t="s">
        <v>160</v>
      </c>
      <c r="O9" s="8"/>
      <c r="P9" s="8"/>
      <c r="Q9" s="9" t="n">
        <v>0.254</v>
      </c>
      <c r="R9" s="10" t="n">
        <v>862000000</v>
      </c>
      <c r="S9" s="5" t="n">
        <v>361</v>
      </c>
      <c r="T9" s="5" t="n">
        <v>15</v>
      </c>
    </row>
    <row collapsed="false" customFormat="true" customHeight="false" hidden="false" ht="12.9" outlineLevel="0" r="10" s="13">
      <c r="B10" s="0"/>
      <c r="C10" s="0" t="s">
        <v>35</v>
      </c>
      <c r="D10" s="0" t="n">
        <f aca="false">A28</f>
        <v>30</v>
      </c>
      <c r="E10" s="3" t="n">
        <f aca="false">J28</f>
        <v>71287.5743347618</v>
      </c>
      <c r="F10" s="4"/>
      <c r="G10" s="5" t="n">
        <v>3</v>
      </c>
      <c r="H10" s="0" t="n">
        <f aca="false">A33</f>
        <v>0</v>
      </c>
      <c r="I10" s="6" t="n">
        <f aca="false">L28</f>
        <v>1402.76900894967</v>
      </c>
      <c r="J10" s="6"/>
      <c r="K10" s="7"/>
      <c r="L10" s="0"/>
      <c r="M10" s="0"/>
      <c r="N10" s="0"/>
      <c r="O10" s="8"/>
      <c r="P10" s="8"/>
      <c r="Q10" s="47" t="n">
        <f aca="false">B28</f>
        <v>0.030872</v>
      </c>
      <c r="R10" s="10"/>
      <c r="S10" s="5"/>
      <c r="T10" s="5"/>
    </row>
    <row collapsed="false" customFormat="true" customHeight="false" hidden="false" ht="12.9" outlineLevel="0" r="11" s="13">
      <c r="B11" s="0"/>
      <c r="C11" s="0" t="s">
        <v>35</v>
      </c>
      <c r="D11" s="0" t="n">
        <f aca="false">A29</f>
        <v>29</v>
      </c>
      <c r="E11" s="3" t="n">
        <f aca="false">J29</f>
        <v>71287.4730754257</v>
      </c>
      <c r="F11" s="4"/>
      <c r="G11" s="5" t="n">
        <f aca="false">G10</f>
        <v>3</v>
      </c>
      <c r="H11" s="0" t="n">
        <f aca="false">H10</f>
        <v>0</v>
      </c>
      <c r="I11" s="6" t="n">
        <f aca="false">L29</f>
        <v>1402.77100149412</v>
      </c>
      <c r="J11" s="6"/>
      <c r="K11" s="7"/>
      <c r="L11" s="0"/>
      <c r="M11" s="0"/>
      <c r="N11" s="0"/>
      <c r="O11" s="8"/>
      <c r="P11" s="8"/>
      <c r="Q11" s="47" t="n">
        <f aca="false">B29</f>
        <v>0.046832</v>
      </c>
      <c r="R11" s="10"/>
      <c r="S11" s="5"/>
      <c r="T11" s="5"/>
    </row>
    <row collapsed="false" customFormat="true" customHeight="false" hidden="false" ht="12.9" outlineLevel="0" r="12" s="13">
      <c r="B12" s="0"/>
      <c r="C12" s="0" t="s">
        <v>35</v>
      </c>
      <c r="D12" s="0" t="n">
        <f aca="false">A30</f>
        <v>28</v>
      </c>
      <c r="E12" s="3" t="n">
        <f aca="false">J30</f>
        <v>71287.364431884</v>
      </c>
      <c r="F12" s="4"/>
      <c r="G12" s="5" t="n">
        <f aca="false">G11</f>
        <v>3</v>
      </c>
      <c r="H12" s="0" t="n">
        <f aca="false">H11</f>
        <v>0</v>
      </c>
      <c r="I12" s="6" t="n">
        <f aca="false">L30</f>
        <v>1402.77313934858</v>
      </c>
      <c r="J12" s="6"/>
      <c r="K12" s="7"/>
      <c r="L12" s="0"/>
      <c r="M12" s="0"/>
      <c r="N12" s="0"/>
      <c r="O12" s="8"/>
      <c r="P12" s="8"/>
      <c r="Q12" s="47" t="n">
        <f aca="false">B30</f>
        <v>0.922297</v>
      </c>
      <c r="R12" s="10"/>
      <c r="S12" s="5"/>
      <c r="T12" s="5"/>
    </row>
    <row collapsed="false" customFormat="true" customHeight="false" hidden="false" ht="12.9" outlineLevel="0" r="13" s="13">
      <c r="A13" s="13" t="s">
        <v>38</v>
      </c>
      <c r="B13" s="19"/>
    </row>
    <row collapsed="false" customFormat="true" customHeight="false" hidden="false" ht="12.9" outlineLevel="0" r="14" s="13">
      <c r="B14" s="19"/>
    </row>
    <row collapsed="false" customFormat="true" customHeight="false" hidden="false" ht="12.9" outlineLevel="0" r="15" s="13">
      <c r="A15" s="13" t="s">
        <v>39</v>
      </c>
      <c r="B15" s="19"/>
    </row>
    <row collapsed="false" customFormat="true" customHeight="false" hidden="false" ht="25" outlineLevel="0" r="16" s="15">
      <c r="A16" s="13" t="s">
        <v>40</v>
      </c>
      <c r="B16" s="14" t="s">
        <v>15</v>
      </c>
      <c r="C16" s="15" t="s">
        <v>16</v>
      </c>
      <c r="D16" s="15" t="s">
        <v>42</v>
      </c>
      <c r="E16" s="14" t="s">
        <v>15</v>
      </c>
      <c r="F16" s="15" t="s">
        <v>16</v>
      </c>
      <c r="G16" s="15" t="s">
        <v>43</v>
      </c>
      <c r="H16" s="15" t="s">
        <v>44</v>
      </c>
      <c r="I16" s="15" t="s">
        <v>45</v>
      </c>
      <c r="AME16" s="13"/>
      <c r="AMF16" s="0"/>
      <c r="AMG16" s="0"/>
      <c r="AMH16" s="0"/>
      <c r="AMI16" s="0"/>
      <c r="AMJ16" s="0"/>
    </row>
    <row collapsed="false" customFormat="true" customHeight="false" hidden="false" ht="12.9" outlineLevel="0" r="17" s="13">
      <c r="A17" s="13" t="n">
        <v>1393</v>
      </c>
      <c r="B17" s="45" t="n">
        <f aca="false">71748.355</f>
        <v>71748.355</v>
      </c>
      <c r="C17" s="45" t="n">
        <f aca="false">0.002</f>
        <v>0.002</v>
      </c>
      <c r="D17" s="13" t="n">
        <f aca="false">A34</f>
        <v>0</v>
      </c>
      <c r="E17" s="45" t="n">
        <f aca="false">B17</f>
        <v>71748.355</v>
      </c>
      <c r="F17" s="45" t="n">
        <f aca="false">C17</f>
        <v>0.002</v>
      </c>
      <c r="G17" s="13" t="n">
        <f aca="false">D17</f>
        <v>0</v>
      </c>
      <c r="H17" s="16" t="n">
        <f aca="false">100000000/E17</f>
        <v>1393.76017749815</v>
      </c>
      <c r="I17" s="16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13">
      <c r="A18" s="13" t="n">
        <v>1402</v>
      </c>
      <c r="B18" s="45" t="n">
        <f aca="false">71287.376</f>
        <v>71287.376</v>
      </c>
      <c r="C18" s="45" t="n">
        <f aca="false">0.002</f>
        <v>0.002</v>
      </c>
      <c r="D18" s="13" t="n">
        <f aca="false">D17</f>
        <v>0</v>
      </c>
      <c r="E18" s="45" t="n">
        <f aca="false">B18</f>
        <v>71287.376</v>
      </c>
      <c r="F18" s="45" t="n">
        <f aca="false">C18</f>
        <v>0.002</v>
      </c>
      <c r="G18" s="13" t="n">
        <f aca="false">D18</f>
        <v>0</v>
      </c>
      <c r="H18" s="16" t="n">
        <f aca="false">100000000/E18</f>
        <v>1402.77291171441</v>
      </c>
      <c r="I18" s="16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13">
      <c r="B19" s="46"/>
      <c r="C19" s="46"/>
      <c r="D19" s="46"/>
      <c r="E19" s="46"/>
    </row>
    <row collapsed="false" customFormat="true" customHeight="false" hidden="false" ht="12.9" outlineLevel="0" r="20" s="13">
      <c r="A20" s="13" t="s">
        <v>71</v>
      </c>
      <c r="B20" s="19"/>
    </row>
    <row collapsed="false" customFormat="true" customHeight="true" hidden="false" ht="59.05" outlineLevel="0" r="21" s="13">
      <c r="A21" s="15" t="s">
        <v>72</v>
      </c>
      <c r="B21" s="15" t="s">
        <v>73</v>
      </c>
      <c r="C21" s="48" t="s">
        <v>161</v>
      </c>
      <c r="D21" s="48"/>
      <c r="E21" s="48"/>
      <c r="F21" s="48"/>
      <c r="G21" s="48"/>
      <c r="H21" s="0" t="s">
        <v>146</v>
      </c>
      <c r="I21" s="0" t="s">
        <v>16</v>
      </c>
      <c r="J21" s="15" t="s">
        <v>15</v>
      </c>
      <c r="K21" s="15" t="s">
        <v>16</v>
      </c>
      <c r="L21" s="15" t="s">
        <v>44</v>
      </c>
      <c r="M21" s="15" t="s">
        <v>45</v>
      </c>
      <c r="AMJ21" s="0"/>
    </row>
    <row collapsed="false" customFormat="true" customHeight="false" hidden="false" ht="12.9" outlineLevel="0" r="22" s="15">
      <c r="A22" s="0"/>
      <c r="B22" s="0"/>
      <c r="C22" s="0" t="s">
        <v>147</v>
      </c>
      <c r="D22" s="0" t="s">
        <v>148</v>
      </c>
      <c r="E22" s="0" t="s">
        <v>149</v>
      </c>
      <c r="F22" s="0" t="s">
        <v>150</v>
      </c>
      <c r="G22" s="0" t="s">
        <v>151</v>
      </c>
      <c r="H22" s="0"/>
      <c r="I22" s="0"/>
      <c r="O22" s="13"/>
      <c r="AMJ22" s="0"/>
    </row>
    <row collapsed="false" customFormat="false" customHeight="false" hidden="false" ht="12.9" outlineLevel="0" r="23">
      <c r="A23" s="26" t="n">
        <v>1393</v>
      </c>
      <c r="B23" s="49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9" t="n">
        <f aca="false">E$17</f>
        <v>71748.355</v>
      </c>
      <c r="K23" s="9" t="n">
        <f aca="false">F$17</f>
        <v>0.002</v>
      </c>
      <c r="L23" s="4" t="n">
        <f aca="false">100000000/J23</f>
        <v>1393.76017749815</v>
      </c>
      <c r="M23" s="4" t="n">
        <f aca="false">K23/J23*L23</f>
        <v>3.88513486475933E-005</v>
      </c>
      <c r="N23" s="30"/>
      <c r="AMJ23" s="0"/>
    </row>
    <row collapsed="false" customFormat="false" customHeight="false" hidden="false" ht="12.9" outlineLevel="0" r="24">
      <c r="A24" s="26" t="n">
        <v>30</v>
      </c>
      <c r="B24" s="51" t="n">
        <f aca="false">0.030872</f>
        <v>0.030872</v>
      </c>
      <c r="C24" s="0"/>
      <c r="D24" s="0"/>
      <c r="E24" s="0"/>
      <c r="F24" s="0"/>
      <c r="G24" s="3" t="n">
        <f aca="false">3/5*1.21*(POWER($A24,2/3)-POWER($A$26,2/3))</f>
        <v>0.315099436168008</v>
      </c>
      <c r="H24" s="8" t="n">
        <f aca="false">1000*$E$23*(1/$A24-1/$A$26)+$F$23*G24</f>
        <v>6240.03391631566</v>
      </c>
      <c r="I24" s="12" t="n">
        <f aca="false">10000*H24/299792458</f>
        <v>0.208145126730161</v>
      </c>
      <c r="J24" s="3" t="n">
        <f aca="false">$J$26+$I24</f>
        <v>71748.5516738477</v>
      </c>
      <c r="K24" s="0"/>
      <c r="L24" s="6" t="n">
        <f aca="false">100000000/J24</f>
        <v>1393.7563569865</v>
      </c>
      <c r="M24" s="30"/>
      <c r="AMJ24" s="0"/>
    </row>
    <row collapsed="false" customFormat="false" customHeight="false" hidden="false" ht="12.9" outlineLevel="0" r="25">
      <c r="A25" s="26" t="n">
        <v>29</v>
      </c>
      <c r="B25" s="51" t="n">
        <f aca="false">0.046832</f>
        <v>0.046832</v>
      </c>
      <c r="C25" s="0"/>
      <c r="D25" s="0"/>
      <c r="E25" s="0"/>
      <c r="F25" s="0"/>
      <c r="G25" s="3" t="n">
        <f aca="false">3/5*1.21*(POWER($A25,2/3)-POWER($A$26,2/3))</f>
        <v>0.15845537571799</v>
      </c>
      <c r="H25" s="8" t="n">
        <f aca="false">1000*$E$23*(1/$A25-1/$A$26)+$F$23*G25</f>
        <v>3229.79938908219</v>
      </c>
      <c r="I25" s="12" t="n">
        <f aca="false">10000*H25/299792458</f>
        <v>0.107734511089075</v>
      </c>
      <c r="J25" s="3" t="n">
        <f aca="false">$J$26+$I25</f>
        <v>71748.4512632321</v>
      </c>
      <c r="L25" s="6" t="n">
        <f aca="false">100000000/J25</f>
        <v>1393.75830752246</v>
      </c>
      <c r="AMJ25" s="0"/>
    </row>
    <row collapsed="false" customFormat="false" customHeight="false" hidden="false" ht="12.9" outlineLevel="0" r="26">
      <c r="A26" s="26" t="n">
        <v>28</v>
      </c>
      <c r="B26" s="51" t="n">
        <f aca="false">0.922297</f>
        <v>0.922297</v>
      </c>
      <c r="C26" s="0"/>
      <c r="D26" s="0"/>
      <c r="E26" s="0"/>
      <c r="F26" s="0"/>
      <c r="G26" s="8"/>
      <c r="H26" s="8" t="n">
        <f aca="false">0</f>
        <v>0</v>
      </c>
      <c r="I26" s="12" t="n">
        <f aca="false">0</f>
        <v>0</v>
      </c>
      <c r="J26" s="3" t="n">
        <f aca="false">J23-SUMPRODUCT(I24:I25,B24:B25)</f>
        <v>71748.343528721</v>
      </c>
      <c r="L26" s="6" t="n">
        <f aca="false">100000000/J26</f>
        <v>1393.76040033551</v>
      </c>
      <c r="AMJ26" s="0"/>
    </row>
    <row collapsed="false" customFormat="false" customHeight="false" hidden="false" ht="12.9" outlineLevel="0" r="27">
      <c r="A27" s="26" t="n">
        <v>1402</v>
      </c>
      <c r="B27" s="51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9" t="n">
        <f aca="false">E$18</f>
        <v>71287.376</v>
      </c>
      <c r="K27" s="9" t="n">
        <f aca="false">F$18</f>
        <v>0.002</v>
      </c>
      <c r="L27" s="4" t="n">
        <f aca="false">100000000/J27</f>
        <v>1402.77291171441</v>
      </c>
      <c r="M27" s="4" t="n">
        <f aca="false">K27/J27*L27</f>
        <v>3.93554368367945E-005</v>
      </c>
      <c r="AMJ27" s="0"/>
    </row>
    <row collapsed="false" customFormat="false" customHeight="false" hidden="false" ht="12.9" outlineLevel="0" r="28">
      <c r="A28" s="26" t="n">
        <v>30</v>
      </c>
      <c r="B28" s="51" t="inlineStr">
        <f aca="false">B24</f>
        <is>
          <t/>
        </is>
      </c>
      <c r="C28" s="0"/>
      <c r="D28" s="0"/>
      <c r="E28" s="0"/>
      <c r="F28" s="0"/>
      <c r="G28" s="3" t="n">
        <f aca="false">3/5*1.21*(POWER($A28,2/3)-POWER($A$30,2/3))</f>
        <v>0.315099436168008</v>
      </c>
      <c r="H28" s="8" t="n">
        <f aca="false">1000*$E$27*(1/$A28-1/$A$30)+$F$27*G28</f>
        <v>6292.72996813278</v>
      </c>
      <c r="I28" s="12" t="n">
        <f aca="false">10000*H28/299792458</f>
        <v>0.209902877814651</v>
      </c>
      <c r="J28" s="3" t="n">
        <f aca="false">$J$30+$I28</f>
        <v>71287.5743347618</v>
      </c>
      <c r="K28" s="0"/>
      <c r="L28" s="6" t="n">
        <f aca="false">100000000/J28</f>
        <v>1402.76900894967</v>
      </c>
      <c r="M28" s="30"/>
      <c r="AMJ28" s="0"/>
    </row>
    <row collapsed="false" customFormat="false" customHeight="false" hidden="false" ht="12.9" outlineLevel="0" r="29">
      <c r="A29" s="26" t="n">
        <v>29</v>
      </c>
      <c r="B29" s="51" t="inlineStr">
        <f aca="false">B25</f>
        <is>
          <t/>
        </is>
      </c>
      <c r="C29" s="52"/>
      <c r="E29" s="30"/>
      <c r="F29" s="30"/>
      <c r="G29" s="3" t="n">
        <f aca="false">3/5*1.21*(POWER($A29,2/3)-POWER($A$30,2/3))</f>
        <v>0.15845537571799</v>
      </c>
      <c r="H29" s="8" t="n">
        <f aca="false">1000*$E$27*(1/$A29-1/$A$30)+$F$27*G29</f>
        <v>3257.05144051702</v>
      </c>
      <c r="I29" s="12" t="n">
        <f aca="false">10000*H29/299792458</f>
        <v>0.10864354167699</v>
      </c>
      <c r="J29" s="3" t="n">
        <f aca="false">$J$30+$I29</f>
        <v>71287.4730754257</v>
      </c>
      <c r="L29" s="6" t="n">
        <f aca="false">100000000/J29</f>
        <v>1402.77100149412</v>
      </c>
      <c r="AMJ29" s="0"/>
    </row>
    <row collapsed="false" customFormat="false" customHeight="false" hidden="false" ht="12.9" outlineLevel="0" r="30">
      <c r="A30" s="26" t="n">
        <v>28</v>
      </c>
      <c r="B30" s="51" t="inlineStr">
        <f aca="false">B26</f>
        <is>
          <t/>
        </is>
      </c>
      <c r="C30" s="52"/>
      <c r="E30" s="30"/>
      <c r="F30" s="30"/>
      <c r="G30" s="8"/>
      <c r="H30" s="8" t="n">
        <f aca="false">0</f>
        <v>0</v>
      </c>
      <c r="I30" s="12" t="n">
        <f aca="false">0</f>
        <v>0</v>
      </c>
      <c r="J30" s="3" t="n">
        <f aca="false">J27-SUMPRODUCT(I28:I29,B28:B29)</f>
        <v>71287.364431884</v>
      </c>
      <c r="L30" s="6" t="n">
        <f aca="false">100000000/J30</f>
        <v>1402.77313934858</v>
      </c>
      <c r="AMJ30" s="0"/>
    </row>
    <row collapsed="false" customFormat="false" customHeight="false" hidden="false" ht="12.9" outlineLevel="0" r="31">
      <c r="J31" s="53"/>
    </row>
    <row collapsed="false" customFormat="false" customHeight="false" hidden="false" ht="12.9" outlineLevel="0" r="32">
      <c r="A32" s="26" t="s">
        <v>4</v>
      </c>
    </row>
    <row collapsed="false" customFormat="false" customHeight="false" hidden="false" ht="13.6" outlineLevel="0" r="33">
      <c r="A33" s="26" t="s">
        <v>162</v>
      </c>
      <c r="B33" s="54" t="s">
        <v>163</v>
      </c>
    </row>
    <row collapsed="false" customFormat="false" customHeight="false" hidden="false" ht="13.6" outlineLevel="0" r="34">
      <c r="A34" s="0" t="s">
        <v>130</v>
      </c>
      <c r="B34" s="1" t="s">
        <v>131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collapsed="false" customFormat="false" customHeight="false" hidden="false" ht="13.6" outlineLevel="0" r="35">
      <c r="A35" s="13" t="s">
        <v>52</v>
      </c>
      <c r="B35" s="1" t="s">
        <v>53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3PhRvA..68b2502B" ref="B33" r:id="rId1"/>
    <hyperlink display="http://adsabs.harvard.edu/abs/2000ApJ...536L.113G" ref="B34" r:id="rId2"/>
    <hyperlink display="http://adsabs.harvard.edu/abs/1998JPCRD..27.1275R" ref="B3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2"/>
  <sheetViews>
    <sheetView colorId="64" defaultGridColor="true" rightToLeft="false" showFormulas="false" showGridLines="true" showOutlineSymbols="true" showRowColHeaders="true" showZeros="true" tabSelected="false" topLeftCell="A6" view="normal" windowProtection="false" workbookViewId="0" zoomScale="90" zoomScaleNormal="90" zoomScalePageLayoutView="100">
      <selection activeCell="D37" activeCellId="0" pane="topLeft" sqref="D37"/>
    </sheetView>
  </sheetViews>
  <cols>
    <col collapsed="false" hidden="false" max="1" min="1" style="13" width="8.68235294117647"/>
    <col collapsed="false" hidden="false" max="2" min="2" style="13" width="12.0549019607843"/>
    <col collapsed="false" hidden="false" max="3" min="3" style="13" width="7.4078431372549"/>
    <col collapsed="false" hidden="false" max="4" min="4" style="13" width="14.7411764705882"/>
    <col collapsed="false" hidden="false" max="5" min="5" style="13" width="13.9176470588235"/>
    <col collapsed="false" hidden="false" max="6" min="6" style="13" width="12.7803921568627"/>
    <col collapsed="false" hidden="false" max="7" min="7" style="13" width="8.43921568627451"/>
    <col collapsed="false" hidden="false" max="8" min="8" style="13" width="15.3137254901961"/>
    <col collapsed="false" hidden="false" max="9" min="9" style="13" width="13.3686274509804"/>
    <col collapsed="false" hidden="false" max="10" min="10" style="13" width="13.2588235294118"/>
    <col collapsed="false" hidden="false" max="11" min="11" style="13" width="15.0039215686275"/>
    <col collapsed="false" hidden="false" max="12" min="12" style="13" width="30.0549019607843"/>
    <col collapsed="false" hidden="false" max="13" min="13" style="13" width="30.5411764705882"/>
    <col collapsed="false" hidden="false" max="14" min="14" style="13" width="13.0980392156863"/>
    <col collapsed="false" hidden="false" max="15" min="15" style="13" width="12.8156862745098"/>
    <col collapsed="false" hidden="false" max="16" min="16" style="13" width="13.0980392156863"/>
    <col collapsed="false" hidden="false" max="1025" min="17" style="13" width="11.5764705882353"/>
  </cols>
  <sheetData>
    <row collapsed="false" customFormat="false" customHeight="false" hidden="false" ht="12.9" outlineLevel="0" r="1">
      <c r="A1" s="13" t="s">
        <v>9</v>
      </c>
      <c r="B1" s="2" t="n">
        <v>41012</v>
      </c>
    </row>
    <row collapsed="false" customFormat="false" customHeight="false" hidden="false" ht="12.9" outlineLevel="0" r="2">
      <c r="B2" s="19"/>
    </row>
    <row collapsed="false" customFormat="false" customHeight="false" hidden="false" ht="12.9" outlineLevel="0" r="3">
      <c r="A3" s="13" t="s">
        <v>10</v>
      </c>
      <c r="B3" s="19"/>
    </row>
    <row collapsed="false" customFormat="false" customHeight="false" hidden="false" ht="13.6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13" t="s">
        <v>164</v>
      </c>
      <c r="B5" s="55" t="n">
        <f aca="false">A41</f>
        <v>1910.6</v>
      </c>
      <c r="C5" s="55" t="s">
        <v>128</v>
      </c>
      <c r="D5" s="9" t="n">
        <v>47.867</v>
      </c>
      <c r="E5" s="45" t="n">
        <f aca="false">I41</f>
        <v>52339.24</v>
      </c>
      <c r="F5" s="45" t="n">
        <f aca="false">J41</f>
        <v>0.001</v>
      </c>
      <c r="G5" s="13" t="n">
        <v>0</v>
      </c>
      <c r="H5" s="13" t="n">
        <f aca="false">K41</f>
        <v>0</v>
      </c>
      <c r="I5" s="16" t="n">
        <f aca="false">L41</f>
        <v>1910.61238183818</v>
      </c>
      <c r="J5" s="16" t="n">
        <f aca="false">M41</f>
        <v>3.65043967363335E-005</v>
      </c>
      <c r="K5" s="7" t="n">
        <f aca="false">299792458*J5/I5</f>
        <v>5.72787182236502</v>
      </c>
      <c r="L5" s="13" t="s">
        <v>165</v>
      </c>
      <c r="M5" s="13" t="s">
        <v>166</v>
      </c>
      <c r="N5" s="13" t="s">
        <v>167</v>
      </c>
      <c r="O5" s="24" t="n">
        <v>6.82</v>
      </c>
      <c r="P5" s="24" t="n">
        <v>13.58</v>
      </c>
      <c r="Q5" s="13" t="n">
        <v>0.104</v>
      </c>
      <c r="R5" s="10" t="n">
        <v>417000000</v>
      </c>
      <c r="S5" s="13" t="n">
        <v>-1564</v>
      </c>
      <c r="T5" s="13" t="n">
        <v>150</v>
      </c>
    </row>
    <row collapsed="false" customFormat="false" customHeight="false" hidden="false" ht="12.9" outlineLevel="0" r="6">
      <c r="B6" s="55" t="n">
        <f aca="false">A42</f>
        <v>1910.9</v>
      </c>
      <c r="C6" s="55" t="s">
        <v>128</v>
      </c>
      <c r="D6" s="9" t="n">
        <f aca="false">$D$5</f>
        <v>47.867</v>
      </c>
      <c r="E6" s="45" t="n">
        <f aca="false">I42</f>
        <v>52329.889</v>
      </c>
      <c r="F6" s="45" t="n">
        <f aca="false">J42</f>
        <v>0.001</v>
      </c>
      <c r="G6" s="13" t="n">
        <v>0</v>
      </c>
      <c r="H6" s="13" t="n">
        <f aca="false">K42</f>
        <v>0</v>
      </c>
      <c r="I6" s="16" t="n">
        <f aca="false">L42</f>
        <v>1910.95379544948</v>
      </c>
      <c r="J6" s="16" t="n">
        <f aca="false">M42</f>
        <v>3.65174440834277E-005</v>
      </c>
      <c r="K6" s="7" t="n">
        <f aca="false">299792458*J6/I6</f>
        <v>5.72889535462229</v>
      </c>
      <c r="M6" s="13" t="s">
        <v>168</v>
      </c>
      <c r="N6" s="13" t="s">
        <v>169</v>
      </c>
      <c r="Q6" s="46" t="n">
        <v>0.098</v>
      </c>
      <c r="R6" s="56" t="n">
        <v>143000000</v>
      </c>
      <c r="S6" s="13" t="n">
        <v>-1783</v>
      </c>
      <c r="T6" s="13" t="n">
        <v>300</v>
      </c>
    </row>
    <row collapsed="false" customFormat="false" customHeight="false" hidden="false" ht="13.25" outlineLevel="0" r="7">
      <c r="A7" s="0"/>
      <c r="B7" s="0" t="n">
        <f aca="false">A43</f>
        <v>3067</v>
      </c>
      <c r="C7" s="0" t="s">
        <v>31</v>
      </c>
      <c r="D7" s="9" t="n">
        <f aca="false">$D$5</f>
        <v>47.867</v>
      </c>
      <c r="E7" s="3" t="n">
        <f aca="false">I43</f>
        <v>32602.6283031486</v>
      </c>
      <c r="F7" s="3" t="n">
        <f aca="false">J43</f>
        <v>0.0014142135623731</v>
      </c>
      <c r="G7" s="5" t="n">
        <v>0</v>
      </c>
      <c r="H7" s="0" t="s">
        <v>170</v>
      </c>
      <c r="I7" s="12" t="n">
        <f aca="false">L43</f>
        <v>3067.23737332375</v>
      </c>
      <c r="J7" s="12" t="n">
        <f aca="false">M43</f>
        <v>0.000133048435605824</v>
      </c>
      <c r="K7" s="7" t="n">
        <f aca="false">299792458*J7/I7</f>
        <v>13.0041834682335</v>
      </c>
      <c r="L7" s="0"/>
      <c r="M7" s="0" t="s">
        <v>171</v>
      </c>
      <c r="N7" s="0" t="s">
        <v>172</v>
      </c>
      <c r="O7" s="8"/>
      <c r="P7" s="8"/>
      <c r="Q7" s="3" t="n">
        <f aca="false">0.0489</f>
        <v>0.0489</v>
      </c>
      <c r="R7" s="10" t="n">
        <v>250000000</v>
      </c>
      <c r="S7" s="5" t="n">
        <v>791</v>
      </c>
      <c r="T7" s="5" t="n">
        <v>50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35</v>
      </c>
      <c r="D8" s="5" t="n">
        <f aca="false">B67</f>
        <v>50</v>
      </c>
      <c r="E8" s="4" t="n">
        <f aca="false">D67</f>
        <v>32602.652872692</v>
      </c>
      <c r="F8" s="3"/>
      <c r="G8" s="5" t="n">
        <v>3</v>
      </c>
      <c r="H8" s="0" t="n">
        <f aca="false">A99</f>
        <v>0</v>
      </c>
      <c r="I8" s="4" t="n">
        <f aca="false">E67</f>
        <v>3067.23506183633</v>
      </c>
      <c r="J8" s="4"/>
      <c r="K8" s="7"/>
      <c r="L8" s="0"/>
      <c r="M8" s="0"/>
      <c r="N8" s="0"/>
      <c r="O8" s="8"/>
      <c r="P8" s="8"/>
      <c r="Q8" s="57" t="n">
        <f aca="false">C67</f>
        <v>0.0518</v>
      </c>
      <c r="R8" s="10"/>
      <c r="S8" s="5"/>
      <c r="T8" s="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9" outlineLevel="0" r="9">
      <c r="A9" s="0"/>
      <c r="B9" s="0"/>
      <c r="C9" s="0" t="s">
        <v>35</v>
      </c>
      <c r="D9" s="5" t="n">
        <f aca="false">B68</f>
        <v>49</v>
      </c>
      <c r="E9" s="4" t="n">
        <f aca="false">D68</f>
        <v>32602.6413545196</v>
      </c>
      <c r="F9" s="3"/>
      <c r="G9" s="5" t="n">
        <v>3</v>
      </c>
      <c r="H9" s="0" t="n">
        <f aca="false">H8</f>
        <v>0</v>
      </c>
      <c r="I9" s="4" t="n">
        <f aca="false">E68</f>
        <v>3067.23614545842</v>
      </c>
      <c r="J9" s="4"/>
      <c r="K9" s="7"/>
      <c r="L9" s="0"/>
      <c r="M9" s="0"/>
      <c r="N9" s="0"/>
      <c r="O9" s="8"/>
      <c r="P9" s="8"/>
      <c r="Q9" s="57" t="n">
        <f aca="false">C68</f>
        <v>0.0541</v>
      </c>
      <c r="R9" s="10"/>
      <c r="S9" s="5"/>
      <c r="T9" s="5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2.9" outlineLevel="0" r="10">
      <c r="B10" s="19"/>
      <c r="C10" s="19" t="s">
        <v>35</v>
      </c>
      <c r="D10" s="5" t="n">
        <f aca="false">B69</f>
        <v>48</v>
      </c>
      <c r="E10" s="4" t="n">
        <f aca="false">D69</f>
        <v>32602.6293564233</v>
      </c>
      <c r="G10" s="13" t="n">
        <v>3</v>
      </c>
      <c r="H10" s="0" t="n">
        <f aca="false">H9</f>
        <v>0</v>
      </c>
      <c r="I10" s="4" t="n">
        <f aca="false">E69</f>
        <v>3067.23727423225</v>
      </c>
      <c r="Q10" s="57" t="n">
        <f aca="false">C69</f>
        <v>0.7372</v>
      </c>
    </row>
    <row collapsed="false" customFormat="false" customHeight="false" hidden="false" ht="12.9" outlineLevel="0" r="11">
      <c r="B11" s="19"/>
      <c r="C11" s="19" t="s">
        <v>35</v>
      </c>
      <c r="D11" s="5" t="n">
        <f aca="false">B70</f>
        <v>47</v>
      </c>
      <c r="E11" s="4" t="n">
        <f aca="false">D70</f>
        <v>32602.6172281747</v>
      </c>
      <c r="G11" s="13" t="n">
        <v>3</v>
      </c>
      <c r="H11" s="0" t="n">
        <f aca="false">H10</f>
        <v>0</v>
      </c>
      <c r="I11" s="4" t="n">
        <f aca="false">E70</f>
        <v>3067.23841525156</v>
      </c>
      <c r="Q11" s="57" t="n">
        <f aca="false">C70</f>
        <v>0.0744</v>
      </c>
    </row>
    <row collapsed="false" customFormat="false" customHeight="false" hidden="false" ht="12.9" outlineLevel="0" r="12">
      <c r="B12" s="19"/>
      <c r="C12" s="19" t="s">
        <v>35</v>
      </c>
      <c r="D12" s="5" t="n">
        <f aca="false">B71</f>
        <v>46</v>
      </c>
      <c r="E12" s="4" t="n">
        <f aca="false">D71</f>
        <v>32602.6045316217</v>
      </c>
      <c r="G12" s="13" t="n">
        <v>3</v>
      </c>
      <c r="H12" s="0" t="n">
        <f aca="false">H11</f>
        <v>0</v>
      </c>
      <c r="I12" s="4" t="n">
        <f aca="false">E71</f>
        <v>3067.23960973758</v>
      </c>
      <c r="Q12" s="57" t="n">
        <f aca="false">C71</f>
        <v>0.0825</v>
      </c>
    </row>
    <row collapsed="false" customFormat="false" customHeight="false" hidden="false" ht="13.25" outlineLevel="0" r="13">
      <c r="A13" s="0"/>
      <c r="B13" s="0" t="n">
        <f aca="false">A44</f>
        <v>3073</v>
      </c>
      <c r="C13" s="0" t="s">
        <v>31</v>
      </c>
      <c r="D13" s="9" t="n">
        <f aca="false">$D$5</f>
        <v>47.867</v>
      </c>
      <c r="E13" s="3" t="n">
        <f aca="false">I44</f>
        <v>32532.3566018486</v>
      </c>
      <c r="F13" s="3" t="n">
        <f aca="false">J44</f>
        <v>0.000707106781186547</v>
      </c>
      <c r="G13" s="5" t="n">
        <v>0</v>
      </c>
      <c r="H13" s="0" t="s">
        <v>170</v>
      </c>
      <c r="I13" s="12" t="n">
        <f aca="false">L44</f>
        <v>3073.86277679981</v>
      </c>
      <c r="J13" s="12" t="n">
        <f aca="false">M44</f>
        <v>6.68119202218678E-005</v>
      </c>
      <c r="K13" s="7" t="n">
        <f aca="false">299792458*J13/I13</f>
        <v>6.51613661422664</v>
      </c>
      <c r="L13" s="0"/>
      <c r="M13" s="0" t="s">
        <v>173</v>
      </c>
      <c r="N13" s="0" t="s">
        <v>174</v>
      </c>
      <c r="O13" s="8"/>
      <c r="P13" s="8"/>
      <c r="Q13" s="9" t="n">
        <v>0.121</v>
      </c>
      <c r="R13" s="10" t="n">
        <v>256000000</v>
      </c>
      <c r="S13" s="5" t="n">
        <v>677</v>
      </c>
      <c r="T13" s="5" t="n">
        <v>50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9" outlineLevel="0" r="14">
      <c r="A14" s="0"/>
      <c r="B14" s="0"/>
      <c r="C14" s="0" t="s">
        <v>35</v>
      </c>
      <c r="D14" s="5" t="n">
        <f aca="false">B73</f>
        <v>50</v>
      </c>
      <c r="E14" s="4" t="n">
        <f aca="false">D73</f>
        <v>32532.3812060286</v>
      </c>
      <c r="F14" s="3"/>
      <c r="G14" s="5" t="n">
        <v>3</v>
      </c>
      <c r="H14" s="0" t="n">
        <f aca="false">A99</f>
        <v>0</v>
      </c>
      <c r="I14" s="4" t="n">
        <f aca="false">E73</f>
        <v>3073.86045204305</v>
      </c>
      <c r="J14" s="4"/>
      <c r="K14" s="7"/>
      <c r="L14" s="0"/>
      <c r="M14" s="0"/>
      <c r="N14" s="0"/>
      <c r="O14" s="8"/>
      <c r="P14" s="8"/>
      <c r="Q14" s="57" t="n">
        <f aca="false">C73</f>
        <v>0.0518</v>
      </c>
      <c r="R14" s="10"/>
      <c r="S14" s="5"/>
      <c r="T14" s="5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false" customHeight="false" hidden="false" ht="12.9" outlineLevel="0" r="15">
      <c r="A15" s="0"/>
      <c r="B15" s="0"/>
      <c r="C15" s="0" t="s">
        <v>35</v>
      </c>
      <c r="D15" s="5" t="n">
        <f aca="false">B74</f>
        <v>49</v>
      </c>
      <c r="E15" s="4" t="n">
        <f aca="false">D74</f>
        <v>32532.3696715183</v>
      </c>
      <c r="F15" s="3"/>
      <c r="G15" s="5" t="n">
        <v>3</v>
      </c>
      <c r="H15" s="0" t="n">
        <f aca="false">H14</f>
        <v>0</v>
      </c>
      <c r="I15" s="4" t="n">
        <f aca="false">E74</f>
        <v>3073.86154189526</v>
      </c>
      <c r="J15" s="4"/>
      <c r="K15" s="7"/>
      <c r="L15" s="0"/>
      <c r="M15" s="0"/>
      <c r="N15" s="0"/>
      <c r="O15" s="8"/>
      <c r="P15" s="8"/>
      <c r="Q15" s="57" t="n">
        <f aca="false">C74</f>
        <v>0.0541</v>
      </c>
      <c r="R15" s="10"/>
      <c r="S15" s="5"/>
      <c r="T15" s="5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false" customHeight="false" hidden="false" ht="12.9" outlineLevel="0" r="16">
      <c r="B16" s="19"/>
      <c r="C16" s="19" t="s">
        <v>35</v>
      </c>
      <c r="D16" s="5" t="n">
        <f aca="false">B75</f>
        <v>48</v>
      </c>
      <c r="E16" s="4" t="n">
        <f aca="false">D75</f>
        <v>32532.3576564035</v>
      </c>
      <c r="G16" s="13" t="n">
        <v>3</v>
      </c>
      <c r="H16" s="0" t="n">
        <f aca="false">H15</f>
        <v>0</v>
      </c>
      <c r="I16" s="4" t="n">
        <f aca="false">E75</f>
        <v>3073.8626771588</v>
      </c>
      <c r="Q16" s="57" t="n">
        <f aca="false">C75</f>
        <v>0.7372</v>
      </c>
    </row>
    <row collapsed="false" customFormat="false" customHeight="false" hidden="false" ht="12.9" outlineLevel="0" r="17">
      <c r="B17" s="19"/>
      <c r="C17" s="19" t="s">
        <v>35</v>
      </c>
      <c r="D17" s="5" t="n">
        <f aca="false">B76</f>
        <v>47</v>
      </c>
      <c r="E17" s="4" t="n">
        <f aca="false">D76</f>
        <v>32532.3455118316</v>
      </c>
      <c r="G17" s="13" t="n">
        <v>3</v>
      </c>
      <c r="H17" s="0" t="n">
        <f aca="false">H16</f>
        <v>0</v>
      </c>
      <c r="I17" s="4" t="n">
        <f aca="false">E76</f>
        <v>3073.86382465511</v>
      </c>
      <c r="Q17" s="57" t="n">
        <f aca="false">C76</f>
        <v>0.0744</v>
      </c>
    </row>
    <row collapsed="false" customFormat="false" customHeight="false" hidden="false" ht="12.9" outlineLevel="0" r="18">
      <c r="B18" s="19"/>
      <c r="C18" s="19" t="s">
        <v>35</v>
      </c>
      <c r="D18" s="5" t="n">
        <f aca="false">B77</f>
        <v>46</v>
      </c>
      <c r="E18" s="4" t="n">
        <f aca="false">D77</f>
        <v>32532.3327981903</v>
      </c>
      <c r="G18" s="13" t="n">
        <v>3</v>
      </c>
      <c r="H18" s="0" t="n">
        <f aca="false">H17</f>
        <v>0</v>
      </c>
      <c r="I18" s="4" t="n">
        <f aca="false">E77</f>
        <v>3073.86502592162</v>
      </c>
      <c r="Q18" s="57" t="n">
        <f aca="false">C77</f>
        <v>0.0825</v>
      </c>
    </row>
    <row collapsed="false" customFormat="false" customHeight="false" hidden="false" ht="13.25" outlineLevel="0" r="19">
      <c r="A19" s="0"/>
      <c r="B19" s="0" t="n">
        <f aca="false">A45</f>
        <v>3230</v>
      </c>
      <c r="C19" s="0" t="s">
        <v>31</v>
      </c>
      <c r="D19" s="9" t="n">
        <f aca="false">$D$5</f>
        <v>47.867</v>
      </c>
      <c r="E19" s="3" t="n">
        <f aca="false">I45</f>
        <v>30958.5871454677</v>
      </c>
      <c r="F19" s="3" t="n">
        <f aca="false">J45</f>
        <v>0.001</v>
      </c>
      <c r="G19" s="5" t="n">
        <v>0</v>
      </c>
      <c r="H19" s="0" t="s">
        <v>175</v>
      </c>
      <c r="I19" s="12" t="n">
        <f aca="false">L45</f>
        <v>3230.12156627567</v>
      </c>
      <c r="J19" s="12" t="n">
        <f aca="false">M45</f>
        <v>0.000104336853329192</v>
      </c>
      <c r="K19" s="7" t="n">
        <f aca="false">299792458*J19/I19</f>
        <v>9.68366083992594</v>
      </c>
      <c r="L19" s="0"/>
      <c r="M19" s="0" t="s">
        <v>176</v>
      </c>
      <c r="N19" s="0" t="s">
        <v>177</v>
      </c>
      <c r="O19" s="8"/>
      <c r="P19" s="8"/>
      <c r="Q19" s="3" t="n">
        <f aca="false">0.0687</f>
        <v>0.0687</v>
      </c>
      <c r="R19" s="10" t="n">
        <v>244000000</v>
      </c>
      <c r="S19" s="5" t="n">
        <v>673</v>
      </c>
      <c r="T19" s="5" t="n">
        <v>50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9" outlineLevel="0" r="20">
      <c r="A20" s="0"/>
      <c r="B20" s="0"/>
      <c r="C20" s="0" t="s">
        <v>35</v>
      </c>
      <c r="D20" s="5" t="n">
        <f aca="false">B79</f>
        <v>50</v>
      </c>
      <c r="E20" s="4" t="n">
        <f aca="false">D79</f>
        <v>30958.6116803744</v>
      </c>
      <c r="F20" s="3"/>
      <c r="G20" s="5" t="n">
        <v>3</v>
      </c>
      <c r="H20" s="0" t="n">
        <f aca="false">A99</f>
        <v>0</v>
      </c>
      <c r="I20" s="4" t="n">
        <f aca="false">E79</f>
        <v>3230.11900638273</v>
      </c>
      <c r="J20" s="4"/>
      <c r="K20" s="7"/>
      <c r="L20" s="0"/>
      <c r="M20" s="0"/>
      <c r="N20" s="0"/>
      <c r="O20" s="8"/>
      <c r="P20" s="8"/>
      <c r="Q20" s="57" t="n">
        <f aca="false">C79</f>
        <v>0.0518</v>
      </c>
      <c r="R20" s="10"/>
      <c r="S20" s="5"/>
      <c r="T20" s="5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false" customHeight="false" hidden="false" ht="12.9" outlineLevel="0" r="21">
      <c r="A21" s="0"/>
      <c r="B21" s="0"/>
      <c r="C21" s="0" t="s">
        <v>35</v>
      </c>
      <c r="D21" s="5" t="n">
        <f aca="false">B80</f>
        <v>49</v>
      </c>
      <c r="E21" s="4" t="n">
        <f aca="false">D80</f>
        <v>30958.6001785398</v>
      </c>
      <c r="F21" s="3"/>
      <c r="G21" s="5" t="n">
        <v>3</v>
      </c>
      <c r="H21" s="0" t="n">
        <f aca="false">H20</f>
        <v>0</v>
      </c>
      <c r="I21" s="4" t="n">
        <f aca="false">E80</f>
        <v>3230.12020644651</v>
      </c>
      <c r="J21" s="4"/>
      <c r="K21" s="7"/>
      <c r="L21" s="0"/>
      <c r="M21" s="0"/>
      <c r="N21" s="0"/>
      <c r="O21" s="8"/>
      <c r="P21" s="8"/>
      <c r="Q21" s="57" t="n">
        <f aca="false">C80</f>
        <v>0.0541</v>
      </c>
      <c r="R21" s="10"/>
      <c r="S21" s="5"/>
      <c r="T21" s="5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false" customHeight="false" hidden="false" ht="12.9" outlineLevel="0" r="22">
      <c r="B22" s="19"/>
      <c r="C22" s="19" t="s">
        <v>35</v>
      </c>
      <c r="D22" s="5" t="n">
        <f aca="false">B81</f>
        <v>48</v>
      </c>
      <c r="E22" s="4" t="n">
        <f aca="false">D81</f>
        <v>30958.5881974621</v>
      </c>
      <c r="G22" s="13" t="n">
        <v>3</v>
      </c>
      <c r="H22" s="0" t="n">
        <f aca="false">H21</f>
        <v>0</v>
      </c>
      <c r="I22" s="4" t="n">
        <f aca="false">E81</f>
        <v>3230.12145651389</v>
      </c>
      <c r="Q22" s="57" t="n">
        <f aca="false">C81</f>
        <v>0.7372</v>
      </c>
    </row>
    <row collapsed="false" customFormat="false" customHeight="false" hidden="false" ht="12.9" outlineLevel="0" r="23">
      <c r="B23" s="19"/>
      <c r="C23" s="19" t="s">
        <v>35</v>
      </c>
      <c r="D23" s="5" t="n">
        <f aca="false">B82</f>
        <v>47</v>
      </c>
      <c r="E23" s="4" t="n">
        <f aca="false">D82</f>
        <v>30958.5760855369</v>
      </c>
      <c r="G23" s="13" t="n">
        <v>3</v>
      </c>
      <c r="H23" s="0" t="n">
        <f aca="false">H22</f>
        <v>0</v>
      </c>
      <c r="I23" s="4" t="n">
        <f aca="false">E82</f>
        <v>3230.12272023446</v>
      </c>
      <c r="Q23" s="57" t="n">
        <f aca="false">C82</f>
        <v>0.0744</v>
      </c>
    </row>
    <row collapsed="false" customFormat="false" customHeight="false" hidden="false" ht="12.9" outlineLevel="0" r="24">
      <c r="B24" s="19"/>
      <c r="C24" s="19" t="s">
        <v>35</v>
      </c>
      <c r="D24" s="5" t="n">
        <f aca="false">B83</f>
        <v>46</v>
      </c>
      <c r="E24" s="4" t="n">
        <f aca="false">D83</f>
        <v>30958.5634060722</v>
      </c>
      <c r="G24" s="13" t="n">
        <v>3</v>
      </c>
      <c r="H24" s="0" t="n">
        <f aca="false">H23</f>
        <v>0</v>
      </c>
      <c r="I24" s="4" t="n">
        <f aca="false">E83</f>
        <v>3230.1240431714</v>
      </c>
      <c r="Q24" s="57" t="n">
        <f aca="false">C83</f>
        <v>0.0825</v>
      </c>
    </row>
    <row collapsed="false" customFormat="false" customHeight="false" hidden="false" ht="13.25" outlineLevel="0" r="25">
      <c r="A25" s="0"/>
      <c r="B25" s="0" t="n">
        <f aca="false">A46</f>
        <v>3243</v>
      </c>
      <c r="C25" s="0" t="s">
        <v>31</v>
      </c>
      <c r="D25" s="9" t="n">
        <f aca="false">$D$5</f>
        <v>47.867</v>
      </c>
      <c r="E25" s="3" t="n">
        <f aca="false">I46</f>
        <v>30836.4271409478</v>
      </c>
      <c r="F25" s="3" t="n">
        <f aca="false">J46</f>
        <v>0.001</v>
      </c>
      <c r="G25" s="5" t="n">
        <v>0</v>
      </c>
      <c r="H25" s="0" t="s">
        <v>175</v>
      </c>
      <c r="I25" s="12" t="n">
        <f aca="false">L46</f>
        <v>3242.91784981827</v>
      </c>
      <c r="J25" s="12" t="n">
        <f aca="false">M46</f>
        <v>0.000105165161806699</v>
      </c>
      <c r="K25" s="7" t="n">
        <f aca="false">299792458*J25/I25</f>
        <v>9.72202313289094</v>
      </c>
      <c r="L25" s="0"/>
      <c r="M25" s="0" t="s">
        <v>178</v>
      </c>
      <c r="N25" s="0" t="s">
        <v>179</v>
      </c>
      <c r="O25" s="8"/>
      <c r="P25" s="8"/>
      <c r="Q25" s="9" t="n">
        <v>0.232</v>
      </c>
      <c r="R25" s="10" t="n">
        <v>244000000</v>
      </c>
      <c r="S25" s="5" t="n">
        <v>541</v>
      </c>
      <c r="T25" s="5" t="n">
        <v>50</v>
      </c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9" outlineLevel="0" r="26">
      <c r="A26" s="0"/>
      <c r="B26" s="0"/>
      <c r="C26" s="0" t="s">
        <v>35</v>
      </c>
      <c r="D26" s="5" t="n">
        <f aca="false">B85</f>
        <v>50</v>
      </c>
      <c r="E26" s="4" t="n">
        <f aca="false">D85</f>
        <v>30836.452130097</v>
      </c>
      <c r="F26" s="3"/>
      <c r="G26" s="5" t="n">
        <v>3</v>
      </c>
      <c r="H26" s="0" t="n">
        <f aca="false">A99</f>
        <v>0</v>
      </c>
      <c r="I26" s="4" t="n">
        <f aca="false">E85</f>
        <v>3242.91522183247</v>
      </c>
      <c r="J26" s="4"/>
      <c r="K26" s="7"/>
      <c r="L26" s="0"/>
      <c r="M26" s="0"/>
      <c r="N26" s="0"/>
      <c r="O26" s="8"/>
      <c r="P26" s="8"/>
      <c r="Q26" s="57" t="n">
        <f aca="false">C85</f>
        <v>0.0518</v>
      </c>
      <c r="R26" s="10"/>
      <c r="S26" s="5"/>
      <c r="T26" s="5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false" customHeight="false" hidden="false" ht="12.9" outlineLevel="0" r="27">
      <c r="A27" s="0"/>
      <c r="B27" s="0"/>
      <c r="C27" s="0" t="s">
        <v>35</v>
      </c>
      <c r="D27" s="5" t="n">
        <f aca="false">B86</f>
        <v>49</v>
      </c>
      <c r="E27" s="4" t="n">
        <f aca="false">D86</f>
        <v>30836.4404158706</v>
      </c>
      <c r="F27" s="3"/>
      <c r="G27" s="5" t="n">
        <v>3</v>
      </c>
      <c r="H27" s="0" t="n">
        <f aca="false">H26</f>
        <v>0</v>
      </c>
      <c r="I27" s="4" t="n">
        <f aca="false">E86</f>
        <v>3242.91645375946</v>
      </c>
      <c r="J27" s="4"/>
      <c r="K27" s="7"/>
      <c r="L27" s="0"/>
      <c r="M27" s="0"/>
      <c r="N27" s="0"/>
      <c r="O27" s="8"/>
      <c r="P27" s="8"/>
      <c r="Q27" s="57" t="n">
        <f aca="false">C86</f>
        <v>0.0541</v>
      </c>
      <c r="R27" s="10"/>
      <c r="S27" s="5"/>
      <c r="T27" s="5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false" customHeight="false" hidden="false" ht="12.9" outlineLevel="0" r="28">
      <c r="B28" s="19"/>
      <c r="C28" s="19" t="s">
        <v>35</v>
      </c>
      <c r="D28" s="5" t="n">
        <f aca="false">B87</f>
        <v>48</v>
      </c>
      <c r="E28" s="4" t="n">
        <f aca="false">D87</f>
        <v>30836.4282135514</v>
      </c>
      <c r="G28" s="13" t="n">
        <v>3</v>
      </c>
      <c r="H28" s="0" t="n">
        <f aca="false">H27</f>
        <v>0</v>
      </c>
      <c r="I28" s="4" t="n">
        <f aca="false">E87</f>
        <v>3242.91773701774</v>
      </c>
      <c r="Q28" s="57" t="n">
        <f aca="false">C87</f>
        <v>0.7372</v>
      </c>
    </row>
    <row collapsed="false" customFormat="false" customHeight="false" hidden="false" ht="12.9" outlineLevel="0" r="29">
      <c r="B29" s="19"/>
      <c r="C29" s="19" t="s">
        <v>35</v>
      </c>
      <c r="D29" s="5" t="n">
        <f aca="false">B88</f>
        <v>47</v>
      </c>
      <c r="E29" s="4" t="n">
        <f aca="false">D88</f>
        <v>30836.4158730993</v>
      </c>
      <c r="G29" s="13" t="n">
        <v>3</v>
      </c>
      <c r="H29" s="0" t="n">
        <f aca="false">H28</f>
        <v>0</v>
      </c>
      <c r="I29" s="4" t="n">
        <f aca="false">E88</f>
        <v>3242.91903480381</v>
      </c>
      <c r="Q29" s="57" t="n">
        <f aca="false">C88</f>
        <v>0.0744</v>
      </c>
    </row>
    <row collapsed="false" customFormat="false" customHeight="false" hidden="false" ht="12.9" outlineLevel="0" r="30">
      <c r="B30" s="19"/>
      <c r="C30" s="19" t="s">
        <v>35</v>
      </c>
      <c r="D30" s="5" t="n">
        <f aca="false">B89</f>
        <v>46</v>
      </c>
      <c r="E30" s="4" t="n">
        <f aca="false">D89</f>
        <v>30836.4029543994</v>
      </c>
      <c r="G30" s="13" t="n">
        <v>3</v>
      </c>
      <c r="H30" s="0" t="n">
        <f aca="false">H29</f>
        <v>0</v>
      </c>
      <c r="I30" s="4" t="n">
        <f aca="false">E89</f>
        <v>3242.92039340254</v>
      </c>
      <c r="Q30" s="57" t="n">
        <f aca="false">C89</f>
        <v>0.0825</v>
      </c>
    </row>
    <row collapsed="false" customFormat="false" customHeight="false" hidden="false" ht="13.25" outlineLevel="0" r="31">
      <c r="A31" s="0"/>
      <c r="B31" s="0" t="n">
        <f aca="false">A47</f>
        <v>3385</v>
      </c>
      <c r="C31" s="0" t="s">
        <v>31</v>
      </c>
      <c r="D31" s="9" t="n">
        <f aca="false">$D$5</f>
        <v>47.867</v>
      </c>
      <c r="E31" s="3" t="n">
        <f aca="false">I47</f>
        <v>29544.4550931448</v>
      </c>
      <c r="F31" s="3" t="n">
        <f aca="false">J47</f>
        <v>0.001</v>
      </c>
      <c r="G31" s="5" t="n">
        <v>0</v>
      </c>
      <c r="H31" s="0" t="s">
        <v>175</v>
      </c>
      <c r="I31" s="12" t="n">
        <f aca="false">L47</f>
        <v>3384.72988196025</v>
      </c>
      <c r="J31" s="12" t="n">
        <f aca="false">M47</f>
        <v>0.000114563963738347</v>
      </c>
      <c r="K31" s="7" t="n">
        <f aca="false">299792458*J31/I31</f>
        <v>10.1471649097891</v>
      </c>
      <c r="L31" s="0"/>
      <c r="M31" s="0" t="s">
        <v>180</v>
      </c>
      <c r="N31" s="0" t="s">
        <v>181</v>
      </c>
      <c r="O31" s="8"/>
      <c r="P31" s="8"/>
      <c r="Q31" s="9" t="n">
        <v>0.358</v>
      </c>
      <c r="R31" s="10" t="n">
        <v>175000000</v>
      </c>
      <c r="S31" s="5" t="n">
        <v>396</v>
      </c>
      <c r="T31" s="5" t="n">
        <v>50</v>
      </c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9" outlineLevel="0" r="32">
      <c r="A32" s="0"/>
      <c r="B32" s="0"/>
      <c r="C32" s="0" t="s">
        <v>35</v>
      </c>
      <c r="D32" s="5" t="n">
        <f aca="false">B91</f>
        <v>50</v>
      </c>
      <c r="E32" s="4" t="n">
        <f aca="false">D91</f>
        <v>29544.4689864444</v>
      </c>
      <c r="F32" s="3"/>
      <c r="G32" s="5" t="n">
        <v>3</v>
      </c>
      <c r="H32" s="0" t="n">
        <f aca="false">A99</f>
        <v>0</v>
      </c>
      <c r="I32" s="4" t="n">
        <f aca="false">E91</f>
        <v>3384.72829028953</v>
      </c>
      <c r="J32" s="4"/>
      <c r="K32" s="7"/>
      <c r="L32" s="0"/>
      <c r="M32" s="0"/>
      <c r="N32" s="0"/>
      <c r="O32" s="8"/>
      <c r="P32" s="8"/>
      <c r="Q32" s="57" t="n">
        <f aca="false">C91</f>
        <v>0.0518</v>
      </c>
      <c r="R32" s="10"/>
      <c r="S32" s="5"/>
      <c r="T32" s="5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collapsed="false" customFormat="false" customHeight="false" hidden="false" ht="12.9" outlineLevel="0" r="33">
      <c r="A33" s="0"/>
      <c r="B33" s="0"/>
      <c r="C33" s="0" t="s">
        <v>35</v>
      </c>
      <c r="D33" s="5" t="n">
        <f aca="false">B92</f>
        <v>49</v>
      </c>
      <c r="E33" s="4" t="n">
        <f aca="false">D92</f>
        <v>29544.4568637721</v>
      </c>
      <c r="F33" s="3"/>
      <c r="G33" s="5" t="n">
        <v>3</v>
      </c>
      <c r="H33" s="0" t="n">
        <f aca="false">H32</f>
        <v>0</v>
      </c>
      <c r="I33" s="4" t="n">
        <f aca="false">E92</f>
        <v>3384.72967911018</v>
      </c>
      <c r="J33" s="4"/>
      <c r="K33" s="7"/>
      <c r="L33" s="0"/>
      <c r="M33" s="0"/>
      <c r="N33" s="0"/>
      <c r="O33" s="8"/>
      <c r="P33" s="8"/>
      <c r="Q33" s="57" t="n">
        <f aca="false">C92</f>
        <v>0.0541</v>
      </c>
      <c r="R33" s="10"/>
      <c r="S33" s="5"/>
      <c r="T33" s="5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9" outlineLevel="0" r="34">
      <c r="B34" s="19"/>
      <c r="C34" s="19" t="s">
        <v>35</v>
      </c>
      <c r="D34" s="5" t="n">
        <f aca="false">B93</f>
        <v>48</v>
      </c>
      <c r="E34" s="4" t="n">
        <f aca="false">D93</f>
        <v>29544.4442359885</v>
      </c>
      <c r="G34" s="13" t="n">
        <v>3</v>
      </c>
      <c r="H34" s="0" t="n">
        <f aca="false">H33</f>
        <v>0</v>
      </c>
      <c r="I34" s="4" t="n">
        <f aca="false">E93</f>
        <v>3384.73112579957</v>
      </c>
      <c r="Q34" s="57" t="n">
        <f aca="false">C93</f>
        <v>0.7372</v>
      </c>
    </row>
    <row collapsed="false" customFormat="false" customHeight="false" hidden="false" ht="12.9" outlineLevel="0" r="35">
      <c r="B35" s="19"/>
      <c r="C35" s="19" t="s">
        <v>35</v>
      </c>
      <c r="D35" s="5" t="n">
        <f aca="false">B94</f>
        <v>47</v>
      </c>
      <c r="E35" s="4" t="n">
        <f aca="false">D94</f>
        <v>29544.4314384827</v>
      </c>
      <c r="G35" s="13" t="n">
        <v>3</v>
      </c>
      <c r="H35" s="0" t="n">
        <f aca="false">H34</f>
        <v>0</v>
      </c>
      <c r="I35" s="4" t="n">
        <f aca="false">E94</f>
        <v>3384.73259193428</v>
      </c>
      <c r="Q35" s="57" t="n">
        <f aca="false">C94</f>
        <v>0.0744</v>
      </c>
    </row>
    <row collapsed="false" customFormat="false" customHeight="false" hidden="false" ht="12.9" outlineLevel="0" r="36">
      <c r="B36" s="19"/>
      <c r="C36" s="19" t="s">
        <v>35</v>
      </c>
      <c r="D36" s="5" t="n">
        <f aca="false">B95</f>
        <v>46</v>
      </c>
      <c r="E36" s="4" t="n">
        <f aca="false">D95</f>
        <v>29544.4180413123</v>
      </c>
      <c r="G36" s="13" t="n">
        <v>3</v>
      </c>
      <c r="H36" s="0" t="n">
        <f aca="false">H35</f>
        <v>0</v>
      </c>
      <c r="I36" s="4" t="n">
        <f aca="false">E95</f>
        <v>3384.73412677037</v>
      </c>
      <c r="Q36" s="57" t="n">
        <f aca="false">C95</f>
        <v>0.0825</v>
      </c>
    </row>
    <row collapsed="false" customFormat="false" customHeight="false" hidden="false" ht="12.9" outlineLevel="0" r="37">
      <c r="A37" s="13" t="s">
        <v>38</v>
      </c>
      <c r="B37" s="19"/>
    </row>
    <row collapsed="false" customFormat="false" customHeight="false" hidden="false" ht="12.9" outlineLevel="0" r="38">
      <c r="B38" s="19"/>
    </row>
    <row collapsed="false" customFormat="false" customHeight="false" hidden="false" ht="12.9" outlineLevel="0" r="39">
      <c r="A39" s="13" t="s">
        <v>39</v>
      </c>
      <c r="B39" s="19"/>
    </row>
    <row collapsed="false" customFormat="true" customHeight="false" hidden="false" ht="81.8" outlineLevel="0" r="40" s="15">
      <c r="A40" s="15" t="s">
        <v>40</v>
      </c>
      <c r="B40" s="14" t="s">
        <v>15</v>
      </c>
      <c r="C40" s="15" t="s">
        <v>16</v>
      </c>
      <c r="D40" s="15" t="s">
        <v>42</v>
      </c>
      <c r="E40" s="15" t="s">
        <v>182</v>
      </c>
      <c r="F40" s="14" t="s">
        <v>15</v>
      </c>
      <c r="G40" s="15" t="s">
        <v>16</v>
      </c>
      <c r="H40" s="15" t="s">
        <v>42</v>
      </c>
      <c r="I40" s="14" t="s">
        <v>15</v>
      </c>
      <c r="J40" s="15" t="s">
        <v>16</v>
      </c>
      <c r="K40" s="15" t="s">
        <v>43</v>
      </c>
      <c r="L40" s="15" t="s">
        <v>44</v>
      </c>
      <c r="M40" s="15" t="s">
        <v>45</v>
      </c>
    </row>
    <row collapsed="false" customFormat="true" customHeight="false" hidden="false" ht="13.6" outlineLevel="0" r="41" s="15">
      <c r="A41" s="58" t="n">
        <v>1910.6</v>
      </c>
      <c r="B41" s="0"/>
      <c r="C41" s="0"/>
      <c r="D41" s="0"/>
      <c r="F41" s="59" t="n">
        <f aca="false">52339.24</f>
        <v>52339.24</v>
      </c>
      <c r="G41" s="59" t="n">
        <f aca="false">0.001</f>
        <v>0.001</v>
      </c>
      <c r="H41" s="15" t="str">
        <f aca="false">A102</f>
        <v>Ruffoni:2010:424</v>
      </c>
      <c r="I41" s="59" t="n">
        <f aca="false">F41</f>
        <v>52339.24</v>
      </c>
      <c r="J41" s="59" t="n">
        <f aca="false">G41</f>
        <v>0.001</v>
      </c>
      <c r="K41" s="15" t="str">
        <f aca="false">H41</f>
        <v>Ruffoni:2010:424</v>
      </c>
      <c r="L41" s="16" t="n">
        <f aca="false">100000000/I41</f>
        <v>1910.61238183818</v>
      </c>
      <c r="M41" s="16" t="n">
        <f aca="false">J41/I41*L41</f>
        <v>3.65043967363335E-005</v>
      </c>
    </row>
    <row collapsed="false" customFormat="true" customHeight="false" hidden="false" ht="13.6" outlineLevel="0" r="42" s="15">
      <c r="A42" s="58" t="n">
        <v>1910.9</v>
      </c>
      <c r="B42" s="0"/>
      <c r="C42" s="0"/>
      <c r="D42" s="0"/>
      <c r="F42" s="59" t="n">
        <f aca="false">52329.889</f>
        <v>52329.889</v>
      </c>
      <c r="G42" s="59" t="n">
        <f aca="false">0.001</f>
        <v>0.001</v>
      </c>
      <c r="H42" s="15" t="str">
        <f aca="false">H41</f>
        <v>Ruffoni:2010:424</v>
      </c>
      <c r="I42" s="59" t="n">
        <f aca="false">F42</f>
        <v>52329.889</v>
      </c>
      <c r="J42" s="59" t="n">
        <f aca="false">G42</f>
        <v>0.001</v>
      </c>
      <c r="K42" s="15" t="str">
        <f aca="false">H42</f>
        <v>Ruffoni:2010:424</v>
      </c>
      <c r="L42" s="16" t="n">
        <f aca="false">100000000/I42</f>
        <v>1910.95379544948</v>
      </c>
      <c r="M42" s="16" t="n">
        <f aca="false">J42/I42*L42</f>
        <v>3.65174440834277E-005</v>
      </c>
    </row>
    <row collapsed="false" customFormat="false" customHeight="false" hidden="false" ht="12.9" outlineLevel="0" r="43">
      <c r="A43" s="13" t="n">
        <v>3067</v>
      </c>
      <c r="B43" s="46" t="n">
        <f aca="false">32602.6274</f>
        <v>32602.6274</v>
      </c>
      <c r="C43" s="46" t="n">
        <f aca="false">0.002</f>
        <v>0.002</v>
      </c>
      <c r="D43" s="13" t="n">
        <f aca="false">A98</f>
        <v>0</v>
      </c>
      <c r="E43" s="46" t="n">
        <f aca="false">B43*(1+0.000000037)</f>
        <v>32602.6286062972</v>
      </c>
      <c r="F43" s="45" t="n">
        <f aca="false">32602.628</f>
        <v>32602.628</v>
      </c>
      <c r="G43" s="45" t="n">
        <f aca="false">0.002</f>
        <v>0.002</v>
      </c>
      <c r="H43" s="13" t="n">
        <f aca="false">A102</f>
        <v>0</v>
      </c>
      <c r="I43" s="46" t="n">
        <f aca="false">(E43/C43/C43+F43/G43/G43)/(1/C43/C43+1/G43/G43)</f>
        <v>32602.6283031486</v>
      </c>
      <c r="J43" s="46" t="n">
        <f aca="false">SQRT(1/(1/C43/C43+1/G43/G43))</f>
        <v>0.0014142135623731</v>
      </c>
      <c r="K43" s="13" t="s">
        <v>183</v>
      </c>
      <c r="L43" s="18" t="n">
        <f aca="false">100000000/I43</f>
        <v>3067.23737332375</v>
      </c>
      <c r="M43" s="18" t="n">
        <f aca="false">J43/I43*L43</f>
        <v>0.000133048435605824</v>
      </c>
    </row>
    <row collapsed="false" customFormat="false" customHeight="false" hidden="false" ht="12.9" outlineLevel="0" r="44">
      <c r="A44" s="13" t="n">
        <v>3073</v>
      </c>
      <c r="B44" s="46" t="n">
        <f aca="false">32532.355</f>
        <v>32532.355</v>
      </c>
      <c r="C44" s="46" t="n">
        <f aca="false">0.001</f>
        <v>0.001</v>
      </c>
      <c r="D44" s="13" t="n">
        <f aca="false">D43</f>
        <v>0</v>
      </c>
      <c r="E44" s="46" t="n">
        <f aca="false">B44*(1+0.000000037)</f>
        <v>32532.3562036971</v>
      </c>
      <c r="F44" s="45" t="n">
        <f aca="false">32532.357</f>
        <v>32532.357</v>
      </c>
      <c r="G44" s="45" t="n">
        <f aca="false">0.001</f>
        <v>0.001</v>
      </c>
      <c r="H44" s="13" t="n">
        <f aca="false">H43</f>
        <v>0</v>
      </c>
      <c r="I44" s="46" t="n">
        <f aca="false">(E44/C44/C44+F44/G44/G44)/(1/C44/C44+1/G44/G44)</f>
        <v>32532.3566018486</v>
      </c>
      <c r="J44" s="46" t="n">
        <f aca="false">SQRT(1/(1/C44/C44+1/G44/G44))</f>
        <v>0.000707106781186547</v>
      </c>
      <c r="K44" s="13" t="s">
        <v>183</v>
      </c>
      <c r="L44" s="18" t="n">
        <f aca="false">100000000/I44</f>
        <v>3073.86277679981</v>
      </c>
      <c r="M44" s="18" t="n">
        <f aca="false">J44/I44*L44</f>
        <v>6.68119202218678E-005</v>
      </c>
    </row>
    <row collapsed="false" customFormat="false" customHeight="false" hidden="false" ht="13.6" outlineLevel="0" r="45">
      <c r="A45" s="13" t="n">
        <v>3230</v>
      </c>
      <c r="B45" s="46" t="n">
        <f aca="false">30958.586</f>
        <v>30958.586</v>
      </c>
      <c r="C45" s="46" t="n">
        <f aca="false">0.001</f>
        <v>0.001</v>
      </c>
      <c r="D45" s="13" t="n">
        <f aca="false">D44</f>
        <v>0</v>
      </c>
      <c r="E45" s="46" t="n">
        <f aca="false">B45*(1+0.000000037)</f>
        <v>30958.5871454677</v>
      </c>
      <c r="F45" s="46"/>
      <c r="G45" s="46"/>
      <c r="I45" s="46" t="n">
        <f aca="false">E45</f>
        <v>30958.5871454677</v>
      </c>
      <c r="J45" s="46" t="n">
        <f aca="false">C45</f>
        <v>0.001</v>
      </c>
      <c r="K45" s="0" t="s">
        <v>184</v>
      </c>
      <c r="L45" s="18" t="n">
        <f aca="false">100000000/I45</f>
        <v>3230.12156627567</v>
      </c>
      <c r="M45" s="18" t="n">
        <f aca="false">J45/I45*L45</f>
        <v>0.000104336853329192</v>
      </c>
    </row>
    <row collapsed="false" customFormat="false" customHeight="false" hidden="false" ht="12.9" outlineLevel="0" r="46">
      <c r="A46" s="13" t="n">
        <v>3243</v>
      </c>
      <c r="B46" s="46" t="n">
        <f aca="false">30836.426</f>
        <v>30836.426</v>
      </c>
      <c r="C46" s="46" t="n">
        <f aca="false">0.001</f>
        <v>0.001</v>
      </c>
      <c r="D46" s="13" t="n">
        <f aca="false">D45</f>
        <v>0</v>
      </c>
      <c r="E46" s="46" t="n">
        <f aca="false">B46*(1+0.000000037)</f>
        <v>30836.4271409478</v>
      </c>
      <c r="F46" s="46"/>
      <c r="G46" s="46"/>
      <c r="I46" s="46" t="n">
        <f aca="false">E46</f>
        <v>30836.4271409478</v>
      </c>
      <c r="J46" s="46" t="n">
        <f aca="false">C46</f>
        <v>0.001</v>
      </c>
      <c r="K46" s="13" t="n">
        <f aca="false">K45</f>
        <v>0</v>
      </c>
      <c r="L46" s="18" t="n">
        <f aca="false">100000000/I46</f>
        <v>3242.91784981827</v>
      </c>
      <c r="M46" s="18" t="n">
        <f aca="false">J46/I46*L46</f>
        <v>0.000105165161806699</v>
      </c>
    </row>
    <row collapsed="false" customFormat="false" customHeight="false" hidden="false" ht="12.9" outlineLevel="0" r="47">
      <c r="A47" s="13" t="n">
        <v>3385</v>
      </c>
      <c r="B47" s="46" t="n">
        <f aca="false">29544.454</f>
        <v>29544.454</v>
      </c>
      <c r="C47" s="46" t="n">
        <f aca="false">0.001</f>
        <v>0.001</v>
      </c>
      <c r="D47" s="13" t="n">
        <f aca="false">D46</f>
        <v>0</v>
      </c>
      <c r="E47" s="46" t="n">
        <f aca="false">B47*(1+0.000000037)</f>
        <v>29544.4550931448</v>
      </c>
      <c r="F47" s="46"/>
      <c r="G47" s="46"/>
      <c r="I47" s="46" t="n">
        <f aca="false">E47</f>
        <v>29544.4550931448</v>
      </c>
      <c r="J47" s="46" t="n">
        <f aca="false">C47</f>
        <v>0.001</v>
      </c>
      <c r="K47" s="13" t="n">
        <f aca="false">K46</f>
        <v>0</v>
      </c>
      <c r="L47" s="18" t="n">
        <f aca="false">100000000/I47</f>
        <v>3384.72988196025</v>
      </c>
      <c r="M47" s="18" t="n">
        <f aca="false">J47/I47*L47</f>
        <v>0.000114563963738347</v>
      </c>
    </row>
    <row collapsed="false" customFormat="false" customHeight="false" hidden="false" ht="12.9" outlineLevel="0" r="48">
      <c r="B48" s="46"/>
      <c r="C48" s="46"/>
      <c r="D48" s="46"/>
    </row>
    <row collapsed="false" customFormat="false" customHeight="false" hidden="false" ht="12.9" outlineLevel="0" r="49">
      <c r="A49" s="13" t="s">
        <v>71</v>
      </c>
      <c r="B49" s="19"/>
    </row>
    <row collapsed="false" customFormat="false" customHeight="false" hidden="false" ht="13.6" outlineLevel="0" r="50">
      <c r="A50" s="13" t="s">
        <v>40</v>
      </c>
      <c r="B50" s="60" t="s">
        <v>185</v>
      </c>
      <c r="C50" s="60"/>
      <c r="D50" s="60"/>
      <c r="E50" s="60"/>
      <c r="F50" s="60"/>
      <c r="G50" s="60"/>
      <c r="H50" s="60" t="s">
        <v>186</v>
      </c>
      <c r="I50" s="60"/>
      <c r="J50" s="60"/>
      <c r="K50" s="60"/>
      <c r="L50" s="60"/>
    </row>
    <row collapsed="false" customFormat="false" customHeight="false" hidden="false" ht="12.9" outlineLevel="0" r="51">
      <c r="B51" s="19" t="s">
        <v>187</v>
      </c>
      <c r="D51" s="13" t="s">
        <v>188</v>
      </c>
      <c r="E51" s="13" t="s">
        <v>189</v>
      </c>
      <c r="G51" s="13" t="s">
        <v>190</v>
      </c>
      <c r="H51" s="13" t="n">
        <v>48</v>
      </c>
      <c r="I51" s="13" t="n">
        <v>46</v>
      </c>
      <c r="J51" s="13" t="n">
        <v>47</v>
      </c>
      <c r="K51" s="13" t="n">
        <v>49</v>
      </c>
      <c r="L51" s="13" t="n">
        <v>50</v>
      </c>
    </row>
    <row collapsed="false" customFormat="false" customHeight="false" hidden="false" ht="12.9" outlineLevel="0" r="52">
      <c r="A52" s="13" t="n">
        <v>3067</v>
      </c>
      <c r="B52" s="24" t="n">
        <v>-743</v>
      </c>
      <c r="C52" s="24" t="n">
        <v>113</v>
      </c>
      <c r="D52" s="24" t="n">
        <f aca="false">B52/(1/46-1/48)*(1/47-1/48)</f>
        <v>-363.595744680851</v>
      </c>
      <c r="E52" s="24" t="n">
        <v>705</v>
      </c>
      <c r="F52" s="24" t="n">
        <v>104</v>
      </c>
      <c r="G52" s="24" t="n">
        <f aca="false">E52/(1/50-1/48)*(1/49-1/48)</f>
        <v>359.693877551021</v>
      </c>
      <c r="H52" s="16" t="n">
        <f aca="false">I43-10000/299792458*(D59*B52+D60*D52+D62*E52+D63*G52)</f>
        <v>32602.6293564233</v>
      </c>
      <c r="I52" s="16" t="n">
        <f aca="false">H52+10000/299297458*B52</f>
        <v>32602.6045316217</v>
      </c>
      <c r="J52" s="16" t="n">
        <f aca="false">H52+10000/299792458*D52</f>
        <v>32602.6172281747</v>
      </c>
      <c r="K52" s="16" t="n">
        <f aca="false">H52+10000/299792458*G52</f>
        <v>32602.6413545196</v>
      </c>
      <c r="L52" s="16" t="n">
        <f aca="false">H52+10000/299792458*E52</f>
        <v>32602.652872692</v>
      </c>
    </row>
    <row collapsed="false" customFormat="false" customHeight="false" hidden="false" ht="12.9" outlineLevel="0" r="53">
      <c r="A53" s="13" t="n">
        <v>3073</v>
      </c>
      <c r="B53" s="24" t="n">
        <v>-744</v>
      </c>
      <c r="C53" s="24" t="n">
        <v>107</v>
      </c>
      <c r="D53" s="24" t="n">
        <f aca="false">B53/(1/46-1/48)*(1/47-1/48)</f>
        <v>-364.085106382979</v>
      </c>
      <c r="E53" s="24" t="n">
        <v>706</v>
      </c>
      <c r="F53" s="24" t="n">
        <v>99</v>
      </c>
      <c r="G53" s="24" t="n">
        <f aca="false">E53/(1/50-1/48)*(1/49-1/48)</f>
        <v>360.204081632654</v>
      </c>
      <c r="H53" s="16" t="n">
        <f aca="false">I44-10000/299792458*(D59*B53+D60*D53+D62*E53+D63*G53)</f>
        <v>32532.3576564035</v>
      </c>
      <c r="I53" s="16" t="n">
        <f aca="false">H53+10000/299297458*B53</f>
        <v>32532.3327981903</v>
      </c>
      <c r="J53" s="16" t="n">
        <f aca="false">H53+10000/299792458*D53</f>
        <v>32532.3455118316</v>
      </c>
      <c r="K53" s="16" t="n">
        <f aca="false">H53+10000/299792458*G53</f>
        <v>32532.3696715183</v>
      </c>
      <c r="L53" s="16" t="n">
        <f aca="false">H53+10000/299792458*E53</f>
        <v>32532.3812060286</v>
      </c>
    </row>
    <row collapsed="false" customFormat="false" customHeight="false" hidden="false" ht="12.9" outlineLevel="0" r="54">
      <c r="A54" s="13" t="n">
        <v>3230</v>
      </c>
      <c r="B54" s="24" t="n">
        <v>-742</v>
      </c>
      <c r="C54" s="24" t="n">
        <v>95</v>
      </c>
      <c r="D54" s="24" t="n">
        <f aca="false">B54/(1/46-1/48)*(1/47-1/48)</f>
        <v>-363.106382978724</v>
      </c>
      <c r="E54" s="24" t="n">
        <v>704</v>
      </c>
      <c r="F54" s="24" t="n">
        <v>88</v>
      </c>
      <c r="G54" s="24" t="n">
        <f aca="false">E54/(1/50-1/48)*(1/49-1/48)</f>
        <v>359.183673469389</v>
      </c>
      <c r="H54" s="16" t="n">
        <f aca="false">I45-10000/299792458*(D59*B54+D60*D54+D62*E54+D63*G54)</f>
        <v>30958.5881974621</v>
      </c>
      <c r="I54" s="16" t="n">
        <f aca="false">H54+10000/299297458*B54</f>
        <v>30958.5634060722</v>
      </c>
      <c r="J54" s="16" t="n">
        <f aca="false">H54+10000/299792458*D54</f>
        <v>30958.5760855369</v>
      </c>
      <c r="K54" s="16" t="n">
        <f aca="false">H54+10000/299792458*G54</f>
        <v>30958.6001785398</v>
      </c>
      <c r="L54" s="16" t="n">
        <f aca="false">H54+10000/299792458*E54</f>
        <v>30958.6116803744</v>
      </c>
    </row>
    <row collapsed="false" customFormat="false" customHeight="false" hidden="false" ht="12.9" outlineLevel="0" r="55">
      <c r="A55" s="13" t="n">
        <v>3243</v>
      </c>
      <c r="B55" s="24" t="n">
        <v>-756</v>
      </c>
      <c r="C55" s="24" t="n">
        <v>98</v>
      </c>
      <c r="D55" s="24" t="n">
        <f aca="false">B55/(1/46-1/48)*(1/47-1/48)</f>
        <v>-369.957446808511</v>
      </c>
      <c r="E55" s="24" t="n">
        <v>717</v>
      </c>
      <c r="F55" s="24" t="n">
        <v>90</v>
      </c>
      <c r="G55" s="24" t="n">
        <f aca="false">E55/(1/50-1/48)*(1/49-1/48)</f>
        <v>365.816326530613</v>
      </c>
      <c r="H55" s="16" t="n">
        <f aca="false">I46-10000/299792458*(D59*B55+D60*D55+D62*E55+D63*G55)</f>
        <v>30836.4282135514</v>
      </c>
      <c r="I55" s="16" t="n">
        <f aca="false">H55+10000/299297458*B55</f>
        <v>30836.4029543994</v>
      </c>
      <c r="J55" s="16" t="n">
        <f aca="false">H55+10000/299792458*D55</f>
        <v>30836.4158730993</v>
      </c>
      <c r="K55" s="16" t="n">
        <f aca="false">H55+10000/299792458*G55</f>
        <v>30836.4404158706</v>
      </c>
      <c r="L55" s="16" t="n">
        <f aca="false">H55+10000/299792458*E55</f>
        <v>30836.452130097</v>
      </c>
    </row>
    <row collapsed="false" customFormat="false" customHeight="false" hidden="false" ht="12.9" outlineLevel="0" r="56">
      <c r="A56" s="13" t="n">
        <v>3385</v>
      </c>
      <c r="B56" s="24" t="n">
        <v>-784</v>
      </c>
      <c r="C56" s="24" t="n">
        <v>79</v>
      </c>
      <c r="D56" s="24" t="n">
        <f aca="false">B56/(1/46-1/48)*(1/47-1/48)</f>
        <v>-383.659574468085</v>
      </c>
      <c r="E56" s="24" t="n">
        <v>742</v>
      </c>
      <c r="F56" s="24" t="n">
        <v>73</v>
      </c>
      <c r="G56" s="24" t="n">
        <f aca="false">E56/(1/50-1/48)*(1/49-1/48)</f>
        <v>378.57142857143</v>
      </c>
      <c r="H56" s="16" t="n">
        <f aca="false">I47-10000/299792458*(D59*B56+D60*D56+D62*E56+D64*G56)</f>
        <v>29544.4442359885</v>
      </c>
      <c r="I56" s="16" t="n">
        <f aca="false">H56+10000/299297458*B56</f>
        <v>29544.4180413123</v>
      </c>
      <c r="J56" s="16" t="n">
        <f aca="false">H56+10000/299792458*D56</f>
        <v>29544.4314384827</v>
      </c>
      <c r="K56" s="16" t="n">
        <f aca="false">H56+10000/299792458*G56</f>
        <v>29544.4568637721</v>
      </c>
      <c r="L56" s="16" t="n">
        <f aca="false">H56+10000/299792458*E56</f>
        <v>29544.4689864444</v>
      </c>
    </row>
    <row collapsed="false" customFormat="false" customHeight="false" hidden="false" ht="12.9" outlineLevel="0" r="57">
      <c r="A57" s="19"/>
      <c r="B57" s="19"/>
    </row>
    <row collapsed="false" customFormat="false" customHeight="false" hidden="false" ht="12.9" outlineLevel="0" r="58">
      <c r="B58" s="19" t="s">
        <v>41</v>
      </c>
      <c r="C58" s="13" t="s">
        <v>48</v>
      </c>
      <c r="E58" s="13" t="s">
        <v>42</v>
      </c>
    </row>
    <row collapsed="false" customFormat="false" customHeight="false" hidden="false" ht="12.9" outlineLevel="0" r="59">
      <c r="A59" s="19"/>
      <c r="B59" s="13" t="n">
        <v>46</v>
      </c>
      <c r="C59" s="13" t="n">
        <v>8.25</v>
      </c>
      <c r="D59" s="45" t="n">
        <f aca="false">C59/100</f>
        <v>0.0825</v>
      </c>
      <c r="E59" s="13" t="n">
        <f aca="false">A101</f>
        <v>0</v>
      </c>
      <c r="L59" s="16"/>
    </row>
    <row collapsed="false" customFormat="false" customHeight="false" hidden="false" ht="12.9" outlineLevel="0" r="60">
      <c r="B60" s="13" t="n">
        <v>47</v>
      </c>
      <c r="C60" s="13" t="n">
        <v>7.44</v>
      </c>
      <c r="D60" s="45" t="n">
        <f aca="false">C60/100</f>
        <v>0.0744</v>
      </c>
      <c r="E60" s="13" t="n">
        <f aca="false">E59</f>
        <v>0</v>
      </c>
    </row>
    <row collapsed="false" customFormat="false" customHeight="false" hidden="false" ht="12.9" outlineLevel="0" r="61">
      <c r="B61" s="13" t="n">
        <v>48</v>
      </c>
      <c r="C61" s="13" t="n">
        <v>73.72</v>
      </c>
      <c r="D61" s="45" t="n">
        <f aca="false">C61/100</f>
        <v>0.7372</v>
      </c>
      <c r="E61" s="13" t="n">
        <f aca="false">E60</f>
        <v>0</v>
      </c>
    </row>
    <row collapsed="false" customFormat="false" customHeight="false" hidden="false" ht="12.9" outlineLevel="0" r="62">
      <c r="B62" s="13" t="n">
        <v>49</v>
      </c>
      <c r="C62" s="13" t="n">
        <v>5.41</v>
      </c>
      <c r="D62" s="45" t="n">
        <f aca="false">C62/100</f>
        <v>0.0541</v>
      </c>
      <c r="E62" s="13" t="n">
        <f aca="false">E61</f>
        <v>0</v>
      </c>
    </row>
    <row collapsed="false" customFormat="false" customHeight="false" hidden="false" ht="12.9" outlineLevel="0" r="63">
      <c r="B63" s="13" t="n">
        <v>50</v>
      </c>
      <c r="C63" s="13" t="n">
        <v>5.18</v>
      </c>
      <c r="D63" s="45" t="n">
        <f aca="false">C63/100</f>
        <v>0.0518</v>
      </c>
      <c r="E63" s="13" t="n">
        <f aca="false">E62</f>
        <v>0</v>
      </c>
    </row>
    <row collapsed="false" customFormat="false" customHeight="false" hidden="false" ht="12.9" outlineLevel="0" r="64">
      <c r="B64" s="13" t="s">
        <v>49</v>
      </c>
      <c r="C64" s="13" t="n">
        <f aca="false">SUM(C59:C63)</f>
        <v>100</v>
      </c>
      <c r="D64" s="46" t="n">
        <f aca="false">SUM(D59:D63)</f>
        <v>1</v>
      </c>
    </row>
    <row collapsed="false" customFormat="false" customHeight="false" hidden="false" ht="12.9" outlineLevel="0" r="65">
      <c r="D65" s="46"/>
    </row>
    <row collapsed="false" customFormat="false" customHeight="false" hidden="false" ht="12.9" outlineLevel="0" r="67">
      <c r="A67" s="13" t="n">
        <v>3067</v>
      </c>
      <c r="B67" s="13" t="n">
        <f aca="false">B63</f>
        <v>50</v>
      </c>
      <c r="C67" s="20" t="n">
        <f aca="false">D63</f>
        <v>0.0518</v>
      </c>
      <c r="D67" s="16" t="n">
        <f aca="false">$L52</f>
        <v>32602.652872692</v>
      </c>
      <c r="E67" s="17" t="n">
        <f aca="false">100000000/D67</f>
        <v>3067.23506183633</v>
      </c>
    </row>
    <row collapsed="false" customFormat="false" customHeight="false" hidden="false" ht="12.9" outlineLevel="0" r="68">
      <c r="B68" s="13" t="n">
        <f aca="false">B62</f>
        <v>49</v>
      </c>
      <c r="C68" s="20" t="n">
        <f aca="false">D62</f>
        <v>0.0541</v>
      </c>
      <c r="D68" s="16" t="n">
        <f aca="false">$K52</f>
        <v>32602.6413545196</v>
      </c>
      <c r="E68" s="17" t="n">
        <f aca="false">100000000/D68</f>
        <v>3067.23614545842</v>
      </c>
    </row>
    <row collapsed="false" customFormat="false" customHeight="false" hidden="false" ht="12.9" outlineLevel="0" r="69">
      <c r="B69" s="13" t="n">
        <f aca="false">B61</f>
        <v>48</v>
      </c>
      <c r="C69" s="20" t="n">
        <f aca="false">D61</f>
        <v>0.7372</v>
      </c>
      <c r="D69" s="16" t="n">
        <f aca="false">$H52</f>
        <v>32602.6293564233</v>
      </c>
      <c r="E69" s="17" t="n">
        <f aca="false">100000000/D69</f>
        <v>3067.23727423225</v>
      </c>
    </row>
    <row collapsed="false" customFormat="false" customHeight="false" hidden="false" ht="12.9" outlineLevel="0" r="70">
      <c r="B70" s="13" t="n">
        <f aca="false">B60</f>
        <v>47</v>
      </c>
      <c r="C70" s="20" t="n">
        <f aca="false">D60</f>
        <v>0.0744</v>
      </c>
      <c r="D70" s="16" t="n">
        <f aca="false">$J52</f>
        <v>32602.6172281747</v>
      </c>
      <c r="E70" s="17" t="n">
        <f aca="false">100000000/D70</f>
        <v>3067.23841525156</v>
      </c>
    </row>
    <row collapsed="false" customFormat="false" customHeight="false" hidden="false" ht="12.9" outlineLevel="0" r="71">
      <c r="B71" s="13" t="n">
        <f aca="false">B59</f>
        <v>46</v>
      </c>
      <c r="C71" s="20" t="n">
        <f aca="false">D59</f>
        <v>0.0825</v>
      </c>
      <c r="D71" s="16" t="n">
        <f aca="false">$I52</f>
        <v>32602.6045316217</v>
      </c>
      <c r="E71" s="17" t="n">
        <f aca="false">100000000/D71</f>
        <v>3067.23960973758</v>
      </c>
    </row>
    <row collapsed="false" customFormat="false" customHeight="false" hidden="false" ht="12.9" outlineLevel="0" r="72">
      <c r="C72" s="20"/>
      <c r="D72" s="16"/>
      <c r="E72" s="17"/>
    </row>
    <row collapsed="false" customFormat="false" customHeight="false" hidden="false" ht="12.9" outlineLevel="0" r="73">
      <c r="A73" s="13" t="n">
        <v>3073</v>
      </c>
      <c r="B73" s="13" t="n">
        <f aca="false">B67</f>
        <v>50</v>
      </c>
      <c r="C73" s="20" t="inlineStr">
        <f aca="false">C67</f>
        <is>
          <t/>
        </is>
      </c>
      <c r="D73" s="16" t="n">
        <f aca="false">$L53</f>
        <v>32532.3812060286</v>
      </c>
      <c r="E73" s="17" t="n">
        <f aca="false">100000000/D73</f>
        <v>3073.86045204305</v>
      </c>
    </row>
    <row collapsed="false" customFormat="false" customHeight="false" hidden="false" ht="12.9" outlineLevel="0" r="74">
      <c r="B74" s="13" t="n">
        <v>49</v>
      </c>
      <c r="C74" s="20" t="inlineStr">
        <f aca="false">C68</f>
        <is>
          <t/>
        </is>
      </c>
      <c r="D74" s="16" t="n">
        <f aca="false">$K53</f>
        <v>32532.3696715183</v>
      </c>
      <c r="E74" s="17" t="n">
        <f aca="false">100000000/D74</f>
        <v>3073.86154189526</v>
      </c>
    </row>
    <row collapsed="false" customFormat="false" customHeight="false" hidden="false" ht="12.9" outlineLevel="0" r="75">
      <c r="B75" s="13" t="n">
        <v>48</v>
      </c>
      <c r="C75" s="20" t="inlineStr">
        <f aca="false">C69</f>
        <is>
          <t/>
        </is>
      </c>
      <c r="D75" s="16" t="n">
        <f aca="false">$H53</f>
        <v>32532.3576564035</v>
      </c>
      <c r="E75" s="17" t="n">
        <f aca="false">100000000/D75</f>
        <v>3073.8626771588</v>
      </c>
    </row>
    <row collapsed="false" customFormat="false" customHeight="false" hidden="false" ht="12.9" outlineLevel="0" r="76">
      <c r="B76" s="13" t="n">
        <v>47</v>
      </c>
      <c r="C76" s="20" t="inlineStr">
        <f aca="false">C70</f>
        <is>
          <t/>
        </is>
      </c>
      <c r="D76" s="16" t="n">
        <f aca="false">$J53</f>
        <v>32532.3455118316</v>
      </c>
      <c r="E76" s="17" t="n">
        <f aca="false">100000000/D76</f>
        <v>3073.86382465511</v>
      </c>
    </row>
    <row collapsed="false" customFormat="false" customHeight="false" hidden="false" ht="12.9" outlineLevel="0" r="77">
      <c r="B77" s="13" t="n">
        <v>46</v>
      </c>
      <c r="C77" s="20" t="inlineStr">
        <f aca="false">C71</f>
        <is>
          <t/>
        </is>
      </c>
      <c r="D77" s="16" t="n">
        <f aca="false">$I53</f>
        <v>32532.3327981903</v>
      </c>
      <c r="E77" s="17" t="n">
        <f aca="false">100000000/D77</f>
        <v>3073.86502592162</v>
      </c>
    </row>
    <row collapsed="false" customFormat="false" customHeight="false" hidden="false" ht="12.9" outlineLevel="0" r="78">
      <c r="C78" s="20"/>
      <c r="D78" s="16"/>
      <c r="E78" s="17"/>
    </row>
    <row collapsed="false" customFormat="false" customHeight="false" hidden="false" ht="12.9" outlineLevel="0" r="79">
      <c r="A79" s="13" t="n">
        <v>3230</v>
      </c>
      <c r="B79" s="13" t="n">
        <f aca="false">B73</f>
        <v>50</v>
      </c>
      <c r="C79" s="20" t="inlineStr">
        <f aca="false">C73</f>
        <is>
          <t/>
        </is>
      </c>
      <c r="D79" s="16" t="n">
        <f aca="false">$L54</f>
        <v>30958.6116803744</v>
      </c>
      <c r="E79" s="17" t="n">
        <f aca="false">100000000/D79</f>
        <v>3230.11900638273</v>
      </c>
    </row>
    <row collapsed="false" customFormat="false" customHeight="false" hidden="false" ht="12.9" outlineLevel="0" r="80">
      <c r="B80" s="13" t="n">
        <v>49</v>
      </c>
      <c r="C80" s="20" t="inlineStr">
        <f aca="false">C74</f>
        <is>
          <t/>
        </is>
      </c>
      <c r="D80" s="16" t="n">
        <f aca="false">$K54</f>
        <v>30958.6001785398</v>
      </c>
      <c r="E80" s="17" t="n">
        <f aca="false">100000000/D80</f>
        <v>3230.12020644651</v>
      </c>
    </row>
    <row collapsed="false" customFormat="false" customHeight="false" hidden="false" ht="12.9" outlineLevel="0" r="81">
      <c r="B81" s="13" t="n">
        <v>48</v>
      </c>
      <c r="C81" s="20" t="inlineStr">
        <f aca="false">C75</f>
        <is>
          <t/>
        </is>
      </c>
      <c r="D81" s="16" t="n">
        <f aca="false">$H54</f>
        <v>30958.5881974621</v>
      </c>
      <c r="E81" s="17" t="n">
        <f aca="false">100000000/D81</f>
        <v>3230.12145651389</v>
      </c>
    </row>
    <row collapsed="false" customFormat="false" customHeight="false" hidden="false" ht="12.9" outlineLevel="0" r="82">
      <c r="B82" s="13" t="n">
        <v>47</v>
      </c>
      <c r="C82" s="20" t="inlineStr">
        <f aca="false">C76</f>
        <is>
          <t/>
        </is>
      </c>
      <c r="D82" s="16" t="n">
        <f aca="false">$J54</f>
        <v>30958.5760855369</v>
      </c>
      <c r="E82" s="17" t="n">
        <f aca="false">100000000/D82</f>
        <v>3230.12272023446</v>
      </c>
    </row>
    <row collapsed="false" customFormat="false" customHeight="false" hidden="false" ht="12.9" outlineLevel="0" r="83">
      <c r="B83" s="13" t="n">
        <v>46</v>
      </c>
      <c r="C83" s="20" t="inlineStr">
        <f aca="false">C77</f>
        <is>
          <t/>
        </is>
      </c>
      <c r="D83" s="16" t="n">
        <f aca="false">$I54</f>
        <v>30958.5634060722</v>
      </c>
      <c r="E83" s="17" t="n">
        <f aca="false">100000000/D83</f>
        <v>3230.1240431714</v>
      </c>
    </row>
    <row collapsed="false" customFormat="false" customHeight="false" hidden="false" ht="12.9" outlineLevel="0" r="84">
      <c r="C84" s="20"/>
      <c r="D84" s="16"/>
      <c r="E84" s="17"/>
    </row>
    <row collapsed="false" customFormat="false" customHeight="false" hidden="false" ht="12.9" outlineLevel="0" r="85">
      <c r="A85" s="13" t="n">
        <v>3243</v>
      </c>
      <c r="B85" s="13" t="n">
        <f aca="false">B79</f>
        <v>50</v>
      </c>
      <c r="C85" s="20" t="inlineStr">
        <f aca="false">C79</f>
        <is>
          <t/>
        </is>
      </c>
      <c r="D85" s="16" t="n">
        <f aca="false">$L55</f>
        <v>30836.452130097</v>
      </c>
      <c r="E85" s="17" t="n">
        <f aca="false">100000000/D85</f>
        <v>3242.91522183247</v>
      </c>
    </row>
    <row collapsed="false" customFormat="false" customHeight="false" hidden="false" ht="12.9" outlineLevel="0" r="86">
      <c r="B86" s="13" t="n">
        <v>49</v>
      </c>
      <c r="C86" s="20" t="inlineStr">
        <f aca="false">C80</f>
        <is>
          <t/>
        </is>
      </c>
      <c r="D86" s="16" t="n">
        <f aca="false">$K55</f>
        <v>30836.4404158706</v>
      </c>
      <c r="E86" s="17" t="n">
        <f aca="false">100000000/D86</f>
        <v>3242.91645375946</v>
      </c>
    </row>
    <row collapsed="false" customFormat="false" customHeight="false" hidden="false" ht="12.9" outlineLevel="0" r="87">
      <c r="B87" s="13" t="n">
        <v>48</v>
      </c>
      <c r="C87" s="20" t="inlineStr">
        <f aca="false">C81</f>
        <is>
          <t/>
        </is>
      </c>
      <c r="D87" s="16" t="n">
        <f aca="false">$H55</f>
        <v>30836.4282135514</v>
      </c>
      <c r="E87" s="17" t="n">
        <f aca="false">100000000/D87</f>
        <v>3242.91773701774</v>
      </c>
    </row>
    <row collapsed="false" customFormat="false" customHeight="false" hidden="false" ht="12.9" outlineLevel="0" r="88">
      <c r="B88" s="13" t="n">
        <v>47</v>
      </c>
      <c r="C88" s="20" t="inlineStr">
        <f aca="false">C82</f>
        <is>
          <t/>
        </is>
      </c>
      <c r="D88" s="16" t="n">
        <f aca="false">$J55</f>
        <v>30836.4158730993</v>
      </c>
      <c r="E88" s="17" t="n">
        <f aca="false">100000000/D88</f>
        <v>3242.91903480381</v>
      </c>
    </row>
    <row collapsed="false" customFormat="false" customHeight="false" hidden="false" ht="12.9" outlineLevel="0" r="89">
      <c r="B89" s="13" t="n">
        <v>46</v>
      </c>
      <c r="C89" s="20" t="inlineStr">
        <f aca="false">C83</f>
        <is>
          <t/>
        </is>
      </c>
      <c r="D89" s="16" t="n">
        <f aca="false">$I55</f>
        <v>30836.4029543994</v>
      </c>
      <c r="E89" s="17" t="n">
        <f aca="false">100000000/D89</f>
        <v>3242.92039340254</v>
      </c>
    </row>
    <row collapsed="false" customFormat="false" customHeight="false" hidden="false" ht="12.9" outlineLevel="0" r="90">
      <c r="C90" s="20"/>
      <c r="D90" s="16"/>
      <c r="E90" s="17"/>
    </row>
    <row collapsed="false" customFormat="false" customHeight="false" hidden="false" ht="12.9" outlineLevel="0" r="91">
      <c r="A91" s="13" t="n">
        <v>3384</v>
      </c>
      <c r="B91" s="13" t="n">
        <f aca="false">B85</f>
        <v>50</v>
      </c>
      <c r="C91" s="20" t="inlineStr">
        <f aca="false">C85</f>
        <is>
          <t/>
        </is>
      </c>
      <c r="D91" s="16" t="n">
        <f aca="false">$L56</f>
        <v>29544.4689864444</v>
      </c>
      <c r="E91" s="17" t="n">
        <f aca="false">100000000/D91</f>
        <v>3384.72829028953</v>
      </c>
    </row>
    <row collapsed="false" customFormat="false" customHeight="false" hidden="false" ht="12.9" outlineLevel="0" r="92">
      <c r="B92" s="13" t="n">
        <v>49</v>
      </c>
      <c r="C92" s="20" t="inlineStr">
        <f aca="false">C86</f>
        <is>
          <t/>
        </is>
      </c>
      <c r="D92" s="16" t="n">
        <f aca="false">$K56</f>
        <v>29544.4568637721</v>
      </c>
      <c r="E92" s="17" t="n">
        <f aca="false">100000000/D92</f>
        <v>3384.72967911018</v>
      </c>
    </row>
    <row collapsed="false" customFormat="false" customHeight="false" hidden="false" ht="12.9" outlineLevel="0" r="93">
      <c r="B93" s="13" t="n">
        <v>48</v>
      </c>
      <c r="C93" s="20" t="inlineStr">
        <f aca="false">C87</f>
        <is>
          <t/>
        </is>
      </c>
      <c r="D93" s="16" t="n">
        <f aca="false">$H56</f>
        <v>29544.4442359885</v>
      </c>
      <c r="E93" s="17" t="n">
        <f aca="false">100000000/D93</f>
        <v>3384.73112579957</v>
      </c>
    </row>
    <row collapsed="false" customFormat="false" customHeight="false" hidden="false" ht="12.9" outlineLevel="0" r="94">
      <c r="B94" s="13" t="n">
        <v>47</v>
      </c>
      <c r="C94" s="20" t="inlineStr">
        <f aca="false">C88</f>
        <is>
          <t/>
        </is>
      </c>
      <c r="D94" s="16" t="n">
        <f aca="false">$J56</f>
        <v>29544.4314384827</v>
      </c>
      <c r="E94" s="17" t="n">
        <f aca="false">100000000/D94</f>
        <v>3384.73259193428</v>
      </c>
    </row>
    <row collapsed="false" customFormat="false" customHeight="false" hidden="false" ht="12.9" outlineLevel="0" r="95">
      <c r="B95" s="13" t="n">
        <v>46</v>
      </c>
      <c r="C95" s="20" t="inlineStr">
        <f aca="false">C89</f>
        <is>
          <t/>
        </is>
      </c>
      <c r="D95" s="16" t="n">
        <f aca="false">$I56</f>
        <v>29544.4180413123</v>
      </c>
      <c r="E95" s="17" t="n">
        <f aca="false">100000000/D95</f>
        <v>3384.73412677037</v>
      </c>
    </row>
    <row collapsed="false" customFormat="false" customHeight="false" hidden="false" ht="12.9" outlineLevel="0" r="97">
      <c r="A97" s="13" t="s">
        <v>4</v>
      </c>
    </row>
    <row collapsed="false" customFormat="false" customHeight="false" hidden="false" ht="13.6" outlineLevel="0" r="98">
      <c r="A98" s="13" t="s">
        <v>191</v>
      </c>
      <c r="B98" s="1" t="s">
        <v>192</v>
      </c>
    </row>
    <row collapsed="false" customFormat="false" customHeight="false" hidden="false" ht="13.6" outlineLevel="0" r="99">
      <c r="A99" s="13" t="s">
        <v>193</v>
      </c>
      <c r="B99" s="1" t="s">
        <v>194</v>
      </c>
    </row>
    <row collapsed="false" customFormat="false" customHeight="false" hidden="false" ht="13.6" outlineLevel="0" r="100">
      <c r="A100" s="13" t="s">
        <v>195</v>
      </c>
      <c r="B100" s="1" t="s">
        <v>196</v>
      </c>
    </row>
    <row collapsed="false" customFormat="false" customHeight="false" hidden="false" ht="13.6" outlineLevel="0" r="101">
      <c r="A101" s="13" t="s">
        <v>52</v>
      </c>
      <c r="B101" s="1" t="s">
        <v>53</v>
      </c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collapsed="false" customFormat="false" customHeight="false" hidden="false" ht="13.6" outlineLevel="0" r="102">
      <c r="A102" s="13" t="s">
        <v>197</v>
      </c>
      <c r="B102" s="1" t="s">
        <v>198</v>
      </c>
    </row>
  </sheetData>
  <mergeCells count="2">
    <mergeCell ref="B50:G50"/>
    <mergeCell ref="H50:L50"/>
  </mergeCells>
  <hyperlinks>
    <hyperlink display="http://adsabs.harvard.edu/abs/2009PhST..134a4008A" ref="B98" r:id="rId1"/>
    <hyperlink display="http://adsabs.harvard.edu/abs/2008JPhB...41w5702B" ref="B99" r:id="rId2"/>
    <hyperlink display="http://adsabs.harvard.edu/abs/2012MNRAS.420.1570N" ref="B100" r:id="rId3"/>
    <hyperlink display="http://adsabs.harvard.edu/abs/1998JPCRD..27.1275R" ref="B101" r:id="rId4"/>
    <hyperlink display="http://adsabs.harvard.edu/abs/2010ApJ...725..424R" ref="B102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90" zoomScaleNormal="90" zoomScalePageLayoutView="100">
      <selection activeCell="Q9" activeCellId="0" pane="topLeft" sqref="Q9"/>
    </sheetView>
  </sheetViews>
  <cols>
    <col collapsed="false" hidden="false" max="2" min="1" style="26" width="11.6235294117647"/>
    <col collapsed="false" hidden="false" max="3" min="3" style="28" width="11.6235294117647"/>
    <col collapsed="false" hidden="false" max="4" min="4" style="28" width="13.7647058823529"/>
    <col collapsed="false" hidden="false" max="5" min="5" style="28" width="13.2588235294118"/>
    <col collapsed="false" hidden="false" max="6" min="6" style="30" width="12.7803921568627"/>
    <col collapsed="false" hidden="false" max="7" min="7" style="30" width="10.1764705882353"/>
    <col collapsed="false" hidden="false" max="9" min="8" style="30" width="13.3843137254902"/>
    <col collapsed="false" hidden="false" max="10" min="10" style="26" width="11.6235294117647"/>
    <col collapsed="false" hidden="false" max="11" min="11" style="26" width="10.0470588235294"/>
    <col collapsed="false" hidden="false" max="12" min="12" style="26" width="24.5176470588235"/>
    <col collapsed="false" hidden="false" max="13" min="13" style="26" width="28.6705882352941"/>
    <col collapsed="false" hidden="false" max="1025" min="14" style="26" width="11.6235294117647"/>
  </cols>
  <sheetData>
    <row collapsed="false" customFormat="true" customHeight="false" hidden="false" ht="12.9" outlineLevel="0" r="1" s="13">
      <c r="A1" s="13" t="s">
        <v>9</v>
      </c>
      <c r="B1" s="2" t="n">
        <v>41015</v>
      </c>
    </row>
    <row collapsed="false" customFormat="true" customHeight="false" hidden="false" ht="12.9" outlineLevel="0" r="2" s="13">
      <c r="B2" s="19"/>
    </row>
    <row collapsed="false" customFormat="true" customHeight="false" hidden="false" ht="12.9" outlineLevel="0" r="3" s="13">
      <c r="A3" s="13" t="s">
        <v>10</v>
      </c>
      <c r="B3" s="19"/>
    </row>
    <row collapsed="false" customFormat="false" customHeight="false" hidden="false" ht="12.9" outlineLevel="0" r="4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0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  <c r="Q4" s="0" t="s">
        <v>26</v>
      </c>
      <c r="R4" s="0" t="s">
        <v>27</v>
      </c>
      <c r="S4" s="0" t="s">
        <v>28</v>
      </c>
      <c r="T4" s="0" t="s">
        <v>29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9" outlineLevel="0" r="5" s="13">
      <c r="A5" s="13" t="s">
        <v>199</v>
      </c>
      <c r="B5" s="61" t="n">
        <f aca="false">A30</f>
        <v>2056</v>
      </c>
      <c r="C5" s="61" t="s">
        <v>31</v>
      </c>
      <c r="D5" s="3" t="n">
        <v>51.9961</v>
      </c>
      <c r="E5" s="46" t="n">
        <f aca="false">D30</f>
        <v>48632.059727192</v>
      </c>
      <c r="F5" s="46" t="n">
        <f aca="false">E30</f>
        <v>0.0014142135623731</v>
      </c>
      <c r="G5" s="13" t="n">
        <v>0</v>
      </c>
      <c r="H5" s="13" t="s">
        <v>200</v>
      </c>
      <c r="I5" s="16" t="n">
        <f aca="false">F30</f>
        <v>2056.25672778335</v>
      </c>
      <c r="J5" s="16" t="n">
        <f aca="false">G30</f>
        <v>5.97956608966362E-005</v>
      </c>
      <c r="K5" s="7" t="n">
        <f aca="false">299792458*J5/I5</f>
        <v>8.71792316383649</v>
      </c>
      <c r="L5" s="13" t="s">
        <v>201</v>
      </c>
      <c r="M5" s="13" t="s">
        <v>202</v>
      </c>
      <c r="N5" s="13" t="s">
        <v>203</v>
      </c>
      <c r="O5" s="24" t="n">
        <v>6.77</v>
      </c>
      <c r="P5" s="24" t="n">
        <v>16.5</v>
      </c>
      <c r="Q5" s="45" t="n">
        <v>0.103</v>
      </c>
      <c r="R5" s="10" t="n">
        <v>407000000</v>
      </c>
      <c r="S5" s="13" t="n">
        <v>-1110</v>
      </c>
      <c r="T5" s="13" t="n">
        <v>150</v>
      </c>
    </row>
    <row collapsed="false" customFormat="true" customHeight="false" hidden="false" ht="12.9" outlineLevel="0" r="6" s="13">
      <c r="B6" s="61"/>
      <c r="C6" s="61" t="s">
        <v>35</v>
      </c>
      <c r="D6" s="5" t="n">
        <f aca="false">A31</f>
        <v>54</v>
      </c>
      <c r="E6" s="18" t="n">
        <f aca="false">D31</f>
        <v>48631.9814408268</v>
      </c>
      <c r="F6" s="46"/>
      <c r="G6" s="13" t="n">
        <v>3</v>
      </c>
      <c r="H6" s="13" t="n">
        <f aca="false">A48</f>
        <v>0</v>
      </c>
      <c r="I6" s="17" t="n">
        <f aca="false">F31</f>
        <v>2056.26003788629</v>
      </c>
      <c r="J6" s="16"/>
      <c r="K6" s="7"/>
      <c r="Q6" s="49" t="n">
        <f aca="false">B31</f>
        <v>0.02365</v>
      </c>
      <c r="R6" s="56"/>
    </row>
    <row collapsed="false" customFormat="false" customHeight="false" hidden="false" ht="12.9" outlineLevel="0" r="7">
      <c r="A7" s="0"/>
      <c r="B7" s="5"/>
      <c r="C7" s="5" t="s">
        <v>35</v>
      </c>
      <c r="D7" s="5" t="n">
        <f aca="false">A32</f>
        <v>53</v>
      </c>
      <c r="E7" s="18" t="n">
        <f aca="false">D32</f>
        <v>48632.0208600673</v>
      </c>
      <c r="F7" s="46"/>
      <c r="G7" s="5" t="n">
        <f aca="false">G6</f>
        <v>3</v>
      </c>
      <c r="H7" s="0" t="n">
        <f aca="false">H6</f>
        <v>0</v>
      </c>
      <c r="I7" s="17" t="n">
        <f aca="false">F32</f>
        <v>2056.25837116121</v>
      </c>
      <c r="J7" s="12"/>
      <c r="K7" s="7"/>
      <c r="L7" s="0"/>
      <c r="M7" s="0"/>
      <c r="N7" s="0"/>
      <c r="O7" s="8"/>
      <c r="P7" s="8"/>
      <c r="Q7" s="49" t="n">
        <f aca="false">B32</f>
        <v>0.09501</v>
      </c>
      <c r="R7" s="10"/>
      <c r="S7" s="5"/>
      <c r="T7" s="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5"/>
      <c r="C8" s="5" t="s">
        <v>35</v>
      </c>
      <c r="D8" s="5" t="n">
        <f aca="false">A33</f>
        <v>52</v>
      </c>
      <c r="E8" s="18" t="n">
        <f aca="false">D33</f>
        <v>48632.0617392797</v>
      </c>
      <c r="F8" s="46"/>
      <c r="G8" s="5" t="n">
        <f aca="false">G7</f>
        <v>3</v>
      </c>
      <c r="H8" s="0" t="n">
        <f aca="false">H7</f>
        <v>0</v>
      </c>
      <c r="I8" s="17" t="n">
        <f aca="false">F33</f>
        <v>2056.25664270842</v>
      </c>
      <c r="J8" s="4"/>
      <c r="K8" s="7"/>
      <c r="L8" s="0"/>
      <c r="M8" s="0"/>
      <c r="N8" s="0"/>
      <c r="O8" s="8"/>
      <c r="P8" s="8"/>
      <c r="Q8" s="49" t="n">
        <f aca="false">B33</f>
        <v>0.83789</v>
      </c>
      <c r="R8" s="10"/>
      <c r="S8" s="5"/>
      <c r="T8" s="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9" outlineLevel="0" r="9">
      <c r="A9" s="0"/>
      <c r="B9" s="5"/>
      <c r="C9" s="5" t="s">
        <v>35</v>
      </c>
      <c r="D9" s="5" t="n">
        <f aca="false">A34</f>
        <v>50</v>
      </c>
      <c r="E9" s="18" t="n">
        <f aca="false">D34</f>
        <v>48632.1485264965</v>
      </c>
      <c r="F9" s="46"/>
      <c r="G9" s="5" t="n">
        <f aca="false">G8</f>
        <v>3</v>
      </c>
      <c r="H9" s="0" t="n">
        <f aca="false">H8</f>
        <v>0</v>
      </c>
      <c r="I9" s="17" t="n">
        <f aca="false">F34</f>
        <v>2056.25297318535</v>
      </c>
      <c r="J9" s="4"/>
      <c r="K9" s="7"/>
      <c r="L9" s="0"/>
      <c r="M9" s="0"/>
      <c r="N9" s="0"/>
      <c r="O9" s="8"/>
      <c r="P9" s="8"/>
      <c r="Q9" s="49" t="n">
        <f aca="false">B34</f>
        <v>0.04345</v>
      </c>
      <c r="R9" s="10"/>
      <c r="S9" s="5"/>
      <c r="T9" s="5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2.9" outlineLevel="0" r="10" s="13">
      <c r="B10" s="61" t="n">
        <f aca="false">A35</f>
        <v>2062</v>
      </c>
      <c r="C10" s="61" t="s">
        <v>31</v>
      </c>
      <c r="D10" s="3" t="n">
        <f aca="false">$D$5</f>
        <v>51.9961</v>
      </c>
      <c r="E10" s="46" t="n">
        <f aca="false">D35</f>
        <v>48491.0583171104</v>
      </c>
      <c r="F10" s="46" t="n">
        <f aca="false">E35</f>
        <v>0.0014142135623731</v>
      </c>
      <c r="G10" s="13" t="n">
        <v>0</v>
      </c>
      <c r="H10" s="13" t="s">
        <v>200</v>
      </c>
      <c r="I10" s="16" t="n">
        <f aca="false">F35</f>
        <v>2062.23587338605</v>
      </c>
      <c r="J10" s="16" t="n">
        <f aca="false">G35</f>
        <v>6.01439119328479E-005</v>
      </c>
      <c r="K10" s="7" t="n">
        <f aca="false">299792458*J10/I10</f>
        <v>8.74327298093154</v>
      </c>
      <c r="M10" s="13" t="s">
        <v>204</v>
      </c>
      <c r="N10" s="13" t="s">
        <v>205</v>
      </c>
      <c r="O10" s="24"/>
      <c r="P10" s="24"/>
      <c r="Q10" s="46" t="n">
        <v>0.0759</v>
      </c>
      <c r="R10" s="10" t="n">
        <v>406000000</v>
      </c>
      <c r="S10" s="13" t="n">
        <v>-1280</v>
      </c>
      <c r="T10" s="13" t="n">
        <v>150</v>
      </c>
    </row>
    <row collapsed="false" customFormat="true" customHeight="false" hidden="false" ht="12.9" outlineLevel="0" r="11" s="13">
      <c r="B11" s="61"/>
      <c r="C11" s="61" t="s">
        <v>35</v>
      </c>
      <c r="D11" s="5" t="n">
        <f aca="false">A36</f>
        <v>54</v>
      </c>
      <c r="E11" s="18" t="n">
        <f aca="false">D36</f>
        <v>48490.9819940397</v>
      </c>
      <c r="F11" s="46"/>
      <c r="G11" s="13" t="n">
        <v>3</v>
      </c>
      <c r="H11" s="13" t="n">
        <f aca="false">A48</f>
        <v>0</v>
      </c>
      <c r="I11" s="17" t="n">
        <f aca="false">F36</f>
        <v>2062.23911927153</v>
      </c>
      <c r="J11" s="16"/>
      <c r="K11" s="7"/>
      <c r="Q11" s="49" t="n">
        <f aca="false">B36</f>
        <v>0.02365</v>
      </c>
      <c r="R11" s="56"/>
    </row>
    <row collapsed="false" customFormat="true" customHeight="false" hidden="false" ht="12.9" outlineLevel="0" r="12" s="13">
      <c r="B12" s="5"/>
      <c r="C12" s="5" t="s">
        <v>35</v>
      </c>
      <c r="D12" s="5" t="n">
        <f aca="false">A37</f>
        <v>53</v>
      </c>
      <c r="E12" s="18" t="n">
        <f aca="false">D37</f>
        <v>48491.0204902461</v>
      </c>
      <c r="F12" s="46"/>
      <c r="G12" s="5" t="n">
        <f aca="false">G11</f>
        <v>3</v>
      </c>
      <c r="H12" s="0" t="n">
        <f aca="false">H11</f>
        <v>0</v>
      </c>
      <c r="I12" s="17" t="n">
        <f aca="false">F37</f>
        <v>2062.23748209454</v>
      </c>
      <c r="J12" s="12"/>
      <c r="K12" s="7"/>
      <c r="L12" s="0"/>
      <c r="M12" s="0"/>
      <c r="N12" s="0"/>
      <c r="O12" s="8"/>
      <c r="P12" s="8"/>
      <c r="Q12" s="49" t="n">
        <f aca="false">B37</f>
        <v>0.09501</v>
      </c>
      <c r="R12" s="10"/>
      <c r="S12" s="5"/>
      <c r="T12" s="5"/>
    </row>
    <row collapsed="false" customFormat="true" customHeight="false" hidden="false" ht="12.9" outlineLevel="0" r="13" s="13">
      <c r="B13" s="5"/>
      <c r="C13" s="5" t="s">
        <v>35</v>
      </c>
      <c r="D13" s="5" t="n">
        <f aca="false">A38</f>
        <v>52</v>
      </c>
      <c r="E13" s="18" t="n">
        <f aca="false">D38</f>
        <v>48491.0602804427</v>
      </c>
      <c r="F13" s="46"/>
      <c r="G13" s="5" t="n">
        <f aca="false">G12</f>
        <v>3</v>
      </c>
      <c r="H13" s="0" t="n">
        <f aca="false">H12</f>
        <v>0</v>
      </c>
      <c r="I13" s="17" t="n">
        <f aca="false">F38</f>
        <v>2062.23578988913</v>
      </c>
      <c r="J13" s="4"/>
      <c r="K13" s="7"/>
      <c r="L13" s="0"/>
      <c r="M13" s="0"/>
      <c r="N13" s="0"/>
      <c r="O13" s="8"/>
      <c r="P13" s="8"/>
      <c r="Q13" s="49" t="n">
        <f aca="false">B38</f>
        <v>0.83789</v>
      </c>
      <c r="R13" s="10"/>
      <c r="S13" s="5"/>
      <c r="T13" s="5"/>
    </row>
    <row collapsed="false" customFormat="true" customHeight="false" hidden="false" ht="12.9" outlineLevel="0" r="14" s="13">
      <c r="B14" s="5"/>
      <c r="C14" s="5" t="s">
        <v>35</v>
      </c>
      <c r="D14" s="5" t="n">
        <f aca="false">A39</f>
        <v>50</v>
      </c>
      <c r="E14" s="18" t="n">
        <f aca="false">D39</f>
        <v>48491.1447132988</v>
      </c>
      <c r="F14" s="46"/>
      <c r="G14" s="5" t="n">
        <f aca="false">G13</f>
        <v>3</v>
      </c>
      <c r="H14" s="0" t="n">
        <f aca="false">H13</f>
        <v>0</v>
      </c>
      <c r="I14" s="17" t="n">
        <f aca="false">F39</f>
        <v>2062.23219912098</v>
      </c>
      <c r="J14" s="4"/>
      <c r="K14" s="7"/>
      <c r="L14" s="0"/>
      <c r="M14" s="0"/>
      <c r="N14" s="0"/>
      <c r="O14" s="8"/>
      <c r="P14" s="8"/>
      <c r="Q14" s="49" t="n">
        <f aca="false">B39</f>
        <v>0.04345</v>
      </c>
      <c r="R14" s="10"/>
      <c r="S14" s="5"/>
      <c r="T14" s="5"/>
    </row>
    <row collapsed="false" customFormat="true" customHeight="false" hidden="false" ht="12.9" outlineLevel="0" r="15" s="13">
      <c r="B15" s="61" t="n">
        <f aca="false">A40</f>
        <v>2066</v>
      </c>
      <c r="C15" s="61" t="s">
        <v>31</v>
      </c>
      <c r="D15" s="3" t="n">
        <f aca="false">$D$5</f>
        <v>51.9961</v>
      </c>
      <c r="E15" s="46" t="n">
        <f aca="false">D40</f>
        <v>48398.8728605191</v>
      </c>
      <c r="F15" s="46" t="n">
        <f aca="false">E40</f>
        <v>0.0014142135623731</v>
      </c>
      <c r="G15" s="13" t="n">
        <v>0</v>
      </c>
      <c r="H15" s="13" t="s">
        <v>200</v>
      </c>
      <c r="I15" s="16" t="n">
        <f aca="false">F40</f>
        <v>2066.16381931435</v>
      </c>
      <c r="J15" s="16" t="n">
        <f aca="false">G40</f>
        <v>6.03732426533954E-005</v>
      </c>
      <c r="K15" s="7" t="n">
        <f aca="false">299792458*J15/I15</f>
        <v>8.75992631528029</v>
      </c>
      <c r="M15" s="13" t="s">
        <v>206</v>
      </c>
      <c r="N15" s="13" t="s">
        <v>207</v>
      </c>
      <c r="O15" s="24"/>
      <c r="P15" s="24"/>
      <c r="Q15" s="46" t="n">
        <f aca="false">0.0512</f>
        <v>0.0512</v>
      </c>
      <c r="R15" s="10" t="n">
        <v>417000000</v>
      </c>
      <c r="S15" s="13" t="n">
        <v>-1360</v>
      </c>
      <c r="T15" s="13" t="n">
        <v>150</v>
      </c>
    </row>
    <row collapsed="false" customFormat="true" customHeight="false" hidden="false" ht="12.9" outlineLevel="0" r="16" s="13">
      <c r="B16" s="61"/>
      <c r="C16" s="61" t="s">
        <v>35</v>
      </c>
      <c r="D16" s="5" t="n">
        <f aca="false">A41</f>
        <v>54</v>
      </c>
      <c r="E16" s="18" t="n">
        <f aca="false">D41</f>
        <v>48398.7949495309</v>
      </c>
      <c r="F16" s="46"/>
      <c r="G16" s="13" t="n">
        <v>3</v>
      </c>
      <c r="H16" s="13" t="n">
        <f aca="false">A48</f>
        <v>0</v>
      </c>
      <c r="I16" s="17" t="n">
        <f aca="false">F41</f>
        <v>2066.16714536545</v>
      </c>
      <c r="J16" s="16"/>
      <c r="K16" s="7"/>
      <c r="Q16" s="49" t="n">
        <f aca="false">B41</f>
        <v>0.02365</v>
      </c>
      <c r="R16" s="56"/>
    </row>
    <row collapsed="false" customFormat="true" customHeight="false" hidden="false" ht="12.9" outlineLevel="0" r="17" s="13">
      <c r="B17" s="5"/>
      <c r="C17" s="5" t="s">
        <v>35</v>
      </c>
      <c r="D17" s="5" t="n">
        <f aca="false">A42</f>
        <v>53</v>
      </c>
      <c r="E17" s="18" t="n">
        <f aca="false">D42</f>
        <v>48398.8341797593</v>
      </c>
      <c r="F17" s="46"/>
      <c r="G17" s="5" t="n">
        <f aca="false">G16</f>
        <v>3</v>
      </c>
      <c r="H17" s="0" t="n">
        <f aca="false">H16</f>
        <v>0</v>
      </c>
      <c r="I17" s="17" t="n">
        <f aca="false">F42</f>
        <v>2066.16547061005</v>
      </c>
      <c r="J17" s="12"/>
      <c r="K17" s="7"/>
      <c r="L17" s="0"/>
      <c r="M17" s="0"/>
      <c r="N17" s="0"/>
      <c r="O17" s="8"/>
      <c r="P17" s="8"/>
      <c r="Q17" s="49" t="n">
        <f aca="false">B42</f>
        <v>0.09501</v>
      </c>
      <c r="R17" s="10"/>
      <c r="S17" s="5"/>
      <c r="T17" s="5"/>
    </row>
    <row collapsed="false" customFormat="true" customHeight="false" hidden="false" ht="12.9" outlineLevel="0" r="18" s="13">
      <c r="B18" s="5"/>
      <c r="C18" s="5" t="s">
        <v>35</v>
      </c>
      <c r="D18" s="5" t="n">
        <f aca="false">A43</f>
        <v>52</v>
      </c>
      <c r="E18" s="18" t="n">
        <f aca="false">D43</f>
        <v>48398.8748629591</v>
      </c>
      <c r="F18" s="46"/>
      <c r="G18" s="5" t="n">
        <f aca="false">G17</f>
        <v>3</v>
      </c>
      <c r="H18" s="0" t="n">
        <f aca="false">H17</f>
        <v>0</v>
      </c>
      <c r="I18" s="17" t="n">
        <f aca="false">F43</f>
        <v>2066.16373382954</v>
      </c>
      <c r="J18" s="4"/>
      <c r="K18" s="7"/>
      <c r="L18" s="0"/>
      <c r="M18" s="0"/>
      <c r="N18" s="0"/>
      <c r="O18" s="8"/>
      <c r="P18" s="8"/>
      <c r="Q18" s="49" t="n">
        <f aca="false">B43</f>
        <v>0.83789</v>
      </c>
      <c r="R18" s="10"/>
      <c r="S18" s="5"/>
      <c r="T18" s="5"/>
    </row>
    <row collapsed="false" customFormat="true" customHeight="false" hidden="false" ht="12.9" outlineLevel="0" r="19" s="13">
      <c r="B19" s="5"/>
      <c r="C19" s="5" t="s">
        <v>35</v>
      </c>
      <c r="D19" s="5" t="n">
        <f aca="false">A44</f>
        <v>50</v>
      </c>
      <c r="E19" s="18" t="n">
        <f aca="false">D44</f>
        <v>48398.961234038</v>
      </c>
      <c r="F19" s="46"/>
      <c r="G19" s="5" t="n">
        <f aca="false">G18</f>
        <v>3</v>
      </c>
      <c r="H19" s="0" t="n">
        <f aca="false">H18</f>
        <v>0</v>
      </c>
      <c r="I19" s="17" t="n">
        <f aca="false">F44</f>
        <v>2066.16004662662</v>
      </c>
      <c r="J19" s="4"/>
      <c r="K19" s="7"/>
      <c r="L19" s="0"/>
      <c r="M19" s="0"/>
      <c r="N19" s="0"/>
      <c r="O19" s="8"/>
      <c r="P19" s="8"/>
      <c r="Q19" s="49" t="n">
        <f aca="false">B44</f>
        <v>0.04345</v>
      </c>
      <c r="R19" s="10"/>
      <c r="S19" s="5"/>
      <c r="T19" s="5"/>
    </row>
    <row collapsed="false" customFormat="true" customHeight="false" hidden="false" ht="12.9" outlineLevel="0" r="20" s="13">
      <c r="A20" s="13" t="s">
        <v>38</v>
      </c>
      <c r="B20" s="19"/>
    </row>
    <row collapsed="false" customFormat="true" customHeight="false" hidden="false" ht="12.9" outlineLevel="0" r="21" s="13">
      <c r="B21" s="19"/>
    </row>
    <row collapsed="false" customFormat="true" customHeight="false" hidden="false" ht="12.9" outlineLevel="0" r="22" s="13">
      <c r="A22" s="13" t="s">
        <v>39</v>
      </c>
      <c r="B22" s="19"/>
    </row>
    <row collapsed="false" customFormat="true" customHeight="false" hidden="false" ht="93.15" outlineLevel="0" r="23" s="15">
      <c r="A23" s="13" t="s">
        <v>40</v>
      </c>
      <c r="B23" s="14" t="s">
        <v>15</v>
      </c>
      <c r="C23" s="15" t="s">
        <v>16</v>
      </c>
      <c r="D23" s="15" t="s">
        <v>42</v>
      </c>
      <c r="E23" s="15" t="s">
        <v>182</v>
      </c>
      <c r="F23" s="15" t="s">
        <v>15</v>
      </c>
      <c r="G23" s="15" t="s">
        <v>16</v>
      </c>
      <c r="H23" s="15" t="s">
        <v>42</v>
      </c>
      <c r="I23" s="15" t="s">
        <v>208</v>
      </c>
      <c r="J23" s="14" t="s">
        <v>15</v>
      </c>
      <c r="K23" s="15" t="s">
        <v>16</v>
      </c>
      <c r="L23" s="15" t="s">
        <v>43</v>
      </c>
      <c r="M23" s="15" t="s">
        <v>44</v>
      </c>
      <c r="N23" s="15" t="s">
        <v>45</v>
      </c>
      <c r="AMJ23" s="13"/>
    </row>
    <row collapsed="false" customFormat="true" customHeight="false" hidden="false" ht="12.9" outlineLevel="0" r="24" s="13">
      <c r="A24" s="13" t="n">
        <v>2056</v>
      </c>
      <c r="B24" s="46" t="n">
        <f aca="false">48632.0575</f>
        <v>48632.0575</v>
      </c>
      <c r="C24" s="46" t="n">
        <f aca="false">0.002</f>
        <v>0.002</v>
      </c>
      <c r="D24" s="13" t="n">
        <f aca="false">A47</f>
        <v>0</v>
      </c>
      <c r="E24" s="46" t="n">
        <f aca="false">B24*(1+0.000000037)</f>
        <v>48632.0592993861</v>
      </c>
      <c r="F24" s="45" t="n">
        <f aca="false">48632.055</f>
        <v>48632.055</v>
      </c>
      <c r="G24" s="45" t="n">
        <f aca="false">0.002</f>
        <v>0.002</v>
      </c>
      <c r="H24" s="45" t="n">
        <f aca="false">A50</f>
        <v>0</v>
      </c>
      <c r="I24" s="46" t="n">
        <f aca="false">F24*(1+0.000000106)</f>
        <v>48632.0601549978</v>
      </c>
      <c r="J24" s="46" t="n">
        <f aca="false">(E24/C24/C24+I24/G24/G24)/(1/C24/C24+1/G24/G24)</f>
        <v>48632.059727192</v>
      </c>
      <c r="K24" s="46" t="n">
        <f aca="false">SQRT(1/(1/C24/C24+1/G24/G24))</f>
        <v>0.0014142135623731</v>
      </c>
      <c r="L24" s="13" t="s">
        <v>183</v>
      </c>
      <c r="M24" s="16" t="n">
        <f aca="false">100000000/J24</f>
        <v>2056.25672778335</v>
      </c>
      <c r="N24" s="16" t="n">
        <f aca="false">K24/J24*M24</f>
        <v>5.97956608966362E-005</v>
      </c>
    </row>
    <row collapsed="false" customFormat="true" customHeight="false" hidden="false" ht="12.9" outlineLevel="0" r="25" s="13">
      <c r="A25" s="13" t="n">
        <v>2062</v>
      </c>
      <c r="B25" s="46" t="n">
        <f aca="false">48491.0567</f>
        <v>48491.0567</v>
      </c>
      <c r="C25" s="46" t="n">
        <f aca="false">0.002</f>
        <v>0.002</v>
      </c>
      <c r="D25" s="13" t="n">
        <f aca="false">D24</f>
        <v>0</v>
      </c>
      <c r="E25" s="46" t="n">
        <f aca="false">B25*(1+0.000000037)</f>
        <v>48491.0584941691</v>
      </c>
      <c r="F25" s="45" t="n">
        <f aca="false">48491.053</f>
        <v>48491.053</v>
      </c>
      <c r="G25" s="45" t="n">
        <f aca="false">0.002</f>
        <v>0.002</v>
      </c>
      <c r="H25" s="45" t="n">
        <f aca="false">H24</f>
        <v>0</v>
      </c>
      <c r="I25" s="46" t="n">
        <f aca="false">F25*(1+0.000000106)</f>
        <v>48491.0581400516</v>
      </c>
      <c r="J25" s="46" t="n">
        <f aca="false">(E25/C25/C25+I25/G25/G25)/(1/C25/C25+1/G25/G25)</f>
        <v>48491.0583171104</v>
      </c>
      <c r="K25" s="46" t="n">
        <f aca="false">SQRT(1/(1/C25/C25+1/G25/G25))</f>
        <v>0.0014142135623731</v>
      </c>
      <c r="L25" s="13" t="s">
        <v>183</v>
      </c>
      <c r="M25" s="16" t="n">
        <f aca="false">100000000/J25</f>
        <v>2062.23587338605</v>
      </c>
      <c r="N25" s="16" t="n">
        <f aca="false">K25/J25*M25</f>
        <v>6.01439119328479E-005</v>
      </c>
    </row>
    <row collapsed="false" customFormat="true" customHeight="false" hidden="false" ht="12.9" outlineLevel="0" r="26" s="13">
      <c r="A26" s="13" t="n">
        <v>2066</v>
      </c>
      <c r="B26" s="46" t="n">
        <f aca="false">48398.8708</f>
        <v>48398.8708</v>
      </c>
      <c r="C26" s="46" t="n">
        <f aca="false">0.002</f>
        <v>0.002</v>
      </c>
      <c r="D26" s="13" t="n">
        <f aca="false">D25</f>
        <v>0</v>
      </c>
      <c r="E26" s="46" t="n">
        <f aca="false">B26*(1+0.000000037)</f>
        <v>48398.8725907582</v>
      </c>
      <c r="F26" s="45" t="n">
        <f aca="false">48398.868</f>
        <v>48398.868</v>
      </c>
      <c r="G26" s="45" t="n">
        <f aca="false">0.002</f>
        <v>0.002</v>
      </c>
      <c r="H26" s="45" t="n">
        <f aca="false">H25</f>
        <v>0</v>
      </c>
      <c r="I26" s="46" t="n">
        <f aca="false">F26*(1+0.000000106)</f>
        <v>48398.87313028</v>
      </c>
      <c r="J26" s="46" t="n">
        <f aca="false">(E26/C26/C26+I26/G26/G26)/(1/C26/C26+1/G26/G26)</f>
        <v>48398.8728605191</v>
      </c>
      <c r="K26" s="46" t="n">
        <f aca="false">SQRT(1/(1/C26/C26+1/G26/G26))</f>
        <v>0.0014142135623731</v>
      </c>
      <c r="L26" s="13" t="s">
        <v>183</v>
      </c>
      <c r="M26" s="16" t="n">
        <f aca="false">100000000/J26</f>
        <v>2066.16381931435</v>
      </c>
      <c r="N26" s="16" t="n">
        <f aca="false">K26/J26*M26</f>
        <v>6.03732426533954E-005</v>
      </c>
    </row>
    <row collapsed="false" customFormat="true" customHeight="false" hidden="false" ht="12.9" outlineLevel="0" r="27" s="13">
      <c r="B27" s="46"/>
      <c r="C27" s="46"/>
      <c r="D27" s="46"/>
    </row>
    <row collapsed="false" customFormat="true" customHeight="false" hidden="false" ht="12.9" outlineLevel="0" r="28" s="13">
      <c r="A28" s="13" t="s">
        <v>71</v>
      </c>
      <c r="B28" s="19"/>
    </row>
    <row collapsed="false" customFormat="true" customHeight="false" hidden="false" ht="59.05" outlineLevel="0" r="29" s="15">
      <c r="A29" s="15" t="s">
        <v>72</v>
      </c>
      <c r="B29" s="15" t="s">
        <v>73</v>
      </c>
      <c r="C29" s="62" t="s">
        <v>209</v>
      </c>
      <c r="D29" s="15" t="s">
        <v>15</v>
      </c>
      <c r="E29" s="15" t="s">
        <v>16</v>
      </c>
      <c r="F29" s="15" t="s">
        <v>44</v>
      </c>
      <c r="G29" s="15" t="s">
        <v>45</v>
      </c>
      <c r="J29" s="13"/>
    </row>
    <row collapsed="false" customFormat="false" customHeight="false" hidden="false" ht="12.9" outlineLevel="0" r="30">
      <c r="A30" s="26" t="n">
        <v>2056</v>
      </c>
      <c r="B30" s="13"/>
      <c r="D30" s="63" t="n">
        <f aca="false">J24</f>
        <v>48632.059727192</v>
      </c>
      <c r="E30" s="63" t="n">
        <f aca="false">K24</f>
        <v>0.0014142135623731</v>
      </c>
      <c r="F30" s="30" t="n">
        <f aca="false">100000000/D30</f>
        <v>2056.25672778335</v>
      </c>
      <c r="G30" s="30" t="n">
        <f aca="false">E30/D30*F30</f>
        <v>5.97956608966362E-005</v>
      </c>
    </row>
    <row collapsed="false" customFormat="false" customHeight="false" hidden="false" ht="12.9" outlineLevel="0" r="31">
      <c r="A31" s="26" t="n">
        <v>54</v>
      </c>
      <c r="B31" s="51" t="n">
        <f aca="false">0.02365</f>
        <v>0.02365</v>
      </c>
      <c r="C31" s="28" t="n">
        <v>0.495</v>
      </c>
      <c r="D31" s="29" t="n">
        <f aca="false">D$33*(1-C31/299792.458)</f>
        <v>48631.9814408268</v>
      </c>
      <c r="F31" s="31" t="n">
        <f aca="false">100000000/D31</f>
        <v>2056.26003788629</v>
      </c>
    </row>
    <row collapsed="false" customFormat="false" customHeight="false" hidden="false" ht="12.9" outlineLevel="0" r="32">
      <c r="A32" s="26" t="n">
        <v>53</v>
      </c>
      <c r="B32" s="51" t="n">
        <f aca="false">0.09501</f>
        <v>0.09501</v>
      </c>
      <c r="C32" s="28" t="n">
        <v>0.252</v>
      </c>
      <c r="D32" s="29" t="n">
        <f aca="false">D$33*(1-C32/299792.458)</f>
        <v>48632.0208600673</v>
      </c>
      <c r="F32" s="31" t="n">
        <f aca="false">100000000/D32</f>
        <v>2056.25837116121</v>
      </c>
    </row>
    <row collapsed="false" customFormat="false" customHeight="false" hidden="false" ht="12.9" outlineLevel="0" r="33">
      <c r="A33" s="26" t="n">
        <v>52</v>
      </c>
      <c r="B33" s="51" t="n">
        <f aca="false">0.83789</f>
        <v>0.83789</v>
      </c>
      <c r="C33" s="28" t="n">
        <v>0</v>
      </c>
      <c r="D33" s="29" t="n">
        <f aca="false">D$30*(1+SUMPRODUCT(C$31:C$34,B$31:B$34)/299792.458)</f>
        <v>48632.0617392797</v>
      </c>
      <c r="F33" s="31" t="n">
        <f aca="false">100000000/D33</f>
        <v>2056.25664270842</v>
      </c>
    </row>
    <row collapsed="false" customFormat="false" customHeight="false" hidden="false" ht="12.9" outlineLevel="0" r="34">
      <c r="A34" s="26" t="n">
        <v>50</v>
      </c>
      <c r="B34" s="51" t="n">
        <f aca="false">0.04345</f>
        <v>0.04345</v>
      </c>
      <c r="C34" s="28" t="n">
        <v>-0.535</v>
      </c>
      <c r="D34" s="29" t="n">
        <f aca="false">D$33*(1-C34/299792.458)</f>
        <v>48632.1485264965</v>
      </c>
      <c r="F34" s="31" t="n">
        <f aca="false">100000000/D34</f>
        <v>2056.25297318535</v>
      </c>
    </row>
    <row collapsed="false" customFormat="false" customHeight="false" hidden="false" ht="12.9" outlineLevel="0" r="35">
      <c r="A35" s="26" t="n">
        <v>2062</v>
      </c>
      <c r="B35" s="51"/>
      <c r="D35" s="63" t="n">
        <f aca="false">J25</f>
        <v>48491.0583171104</v>
      </c>
      <c r="E35" s="63" t="n">
        <f aca="false">K25</f>
        <v>0.0014142135623731</v>
      </c>
      <c r="F35" s="30" t="n">
        <f aca="false">100000000/D35</f>
        <v>2062.23587338605</v>
      </c>
      <c r="G35" s="30" t="n">
        <f aca="false">E35/D35*F35</f>
        <v>6.01439119328479E-005</v>
      </c>
    </row>
    <row collapsed="false" customFormat="false" customHeight="false" hidden="false" ht="12.9" outlineLevel="0" r="36">
      <c r="A36" s="26" t="n">
        <v>54</v>
      </c>
      <c r="B36" s="51" t="n">
        <f aca="false">0.02365</f>
        <v>0.02365</v>
      </c>
      <c r="C36" s="28" t="n">
        <v>0.484</v>
      </c>
      <c r="D36" s="29" t="n">
        <f aca="false">D$38*(1-C36/299792.458)</f>
        <v>48490.9819940397</v>
      </c>
      <c r="F36" s="31" t="n">
        <f aca="false">100000000/D36</f>
        <v>2062.23911927153</v>
      </c>
    </row>
    <row collapsed="false" customFormat="false" customHeight="false" hidden="false" ht="12.9" outlineLevel="0" r="37">
      <c r="A37" s="26" t="n">
        <v>53</v>
      </c>
      <c r="B37" s="51" t="n">
        <f aca="false">0.09501</f>
        <v>0.09501</v>
      </c>
      <c r="C37" s="28" t="n">
        <v>0.246</v>
      </c>
      <c r="D37" s="29" t="n">
        <f aca="false">D$38*(1-C37/299792.458)</f>
        <v>48491.0204902461</v>
      </c>
      <c r="F37" s="31" t="n">
        <f aca="false">100000000/D37</f>
        <v>2062.23748209454</v>
      </c>
    </row>
    <row collapsed="false" customFormat="false" customHeight="false" hidden="false" ht="12.9" outlineLevel="0" r="38">
      <c r="A38" s="26" t="n">
        <v>52</v>
      </c>
      <c r="B38" s="51" t="n">
        <f aca="false">0.83789</f>
        <v>0.83789</v>
      </c>
      <c r="C38" s="28" t="n">
        <v>0</v>
      </c>
      <c r="D38" s="29" t="n">
        <f aca="false">D$35*(1+SUMPRODUCT(C$36:C$39,B$36:B$39)/299792.458)</f>
        <v>48491.0602804427</v>
      </c>
      <c r="F38" s="31" t="n">
        <f aca="false">100000000/D38</f>
        <v>2062.23578988913</v>
      </c>
    </row>
    <row collapsed="false" customFormat="false" customHeight="false" hidden="false" ht="12.9" outlineLevel="0" r="39">
      <c r="A39" s="26" t="n">
        <v>50</v>
      </c>
      <c r="B39" s="51" t="n">
        <f aca="false">0.04345</f>
        <v>0.04345</v>
      </c>
      <c r="C39" s="28" t="n">
        <v>-0.522</v>
      </c>
      <c r="D39" s="29" t="n">
        <f aca="false">D$38*(1-C39/299792.458)</f>
        <v>48491.1447132988</v>
      </c>
      <c r="F39" s="31" t="n">
        <f aca="false">100000000/D39</f>
        <v>2062.23219912098</v>
      </c>
    </row>
    <row collapsed="false" customFormat="false" customHeight="false" hidden="false" ht="12.9" outlineLevel="0" r="40">
      <c r="A40" s="26" t="n">
        <v>2066</v>
      </c>
      <c r="B40" s="51"/>
      <c r="D40" s="63" t="n">
        <f aca="false">J26</f>
        <v>48398.8728605191</v>
      </c>
      <c r="E40" s="63" t="n">
        <f aca="false">K26</f>
        <v>0.0014142135623731</v>
      </c>
      <c r="F40" s="30" t="n">
        <f aca="false">100000000/D40</f>
        <v>2066.16381931435</v>
      </c>
      <c r="G40" s="30" t="n">
        <f aca="false">E40/D40*F40</f>
        <v>6.03732426533954E-005</v>
      </c>
    </row>
    <row collapsed="false" customFormat="false" customHeight="false" hidden="false" ht="12.9" outlineLevel="0" r="41">
      <c r="A41" s="26" t="n">
        <v>54</v>
      </c>
      <c r="B41" s="51" t="n">
        <f aca="false">0.02365</f>
        <v>0.02365</v>
      </c>
      <c r="C41" s="28" t="n">
        <v>0.495</v>
      </c>
      <c r="D41" s="29" t="n">
        <f aca="false">D$43*(1-C41/299792.458)</f>
        <v>48398.7949495309</v>
      </c>
      <c r="F41" s="31" t="n">
        <f aca="false">100000000/D41</f>
        <v>2066.16714536545</v>
      </c>
    </row>
    <row collapsed="false" customFormat="false" customHeight="false" hidden="false" ht="12.9" outlineLevel="0" r="42">
      <c r="A42" s="26" t="n">
        <v>53</v>
      </c>
      <c r="B42" s="51" t="n">
        <f aca="false">0.09501</f>
        <v>0.09501</v>
      </c>
      <c r="C42" s="28" t="n">
        <v>0.252</v>
      </c>
      <c r="D42" s="29" t="n">
        <f aca="false">D$43*(1-C42/299792.458)</f>
        <v>48398.8341797593</v>
      </c>
      <c r="F42" s="31" t="n">
        <f aca="false">100000000/D42</f>
        <v>2066.16547061005</v>
      </c>
    </row>
    <row collapsed="false" customFormat="false" customHeight="false" hidden="false" ht="12.9" outlineLevel="0" r="43">
      <c r="A43" s="26" t="n">
        <v>52</v>
      </c>
      <c r="B43" s="51" t="n">
        <f aca="false">0.83789</f>
        <v>0.83789</v>
      </c>
      <c r="C43" s="28" t="n">
        <v>0</v>
      </c>
      <c r="D43" s="29" t="n">
        <f aca="false">D$40*(1+SUMPRODUCT(C$41:C$44,B$41:B$44)/299792.458)</f>
        <v>48398.8748629591</v>
      </c>
      <c r="F43" s="31" t="n">
        <f aca="false">100000000/D43</f>
        <v>2066.16373382954</v>
      </c>
    </row>
    <row collapsed="false" customFormat="false" customHeight="false" hidden="false" ht="12.9" outlineLevel="0" r="44">
      <c r="A44" s="26" t="n">
        <v>50</v>
      </c>
      <c r="B44" s="51" t="n">
        <f aca="false">0.04345</f>
        <v>0.04345</v>
      </c>
      <c r="C44" s="28" t="n">
        <v>-0.535</v>
      </c>
      <c r="D44" s="29" t="n">
        <f aca="false">D$43*(1-C44/299792.458)</f>
        <v>48398.961234038</v>
      </c>
      <c r="F44" s="31" t="n">
        <f aca="false">100000000/D44</f>
        <v>2066.16004662662</v>
      </c>
    </row>
    <row collapsed="false" customFormat="true" customHeight="false" hidden="false" ht="12.9" outlineLevel="0" r="46" s="13">
      <c r="A46" s="13" t="s">
        <v>4</v>
      </c>
    </row>
    <row collapsed="false" customFormat="true" customHeight="false" hidden="false" ht="13.6" outlineLevel="0" r="47" s="13">
      <c r="A47" s="13" t="s">
        <v>191</v>
      </c>
      <c r="B47" s="1" t="s">
        <v>192</v>
      </c>
    </row>
    <row collapsed="false" customFormat="true" customHeight="false" hidden="false" ht="13.6" outlineLevel="0" r="48" s="13">
      <c r="A48" s="13" t="s">
        <v>210</v>
      </c>
      <c r="B48" s="1" t="s">
        <v>211</v>
      </c>
    </row>
    <row collapsed="false" customFormat="true" customHeight="false" hidden="false" ht="13.6" outlineLevel="0" r="49" s="13">
      <c r="A49" s="13" t="s">
        <v>195</v>
      </c>
      <c r="B49" s="1" t="s">
        <v>196</v>
      </c>
    </row>
    <row collapsed="false" customFormat="true" customHeight="false" hidden="false" ht="13.6" outlineLevel="0" r="50" s="13">
      <c r="A50" s="0" t="s">
        <v>212</v>
      </c>
      <c r="B50" s="1" t="s">
        <v>213</v>
      </c>
    </row>
    <row collapsed="false" customFormat="false" customHeight="false" hidden="false" ht="13.6" outlineLevel="0" r="51">
      <c r="A51" s="13" t="s">
        <v>52</v>
      </c>
      <c r="B51" s="1" t="s">
        <v>53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412030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dcterms:modified xsi:type="dcterms:W3CDTF">2012-05-09T17:36:30.00Z</dcterms:modified>
  <cp:revision>1078</cp:revision>
</cp:coreProperties>
</file>