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ko\Desktop\personal\coding\OPV_SBSP\data\"/>
    </mc:Choice>
  </mc:AlternateContent>
  <xr:revisionPtr revIDLastSave="0" documentId="8_{CEB667F4-60F5-47F0-A505-7D327E4DB35D}" xr6:coauthVersionLast="47" xr6:coauthVersionMax="47" xr10:uidLastSave="{00000000-0000-0000-0000-000000000000}"/>
  <bookViews>
    <workbookView xWindow="-108" yWindow="-108" windowWidth="23256" windowHeight="12456" xr2:uid="{5EE87DF2-9FC5-4DDF-A454-2AABC6FB7A6A}"/>
  </bookViews>
  <sheets>
    <sheet name="Sheet2" sheetId="4" r:id="rId1"/>
    <sheet name="Programmed" sheetId="6" r:id="rId2"/>
    <sheet name="Todo Normal" sheetId="5" r:id="rId3"/>
    <sheet name="Sheet original" sheetId="2" r:id="rId4"/>
    <sheet name="Information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M7" i="6" s="1"/>
  <c r="Q27" i="6"/>
  <c r="M27" i="6" s="1"/>
  <c r="Q32" i="6"/>
  <c r="Q37" i="6"/>
  <c r="H2" i="6"/>
  <c r="Q34" i="6" s="1"/>
  <c r="Q15" i="6" s="1"/>
  <c r="Q14" i="6" s="1"/>
  <c r="Q30" i="6"/>
  <c r="Q35" i="6"/>
  <c r="M26" i="6"/>
  <c r="M11" i="6"/>
  <c r="M9" i="6"/>
  <c r="Q8" i="6"/>
  <c r="M8" i="6" s="1"/>
  <c r="N27" i="5"/>
  <c r="N26" i="5"/>
  <c r="N25" i="5"/>
  <c r="N11" i="5"/>
  <c r="N9" i="5"/>
  <c r="R8" i="5"/>
  <c r="N8" i="5"/>
  <c r="N7" i="5"/>
  <c r="R6" i="5"/>
  <c r="N6" i="5" s="1"/>
  <c r="R5" i="5"/>
  <c r="N5" i="5"/>
  <c r="N5" i="2"/>
  <c r="R5" i="2"/>
  <c r="N25" i="2"/>
  <c r="N11" i="2"/>
  <c r="N9" i="2"/>
  <c r="Q22" i="6" l="1"/>
  <c r="Q5" i="6" l="1"/>
  <c r="M5" i="6" s="1"/>
  <c r="Q31" i="6"/>
  <c r="Q25" i="6" s="1"/>
  <c r="M25" i="6" l="1"/>
  <c r="Q6" i="6"/>
  <c r="M6" i="6" s="1"/>
</calcChain>
</file>

<file path=xl/sharedStrings.xml><?xml version="1.0" encoding="utf-8"?>
<sst xmlns="http://schemas.openxmlformats.org/spreadsheetml/2006/main" count="968" uniqueCount="149">
  <si>
    <t>LCOE</t>
  </si>
  <si>
    <t>Include</t>
  </si>
  <si>
    <t>Primary</t>
  </si>
  <si>
    <t>Secondary</t>
  </si>
  <si>
    <t>Tertiary</t>
  </si>
  <si>
    <t>Quaternary</t>
  </si>
  <si>
    <t>Units</t>
  </si>
  <si>
    <t>Distribution</t>
  </si>
  <si>
    <t>Time for determination (Year)</t>
  </si>
  <si>
    <t>Lower Limit</t>
  </si>
  <si>
    <t>Upper Limit</t>
  </si>
  <si>
    <t>SD</t>
  </si>
  <si>
    <t>Mean</t>
  </si>
  <si>
    <t>Comments</t>
  </si>
  <si>
    <t>Asset</t>
  </si>
  <si>
    <t>£</t>
  </si>
  <si>
    <t>Maintenance</t>
  </si>
  <si>
    <t>Normal</t>
  </si>
  <si>
    <t>Yearly</t>
  </si>
  <si>
    <t>Repairs</t>
  </si>
  <si>
    <t>Exponential</t>
  </si>
  <si>
    <t>Assumes costs will increase sharply with unexpected failures.</t>
  </si>
  <si>
    <t>Launch</t>
  </si>
  <si>
    <t>Repair Number of Launches</t>
  </si>
  <si>
    <t>Count</t>
  </si>
  <si>
    <t>Poisson</t>
  </si>
  <si>
    <t>Modelled as discrete events occurring over time and tied with the material repairs</t>
  </si>
  <si>
    <t>Repair Launching cost</t>
  </si>
  <si>
    <t>Gamma</t>
  </si>
  <si>
    <t xml:space="preserve">Cost depends on multiple factors as launch vehicle, payload, etc. </t>
  </si>
  <si>
    <t>Fuel</t>
  </si>
  <si>
    <t>m3</t>
  </si>
  <si>
    <t>YO</t>
  </si>
  <si>
    <t>Fuel cost</t>
  </si>
  <si>
    <t>Emission Cost</t>
  </si>
  <si>
    <t>Regulations and market mechanisms to cause a wide but evenly spread range of costs.</t>
  </si>
  <si>
    <t>%</t>
  </si>
  <si>
    <t>Energy</t>
  </si>
  <si>
    <t>Installed Capacity</t>
  </si>
  <si>
    <t>MW</t>
  </si>
  <si>
    <t>Y0</t>
  </si>
  <si>
    <t>Depends on year to account for leap years</t>
  </si>
  <si>
    <t>Log-normal</t>
  </si>
  <si>
    <t>Depreciation of Assets</t>
  </si>
  <si>
    <t>Linear</t>
  </si>
  <si>
    <t>Mission Life</t>
  </si>
  <si>
    <t>Years</t>
  </si>
  <si>
    <t>Manufacture</t>
  </si>
  <si>
    <t xml:space="preserve">Manufacture Panels </t>
  </si>
  <si>
    <t>Raw Materials</t>
  </si>
  <si>
    <t>Processing</t>
  </si>
  <si>
    <t>Number of Launches</t>
  </si>
  <si>
    <t>Launching cost</t>
  </si>
  <si>
    <t>Assembly</t>
  </si>
  <si>
    <t>y0</t>
  </si>
  <si>
    <t>Relationships</t>
  </si>
  <si>
    <t>Multiplied</t>
  </si>
  <si>
    <t>Fuel use</t>
  </si>
  <si>
    <t>Total emissions</t>
  </si>
  <si>
    <t>n(year) = n(Y0) + -degradation(n) + repairs(n)</t>
  </si>
  <si>
    <t>Hours in a day</t>
  </si>
  <si>
    <t>Energy Genrated</t>
  </si>
  <si>
    <t>Low</t>
  </si>
  <si>
    <t>Scale</t>
  </si>
  <si>
    <t>Shape</t>
  </si>
  <si>
    <t>Uniform</t>
  </si>
  <si>
    <t>Beta</t>
  </si>
  <si>
    <t>log-normal</t>
  </si>
  <si>
    <t>linear</t>
  </si>
  <si>
    <t>Function</t>
  </si>
  <si>
    <t>Requirements</t>
  </si>
  <si>
    <t>High</t>
  </si>
  <si>
    <t>Represents the average number of events in a fixed interval of time or space.</t>
  </si>
  <si>
    <r>
      <t>Shape</t>
    </r>
    <r>
      <rPr>
        <sz val="11"/>
        <color theme="1"/>
        <rFont val="Aptos Narrow"/>
        <family val="2"/>
        <scheme val="minor"/>
      </rPr>
      <t>: Also known as the k parameter, it influences the skewness of the distribution.</t>
    </r>
  </si>
  <si>
    <r>
      <t>Scale</t>
    </r>
    <r>
      <rPr>
        <sz val="11"/>
        <color theme="1"/>
        <rFont val="Aptos Narrow"/>
        <family val="2"/>
        <scheme val="minor"/>
      </rPr>
      <t>: Often referred to as theta (θ), it stretches or compresses the distribution</t>
    </r>
  </si>
  <si>
    <r>
      <t>Shape</t>
    </r>
    <r>
      <rPr>
        <sz val="11"/>
        <color theme="1"/>
        <rFont val="Aptos Narrow"/>
        <family val="2"/>
        <scheme val="minor"/>
      </rPr>
      <t>: Two parameters, α (alpha) and β (beta), defining the shape of the distribution.</t>
    </r>
  </si>
  <si>
    <r>
      <t>Scale</t>
    </r>
    <r>
      <rPr>
        <sz val="11"/>
        <color theme="1"/>
        <rFont val="Aptos Narrow"/>
        <family val="2"/>
        <scheme val="minor"/>
      </rPr>
      <t>: Typically, this distribution is defined on the interval [0, 1], and scale parameters modify its concentration.</t>
    </r>
  </si>
  <si>
    <t>Scale for exponential</t>
  </si>
  <si>
    <r>
      <t>Scale (θ = 1/λ):</t>
    </r>
    <r>
      <rPr>
        <sz val="11"/>
        <color theme="1"/>
        <rFont val="Aptos Narrow"/>
        <family val="2"/>
        <scheme val="minor"/>
      </rPr>
      <t xml:space="preserve"> This parameter tells you the average time between events. For example, if λ\lambdaλ (rate) is 2 events per hour, the scale (θ) would be 0.5 hours per event. This means, on average, an event occurs every 0.5 hours.</t>
    </r>
  </si>
  <si>
    <r>
      <t>A Higher Scale Value:</t>
    </r>
    <r>
      <rPr>
        <sz val="11"/>
        <color theme="1"/>
        <rFont val="Aptos Narrow"/>
        <family val="2"/>
        <scheme val="minor"/>
      </rPr>
      <t xml:space="preserve"> Indicates that events happen less frequently (longer expected time until the next event).</t>
    </r>
  </si>
  <si>
    <r>
      <t>A Lower Scale Value:</t>
    </r>
    <r>
      <rPr>
        <sz val="11"/>
        <color theme="1"/>
        <rFont val="Aptos Narrow"/>
        <family val="2"/>
        <scheme val="minor"/>
      </rPr>
      <t xml:space="preserve"> Indicates that events happen more frequently (shorter expected time until the next event).</t>
    </r>
  </si>
  <si>
    <t>The Gamma distribution is commonly used to model waiting times for a specified number of events, especially when these events follow a Poisson process.</t>
  </si>
  <si>
    <t>Parameters:</t>
  </si>
  <si>
    <r>
      <t>Shape (k)</t>
    </r>
    <r>
      <rPr>
        <sz val="11"/>
        <color theme="1"/>
        <rFont val="Aptos Narrow"/>
        <family val="2"/>
        <scheme val="minor"/>
      </rPr>
      <t>: This parameter is also known as the shape parameter or sometimes the "order" of the distribution. It affects the form of the probability distribution.</t>
    </r>
  </si>
  <si>
    <r>
      <t>Scale (θ)</t>
    </r>
    <r>
      <rPr>
        <sz val="11"/>
        <color theme="1"/>
        <rFont val="Aptos Narrow"/>
        <family val="2"/>
        <scheme val="minor"/>
      </rPr>
      <t>: This parameter stretches or compresses the distribution along the horizontal axis.</t>
    </r>
  </si>
  <si>
    <t>Probability Density Function (PDF):</t>
  </si>
  <si>
    <t>The PDF of the Gamma distribution is given by: f(x;k,θ)=xk−1e−xθθkΓ(k)f(x; k, \theta) = \frac{x^{k-1} e^{-\frac{x}{\theta}}}{\theta^k \Gamma(k)}f(x;k,θ)=θkΓ(k)xk−1e−θx​​ where:</t>
  </si>
  <si>
    <t>x≥0x \geq 0x≥0</t>
  </si>
  <si>
    <t>Γ(k)\Gamma(k)Γ(k) is the gamma function, which generalizes the factorial function with Γ(n)=(n−1)!\Gamma(n) = (n-1)!Γ(n)=(n−1)! for integer nnn.</t>
  </si>
  <si>
    <t>Calculating Shape and Scale:</t>
  </si>
  <si>
    <r>
      <t>Shape (k)</t>
    </r>
    <r>
      <rPr>
        <sz val="11"/>
        <color theme="1"/>
        <rFont val="Aptos Narrow"/>
        <family val="2"/>
        <scheme val="minor"/>
      </rPr>
      <t>: This is often derived from the data or expected values. For instance, if you know the average number of events and the variance, kkk can be estimated as μ2σ2\frac{\mu^2}{\sigma^2}σ2μ2​, where μ\muμ is the mean and σ2\sigma^2σ2 is the variance.</t>
    </r>
  </si>
  <si>
    <r>
      <t>Scale (θ)</t>
    </r>
    <r>
      <rPr>
        <sz val="11"/>
        <color theme="1"/>
        <rFont val="Aptos Narrow"/>
        <family val="2"/>
        <scheme val="minor"/>
      </rPr>
      <t>: Once you have kkk, θ\thetaθ can be calculated as θ=σ2μ\theta = \frac{\sigma^2}{\mu}θ=μσ2​.</t>
    </r>
  </si>
  <si>
    <t>The Beta distribution is useful for modelling variables that are constrained to an interval, such as probabilities. It's often used in Bayesian statistics.</t>
  </si>
  <si>
    <r>
      <t>Shape (α, β)</t>
    </r>
    <r>
      <rPr>
        <sz val="11"/>
        <color theme="1"/>
        <rFont val="Aptos Narrow"/>
        <family val="2"/>
        <scheme val="minor"/>
      </rPr>
      <t>: These two parameters define the shape of the distribution. They control the height and skewness of the distribution's curve.</t>
    </r>
  </si>
  <si>
    <t>The PDF of the Beta distribution is: f(x;α,β)=xα−1(1−x)β−1B(α,β)f(x; \alpha, \beta) = \frac{x^{\alpha-1} (1-x)^{\beta-1}}{B(\alpha, \beta)}f(x;α,β)=B(α,β)xα−1(1−x)β−1​ where:</t>
  </si>
  <si>
    <t>0≤x≤10 \leq x \leq 10≤x≤1</t>
  </si>
  <si>
    <t>B(α,β)B(\alpha, \beta)B(α,β) is the beta function, which serves as a normalization constant to ensure the total probability is 1.</t>
  </si>
  <si>
    <t>Calculating Shape Parameters:</t>
  </si>
  <si>
    <r>
      <t>Shape (α and β)</t>
    </r>
    <r>
      <rPr>
        <sz val="11"/>
        <color theme="1"/>
        <rFont val="Aptos Narrow"/>
        <family val="2"/>
        <scheme val="minor"/>
      </rPr>
      <t>: These are typically estimated based on prior knowledge or inferred statistically from data. For instance, if you know the mean μ\muμ and variance σ2\sigma^2σ2 of the data, α\alphaα and β\betaβ can be derived using: α=μ((1−μ)σ2−1μ)\alpha = \mu \left( \frac{(1 - \mu)}{\sigma^2} - \frac{1}{\mu} \right)α=μ(σ2(1−μ)​−μ1​) β=(1−μ)(μσ2−11−μ)\beta = (1 - \mu) \left( \frac{\mu}{\sigma^2} - \frac{1}{1 - \mu} \right)β=(1−μ)(σ2μ​−1−μ1​)</t>
    </r>
  </si>
  <si>
    <t>In practical terms, for Monte Carlo simulation:</t>
  </si>
  <si>
    <r>
      <t xml:space="preserve">For the </t>
    </r>
    <r>
      <rPr>
        <b/>
        <sz val="11"/>
        <color theme="1"/>
        <rFont val="Aptos Narrow"/>
        <family val="2"/>
        <scheme val="minor"/>
      </rPr>
      <t>Gamma distribution</t>
    </r>
    <r>
      <rPr>
        <sz val="11"/>
        <color theme="1"/>
        <rFont val="Aptos Narrow"/>
        <family val="2"/>
        <scheme val="minor"/>
      </rPr>
      <t>, if you're modelling time until a number of events occur, you'd estimate kkk and θ\thetaθ based on historical event frequency and spread.</t>
    </r>
  </si>
  <si>
    <r>
      <t xml:space="preserve">For the </t>
    </r>
    <r>
      <rPr>
        <b/>
        <sz val="11"/>
        <color theme="1"/>
        <rFont val="Aptos Narrow"/>
        <family val="2"/>
        <scheme val="minor"/>
      </rPr>
      <t>Beta distribution</t>
    </r>
    <r>
      <rPr>
        <sz val="11"/>
        <color theme="1"/>
        <rFont val="Aptos Narrow"/>
        <family val="2"/>
        <scheme val="minor"/>
      </rPr>
      <t>, when simulating probabilities (like component reliability or achieving a target within constraints), you'd set α\alphaα and β\betaβ to shape the distribution according to known or expected performance.</t>
    </r>
  </si>
  <si>
    <t>Shape is alpha</t>
  </si>
  <si>
    <t>scale is beta</t>
  </si>
  <si>
    <t>Material Repairs Cost</t>
  </si>
  <si>
    <t>Bernoulli</t>
  </si>
  <si>
    <t>Exact</t>
  </si>
  <si>
    <t>Quinary</t>
  </si>
  <si>
    <t>Probability of Material Repairs</t>
  </si>
  <si>
    <t>Yearly (random)</t>
  </si>
  <si>
    <t>Launch Repair</t>
  </si>
  <si>
    <t>USD</t>
  </si>
  <si>
    <t>Repair Assembly</t>
  </si>
  <si>
    <t>USD/m3</t>
  </si>
  <si>
    <t>Marketprice with fluctuations - Include sensitivity</t>
  </si>
  <si>
    <t>Energy system emissions</t>
  </si>
  <si>
    <t>tCO2e/m2</t>
  </si>
  <si>
    <t>Launching emissions</t>
  </si>
  <si>
    <t>tCO2e/launch</t>
  </si>
  <si>
    <t>USD/tCO2e</t>
  </si>
  <si>
    <t>Original Efficiency</t>
  </si>
  <si>
    <t>Efficiency Degradation Rate</t>
  </si>
  <si>
    <t>Efficiency boost repair</t>
  </si>
  <si>
    <t>#days in year t</t>
  </si>
  <si>
    <t>Area of panels</t>
  </si>
  <si>
    <t>m2</t>
  </si>
  <si>
    <t>£/m2</t>
  </si>
  <si>
    <t>Weight to power ratio</t>
  </si>
  <si>
    <t>kg/m2</t>
  </si>
  <si>
    <t>Fuel efficiency factor</t>
  </si>
  <si>
    <t>m3/kg</t>
  </si>
  <si>
    <t>Irradiance</t>
  </si>
  <si>
    <t>SBSP efficiency</t>
  </si>
  <si>
    <t>Scenario Efficiency</t>
  </si>
  <si>
    <t>MW/m2</t>
  </si>
  <si>
    <t>Pearth</t>
  </si>
  <si>
    <t xml:space="preserve">MW </t>
  </si>
  <si>
    <t>Scenario</t>
  </si>
  <si>
    <t>Technology</t>
  </si>
  <si>
    <t>Scenario 1</t>
  </si>
  <si>
    <t>PV</t>
  </si>
  <si>
    <t>Scenario 1 PV</t>
  </si>
  <si>
    <t>Scenario 2 PV</t>
  </si>
  <si>
    <t>Scenario 2 OPV</t>
  </si>
  <si>
    <t>Scenario 1 OPV</t>
  </si>
  <si>
    <t>Column1</t>
  </si>
  <si>
    <t>Mass</t>
  </si>
  <si>
    <t xml:space="preserve">Kg </t>
  </si>
  <si>
    <t>Stowability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</si>
</sst>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_-;_-@_-"/>
    <numFmt numFmtId="166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15" borderId="1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43" fontId="0" fillId="16" borderId="1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43" fontId="0" fillId="15" borderId="1" xfId="1" applyFont="1" applyFill="1" applyBorder="1" applyAlignment="1">
      <alignment horizontal="center" vertical="center" wrapText="1"/>
    </xf>
    <xf numFmtId="164" fontId="0" fillId="16" borderId="1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43" fontId="0" fillId="15" borderId="2" xfId="0" applyNumberFormat="1" applyFill="1" applyBorder="1" applyAlignment="1">
      <alignment horizontal="center" vertical="center" wrapText="1"/>
    </xf>
    <xf numFmtId="43" fontId="0" fillId="14" borderId="2" xfId="1" applyFont="1" applyFill="1" applyBorder="1" applyAlignment="1">
      <alignment horizontal="center" vertical="center" wrapText="1"/>
    </xf>
    <xf numFmtId="43" fontId="0" fillId="15" borderId="1" xfId="0" applyNumberFormat="1" applyFill="1" applyBorder="1" applyAlignment="1">
      <alignment horizontal="center" vertical="center" wrapText="1"/>
    </xf>
    <xf numFmtId="43" fontId="0" fillId="14" borderId="1" xfId="1" applyFont="1" applyFill="1" applyBorder="1" applyAlignment="1">
      <alignment horizontal="center" vertical="center" wrapText="1"/>
    </xf>
    <xf numFmtId="43" fontId="0" fillId="17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15" borderId="2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2" borderId="0" xfId="1" applyFont="1" applyFill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43" fontId="0" fillId="3" borderId="1" xfId="1" applyFont="1" applyFill="1" applyBorder="1" applyAlignment="1">
      <alignment horizontal="center" vertical="center" wrapText="1"/>
    </xf>
    <xf numFmtId="43" fontId="0" fillId="6" borderId="1" xfId="1" applyFont="1" applyFill="1" applyBorder="1" applyAlignment="1">
      <alignment horizontal="center" vertical="center" wrapText="1"/>
    </xf>
    <xf numFmtId="43" fontId="0" fillId="7" borderId="1" xfId="1" applyFon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43" fontId="0" fillId="15" borderId="4" xfId="1" applyFont="1" applyFill="1" applyBorder="1" applyAlignment="1">
      <alignment horizontal="center" vertical="center" wrapText="1"/>
    </xf>
    <xf numFmtId="43" fontId="0" fillId="8" borderId="1" xfId="1" applyFont="1" applyFill="1" applyBorder="1" applyAlignment="1">
      <alignment horizontal="center" vertical="center" wrapText="1"/>
    </xf>
    <xf numFmtId="43" fontId="0" fillId="5" borderId="2" xfId="1" applyFont="1" applyFill="1" applyBorder="1" applyAlignment="1">
      <alignment horizontal="center" vertical="center" wrapText="1"/>
    </xf>
    <xf numFmtId="43" fontId="0" fillId="2" borderId="2" xfId="1" applyFont="1" applyFill="1" applyBorder="1" applyAlignment="1">
      <alignment horizontal="center" vertical="center" wrapText="1"/>
    </xf>
    <xf numFmtId="43" fontId="0" fillId="9" borderId="1" xfId="1" applyFont="1" applyFill="1" applyBorder="1" applyAlignment="1">
      <alignment horizontal="center" vertical="center" wrapText="1"/>
    </xf>
    <xf numFmtId="43" fontId="0" fillId="18" borderId="1" xfId="1" applyFont="1" applyFill="1" applyBorder="1" applyAlignment="1">
      <alignment horizontal="center" vertical="center" wrapText="1"/>
    </xf>
    <xf numFmtId="43" fontId="0" fillId="10" borderId="1" xfId="1" applyFont="1" applyFill="1" applyBorder="1" applyAlignment="1">
      <alignment horizontal="center" vertical="center" wrapText="1"/>
    </xf>
    <xf numFmtId="43" fontId="0" fillId="11" borderId="1" xfId="1" applyFont="1" applyFill="1" applyBorder="1" applyAlignment="1">
      <alignment horizontal="center" vertical="center" wrapText="1"/>
    </xf>
    <xf numFmtId="43" fontId="0" fillId="12" borderId="1" xfId="1" applyFont="1" applyFill="1" applyBorder="1" applyAlignment="1">
      <alignment horizontal="center" vertical="center" wrapText="1"/>
    </xf>
    <xf numFmtId="43" fontId="0" fillId="13" borderId="1" xfId="1" applyFont="1" applyFill="1" applyBorder="1" applyAlignment="1">
      <alignment horizontal="center" vertical="center" wrapText="1"/>
    </xf>
    <xf numFmtId="43" fontId="0" fillId="4" borderId="2" xfId="1" applyFont="1" applyFill="1" applyBorder="1" applyAlignment="1">
      <alignment horizontal="center" vertical="center" wrapText="1"/>
    </xf>
    <xf numFmtId="43" fontId="0" fillId="4" borderId="3" xfId="1" applyFont="1" applyFill="1" applyBorder="1" applyAlignment="1">
      <alignment horizontal="center" vertical="center" wrapText="1"/>
    </xf>
    <xf numFmtId="43" fontId="0" fillId="17" borderId="2" xfId="1" applyFont="1" applyFill="1" applyBorder="1" applyAlignment="1">
      <alignment horizontal="center" vertical="center" wrapText="1"/>
    </xf>
    <xf numFmtId="166" fontId="0" fillId="17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3"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454082-4092-414B-931D-6CEFC48926AA}" name="Table14232425" displayName="Table14232425" ref="B3:S32" totalsRowShown="0" headerRowDxfId="62" dataDxfId="61" tableBorderDxfId="60" headerRowCellStyle="Comma" dataCellStyle="Comma">
  <autoFilter ref="B3:S32" xr:uid="{D9454082-4092-414B-931D-6CEFC48926AA}"/>
  <tableColumns count="18">
    <tableColumn id="2" xr3:uid="{252CC9CE-5DC7-4BAD-B094-8F64FF34669C}" name="Primary" dataDxfId="59" dataCellStyle="Comma"/>
    <tableColumn id="13" xr3:uid="{F2D34172-BB1E-4261-9A16-DEE8FB5C54E8}" name="Secondary" dataDxfId="58" dataCellStyle="Comma"/>
    <tableColumn id="14" xr3:uid="{0AAD3FD6-1EA2-46B0-A6E0-0B51B7DEAF7F}" name="Tertiary" dataDxfId="57" dataCellStyle="Comma"/>
    <tableColumn id="15" xr3:uid="{C81929BD-3522-4243-9365-D625CAECCAAF}" name="Quaternary" dataDxfId="56" dataCellStyle="Comma"/>
    <tableColumn id="16" xr3:uid="{86CDC9F4-CBB6-471C-A83E-C1CC5EBFCA98}" name="Quinary" dataDxfId="55" dataCellStyle="Comma"/>
    <tableColumn id="11" xr3:uid="{CC187A56-D21F-44EF-8369-0123170019CF}" name="Multiplied" dataDxfId="54" dataCellStyle="Comma"/>
    <tableColumn id="1" xr3:uid="{1249E28E-CB08-44A7-A719-6335E6B4C410}" name="Units" dataDxfId="53" dataCellStyle="Comma"/>
    <tableColumn id="3" xr3:uid="{0E417509-6A32-456B-AB69-719D06223AD9}" name="Distribution" dataDxfId="52" dataCellStyle="Comma"/>
    <tableColumn id="4" xr3:uid="{EF5820A4-4585-4D5D-B8C2-82904907E2FD}" name="Time for determination (Year)" dataDxfId="51" dataCellStyle="Comma"/>
    <tableColumn id="5" xr3:uid="{A806B9A5-3BB5-4CD3-8583-AEBFDD653642}" name="Lower Limit" dataDxfId="50" dataCellStyle="Comma"/>
    <tableColumn id="6" xr3:uid="{F2DD7F91-D563-4390-8D73-EE72263C0F6C}" name="Upper Limit" dataDxfId="49" dataCellStyle="Comma"/>
    <tableColumn id="7" xr3:uid="{E811FEDA-8DBE-4DE5-9AC0-20955DAA40A4}" name="SD" dataDxfId="48" dataCellStyle="Comma"/>
    <tableColumn id="8" xr3:uid="{0B540DE1-E8B6-44DA-B4AA-A6EEFFB098D6}" name="Scale" dataDxfId="47" dataCellStyle="Comma"/>
    <tableColumn id="9" xr3:uid="{823CE51E-522E-490E-9133-AE34EB1BC4A5}" name="Count" dataDxfId="46" dataCellStyle="Comma"/>
    <tableColumn id="18" xr3:uid="{494C1471-6691-4211-A56A-5F0526C5E507}" name="Shape" dataDxfId="45" dataCellStyle="Comma"/>
    <tableColumn id="17" xr3:uid="{6B730EA3-58BC-43B2-AF0C-228600F472EC}" name="Mean" dataDxfId="44" dataCellStyle="Comma"/>
    <tableColumn id="10" xr3:uid="{3E063EC8-E411-4A51-8C7B-2719CB5A3934}" name="Comments" dataDxfId="43" dataCellStyle="Comma"/>
    <tableColumn id="19" xr3:uid="{7A3EDCE1-4AB4-4224-8393-929D39F2FAC8}" name="Column1" dataDxfId="0" dataCellStyle="Comm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326949-71ED-40B7-AE74-7E320E4B5B3E}" name="Table142324" displayName="Table142324" ref="B3:S28" totalsRowShown="0" headerRowDxfId="42" dataDxfId="41" tableBorderDxfId="40">
  <autoFilter ref="B3:S28" xr:uid="{1F326949-71ED-40B7-AE74-7E320E4B5B3E}"/>
  <tableColumns count="18">
    <tableColumn id="2" xr3:uid="{14A49DDD-60ED-4EB4-AC3F-7320CDDB9D95}" name="Primary" dataDxfId="39"/>
    <tableColumn id="13" xr3:uid="{8EFB05D5-9E89-43CD-A6B2-AFB74D12AA5A}" name="Secondary" dataDxfId="38"/>
    <tableColumn id="14" xr3:uid="{1535E4D5-2ED0-493F-91D9-3078795E0C6B}" name="Tertiary" dataDxfId="37"/>
    <tableColumn id="15" xr3:uid="{AD7A0704-D46D-44BD-949F-B1DFF21AB513}" name="Quaternary" dataDxfId="36"/>
    <tableColumn id="16" xr3:uid="{8430B18C-09A1-4732-8A69-DFA462DC3CBE}" name="Quinary" dataDxfId="35"/>
    <tableColumn id="12" xr3:uid="{F9F22517-9C4B-42ED-8E21-F00BF34E52FB}" name="Relationships" dataDxfId="34"/>
    <tableColumn id="11" xr3:uid="{8A1A845A-4DB5-4228-9905-BBB4A29727F8}" name="Multiplied" dataDxfId="33"/>
    <tableColumn id="1" xr3:uid="{4620B068-9086-4002-A7E6-627584E3E780}" name="Units" dataDxfId="32"/>
    <tableColumn id="3" xr3:uid="{A066331F-8F28-49CD-9067-2AE42CB0A4DC}" name="Distribution" dataDxfId="31"/>
    <tableColumn id="4" xr3:uid="{0298F369-D444-43C4-8432-A816B2EDB391}" name="Time for determination (Year)" dataDxfId="30"/>
    <tableColumn id="5" xr3:uid="{1236584D-7F29-45D1-AB78-ACEB709FB91A}" name="Lower Limit" dataDxfId="29"/>
    <tableColumn id="6" xr3:uid="{1954B7D3-F4C7-4A81-931C-3A4BC1FC017C}" name="Upper Limit" dataDxfId="28"/>
    <tableColumn id="7" xr3:uid="{DA0A65C8-DAC7-4B61-B805-7FD7FB7AD3EC}" name="SD" dataDxfId="27"/>
    <tableColumn id="8" xr3:uid="{0BD32A73-7ACE-49E7-B870-A638949E358D}" name="Scale" dataDxfId="26"/>
    <tableColumn id="9" xr3:uid="{5B48C636-D4B6-42C6-ABF5-37F994028292}" name="Count" dataDxfId="25"/>
    <tableColumn id="18" xr3:uid="{1321F270-1A1A-42F9-878A-9B37A5D9444E}" name="Shape" dataDxfId="24"/>
    <tableColumn id="17" xr3:uid="{29128030-8042-40F2-AD4E-026413428875}" name="Mean" dataDxfId="23"/>
    <tableColumn id="10" xr3:uid="{67B07120-E354-4B6A-AA0D-D108366BE5CC}" name="Comments" dataDxfId="22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AEF9E-068D-41A3-8F97-8D12F6EF653C}" name="Table1423" displayName="Table1423" ref="B3:S27" totalsRowShown="0" headerRowDxfId="21" dataDxfId="20" tableBorderDxfId="19">
  <autoFilter ref="B3:S27" xr:uid="{B08AEF9E-068D-41A3-8F97-8D12F6EF653C}"/>
  <tableColumns count="18">
    <tableColumn id="2" xr3:uid="{369F9D63-7381-41DE-AF54-F61FEF03A055}" name="Primary" dataDxfId="18"/>
    <tableColumn id="13" xr3:uid="{A508656A-BBD0-4725-8C30-906CCEF7AD73}" name="Secondary" dataDxfId="17"/>
    <tableColumn id="14" xr3:uid="{2AB616BE-FCF5-42D2-92ED-6984504DD689}" name="Tertiary" dataDxfId="16"/>
    <tableColumn id="15" xr3:uid="{52434BF0-87B9-49A6-89B5-358411B16EE7}" name="Quaternary" dataDxfId="15"/>
    <tableColumn id="16" xr3:uid="{F2F64508-351A-4118-923C-04DF33C4BB18}" name="Quinary" dataDxfId="14"/>
    <tableColumn id="12" xr3:uid="{BC6144CE-7929-4A4E-9441-EDC50DFE6922}" name="Relationships" dataDxfId="13"/>
    <tableColumn id="11" xr3:uid="{727A3DF3-5FC4-42D3-8FA1-FEF1EBCF53E0}" name="Multiplied" dataDxfId="12"/>
    <tableColumn id="1" xr3:uid="{C284C7FD-5580-4E7D-B408-0161A8B5E19F}" name="Units" dataDxfId="11"/>
    <tableColumn id="3" xr3:uid="{FDBF8740-5BA9-460E-9F8E-6E27BAB10B27}" name="Distribution" dataDxfId="10"/>
    <tableColumn id="4" xr3:uid="{93EBFF29-EC92-40F1-A935-56C91E979DAB}" name="Time for determination (Year)" dataDxfId="9"/>
    <tableColumn id="5" xr3:uid="{2115A830-BC7B-46BB-80E4-AF757613117E}" name="Lower Limit" dataDxfId="8"/>
    <tableColumn id="6" xr3:uid="{6AF9E6A2-703C-43D6-89CD-C843176FB3CA}" name="Upper Limit" dataDxfId="7"/>
    <tableColumn id="7" xr3:uid="{189E40B7-959A-4450-8478-76C30236A444}" name="SD" dataDxfId="6"/>
    <tableColumn id="8" xr3:uid="{F383F33D-34AD-4A2E-BEE4-D9F9654775BE}" name="Scale" dataDxfId="5"/>
    <tableColumn id="9" xr3:uid="{DE47C2C3-F36C-4B07-8C94-518CD3244245}" name="Count" dataDxfId="4"/>
    <tableColumn id="18" xr3:uid="{90EC11DF-0AD4-41B8-B230-D22EBA3CBA4D}" name="Shape" dataDxfId="3"/>
    <tableColumn id="17" xr3:uid="{A66F4D24-CA10-453B-AAD5-FAD84E3D4A0F}" name="Mean" dataDxfId="2"/>
    <tableColumn id="10" xr3:uid="{F68E6CE9-8247-436E-90ED-50F7BD7D258E}" name="Comments" dataDxfId="1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9DE-80F2-40C3-8572-2B4D91E364D4}">
  <dimension ref="A2:S37"/>
  <sheetViews>
    <sheetView tabSelected="1" topLeftCell="C1" workbookViewId="0">
      <selection activeCell="L30" sqref="L30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ht="28.8" x14ac:dyDescent="0.3">
      <c r="B2" s="2" t="s">
        <v>0</v>
      </c>
      <c r="C2" s="2"/>
      <c r="D2" s="2"/>
      <c r="E2" s="2"/>
      <c r="F2" s="2"/>
      <c r="H2" s="1" t="s">
        <v>141</v>
      </c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56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63</v>
      </c>
      <c r="O3" s="3" t="s">
        <v>24</v>
      </c>
      <c r="P3" s="3" t="s">
        <v>64</v>
      </c>
      <c r="Q3" s="3" t="s">
        <v>12</v>
      </c>
      <c r="R3" s="3" t="s">
        <v>13</v>
      </c>
      <c r="S3" s="3" t="s">
        <v>145</v>
      </c>
    </row>
    <row r="4" spans="1:19" ht="72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>
        <v>18</v>
      </c>
      <c r="H4" s="7" t="s">
        <v>24</v>
      </c>
      <c r="I4" s="7" t="s">
        <v>25</v>
      </c>
      <c r="J4" s="7" t="s">
        <v>109</v>
      </c>
      <c r="K4" s="7"/>
      <c r="L4" s="21"/>
      <c r="M4" s="21"/>
      <c r="N4" s="21"/>
      <c r="O4" s="21">
        <v>0.03</v>
      </c>
      <c r="P4" s="23"/>
      <c r="Q4" s="21"/>
      <c r="R4" s="21" t="s">
        <v>21</v>
      </c>
      <c r="S4" s="7"/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>
        <v>18</v>
      </c>
      <c r="H5" s="7" t="s">
        <v>15</v>
      </c>
      <c r="I5" s="7" t="s">
        <v>17</v>
      </c>
      <c r="J5" s="7" t="s">
        <v>18</v>
      </c>
      <c r="K5" s="7"/>
      <c r="L5" s="21"/>
      <c r="M5" s="21">
        <v>32028003.399618413</v>
      </c>
      <c r="N5" s="26"/>
      <c r="O5" s="21"/>
      <c r="P5" s="21"/>
      <c r="Q5" s="21">
        <v>213520022.66412276</v>
      </c>
      <c r="R5" s="26"/>
      <c r="S5" s="7"/>
    </row>
    <row r="6" spans="1:19" ht="86.4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>
        <v>1</v>
      </c>
      <c r="H6" s="7" t="s">
        <v>24</v>
      </c>
      <c r="I6" s="7" t="s">
        <v>17</v>
      </c>
      <c r="J6" s="7" t="s">
        <v>18</v>
      </c>
      <c r="K6" s="7"/>
      <c r="L6" s="21"/>
      <c r="M6" s="21">
        <v>50.200632287803153</v>
      </c>
      <c r="N6" s="23"/>
      <c r="O6" s="21"/>
      <c r="P6" s="21"/>
      <c r="Q6" s="21">
        <v>334.67088191868771</v>
      </c>
      <c r="R6" s="23" t="s">
        <v>26</v>
      </c>
      <c r="S6" s="7"/>
    </row>
    <row r="7" spans="1:19" ht="57.6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>
        <v>1</v>
      </c>
      <c r="H7" s="7" t="s">
        <v>111</v>
      </c>
      <c r="I7" s="7" t="s">
        <v>17</v>
      </c>
      <c r="J7" s="7" t="s">
        <v>109</v>
      </c>
      <c r="K7" s="7"/>
      <c r="L7" s="21"/>
      <c r="M7" s="21">
        <v>6400000</v>
      </c>
      <c r="N7" s="31"/>
      <c r="O7" s="21"/>
      <c r="P7" s="21"/>
      <c r="Q7" s="21">
        <v>64000000</v>
      </c>
      <c r="R7" s="26" t="s">
        <v>29</v>
      </c>
      <c r="S7" s="7"/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 t="s">
        <v>111</v>
      </c>
      <c r="I8" s="16" t="s">
        <v>17</v>
      </c>
      <c r="J8" s="16" t="s">
        <v>18</v>
      </c>
      <c r="K8" s="16"/>
      <c r="L8" s="22"/>
      <c r="M8" s="22">
        <v>900000</v>
      </c>
      <c r="N8" s="32"/>
      <c r="O8" s="22"/>
      <c r="P8" s="22"/>
      <c r="Q8" s="22">
        <v>6000000</v>
      </c>
      <c r="R8" s="32"/>
      <c r="S8" s="16"/>
    </row>
    <row r="9" spans="1:19" x14ac:dyDescent="0.3">
      <c r="B9" s="4" t="s">
        <v>14</v>
      </c>
      <c r="C9" s="10" t="s">
        <v>30</v>
      </c>
      <c r="D9" s="5" t="s">
        <v>57</v>
      </c>
      <c r="E9" s="5"/>
      <c r="F9" s="5"/>
      <c r="G9" s="7">
        <v>2</v>
      </c>
      <c r="H9" s="7" t="s">
        <v>31</v>
      </c>
      <c r="I9" s="7" t="s">
        <v>17</v>
      </c>
      <c r="J9" s="7" t="s">
        <v>32</v>
      </c>
      <c r="K9" s="7"/>
      <c r="L9" s="21"/>
      <c r="M9" s="21">
        <v>320280</v>
      </c>
      <c r="N9" s="37"/>
      <c r="O9" s="21"/>
      <c r="P9" s="21"/>
      <c r="Q9" s="21">
        <v>2135200</v>
      </c>
      <c r="R9" s="36"/>
      <c r="S9" s="7"/>
    </row>
    <row r="10" spans="1:19" ht="43.2" x14ac:dyDescent="0.3">
      <c r="B10" s="4" t="s">
        <v>14</v>
      </c>
      <c r="C10" s="10" t="s">
        <v>30</v>
      </c>
      <c r="D10" s="5" t="s">
        <v>33</v>
      </c>
      <c r="E10" s="5"/>
      <c r="F10" s="5"/>
      <c r="G10" s="7">
        <v>2</v>
      </c>
      <c r="H10" s="7" t="s">
        <v>113</v>
      </c>
      <c r="I10" s="7" t="s">
        <v>17</v>
      </c>
      <c r="J10" s="7" t="s">
        <v>32</v>
      </c>
      <c r="K10" s="7"/>
      <c r="L10" s="21"/>
      <c r="M10" s="21">
        <v>59</v>
      </c>
      <c r="N10" s="23"/>
      <c r="O10" s="21"/>
      <c r="P10" s="21"/>
      <c r="Q10" s="21">
        <v>590</v>
      </c>
      <c r="R10" s="23" t="s">
        <v>114</v>
      </c>
      <c r="S10" s="7"/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>
        <v>3</v>
      </c>
      <c r="H11" s="7" t="s">
        <v>116</v>
      </c>
      <c r="I11" s="7" t="s">
        <v>17</v>
      </c>
      <c r="J11" s="7" t="s">
        <v>40</v>
      </c>
      <c r="K11" s="7"/>
      <c r="L11" s="21"/>
      <c r="M11" s="21">
        <v>9.6000000000000009E-3</v>
      </c>
      <c r="N11" s="23"/>
      <c r="O11" s="21"/>
      <c r="P11" s="21"/>
      <c r="Q11" s="21">
        <v>9.6000000000000002E-2</v>
      </c>
      <c r="R11" s="25"/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 t="s">
        <v>118</v>
      </c>
      <c r="I12" s="7" t="s">
        <v>17</v>
      </c>
      <c r="J12" s="7" t="s">
        <v>40</v>
      </c>
      <c r="K12" s="7"/>
      <c r="L12" s="21"/>
      <c r="M12" s="21">
        <v>125</v>
      </c>
      <c r="N12" s="24"/>
      <c r="O12" s="21"/>
      <c r="P12" s="21"/>
      <c r="Q12" s="21">
        <v>1250</v>
      </c>
      <c r="R12" s="24"/>
      <c r="S12" s="7"/>
    </row>
    <row r="13" spans="1:19" ht="86.4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>
        <v>3</v>
      </c>
      <c r="H13" s="7" t="s">
        <v>119</v>
      </c>
      <c r="I13" s="7" t="s">
        <v>17</v>
      </c>
      <c r="J13" s="7" t="s">
        <v>40</v>
      </c>
      <c r="K13" s="7"/>
      <c r="L13" s="21"/>
      <c r="M13" s="21">
        <v>45</v>
      </c>
      <c r="N13" s="24"/>
      <c r="O13" s="21"/>
      <c r="P13" s="21"/>
      <c r="Q13" s="21">
        <v>150</v>
      </c>
      <c r="R13" s="24" t="s">
        <v>35</v>
      </c>
      <c r="S13" s="7"/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>
        <v>4</v>
      </c>
      <c r="H14" s="7" t="s">
        <v>39</v>
      </c>
      <c r="I14" s="7" t="s">
        <v>106</v>
      </c>
      <c r="J14" s="7" t="s">
        <v>18</v>
      </c>
      <c r="K14" s="7"/>
      <c r="L14" s="21"/>
      <c r="M14" s="21"/>
      <c r="N14" s="21"/>
      <c r="O14" s="21"/>
      <c r="P14" s="21"/>
      <c r="Q14" s="21">
        <v>26398.839165746085</v>
      </c>
      <c r="R14" s="15"/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 t="s">
        <v>36</v>
      </c>
      <c r="I15" s="7" t="s">
        <v>106</v>
      </c>
      <c r="J15" s="7" t="s">
        <v>18</v>
      </c>
      <c r="K15" s="7"/>
      <c r="L15" s="21"/>
      <c r="M15" s="21"/>
      <c r="N15" s="21"/>
      <c r="O15" s="21"/>
      <c r="P15" s="21"/>
      <c r="Q15" s="21">
        <v>7.5760907039999992E-2</v>
      </c>
      <c r="R15" s="15"/>
      <c r="S15" s="7"/>
    </row>
    <row r="16" spans="1:19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>
        <v>4</v>
      </c>
      <c r="H16" s="7" t="s">
        <v>36</v>
      </c>
      <c r="I16" s="7" t="s">
        <v>17</v>
      </c>
      <c r="J16" s="7" t="s">
        <v>18</v>
      </c>
      <c r="K16" s="7"/>
      <c r="L16" s="21"/>
      <c r="M16" s="21">
        <v>2.3999999999999998E-3</v>
      </c>
      <c r="N16" s="15"/>
      <c r="O16" s="21"/>
      <c r="P16" s="21"/>
      <c r="Q16" s="21">
        <v>1.2E-2</v>
      </c>
      <c r="R16" s="15"/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 t="s">
        <v>36</v>
      </c>
      <c r="I17" s="7" t="s">
        <v>17</v>
      </c>
      <c r="J17" s="7" t="s">
        <v>18</v>
      </c>
      <c r="K17" s="7"/>
      <c r="L17" s="21"/>
      <c r="M17" s="21">
        <v>0.01</v>
      </c>
      <c r="N17" s="15"/>
      <c r="O17" s="21"/>
      <c r="P17" s="21"/>
      <c r="Q17" s="21">
        <v>0.06</v>
      </c>
      <c r="R17" s="15"/>
      <c r="S17" s="7"/>
    </row>
    <row r="18" spans="1:19" ht="43.2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>
        <v>4</v>
      </c>
      <c r="H18" s="7" t="s">
        <v>24</v>
      </c>
      <c r="I18" s="7" t="s">
        <v>105</v>
      </c>
      <c r="J18" s="7" t="s">
        <v>18</v>
      </c>
      <c r="K18" s="7">
        <v>365</v>
      </c>
      <c r="L18" s="23">
        <v>366</v>
      </c>
      <c r="M18" s="23">
        <v>0.24249999999999999</v>
      </c>
      <c r="N18" s="23"/>
      <c r="O18" s="21"/>
      <c r="P18" s="21"/>
      <c r="Q18" s="21">
        <v>365</v>
      </c>
      <c r="R18" s="23" t="s">
        <v>41</v>
      </c>
      <c r="S18" s="7"/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>
        <v>4</v>
      </c>
      <c r="H19" s="7" t="s">
        <v>24</v>
      </c>
      <c r="I19" s="7" t="s">
        <v>106</v>
      </c>
      <c r="J19" s="7" t="s">
        <v>18</v>
      </c>
      <c r="K19" s="7"/>
      <c r="L19" s="21"/>
      <c r="M19" s="21"/>
      <c r="N19" s="21"/>
      <c r="O19" s="21"/>
      <c r="P19" s="21"/>
      <c r="Q19" s="21">
        <v>24</v>
      </c>
      <c r="R19" s="23"/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 t="s">
        <v>36</v>
      </c>
      <c r="I20" s="7" t="s">
        <v>44</v>
      </c>
      <c r="J20" s="7" t="s">
        <v>18</v>
      </c>
      <c r="K20" s="7">
        <v>0.04</v>
      </c>
      <c r="L20" s="23">
        <v>0.08</v>
      </c>
      <c r="M20" s="23"/>
      <c r="N20" s="21"/>
      <c r="O20" s="21"/>
      <c r="P20" s="21"/>
      <c r="Q20" s="21">
        <v>0.06</v>
      </c>
      <c r="R20" s="25"/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 t="s">
        <v>46</v>
      </c>
      <c r="I21" s="7" t="s">
        <v>106</v>
      </c>
      <c r="J21" s="7" t="s">
        <v>32</v>
      </c>
      <c r="K21" s="7"/>
      <c r="L21" s="21"/>
      <c r="M21" s="21"/>
      <c r="N21" s="21"/>
      <c r="O21" s="21"/>
      <c r="P21" s="21"/>
      <c r="Q21" s="21">
        <v>20</v>
      </c>
      <c r="R21" s="23"/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>
        <v>5</v>
      </c>
      <c r="H22" s="7" t="s">
        <v>125</v>
      </c>
      <c r="I22" s="7" t="s">
        <v>106</v>
      </c>
      <c r="J22" s="7" t="s">
        <v>40</v>
      </c>
      <c r="K22" s="7"/>
      <c r="L22" s="21"/>
      <c r="M22" s="21"/>
      <c r="N22" s="21"/>
      <c r="O22" s="21"/>
      <c r="P22" s="21"/>
      <c r="Q22" s="21">
        <v>19410911.151283886</v>
      </c>
      <c r="R22" s="25"/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>
        <v>5</v>
      </c>
      <c r="H23" s="7" t="s">
        <v>126</v>
      </c>
      <c r="I23" s="7" t="s">
        <v>17</v>
      </c>
      <c r="J23" s="7" t="s">
        <v>40</v>
      </c>
      <c r="K23" s="7"/>
      <c r="L23" s="21"/>
      <c r="M23" s="21">
        <v>18</v>
      </c>
      <c r="N23" s="25"/>
      <c r="O23" s="21"/>
      <c r="P23" s="21"/>
      <c r="Q23" s="21">
        <v>120</v>
      </c>
      <c r="R23" s="25"/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>
        <v>5</v>
      </c>
      <c r="H24" s="7" t="s">
        <v>126</v>
      </c>
      <c r="I24" s="7" t="s">
        <v>17</v>
      </c>
      <c r="J24" s="7" t="s">
        <v>40</v>
      </c>
      <c r="K24" s="7"/>
      <c r="L24" s="21"/>
      <c r="M24" s="21">
        <v>20</v>
      </c>
      <c r="N24" s="25"/>
      <c r="O24" s="21"/>
      <c r="P24" s="21"/>
      <c r="Q24" s="21">
        <v>100</v>
      </c>
      <c r="R24" s="25"/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>
        <v>7</v>
      </c>
      <c r="H25" s="7" t="s">
        <v>24</v>
      </c>
      <c r="I25" s="7" t="s">
        <v>17</v>
      </c>
      <c r="J25" s="7" t="s">
        <v>40</v>
      </c>
      <c r="K25" s="7"/>
      <c r="L25" s="21"/>
      <c r="M25" s="21">
        <v>1004.0126457560631</v>
      </c>
      <c r="N25" s="23"/>
      <c r="O25" s="21"/>
      <c r="P25" s="21"/>
      <c r="Q25" s="21">
        <v>6693.417638373754</v>
      </c>
      <c r="R25" s="15"/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>
        <v>7</v>
      </c>
      <c r="H26" s="7" t="s">
        <v>111</v>
      </c>
      <c r="I26" s="7" t="s">
        <v>17</v>
      </c>
      <c r="J26" s="7" t="s">
        <v>40</v>
      </c>
      <c r="K26" s="7"/>
      <c r="L26" s="21"/>
      <c r="M26" s="21">
        <v>12000000</v>
      </c>
      <c r="N26" s="35"/>
      <c r="O26" s="21"/>
      <c r="P26" s="21"/>
      <c r="Q26" s="21">
        <v>80000000</v>
      </c>
      <c r="R26" s="30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 t="s">
        <v>111</v>
      </c>
      <c r="I27" s="16" t="s">
        <v>17</v>
      </c>
      <c r="J27" s="16" t="s">
        <v>54</v>
      </c>
      <c r="K27" s="16"/>
      <c r="L27" s="22"/>
      <c r="M27" s="22">
        <v>12000000</v>
      </c>
      <c r="N27" s="33"/>
      <c r="O27" s="21"/>
      <c r="P27" s="22"/>
      <c r="Q27" s="21">
        <v>120000000</v>
      </c>
      <c r="R27" s="34"/>
      <c r="S27" s="16"/>
    </row>
    <row r="28" spans="1:19" ht="28.8" x14ac:dyDescent="0.3">
      <c r="B28" s="4" t="s">
        <v>14</v>
      </c>
      <c r="C28" s="27" t="s">
        <v>137</v>
      </c>
      <c r="D28" s="27"/>
      <c r="E28" s="27"/>
      <c r="F28" s="27"/>
      <c r="G28" s="16"/>
      <c r="H28" s="16"/>
      <c r="I28" s="16" t="s">
        <v>106</v>
      </c>
      <c r="J28" s="16"/>
      <c r="K28" s="16"/>
      <c r="L28" s="22"/>
      <c r="M28" s="22"/>
      <c r="N28" s="22"/>
      <c r="O28" s="22"/>
      <c r="P28" s="22"/>
      <c r="Q28" s="22" t="s">
        <v>139</v>
      </c>
      <c r="R28" s="29"/>
      <c r="S28" s="16"/>
    </row>
    <row r="29" spans="1:19" x14ac:dyDescent="0.3">
      <c r="B29" s="4" t="s">
        <v>14</v>
      </c>
      <c r="C29" s="27" t="s">
        <v>138</v>
      </c>
      <c r="D29" s="27"/>
      <c r="E29" s="38"/>
      <c r="F29" s="38"/>
      <c r="G29" s="16"/>
      <c r="H29" s="16"/>
      <c r="I29" s="16" t="s">
        <v>106</v>
      </c>
      <c r="J29" s="16"/>
      <c r="K29" s="16"/>
      <c r="L29" s="22"/>
      <c r="M29" s="22"/>
      <c r="N29" s="22"/>
      <c r="O29" s="22"/>
      <c r="P29" s="22"/>
      <c r="Q29" s="22" t="s">
        <v>140</v>
      </c>
      <c r="R29" s="29"/>
      <c r="S29" s="16"/>
    </row>
    <row r="30" spans="1:19" x14ac:dyDescent="0.3">
      <c r="B30" s="1" t="s">
        <v>14</v>
      </c>
      <c r="C30" s="1" t="s">
        <v>127</v>
      </c>
      <c r="H30" s="1" t="s">
        <v>128</v>
      </c>
      <c r="I30" s="1" t="s">
        <v>106</v>
      </c>
      <c r="Q30" s="1">
        <v>11</v>
      </c>
    </row>
    <row r="31" spans="1:19" x14ac:dyDescent="0.3">
      <c r="B31" s="1" t="s">
        <v>14</v>
      </c>
      <c r="C31" s="1" t="s">
        <v>146</v>
      </c>
      <c r="H31" s="1" t="s">
        <v>147</v>
      </c>
      <c r="I31" s="1" t="s">
        <v>106</v>
      </c>
      <c r="Q31" s="1">
        <v>213520022.66412276</v>
      </c>
    </row>
    <row r="32" spans="1:19" x14ac:dyDescent="0.3">
      <c r="B32" s="1" t="s">
        <v>14</v>
      </c>
      <c r="C32" s="1" t="s">
        <v>148</v>
      </c>
      <c r="Q32" s="1">
        <v>0.5</v>
      </c>
    </row>
    <row r="33" spans="2:17" x14ac:dyDescent="0.3">
      <c r="B33" s="1" t="s">
        <v>14</v>
      </c>
      <c r="C33" s="1" t="s">
        <v>129</v>
      </c>
      <c r="H33" s="1" t="s">
        <v>130</v>
      </c>
      <c r="I33" s="1" t="s">
        <v>106</v>
      </c>
      <c r="Q33" s="1">
        <v>2.5000000000000001E-3</v>
      </c>
    </row>
    <row r="34" spans="2:17" x14ac:dyDescent="0.3">
      <c r="B34" s="1" t="s">
        <v>14</v>
      </c>
      <c r="C34" s="1" t="s">
        <v>133</v>
      </c>
      <c r="H34" s="1" t="s">
        <v>36</v>
      </c>
      <c r="I34" s="1" t="s">
        <v>106</v>
      </c>
      <c r="Q34" s="1">
        <v>0.2</v>
      </c>
    </row>
    <row r="35" spans="2:17" x14ac:dyDescent="0.3">
      <c r="B35" s="1" t="s">
        <v>14</v>
      </c>
      <c r="C35" s="1" t="s">
        <v>132</v>
      </c>
      <c r="H35" s="1" t="s">
        <v>36</v>
      </c>
      <c r="I35" s="1" t="s">
        <v>106</v>
      </c>
      <c r="Q35" s="1">
        <v>0.37880453519999996</v>
      </c>
    </row>
    <row r="36" spans="2:17" x14ac:dyDescent="0.3">
      <c r="B36" s="1" t="s">
        <v>14</v>
      </c>
      <c r="C36" s="1" t="s">
        <v>135</v>
      </c>
      <c r="H36" s="1" t="s">
        <v>136</v>
      </c>
      <c r="I36" s="1" t="s">
        <v>106</v>
      </c>
      <c r="Q36" s="1">
        <v>2000</v>
      </c>
    </row>
    <row r="37" spans="2:17" x14ac:dyDescent="0.3">
      <c r="B37" s="1" t="s">
        <v>14</v>
      </c>
      <c r="C37" s="1" t="s">
        <v>131</v>
      </c>
      <c r="H37" s="1" t="s">
        <v>134</v>
      </c>
      <c r="I37" s="1" t="s">
        <v>106</v>
      </c>
      <c r="Q37" s="1"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947-6064-421B-A8F1-FB7DDB00A786}">
  <dimension ref="A2:S37"/>
  <sheetViews>
    <sheetView workbookViewId="0">
      <selection sqref="A1:XFD1048576"/>
    </sheetView>
  </sheetViews>
  <sheetFormatPr defaultRowHeight="14.4" x14ac:dyDescent="0.3"/>
  <cols>
    <col min="1" max="1" width="8.88671875" style="42"/>
    <col min="2" max="6" width="24.5546875" style="42" customWidth="1"/>
    <col min="7" max="7" width="9.77734375" style="42" customWidth="1"/>
    <col min="8" max="8" width="13.109375" style="42" customWidth="1"/>
    <col min="9" max="9" width="17.77734375" style="42" customWidth="1"/>
    <col min="10" max="10" width="15.21875" style="42" customWidth="1"/>
    <col min="11" max="12" width="8.88671875" style="42"/>
    <col min="13" max="13" width="14.44140625" style="42" bestFit="1" customWidth="1"/>
    <col min="14" max="16" width="8.88671875" style="42"/>
    <col min="17" max="17" width="16" style="42" bestFit="1" customWidth="1"/>
    <col min="18" max="18" width="29.5546875" style="42" customWidth="1"/>
    <col min="19" max="16384" width="8.88671875" style="42"/>
  </cols>
  <sheetData>
    <row r="2" spans="1:19" x14ac:dyDescent="0.3">
      <c r="B2" s="43" t="s">
        <v>0</v>
      </c>
      <c r="C2" s="43"/>
      <c r="D2" s="43"/>
      <c r="E2" s="43"/>
      <c r="F2" s="43"/>
      <c r="H2" s="42" t="str">
        <f>Q28&amp;" "&amp;Q29</f>
        <v>Scenario 1 PV</v>
      </c>
    </row>
    <row r="3" spans="1:19" s="44" customFormat="1" ht="43.2" x14ac:dyDescent="0.3">
      <c r="A3" s="44" t="s">
        <v>1</v>
      </c>
      <c r="B3" s="44" t="s">
        <v>2</v>
      </c>
      <c r="C3" s="44" t="s">
        <v>3</v>
      </c>
      <c r="D3" s="44" t="s">
        <v>4</v>
      </c>
      <c r="E3" s="44" t="s">
        <v>5</v>
      </c>
      <c r="F3" s="44" t="s">
        <v>107</v>
      </c>
      <c r="G3" s="44" t="s">
        <v>56</v>
      </c>
      <c r="H3" s="44" t="s">
        <v>6</v>
      </c>
      <c r="I3" s="44" t="s">
        <v>7</v>
      </c>
      <c r="J3" s="44" t="s">
        <v>8</v>
      </c>
      <c r="K3" s="44" t="s">
        <v>9</v>
      </c>
      <c r="L3" s="44" t="s">
        <v>10</v>
      </c>
      <c r="M3" s="44" t="s">
        <v>11</v>
      </c>
      <c r="N3" s="44" t="s">
        <v>63</v>
      </c>
      <c r="O3" s="44" t="s">
        <v>24</v>
      </c>
      <c r="P3" s="44" t="s">
        <v>64</v>
      </c>
      <c r="Q3" s="44" t="s">
        <v>12</v>
      </c>
      <c r="R3" s="44" t="s">
        <v>13</v>
      </c>
      <c r="S3" s="44" t="s">
        <v>145</v>
      </c>
    </row>
    <row r="4" spans="1:19" ht="28.8" x14ac:dyDescent="0.3">
      <c r="A4" s="42" t="s">
        <v>1</v>
      </c>
      <c r="B4" s="45" t="s">
        <v>14</v>
      </c>
      <c r="C4" s="46" t="s">
        <v>16</v>
      </c>
      <c r="D4" s="47" t="s">
        <v>19</v>
      </c>
      <c r="E4" s="48" t="s">
        <v>108</v>
      </c>
      <c r="F4" s="48"/>
      <c r="G4" s="49">
        <v>18</v>
      </c>
      <c r="H4" s="49" t="s">
        <v>24</v>
      </c>
      <c r="I4" s="49" t="s">
        <v>25</v>
      </c>
      <c r="J4" s="49" t="s">
        <v>109</v>
      </c>
      <c r="K4" s="30"/>
      <c r="L4" s="30"/>
      <c r="M4" s="30"/>
      <c r="N4" s="30"/>
      <c r="O4" s="26">
        <v>0.03</v>
      </c>
      <c r="P4" s="30"/>
      <c r="Q4" s="30"/>
      <c r="R4" s="49" t="s">
        <v>21</v>
      </c>
      <c r="S4" s="50"/>
    </row>
    <row r="5" spans="1:19" x14ac:dyDescent="0.3">
      <c r="A5" s="42" t="s">
        <v>1</v>
      </c>
      <c r="B5" s="45" t="s">
        <v>14</v>
      </c>
      <c r="C5" s="46" t="s">
        <v>16</v>
      </c>
      <c r="D5" s="47" t="s">
        <v>19</v>
      </c>
      <c r="E5" s="48" t="s">
        <v>104</v>
      </c>
      <c r="F5" s="48"/>
      <c r="G5" s="49">
        <v>18</v>
      </c>
      <c r="H5" s="49" t="s">
        <v>15</v>
      </c>
      <c r="I5" s="49" t="s">
        <v>17</v>
      </c>
      <c r="J5" s="49" t="s">
        <v>18</v>
      </c>
      <c r="K5" s="30"/>
      <c r="L5" s="30"/>
      <c r="M5" s="39">
        <f>0.15*Table14232425[[#This Row],[Mean]]</f>
        <v>32028003.399618413</v>
      </c>
      <c r="N5" s="30"/>
      <c r="O5" s="30"/>
      <c r="P5" s="30"/>
      <c r="Q5" s="39">
        <f>(Q23+Q24)*(0.05*Q22)</f>
        <v>213520022.66412276</v>
      </c>
      <c r="R5" s="49"/>
      <c r="S5" s="30"/>
    </row>
    <row r="6" spans="1:19" ht="43.2" x14ac:dyDescent="0.3">
      <c r="A6" s="42" t="s">
        <v>1</v>
      </c>
      <c r="B6" s="45" t="s">
        <v>14</v>
      </c>
      <c r="C6" s="46" t="s">
        <v>16</v>
      </c>
      <c r="D6" s="47" t="s">
        <v>19</v>
      </c>
      <c r="E6" s="51" t="s">
        <v>110</v>
      </c>
      <c r="F6" s="48" t="s">
        <v>23</v>
      </c>
      <c r="G6" s="49">
        <v>1</v>
      </c>
      <c r="H6" s="49" t="s">
        <v>24</v>
      </c>
      <c r="I6" s="49" t="s">
        <v>17</v>
      </c>
      <c r="J6" s="49" t="s">
        <v>18</v>
      </c>
      <c r="K6" s="30"/>
      <c r="L6" s="30"/>
      <c r="M6" s="39">
        <f>0.15*Table14232425[[#This Row],[Mean]]</f>
        <v>50.200632287803153</v>
      </c>
      <c r="N6" s="30"/>
      <c r="O6" s="30"/>
      <c r="P6" s="30"/>
      <c r="Q6" s="39">
        <f>0.05*Q25</f>
        <v>334.67088191868771</v>
      </c>
      <c r="R6" s="49" t="s">
        <v>26</v>
      </c>
      <c r="S6" s="30"/>
    </row>
    <row r="7" spans="1:19" ht="28.8" x14ac:dyDescent="0.3">
      <c r="A7" s="42" t="s">
        <v>1</v>
      </c>
      <c r="B7" s="45" t="s">
        <v>14</v>
      </c>
      <c r="C7" s="46" t="s">
        <v>16</v>
      </c>
      <c r="D7" s="47" t="s">
        <v>19</v>
      </c>
      <c r="E7" s="51" t="s">
        <v>110</v>
      </c>
      <c r="F7" s="48" t="s">
        <v>27</v>
      </c>
      <c r="G7" s="49">
        <v>1</v>
      </c>
      <c r="H7" s="49" t="s">
        <v>111</v>
      </c>
      <c r="I7" s="49" t="s">
        <v>17</v>
      </c>
      <c r="J7" s="49" t="s">
        <v>109</v>
      </c>
      <c r="K7" s="30"/>
      <c r="L7" s="30"/>
      <c r="M7" s="39">
        <f>0.1*Table14232425[[#This Row],[Mean]]</f>
        <v>6400000</v>
      </c>
      <c r="N7" s="30"/>
      <c r="O7" s="30"/>
      <c r="P7" s="30"/>
      <c r="Q7" s="39">
        <f>Q26*0.8</f>
        <v>64000000</v>
      </c>
      <c r="R7" s="49" t="s">
        <v>29</v>
      </c>
      <c r="S7" s="30"/>
    </row>
    <row r="8" spans="1:19" x14ac:dyDescent="0.3">
      <c r="A8" s="42" t="s">
        <v>1</v>
      </c>
      <c r="B8" s="45" t="s">
        <v>14</v>
      </c>
      <c r="C8" s="46" t="s">
        <v>16</v>
      </c>
      <c r="D8" s="47" t="s">
        <v>19</v>
      </c>
      <c r="E8" s="48" t="s">
        <v>112</v>
      </c>
      <c r="F8" s="48"/>
      <c r="G8" s="52"/>
      <c r="H8" s="52" t="s">
        <v>111</v>
      </c>
      <c r="I8" s="52" t="s">
        <v>17</v>
      </c>
      <c r="J8" s="52" t="s">
        <v>18</v>
      </c>
      <c r="K8" s="41"/>
      <c r="L8" s="41"/>
      <c r="M8" s="53">
        <f>0.15*Table14232425[[#This Row],[Mean]]</f>
        <v>900000</v>
      </c>
      <c r="N8" s="41"/>
      <c r="O8" s="41"/>
      <c r="P8" s="41"/>
      <c r="Q8" s="53">
        <f>0.05*Q27</f>
        <v>6000000</v>
      </c>
      <c r="R8" s="52"/>
      <c r="S8" s="30"/>
    </row>
    <row r="9" spans="1:19" x14ac:dyDescent="0.3">
      <c r="B9" s="45" t="s">
        <v>14</v>
      </c>
      <c r="C9" s="54" t="s">
        <v>30</v>
      </c>
      <c r="D9" s="48" t="s">
        <v>57</v>
      </c>
      <c r="E9" s="48"/>
      <c r="F9" s="48"/>
      <c r="G9" s="49">
        <v>2</v>
      </c>
      <c r="H9" s="49" t="s">
        <v>31</v>
      </c>
      <c r="I9" s="49" t="s">
        <v>17</v>
      </c>
      <c r="J9" s="49" t="s">
        <v>32</v>
      </c>
      <c r="K9" s="30"/>
      <c r="L9" s="30"/>
      <c r="M9" s="39">
        <f>0.15*Table14232425[[#This Row],[Mean]]</f>
        <v>320280</v>
      </c>
      <c r="N9" s="30"/>
      <c r="O9" s="30"/>
      <c r="P9" s="30"/>
      <c r="Q9" s="36">
        <v>2135200</v>
      </c>
      <c r="R9" s="49"/>
      <c r="S9" s="30"/>
    </row>
    <row r="10" spans="1:19" ht="28.8" x14ac:dyDescent="0.3">
      <c r="B10" s="45" t="s">
        <v>14</v>
      </c>
      <c r="C10" s="54" t="s">
        <v>30</v>
      </c>
      <c r="D10" s="48" t="s">
        <v>33</v>
      </c>
      <c r="E10" s="48"/>
      <c r="F10" s="48"/>
      <c r="G10" s="49">
        <v>2</v>
      </c>
      <c r="H10" s="49" t="s">
        <v>113</v>
      </c>
      <c r="I10" s="49" t="s">
        <v>17</v>
      </c>
      <c r="J10" s="49" t="s">
        <v>32</v>
      </c>
      <c r="K10" s="30"/>
      <c r="L10" s="30"/>
      <c r="M10" s="26">
        <v>59</v>
      </c>
      <c r="N10" s="30"/>
      <c r="O10" s="30"/>
      <c r="P10" s="30"/>
      <c r="Q10" s="26">
        <v>590</v>
      </c>
      <c r="R10" s="49" t="s">
        <v>114</v>
      </c>
      <c r="S10" s="30"/>
    </row>
    <row r="11" spans="1:19" x14ac:dyDescent="0.3">
      <c r="A11" s="42" t="s">
        <v>1</v>
      </c>
      <c r="B11" s="45" t="s">
        <v>14</v>
      </c>
      <c r="C11" s="48" t="s">
        <v>58</v>
      </c>
      <c r="D11" s="48" t="s">
        <v>115</v>
      </c>
      <c r="E11" s="48"/>
      <c r="F11" s="48"/>
      <c r="G11" s="49">
        <v>3</v>
      </c>
      <c r="H11" s="49" t="s">
        <v>116</v>
      </c>
      <c r="I11" s="49" t="s">
        <v>17</v>
      </c>
      <c r="J11" s="49" t="s">
        <v>40</v>
      </c>
      <c r="K11" s="30"/>
      <c r="L11" s="30"/>
      <c r="M11" s="39">
        <f>0.1*Table14232425[[#This Row],[Mean]]</f>
        <v>9.6000000000000009E-3</v>
      </c>
      <c r="N11" s="30"/>
      <c r="O11" s="30"/>
      <c r="P11" s="30"/>
      <c r="Q11" s="55">
        <v>9.6000000000000002E-2</v>
      </c>
      <c r="R11" s="49"/>
      <c r="S11" s="30"/>
    </row>
    <row r="12" spans="1:19" x14ac:dyDescent="0.3">
      <c r="A12" s="42" t="s">
        <v>1</v>
      </c>
      <c r="B12" s="45" t="s">
        <v>14</v>
      </c>
      <c r="C12" s="48" t="s">
        <v>58</v>
      </c>
      <c r="D12" s="48" t="s">
        <v>117</v>
      </c>
      <c r="E12" s="48"/>
      <c r="F12" s="48"/>
      <c r="G12" s="49"/>
      <c r="H12" s="49" t="s">
        <v>118</v>
      </c>
      <c r="I12" s="49" t="s">
        <v>17</v>
      </c>
      <c r="J12" s="49" t="s">
        <v>40</v>
      </c>
      <c r="K12" s="30"/>
      <c r="L12" s="30"/>
      <c r="M12" s="37">
        <v>125</v>
      </c>
      <c r="N12" s="30"/>
      <c r="O12" s="30"/>
      <c r="P12" s="30"/>
      <c r="Q12" s="37">
        <v>1250</v>
      </c>
      <c r="R12" s="49"/>
      <c r="S12" s="30"/>
    </row>
    <row r="13" spans="1:19" ht="43.2" x14ac:dyDescent="0.3">
      <c r="A13" s="42" t="s">
        <v>1</v>
      </c>
      <c r="B13" s="45" t="s">
        <v>14</v>
      </c>
      <c r="C13" s="48" t="s">
        <v>34</v>
      </c>
      <c r="D13" s="48"/>
      <c r="E13" s="48"/>
      <c r="F13" s="48"/>
      <c r="G13" s="49">
        <v>3</v>
      </c>
      <c r="H13" s="49" t="s">
        <v>119</v>
      </c>
      <c r="I13" s="49" t="s">
        <v>17</v>
      </c>
      <c r="J13" s="49" t="s">
        <v>40</v>
      </c>
      <c r="K13" s="30"/>
      <c r="L13" s="30"/>
      <c r="M13" s="37">
        <v>45</v>
      </c>
      <c r="N13" s="30"/>
      <c r="O13" s="30"/>
      <c r="P13" s="30"/>
      <c r="Q13" s="37">
        <v>150</v>
      </c>
      <c r="R13" s="49" t="s">
        <v>35</v>
      </c>
      <c r="S13" s="30"/>
    </row>
    <row r="14" spans="1:19" x14ac:dyDescent="0.3">
      <c r="A14" s="42" t="s">
        <v>1</v>
      </c>
      <c r="B14" s="45" t="s">
        <v>14</v>
      </c>
      <c r="C14" s="56" t="s">
        <v>37</v>
      </c>
      <c r="D14" s="48" t="s">
        <v>61</v>
      </c>
      <c r="E14" s="48" t="s">
        <v>38</v>
      </c>
      <c r="F14" s="48"/>
      <c r="G14" s="49">
        <v>4</v>
      </c>
      <c r="H14" s="49" t="s">
        <v>39</v>
      </c>
      <c r="I14" s="49" t="s">
        <v>106</v>
      </c>
      <c r="J14" s="49" t="s">
        <v>18</v>
      </c>
      <c r="K14" s="30"/>
      <c r="L14" s="30"/>
      <c r="M14" s="30"/>
      <c r="N14" s="30"/>
      <c r="O14" s="30"/>
      <c r="P14" s="30"/>
      <c r="Q14" s="39">
        <f>Q36/Q15</f>
        <v>26398.839165746085</v>
      </c>
      <c r="R14" s="49"/>
      <c r="S14" s="30"/>
    </row>
    <row r="15" spans="1:19" x14ac:dyDescent="0.3">
      <c r="A15" s="42" t="s">
        <v>1</v>
      </c>
      <c r="B15" s="45" t="s">
        <v>14</v>
      </c>
      <c r="C15" s="56" t="s">
        <v>37</v>
      </c>
      <c r="D15" s="48" t="s">
        <v>61</v>
      </c>
      <c r="E15" s="48" t="s">
        <v>120</v>
      </c>
      <c r="F15" s="48"/>
      <c r="G15" s="49"/>
      <c r="H15" s="49" t="s">
        <v>36</v>
      </c>
      <c r="I15" s="49" t="s">
        <v>106</v>
      </c>
      <c r="J15" s="49" t="s">
        <v>18</v>
      </c>
      <c r="K15" s="30"/>
      <c r="L15" s="30"/>
      <c r="M15" s="30"/>
      <c r="N15" s="30"/>
      <c r="O15" s="30"/>
      <c r="P15" s="30"/>
      <c r="Q15" s="39">
        <f>Q34*Q35</f>
        <v>7.5760907039999992E-2</v>
      </c>
      <c r="R15" s="49"/>
      <c r="S15" s="30"/>
    </row>
    <row r="16" spans="1:19" x14ac:dyDescent="0.3">
      <c r="A16" s="42" t="s">
        <v>1</v>
      </c>
      <c r="B16" s="45" t="s">
        <v>14</v>
      </c>
      <c r="C16" s="56" t="s">
        <v>37</v>
      </c>
      <c r="D16" s="48" t="s">
        <v>61</v>
      </c>
      <c r="E16" s="48" t="s">
        <v>121</v>
      </c>
      <c r="F16" s="48"/>
      <c r="G16" s="49">
        <v>4</v>
      </c>
      <c r="H16" s="49" t="s">
        <v>36</v>
      </c>
      <c r="I16" s="49" t="s">
        <v>17</v>
      </c>
      <c r="J16" s="49" t="s">
        <v>18</v>
      </c>
      <c r="K16" s="30"/>
      <c r="L16" s="30"/>
      <c r="M16" s="36">
        <v>2.3999999999999998E-3</v>
      </c>
      <c r="N16" s="30"/>
      <c r="O16" s="30"/>
      <c r="P16" s="30"/>
      <c r="Q16" s="36">
        <v>1.2E-2</v>
      </c>
      <c r="R16" s="49"/>
      <c r="S16" s="30"/>
    </row>
    <row r="17" spans="1:19" x14ac:dyDescent="0.3">
      <c r="A17" s="42" t="s">
        <v>1</v>
      </c>
      <c r="B17" s="45" t="s">
        <v>14</v>
      </c>
      <c r="C17" s="56" t="s">
        <v>37</v>
      </c>
      <c r="D17" s="48" t="s">
        <v>61</v>
      </c>
      <c r="E17" s="48" t="s">
        <v>122</v>
      </c>
      <c r="F17" s="48"/>
      <c r="G17" s="49"/>
      <c r="H17" s="49" t="s">
        <v>36</v>
      </c>
      <c r="I17" s="49" t="s">
        <v>17</v>
      </c>
      <c r="J17" s="49" t="s">
        <v>18</v>
      </c>
      <c r="K17" s="30"/>
      <c r="L17" s="30"/>
      <c r="M17" s="36">
        <v>0.01</v>
      </c>
      <c r="N17" s="30"/>
      <c r="O17" s="30"/>
      <c r="P17" s="30"/>
      <c r="Q17" s="36">
        <v>0.06</v>
      </c>
      <c r="R17" s="49"/>
      <c r="S17" s="30"/>
    </row>
    <row r="18" spans="1:19" ht="28.8" x14ac:dyDescent="0.3">
      <c r="A18" s="42" t="s">
        <v>1</v>
      </c>
      <c r="B18" s="45" t="s">
        <v>14</v>
      </c>
      <c r="C18" s="56" t="s">
        <v>37</v>
      </c>
      <c r="D18" s="48" t="s">
        <v>61</v>
      </c>
      <c r="E18" s="48" t="s">
        <v>123</v>
      </c>
      <c r="F18" s="48"/>
      <c r="G18" s="49">
        <v>4</v>
      </c>
      <c r="H18" s="49" t="s">
        <v>24</v>
      </c>
      <c r="I18" s="49" t="s">
        <v>105</v>
      </c>
      <c r="J18" s="49" t="s">
        <v>18</v>
      </c>
      <c r="K18" s="26">
        <v>365</v>
      </c>
      <c r="L18" s="26">
        <v>366</v>
      </c>
      <c r="M18" s="26">
        <v>0.24249999999999999</v>
      </c>
      <c r="N18" s="30"/>
      <c r="O18" s="30"/>
      <c r="P18" s="30"/>
      <c r="Q18" s="26">
        <v>365</v>
      </c>
      <c r="R18" s="49" t="s">
        <v>41</v>
      </c>
      <c r="S18" s="30"/>
    </row>
    <row r="19" spans="1:19" x14ac:dyDescent="0.3">
      <c r="A19" s="42" t="s">
        <v>1</v>
      </c>
      <c r="B19" s="45" t="s">
        <v>14</v>
      </c>
      <c r="C19" s="56" t="s">
        <v>37</v>
      </c>
      <c r="D19" s="48" t="s">
        <v>61</v>
      </c>
      <c r="E19" s="48" t="s">
        <v>60</v>
      </c>
      <c r="F19" s="48"/>
      <c r="G19" s="49">
        <v>4</v>
      </c>
      <c r="H19" s="49" t="s">
        <v>24</v>
      </c>
      <c r="I19" s="49" t="s">
        <v>106</v>
      </c>
      <c r="J19" s="49" t="s">
        <v>18</v>
      </c>
      <c r="K19" s="30"/>
      <c r="L19" s="30"/>
      <c r="M19" s="30"/>
      <c r="N19" s="30"/>
      <c r="O19" s="30"/>
      <c r="P19" s="30"/>
      <c r="Q19" s="26">
        <v>24</v>
      </c>
      <c r="R19" s="49"/>
      <c r="S19" s="30"/>
    </row>
    <row r="20" spans="1:19" x14ac:dyDescent="0.3">
      <c r="A20" s="42" t="s">
        <v>1</v>
      </c>
      <c r="B20" s="45" t="s">
        <v>14</v>
      </c>
      <c r="C20" s="48" t="s">
        <v>43</v>
      </c>
      <c r="D20" s="48"/>
      <c r="E20" s="48"/>
      <c r="F20" s="48"/>
      <c r="G20" s="49"/>
      <c r="H20" s="49" t="s">
        <v>36</v>
      </c>
      <c r="I20" s="49" t="s">
        <v>44</v>
      </c>
      <c r="J20" s="49" t="s">
        <v>18</v>
      </c>
      <c r="K20" s="26">
        <v>0.04</v>
      </c>
      <c r="L20" s="26">
        <v>0.08</v>
      </c>
      <c r="M20" s="30"/>
      <c r="N20" s="30"/>
      <c r="O20" s="30"/>
      <c r="P20" s="30"/>
      <c r="Q20" s="55">
        <v>0.06</v>
      </c>
      <c r="R20" s="49"/>
      <c r="S20" s="30"/>
    </row>
    <row r="21" spans="1:19" x14ac:dyDescent="0.3">
      <c r="A21" s="42" t="s">
        <v>1</v>
      </c>
      <c r="B21" s="45" t="s">
        <v>14</v>
      </c>
      <c r="C21" s="48" t="s">
        <v>45</v>
      </c>
      <c r="D21" s="48"/>
      <c r="E21" s="48"/>
      <c r="F21" s="48"/>
      <c r="G21" s="49"/>
      <c r="H21" s="49" t="s">
        <v>46</v>
      </c>
      <c r="I21" s="49" t="s">
        <v>106</v>
      </c>
      <c r="J21" s="49" t="s">
        <v>32</v>
      </c>
      <c r="K21" s="30"/>
      <c r="L21" s="30"/>
      <c r="M21" s="30"/>
      <c r="N21" s="30"/>
      <c r="O21" s="30"/>
      <c r="P21" s="30"/>
      <c r="Q21" s="26">
        <v>20</v>
      </c>
      <c r="R21" s="49"/>
      <c r="S21" s="30"/>
    </row>
    <row r="22" spans="1:19" x14ac:dyDescent="0.3">
      <c r="A22" s="42" t="s">
        <v>1</v>
      </c>
      <c r="B22" s="45" t="s">
        <v>14</v>
      </c>
      <c r="C22" s="57" t="s">
        <v>47</v>
      </c>
      <c r="D22" s="58" t="s">
        <v>48</v>
      </c>
      <c r="E22" s="48" t="s">
        <v>124</v>
      </c>
      <c r="F22" s="48"/>
      <c r="G22" s="49">
        <v>5</v>
      </c>
      <c r="H22" s="49" t="s">
        <v>125</v>
      </c>
      <c r="I22" s="49" t="s">
        <v>106</v>
      </c>
      <c r="J22" s="49" t="s">
        <v>40</v>
      </c>
      <c r="K22" s="30"/>
      <c r="L22" s="30"/>
      <c r="M22" s="30"/>
      <c r="N22" s="30"/>
      <c r="O22" s="30"/>
      <c r="P22" s="30"/>
      <c r="Q22" s="39">
        <f>(Q36/(Q15*Q37))</f>
        <v>19410911.151283886</v>
      </c>
      <c r="R22" s="49"/>
      <c r="S22" s="30"/>
    </row>
    <row r="23" spans="1:19" x14ac:dyDescent="0.3">
      <c r="A23" s="42" t="s">
        <v>1</v>
      </c>
      <c r="B23" s="45" t="s">
        <v>14</v>
      </c>
      <c r="C23" s="57" t="s">
        <v>47</v>
      </c>
      <c r="D23" s="58" t="s">
        <v>48</v>
      </c>
      <c r="E23" s="48" t="s">
        <v>49</v>
      </c>
      <c r="F23" s="48"/>
      <c r="G23" s="49">
        <v>5</v>
      </c>
      <c r="H23" s="49" t="s">
        <v>126</v>
      </c>
      <c r="I23" s="49" t="s">
        <v>17</v>
      </c>
      <c r="J23" s="49" t="s">
        <v>40</v>
      </c>
      <c r="K23" s="30"/>
      <c r="L23" s="30"/>
      <c r="M23" s="55">
        <v>18</v>
      </c>
      <c r="N23" s="30"/>
      <c r="O23" s="30"/>
      <c r="P23" s="30"/>
      <c r="Q23" s="55">
        <v>120</v>
      </c>
      <c r="R23" s="49"/>
      <c r="S23" s="30"/>
    </row>
    <row r="24" spans="1:19" x14ac:dyDescent="0.3">
      <c r="A24" s="42" t="s">
        <v>1</v>
      </c>
      <c r="B24" s="45" t="s">
        <v>14</v>
      </c>
      <c r="C24" s="57" t="s">
        <v>47</v>
      </c>
      <c r="D24" s="58" t="s">
        <v>48</v>
      </c>
      <c r="E24" s="59" t="s">
        <v>50</v>
      </c>
      <c r="F24" s="48"/>
      <c r="G24" s="49">
        <v>5</v>
      </c>
      <c r="H24" s="49" t="s">
        <v>126</v>
      </c>
      <c r="I24" s="49" t="s">
        <v>17</v>
      </c>
      <c r="J24" s="49" t="s">
        <v>40</v>
      </c>
      <c r="K24" s="30"/>
      <c r="L24" s="30"/>
      <c r="M24" s="55">
        <v>20</v>
      </c>
      <c r="N24" s="30"/>
      <c r="O24" s="30"/>
      <c r="P24" s="30"/>
      <c r="Q24" s="55">
        <v>100</v>
      </c>
      <c r="R24" s="49"/>
      <c r="S24" s="30"/>
    </row>
    <row r="25" spans="1:19" x14ac:dyDescent="0.3">
      <c r="A25" s="42" t="s">
        <v>1</v>
      </c>
      <c r="B25" s="45" t="s">
        <v>14</v>
      </c>
      <c r="C25" s="36" t="s">
        <v>22</v>
      </c>
      <c r="D25" s="48" t="s">
        <v>51</v>
      </c>
      <c r="E25" s="48"/>
      <c r="F25" s="48"/>
      <c r="G25" s="49">
        <v>7</v>
      </c>
      <c r="H25" s="49" t="s">
        <v>24</v>
      </c>
      <c r="I25" s="49" t="s">
        <v>17</v>
      </c>
      <c r="J25" s="49" t="s">
        <v>40</v>
      </c>
      <c r="K25" s="30"/>
      <c r="L25" s="30"/>
      <c r="M25" s="39">
        <f>Table14232425[[#This Row],[Mean]]*0.15</f>
        <v>1004.0126457560631</v>
      </c>
      <c r="N25" s="30"/>
      <c r="O25" s="30"/>
      <c r="P25" s="30"/>
      <c r="Q25" s="39">
        <f>Q31/(63800*Q32)</f>
        <v>6693.417638373754</v>
      </c>
      <c r="R25" s="49"/>
      <c r="S25" s="30"/>
    </row>
    <row r="26" spans="1:19" x14ac:dyDescent="0.3">
      <c r="A26" s="42" t="s">
        <v>1</v>
      </c>
      <c r="B26" s="45" t="s">
        <v>14</v>
      </c>
      <c r="C26" s="36" t="s">
        <v>22</v>
      </c>
      <c r="D26" s="48" t="s">
        <v>52</v>
      </c>
      <c r="E26" s="48"/>
      <c r="F26" s="48"/>
      <c r="G26" s="49">
        <v>7</v>
      </c>
      <c r="H26" s="49" t="s">
        <v>111</v>
      </c>
      <c r="I26" s="49" t="s">
        <v>17</v>
      </c>
      <c r="J26" s="49" t="s">
        <v>40</v>
      </c>
      <c r="K26" s="30"/>
      <c r="L26" s="30"/>
      <c r="M26" s="30">
        <f>Table14232425[[#This Row],[Mean]]*0.15</f>
        <v>12000000</v>
      </c>
      <c r="N26" s="30"/>
      <c r="O26" s="30"/>
      <c r="P26" s="30"/>
      <c r="Q26" s="37">
        <v>80000000</v>
      </c>
      <c r="R26" s="49"/>
      <c r="S26" s="30"/>
    </row>
    <row r="27" spans="1:19" x14ac:dyDescent="0.3">
      <c r="A27" s="42" t="s">
        <v>1</v>
      </c>
      <c r="B27" s="45" t="s">
        <v>14</v>
      </c>
      <c r="C27" s="48" t="s">
        <v>53</v>
      </c>
      <c r="D27" s="48"/>
      <c r="E27" s="48"/>
      <c r="F27" s="48"/>
      <c r="G27" s="52"/>
      <c r="H27" s="52" t="s">
        <v>111</v>
      </c>
      <c r="I27" s="52" t="s">
        <v>17</v>
      </c>
      <c r="J27" s="52" t="s">
        <v>54</v>
      </c>
      <c r="K27" s="41"/>
      <c r="L27" s="41"/>
      <c r="M27" s="41">
        <f>Table14232425[[#This Row],[Mean]]*0.1</f>
        <v>12000000</v>
      </c>
      <c r="N27" s="30"/>
      <c r="O27" s="41"/>
      <c r="P27" s="30"/>
      <c r="Q27" s="53">
        <f>IF(Q29="PV",120000000,IF(Q29="OPV",80000000,"Choose a technology"))</f>
        <v>120000000</v>
      </c>
      <c r="R27" s="52"/>
      <c r="S27" s="30"/>
    </row>
    <row r="28" spans="1:19" x14ac:dyDescent="0.3">
      <c r="B28" s="45" t="s">
        <v>14</v>
      </c>
      <c r="C28" s="60" t="s">
        <v>137</v>
      </c>
      <c r="D28" s="60"/>
      <c r="E28" s="60"/>
      <c r="F28" s="60"/>
      <c r="G28" s="52"/>
      <c r="H28" s="52"/>
      <c r="I28" s="52" t="s">
        <v>106</v>
      </c>
      <c r="J28" s="52"/>
      <c r="K28" s="41"/>
      <c r="L28" s="41"/>
      <c r="M28" s="41"/>
      <c r="N28" s="41"/>
      <c r="O28" s="41"/>
      <c r="P28" s="41"/>
      <c r="Q28" s="34" t="s">
        <v>139</v>
      </c>
      <c r="R28" s="52"/>
      <c r="S28" s="30"/>
    </row>
    <row r="29" spans="1:19" x14ac:dyDescent="0.3">
      <c r="B29" s="45" t="s">
        <v>14</v>
      </c>
      <c r="C29" s="60" t="s">
        <v>138</v>
      </c>
      <c r="D29" s="60"/>
      <c r="E29" s="60"/>
      <c r="F29" s="60"/>
      <c r="G29" s="52"/>
      <c r="H29" s="52"/>
      <c r="I29" s="52" t="s">
        <v>106</v>
      </c>
      <c r="J29" s="52"/>
      <c r="K29" s="41"/>
      <c r="L29" s="41"/>
      <c r="M29" s="41"/>
      <c r="N29" s="41"/>
      <c r="O29" s="41"/>
      <c r="P29" s="41"/>
      <c r="Q29" s="34" t="s">
        <v>140</v>
      </c>
      <c r="R29" s="52"/>
      <c r="S29" s="30"/>
    </row>
    <row r="30" spans="1:19" x14ac:dyDescent="0.3">
      <c r="B30" s="45" t="s">
        <v>14</v>
      </c>
      <c r="C30" s="60" t="s">
        <v>127</v>
      </c>
      <c r="D30" s="60"/>
      <c r="E30" s="60"/>
      <c r="F30" s="60"/>
      <c r="G30" s="52"/>
      <c r="H30" s="52" t="s">
        <v>128</v>
      </c>
      <c r="I30" s="52" t="s">
        <v>106</v>
      </c>
      <c r="J30" s="52"/>
      <c r="K30" s="41"/>
      <c r="L30" s="41"/>
      <c r="M30" s="41"/>
      <c r="N30" s="41"/>
      <c r="O30" s="41"/>
      <c r="P30" s="41"/>
      <c r="Q30" s="53">
        <f>IF(Q29="PV",11,IF(Q29="OPV",0.5,"Choose Technology"))</f>
        <v>11</v>
      </c>
      <c r="R30" s="52"/>
      <c r="S30" s="41"/>
    </row>
    <row r="31" spans="1:19" x14ac:dyDescent="0.3">
      <c r="B31" s="45" t="s">
        <v>14</v>
      </c>
      <c r="C31" s="60" t="s">
        <v>146</v>
      </c>
      <c r="D31" s="60"/>
      <c r="E31" s="60"/>
      <c r="F31" s="60"/>
      <c r="G31" s="52"/>
      <c r="H31" s="52" t="s">
        <v>147</v>
      </c>
      <c r="I31" s="52" t="s">
        <v>106</v>
      </c>
      <c r="J31" s="52"/>
      <c r="K31" s="41"/>
      <c r="L31" s="41"/>
      <c r="M31" s="41"/>
      <c r="N31" s="41"/>
      <c r="O31" s="41"/>
      <c r="P31" s="41"/>
      <c r="Q31" s="41">
        <f>Q30*Q22</f>
        <v>213520022.66412276</v>
      </c>
      <c r="R31" s="52"/>
      <c r="S31" s="41"/>
    </row>
    <row r="32" spans="1:19" x14ac:dyDescent="0.3">
      <c r="B32" s="45" t="s">
        <v>14</v>
      </c>
      <c r="C32" s="60" t="s">
        <v>148</v>
      </c>
      <c r="D32" s="60"/>
      <c r="E32" s="60"/>
      <c r="F32" s="60"/>
      <c r="G32" s="52"/>
      <c r="H32" s="52"/>
      <c r="I32" s="52"/>
      <c r="J32" s="52"/>
      <c r="K32" s="41"/>
      <c r="L32" s="41"/>
      <c r="M32" s="41"/>
      <c r="N32" s="41"/>
      <c r="O32" s="41"/>
      <c r="P32" s="41"/>
      <c r="Q32" s="41">
        <f>IF(Q29="PV",0.5,IF(Q29="OPV",0.9,"Choose a technology"))</f>
        <v>0.5</v>
      </c>
      <c r="R32" s="52"/>
      <c r="S32" s="41"/>
    </row>
    <row r="33" spans="2:18" x14ac:dyDescent="0.3">
      <c r="B33" s="45" t="s">
        <v>14</v>
      </c>
      <c r="C33" s="60" t="s">
        <v>129</v>
      </c>
      <c r="D33" s="60"/>
      <c r="E33" s="61"/>
      <c r="F33" s="61"/>
      <c r="G33" s="52"/>
      <c r="H33" s="52" t="s">
        <v>130</v>
      </c>
      <c r="I33" s="52" t="s">
        <v>106</v>
      </c>
      <c r="J33" s="52"/>
      <c r="K33" s="41"/>
      <c r="L33" s="41"/>
      <c r="M33" s="41"/>
      <c r="N33" s="41"/>
      <c r="O33" s="41"/>
      <c r="P33" s="41"/>
      <c r="Q33" s="63">
        <v>2.5000000000000001E-3</v>
      </c>
      <c r="R33" s="52"/>
    </row>
    <row r="34" spans="2:18" x14ac:dyDescent="0.3">
      <c r="B34" s="45" t="s">
        <v>14</v>
      </c>
      <c r="C34" s="60" t="s">
        <v>133</v>
      </c>
      <c r="D34" s="60"/>
      <c r="E34" s="61"/>
      <c r="F34" s="61"/>
      <c r="G34" s="52"/>
      <c r="H34" s="52" t="s">
        <v>36</v>
      </c>
      <c r="I34" s="52" t="s">
        <v>106</v>
      </c>
      <c r="J34" s="52"/>
      <c r="K34" s="41"/>
      <c r="L34" s="41"/>
      <c r="M34" s="41"/>
      <c r="N34" s="41"/>
      <c r="O34" s="41"/>
      <c r="P34" s="41"/>
      <c r="Q34" s="53">
        <f>VLOOKUP(H2,Information!B81:C84,2,FALSE)</f>
        <v>0.2</v>
      </c>
      <c r="R34" s="52"/>
    </row>
    <row r="35" spans="2:18" x14ac:dyDescent="0.3">
      <c r="B35" s="45" t="s">
        <v>14</v>
      </c>
      <c r="C35" s="60" t="s">
        <v>132</v>
      </c>
      <c r="D35" s="60"/>
      <c r="E35" s="61"/>
      <c r="F35" s="61"/>
      <c r="G35" s="52"/>
      <c r="H35" s="52" t="s">
        <v>36</v>
      </c>
      <c r="I35" s="52" t="s">
        <v>106</v>
      </c>
      <c r="J35" s="52"/>
      <c r="K35" s="41"/>
      <c r="L35" s="41"/>
      <c r="M35" s="41"/>
      <c r="N35" s="41"/>
      <c r="O35" s="41"/>
      <c r="P35" s="41"/>
      <c r="Q35" s="62">
        <f>0.9*0.7*0.98*0.95*0.78*0.9*0.92</f>
        <v>0.37880453519999996</v>
      </c>
      <c r="R35" s="52"/>
    </row>
    <row r="36" spans="2:18" x14ac:dyDescent="0.3">
      <c r="B36" s="45" t="s">
        <v>14</v>
      </c>
      <c r="C36" s="60" t="s">
        <v>135</v>
      </c>
      <c r="D36" s="60"/>
      <c r="E36" s="61"/>
      <c r="F36" s="61"/>
      <c r="G36" s="52"/>
      <c r="H36" s="52" t="s">
        <v>136</v>
      </c>
      <c r="I36" s="52" t="s">
        <v>106</v>
      </c>
      <c r="J36" s="52"/>
      <c r="K36" s="41"/>
      <c r="L36" s="41"/>
      <c r="M36" s="41"/>
      <c r="N36" s="41"/>
      <c r="O36" s="41"/>
      <c r="P36" s="41"/>
      <c r="Q36" s="62">
        <v>2000</v>
      </c>
      <c r="R36" s="52"/>
    </row>
    <row r="37" spans="2:18" x14ac:dyDescent="0.3">
      <c r="B37" s="45" t="s">
        <v>14</v>
      </c>
      <c r="C37" s="60" t="s">
        <v>131</v>
      </c>
      <c r="D37" s="60"/>
      <c r="E37" s="61"/>
      <c r="F37" s="61"/>
      <c r="G37" s="52"/>
      <c r="H37" s="52" t="s">
        <v>134</v>
      </c>
      <c r="I37" s="52" t="s">
        <v>106</v>
      </c>
      <c r="J37" s="52"/>
      <c r="K37" s="41"/>
      <c r="L37" s="41"/>
      <c r="M37" s="41"/>
      <c r="N37" s="41"/>
      <c r="O37" s="41"/>
      <c r="P37" s="41"/>
      <c r="Q37" s="62">
        <f>1360/1000000</f>
        <v>1.3600000000000001E-3</v>
      </c>
      <c r="R37" s="52"/>
    </row>
  </sheetData>
  <dataValidations count="2">
    <dataValidation type="list" allowBlank="1" showInputMessage="1" showErrorMessage="1" sqref="Q28" xr:uid="{941FB18E-C390-4BC5-8376-0A450E6702B4}">
      <formula1>"Scenario 1, Scenario 2"</formula1>
    </dataValidation>
    <dataValidation type="list" allowBlank="1" showInputMessage="1" showErrorMessage="1" sqref="Q29" xr:uid="{0FD002B5-56F8-4291-9526-D3F8E111639E}">
      <formula1>"PV, OPV"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9550-DE06-495F-B55A-C122C7BE7828}">
  <dimension ref="A2:S28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0.15*Table142324[[#This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17</v>
      </c>
      <c r="K6" s="7" t="s">
        <v>18</v>
      </c>
      <c r="L6" s="21"/>
      <c r="M6" s="21"/>
      <c r="N6" s="23">
        <f>0.15*Table142324[[#This Row],[Mean]]</f>
        <v>50.197500000000005</v>
      </c>
      <c r="O6" s="21"/>
      <c r="P6" s="21"/>
      <c r="Q6" s="21"/>
      <c r="R6" s="23">
        <f>0.05*R25</f>
        <v>334.65000000000003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17</v>
      </c>
      <c r="K7" s="7" t="s">
        <v>109</v>
      </c>
      <c r="L7" s="21"/>
      <c r="M7" s="21"/>
      <c r="N7" s="31">
        <f>0.1*Table142324[[#This Row],[Mean]]</f>
        <v>9000000</v>
      </c>
      <c r="O7" s="21"/>
      <c r="P7" s="21"/>
      <c r="Q7" s="21"/>
      <c r="R7" s="26">
        <v>90000000</v>
      </c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17</v>
      </c>
      <c r="K8" s="16" t="s">
        <v>18</v>
      </c>
      <c r="L8" s="22"/>
      <c r="M8" s="22"/>
      <c r="N8" s="32">
        <f>0.15*Table142324[[#This Row],[Mean]]</f>
        <v>375000</v>
      </c>
      <c r="O8" s="22"/>
      <c r="P8" s="22"/>
      <c r="Q8" s="22"/>
      <c r="R8" s="32">
        <f>0.05*R27</f>
        <v>2500000</v>
      </c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37">
        <f>0.15*Table142324[[#This Row],[Mean]]</f>
        <v>320280</v>
      </c>
      <c r="O9" s="21"/>
      <c r="P9" s="21"/>
      <c r="Q9" s="21"/>
      <c r="R9" s="36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0.1*Table142324[[#This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17</v>
      </c>
      <c r="K16" s="7" t="s">
        <v>18</v>
      </c>
      <c r="L16" s="21"/>
      <c r="M16" s="21"/>
      <c r="N16" s="15">
        <v>2.3999999999999998E-3</v>
      </c>
      <c r="O16" s="21"/>
      <c r="P16" s="21"/>
      <c r="Q16" s="21"/>
      <c r="R16" s="15">
        <v>1.2E-2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17</v>
      </c>
      <c r="K25" s="7" t="s">
        <v>40</v>
      </c>
      <c r="L25" s="21"/>
      <c r="M25" s="21"/>
      <c r="N25" s="23">
        <f>Table142324[[#This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17</v>
      </c>
      <c r="K26" s="7" t="s">
        <v>40</v>
      </c>
      <c r="L26" s="21"/>
      <c r="M26" s="21"/>
      <c r="N26" s="35">
        <f>Table142324[[#This Row],[Mean]]*0.15</f>
        <v>15000000</v>
      </c>
      <c r="O26" s="21"/>
      <c r="P26" s="21"/>
      <c r="Q26" s="21"/>
      <c r="R26" s="30">
        <v>100000000</v>
      </c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17</v>
      </c>
      <c r="K27" s="16" t="s">
        <v>54</v>
      </c>
      <c r="L27" s="22"/>
      <c r="M27" s="22"/>
      <c r="N27" s="33">
        <f>Table142324[[#This Row],[Mean]]*0.15</f>
        <v>7500000</v>
      </c>
      <c r="O27" s="21"/>
      <c r="P27" s="22"/>
      <c r="Q27" s="21"/>
      <c r="R27" s="34">
        <v>50000000</v>
      </c>
      <c r="S27" s="16"/>
    </row>
    <row r="28" spans="1:19" x14ac:dyDescent="0.3">
      <c r="A28" s="1" t="s">
        <v>1</v>
      </c>
      <c r="B28" s="4" t="s">
        <v>14</v>
      </c>
      <c r="C28" s="27" t="s">
        <v>127</v>
      </c>
      <c r="D28" s="27"/>
      <c r="E28" s="28"/>
      <c r="F28" s="28"/>
      <c r="G28" s="16"/>
      <c r="H28" s="16"/>
      <c r="I28" s="16" t="s">
        <v>128</v>
      </c>
      <c r="J28" s="16"/>
      <c r="K28" s="16"/>
      <c r="L28" s="22"/>
      <c r="M28" s="22"/>
      <c r="N28" s="22"/>
      <c r="O28" s="22"/>
      <c r="P28" s="22"/>
      <c r="Q28" s="22"/>
      <c r="R28" s="29">
        <v>11</v>
      </c>
      <c r="S28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2A7-C5E8-40FF-86F2-64C01806B27A}">
  <dimension ref="A2:S27"/>
  <sheetViews>
    <sheetView workbookViewId="0">
      <pane ySplit="3" topLeftCell="A12" activePane="bottomLeft" state="frozen"/>
      <selection pane="bottomLeft"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42</v>
      </c>
      <c r="K6" s="7" t="s">
        <v>18</v>
      </c>
      <c r="L6" s="21"/>
      <c r="M6" s="21"/>
      <c r="N6" s="23">
        <v>1.5</v>
      </c>
      <c r="O6" s="21"/>
      <c r="P6" s="21"/>
      <c r="Q6" s="21"/>
      <c r="R6" s="15">
        <v>10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28</v>
      </c>
      <c r="K7" s="7" t="s">
        <v>109</v>
      </c>
      <c r="L7" s="21"/>
      <c r="M7" s="21"/>
      <c r="N7" s="21"/>
      <c r="O7" s="23">
        <v>4440000</v>
      </c>
      <c r="P7" s="21"/>
      <c r="Q7" s="23">
        <v>20.25</v>
      </c>
      <c r="R7" s="21"/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28</v>
      </c>
      <c r="K8" s="16" t="s">
        <v>18</v>
      </c>
      <c r="L8" s="22"/>
      <c r="M8" s="22"/>
      <c r="N8" s="22"/>
      <c r="O8" s="22">
        <v>10000</v>
      </c>
      <c r="P8" s="22"/>
      <c r="Q8" s="22">
        <v>2</v>
      </c>
      <c r="R8" s="22"/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24">
        <f>0.15*Table1423[[#This Row],[Mean]]</f>
        <v>320280</v>
      </c>
      <c r="O9" s="21"/>
      <c r="P9" s="21"/>
      <c r="Q9" s="21"/>
      <c r="R9" s="15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42</v>
      </c>
      <c r="K16" s="7" t="s">
        <v>18</v>
      </c>
      <c r="L16" s="21"/>
      <c r="M16" s="21"/>
      <c r="N16" s="15">
        <v>0.24</v>
      </c>
      <c r="O16" s="21"/>
      <c r="P16" s="21"/>
      <c r="Q16" s="21"/>
      <c r="R16" s="15">
        <v>1.2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42</v>
      </c>
      <c r="K25" s="7" t="s">
        <v>40</v>
      </c>
      <c r="L25" s="21"/>
      <c r="M25" s="21"/>
      <c r="N25" s="23">
        <f>Table1423[[#This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28</v>
      </c>
      <c r="K26" s="7" t="s">
        <v>40</v>
      </c>
      <c r="L26" s="21"/>
      <c r="M26" s="21"/>
      <c r="N26" s="21"/>
      <c r="O26" s="23">
        <v>4440000</v>
      </c>
      <c r="P26" s="21"/>
      <c r="Q26" s="23">
        <v>20.25</v>
      </c>
      <c r="R26" s="21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28</v>
      </c>
      <c r="K27" s="16" t="s">
        <v>54</v>
      </c>
      <c r="L27" s="22"/>
      <c r="M27" s="22"/>
      <c r="N27" s="22"/>
      <c r="O27" s="22">
        <v>50000000</v>
      </c>
      <c r="P27" s="22"/>
      <c r="Q27" s="22">
        <v>2</v>
      </c>
      <c r="R27" s="22"/>
      <c r="S27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78F6-6E39-4770-8022-A43862711695}">
  <dimension ref="B2:G84"/>
  <sheetViews>
    <sheetView topLeftCell="A74" workbookViewId="0">
      <selection activeCell="C85" sqref="C85"/>
    </sheetView>
  </sheetViews>
  <sheetFormatPr defaultRowHeight="14.4" x14ac:dyDescent="0.3"/>
  <cols>
    <col min="2" max="2" width="14.33203125" customWidth="1"/>
    <col min="6" max="6" width="12.44140625" bestFit="1" customWidth="1"/>
    <col min="7" max="7" width="10.88671875" bestFit="1" customWidth="1"/>
  </cols>
  <sheetData>
    <row r="2" spans="2:7" x14ac:dyDescent="0.3">
      <c r="B2" t="s">
        <v>69</v>
      </c>
      <c r="C2" s="40" t="s">
        <v>70</v>
      </c>
      <c r="D2" s="40"/>
    </row>
    <row r="3" spans="2:7" x14ac:dyDescent="0.3">
      <c r="B3" t="s">
        <v>65</v>
      </c>
      <c r="C3" t="s">
        <v>62</v>
      </c>
      <c r="D3" t="s">
        <v>71</v>
      </c>
    </row>
    <row r="4" spans="2:7" x14ac:dyDescent="0.3">
      <c r="B4" t="s">
        <v>17</v>
      </c>
      <c r="C4" t="s">
        <v>12</v>
      </c>
      <c r="D4" t="s">
        <v>11</v>
      </c>
    </row>
    <row r="5" spans="2:7" x14ac:dyDescent="0.3">
      <c r="B5" t="s">
        <v>20</v>
      </c>
      <c r="C5" t="s">
        <v>63</v>
      </c>
    </row>
    <row r="6" spans="2:7" x14ac:dyDescent="0.3">
      <c r="B6" t="s">
        <v>25</v>
      </c>
      <c r="C6" t="s">
        <v>24</v>
      </c>
    </row>
    <row r="7" spans="2:7" x14ac:dyDescent="0.3">
      <c r="B7" t="s">
        <v>28</v>
      </c>
      <c r="C7" t="s">
        <v>64</v>
      </c>
      <c r="D7" t="s">
        <v>63</v>
      </c>
    </row>
    <row r="8" spans="2:7" x14ac:dyDescent="0.3">
      <c r="B8" t="s">
        <v>66</v>
      </c>
      <c r="C8" t="s">
        <v>64</v>
      </c>
      <c r="D8" t="s">
        <v>63</v>
      </c>
      <c r="F8" t="s">
        <v>102</v>
      </c>
      <c r="G8" t="s">
        <v>103</v>
      </c>
    </row>
    <row r="9" spans="2:7" x14ac:dyDescent="0.3">
      <c r="B9" t="s">
        <v>67</v>
      </c>
      <c r="C9" t="s">
        <v>12</v>
      </c>
      <c r="D9" t="s">
        <v>11</v>
      </c>
    </row>
    <row r="10" spans="2:7" x14ac:dyDescent="0.3">
      <c r="B10" t="s">
        <v>68</v>
      </c>
      <c r="C10" t="s">
        <v>62</v>
      </c>
      <c r="D10" t="s">
        <v>71</v>
      </c>
    </row>
    <row r="15" spans="2:7" x14ac:dyDescent="0.3">
      <c r="B15" s="17" t="s">
        <v>24</v>
      </c>
      <c r="C15" t="s">
        <v>72</v>
      </c>
    </row>
    <row r="16" spans="2:7" x14ac:dyDescent="0.3">
      <c r="B16" s="17" t="s">
        <v>73</v>
      </c>
    </row>
    <row r="17" spans="2:3" x14ac:dyDescent="0.3">
      <c r="B17" s="17" t="s">
        <v>74</v>
      </c>
    </row>
    <row r="18" spans="2:3" x14ac:dyDescent="0.3">
      <c r="B18" s="17" t="s">
        <v>75</v>
      </c>
    </row>
    <row r="19" spans="2:3" x14ac:dyDescent="0.3">
      <c r="B19" s="17" t="s">
        <v>76</v>
      </c>
    </row>
    <row r="23" spans="2:3" x14ac:dyDescent="0.3">
      <c r="B23" t="s">
        <v>77</v>
      </c>
    </row>
    <row r="25" spans="2:3" x14ac:dyDescent="0.3">
      <c r="C25" s="17" t="s">
        <v>78</v>
      </c>
    </row>
    <row r="26" spans="2:3" x14ac:dyDescent="0.3">
      <c r="C26" s="17" t="s">
        <v>79</v>
      </c>
    </row>
    <row r="27" spans="2:3" x14ac:dyDescent="0.3">
      <c r="C27" s="17" t="s">
        <v>80</v>
      </c>
    </row>
    <row r="30" spans="2:3" x14ac:dyDescent="0.3">
      <c r="B30" t="s">
        <v>28</v>
      </c>
    </row>
    <row r="33" spans="3:3" x14ac:dyDescent="0.3">
      <c r="C33" t="s">
        <v>81</v>
      </c>
    </row>
    <row r="35" spans="3:3" ht="15.6" x14ac:dyDescent="0.3">
      <c r="C35" s="18" t="s">
        <v>82</v>
      </c>
    </row>
    <row r="36" spans="3:3" x14ac:dyDescent="0.3">
      <c r="C36" s="19"/>
    </row>
    <row r="37" spans="3:3" x14ac:dyDescent="0.3">
      <c r="C37" s="20" t="s">
        <v>83</v>
      </c>
    </row>
    <row r="38" spans="3:3" x14ac:dyDescent="0.3">
      <c r="C38" s="20" t="s">
        <v>84</v>
      </c>
    </row>
    <row r="40" spans="3:3" ht="15.6" x14ac:dyDescent="0.3">
      <c r="C40" s="18" t="s">
        <v>85</v>
      </c>
    </row>
    <row r="42" spans="3:3" x14ac:dyDescent="0.3">
      <c r="C42" t="s">
        <v>86</v>
      </c>
    </row>
    <row r="43" spans="3:3" x14ac:dyDescent="0.3">
      <c r="C43" s="19"/>
    </row>
    <row r="44" spans="3:3" x14ac:dyDescent="0.3">
      <c r="C44" s="19" t="s">
        <v>87</v>
      </c>
    </row>
    <row r="45" spans="3:3" x14ac:dyDescent="0.3">
      <c r="C45" s="19" t="s">
        <v>88</v>
      </c>
    </row>
    <row r="47" spans="3:3" ht="15.6" x14ac:dyDescent="0.3">
      <c r="C47" s="18" t="s">
        <v>89</v>
      </c>
    </row>
    <row r="48" spans="3:3" x14ac:dyDescent="0.3">
      <c r="C48" s="19"/>
    </row>
    <row r="49" spans="2:3" x14ac:dyDescent="0.3">
      <c r="C49" s="20" t="s">
        <v>90</v>
      </c>
    </row>
    <row r="50" spans="2:3" x14ac:dyDescent="0.3">
      <c r="C50" s="20" t="s">
        <v>91</v>
      </c>
    </row>
    <row r="53" spans="2:3" x14ac:dyDescent="0.3">
      <c r="B53" t="s">
        <v>66</v>
      </c>
    </row>
    <row r="55" spans="2:3" x14ac:dyDescent="0.3">
      <c r="C55" t="s">
        <v>92</v>
      </c>
    </row>
    <row r="57" spans="2:3" ht="15.6" x14ac:dyDescent="0.3">
      <c r="C57" s="18" t="s">
        <v>82</v>
      </c>
    </row>
    <row r="58" spans="2:3" x14ac:dyDescent="0.3">
      <c r="C58" s="19"/>
    </row>
    <row r="59" spans="2:3" x14ac:dyDescent="0.3">
      <c r="C59" s="20" t="s">
        <v>93</v>
      </c>
    </row>
    <row r="61" spans="2:3" ht="15.6" x14ac:dyDescent="0.3">
      <c r="C61" s="18" t="s">
        <v>85</v>
      </c>
    </row>
    <row r="63" spans="2:3" x14ac:dyDescent="0.3">
      <c r="C63" t="s">
        <v>94</v>
      </c>
    </row>
    <row r="64" spans="2:3" x14ac:dyDescent="0.3">
      <c r="C64" s="19"/>
    </row>
    <row r="65" spans="3:3" x14ac:dyDescent="0.3">
      <c r="C65" s="19" t="s">
        <v>95</v>
      </c>
    </row>
    <row r="66" spans="3:3" x14ac:dyDescent="0.3">
      <c r="C66" s="19" t="s">
        <v>96</v>
      </c>
    </row>
    <row r="68" spans="3:3" ht="15.6" x14ac:dyDescent="0.3">
      <c r="C68" s="18" t="s">
        <v>97</v>
      </c>
    </row>
    <row r="69" spans="3:3" x14ac:dyDescent="0.3">
      <c r="C69" s="19"/>
    </row>
    <row r="70" spans="3:3" x14ac:dyDescent="0.3">
      <c r="C70" s="20" t="s">
        <v>98</v>
      </c>
    </row>
    <row r="72" spans="3:3" x14ac:dyDescent="0.3">
      <c r="C72" t="s">
        <v>99</v>
      </c>
    </row>
    <row r="73" spans="3:3" x14ac:dyDescent="0.3">
      <c r="C73" s="19"/>
    </row>
    <row r="74" spans="3:3" x14ac:dyDescent="0.3">
      <c r="C74" s="19" t="s">
        <v>100</v>
      </c>
    </row>
    <row r="75" spans="3:3" x14ac:dyDescent="0.3">
      <c r="C75" s="19" t="s">
        <v>101</v>
      </c>
    </row>
    <row r="81" spans="2:3" x14ac:dyDescent="0.3">
      <c r="B81" t="s">
        <v>141</v>
      </c>
      <c r="C81">
        <v>0.2</v>
      </c>
    </row>
    <row r="82" spans="2:3" x14ac:dyDescent="0.3">
      <c r="B82" t="s">
        <v>142</v>
      </c>
      <c r="C82">
        <v>0.4</v>
      </c>
    </row>
    <row r="83" spans="2:3" x14ac:dyDescent="0.3">
      <c r="B83" t="s">
        <v>144</v>
      </c>
      <c r="C83">
        <v>0.1</v>
      </c>
    </row>
    <row r="84" spans="2:3" x14ac:dyDescent="0.3">
      <c r="B84" t="s">
        <v>143</v>
      </c>
      <c r="C84">
        <v>0.3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Programmed</vt:lpstr>
      <vt:lpstr>Todo Normal</vt:lpstr>
      <vt:lpstr>Sheet original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Niebla</dc:creator>
  <cp:lastModifiedBy>Bence Tanko-Bartalis</cp:lastModifiedBy>
  <dcterms:created xsi:type="dcterms:W3CDTF">2024-07-13T18:00:23Z</dcterms:created>
  <dcterms:modified xsi:type="dcterms:W3CDTF">2024-08-28T07:54:02Z</dcterms:modified>
</cp:coreProperties>
</file>