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heckCompatibility="1"/>
  <mc:AlternateContent xmlns:mc="http://schemas.openxmlformats.org/markup-compatibility/2006">
    <mc:Choice Requires="x15">
      <x15ac:absPath xmlns:x15ac="http://schemas.microsoft.com/office/spreadsheetml/2010/11/ac" url="/Users/megantabbutt/Desktop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_xlnm.Print_Area" localSheetId="0">Sheet1!$A$1:$V$37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H32" i="1"/>
  <c r="V32" i="1"/>
  <c r="H33" i="1"/>
  <c r="S33" i="1"/>
  <c r="V33" i="1"/>
  <c r="S31" i="1"/>
  <c r="U32" i="1"/>
  <c r="U33" i="1"/>
  <c r="T32" i="1"/>
  <c r="T33" i="1"/>
  <c r="P31" i="1"/>
  <c r="P32" i="1"/>
  <c r="R32" i="1"/>
  <c r="P33" i="1"/>
  <c r="R33" i="1"/>
  <c r="Q32" i="1"/>
  <c r="Q33" i="1"/>
  <c r="J32" i="1"/>
  <c r="H31" i="1"/>
  <c r="J31" i="1"/>
  <c r="L32" i="1"/>
  <c r="J33" i="1"/>
  <c r="L33" i="1"/>
  <c r="K32" i="1"/>
  <c r="K33" i="1"/>
  <c r="I33" i="1"/>
  <c r="I32" i="1"/>
  <c r="P6" i="1"/>
  <c r="S6" i="1"/>
  <c r="H6" i="1"/>
  <c r="V6" i="1"/>
  <c r="P7" i="1"/>
  <c r="S7" i="1"/>
  <c r="H7" i="1"/>
  <c r="V7" i="1"/>
  <c r="P8" i="1"/>
  <c r="S8" i="1"/>
  <c r="H8" i="1"/>
  <c r="V8" i="1"/>
  <c r="P9" i="1"/>
  <c r="S9" i="1"/>
  <c r="H9" i="1"/>
  <c r="V9" i="1"/>
  <c r="P10" i="1"/>
  <c r="S10" i="1"/>
  <c r="H10" i="1"/>
  <c r="V10" i="1"/>
  <c r="P11" i="1"/>
  <c r="S11" i="1"/>
  <c r="H11" i="1"/>
  <c r="V11" i="1"/>
  <c r="H12" i="1"/>
  <c r="V12" i="1"/>
  <c r="P13" i="1"/>
  <c r="S13" i="1"/>
  <c r="H13" i="1"/>
  <c r="V13" i="1"/>
  <c r="H15" i="1"/>
  <c r="V15" i="1"/>
  <c r="H16" i="1"/>
  <c r="V16" i="1"/>
  <c r="H17" i="1"/>
  <c r="V17" i="1"/>
  <c r="H18" i="1"/>
  <c r="V18" i="1"/>
  <c r="H19" i="1"/>
  <c r="V19" i="1"/>
  <c r="S20" i="1"/>
  <c r="H20" i="1"/>
  <c r="V20" i="1"/>
  <c r="S21" i="1"/>
  <c r="H21" i="1"/>
  <c r="V21" i="1"/>
  <c r="S22" i="1"/>
  <c r="H22" i="1"/>
  <c r="V22" i="1"/>
  <c r="S23" i="1"/>
  <c r="H23" i="1"/>
  <c r="V23" i="1"/>
  <c r="S24" i="1"/>
  <c r="H24" i="1"/>
  <c r="V24" i="1"/>
  <c r="S25" i="1"/>
  <c r="D25" i="1"/>
  <c r="H25" i="1"/>
  <c r="V25" i="1"/>
  <c r="S26" i="1"/>
  <c r="H26" i="1"/>
  <c r="V26" i="1"/>
  <c r="S27" i="1"/>
  <c r="H27" i="1"/>
  <c r="V27" i="1"/>
  <c r="H28" i="1"/>
  <c r="S28" i="1"/>
  <c r="V28" i="1"/>
  <c r="H29" i="1"/>
  <c r="S29" i="1"/>
  <c r="V29" i="1"/>
  <c r="H30" i="1"/>
  <c r="S30" i="1"/>
  <c r="V30" i="1"/>
  <c r="V31" i="1"/>
  <c r="P5" i="1"/>
  <c r="S5" i="1"/>
  <c r="H5" i="1"/>
  <c r="V5" i="1"/>
  <c r="P30" i="1"/>
  <c r="P29" i="1"/>
  <c r="P28" i="1"/>
  <c r="P27" i="1"/>
  <c r="P26" i="1"/>
  <c r="P25" i="1"/>
  <c r="P24" i="1"/>
  <c r="I23" i="1"/>
  <c r="I24" i="1"/>
  <c r="I25" i="1"/>
  <c r="I26" i="1"/>
  <c r="I27" i="1"/>
  <c r="I28" i="1"/>
  <c r="I29" i="1"/>
  <c r="I30" i="1"/>
  <c r="I31" i="1"/>
  <c r="U27" i="1"/>
  <c r="U28" i="1"/>
  <c r="U29" i="1"/>
  <c r="U30" i="1"/>
  <c r="U31" i="1"/>
  <c r="J18" i="1"/>
  <c r="J17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L31" i="1"/>
  <c r="T24" i="1"/>
  <c r="T25" i="1"/>
  <c r="T26" i="1"/>
  <c r="T27" i="1"/>
  <c r="T28" i="1"/>
  <c r="T29" i="1"/>
  <c r="T30" i="1"/>
  <c r="T31" i="1"/>
  <c r="T23" i="1"/>
  <c r="P23" i="1"/>
  <c r="T22" i="1"/>
  <c r="I22" i="1"/>
  <c r="P22" i="1"/>
  <c r="I21" i="1"/>
  <c r="T21" i="1"/>
  <c r="U21" i="1"/>
  <c r="P21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5" i="1"/>
  <c r="H3" i="1"/>
  <c r="I3" i="1"/>
  <c r="H4" i="1"/>
  <c r="I4" i="1"/>
  <c r="I5" i="1"/>
  <c r="I6" i="1"/>
  <c r="I7" i="1"/>
  <c r="I8" i="1"/>
  <c r="I9" i="1"/>
  <c r="I10" i="1"/>
  <c r="I11" i="1"/>
  <c r="I12" i="1"/>
  <c r="I13" i="1"/>
  <c r="H14" i="1"/>
  <c r="I14" i="1"/>
  <c r="I15" i="1"/>
  <c r="I16" i="1"/>
  <c r="I17" i="1"/>
  <c r="I18" i="1"/>
  <c r="I19" i="1"/>
  <c r="I20" i="1"/>
  <c r="I2" i="1"/>
  <c r="U20" i="1"/>
  <c r="U22" i="1"/>
  <c r="U23" i="1"/>
  <c r="U24" i="1"/>
  <c r="U25" i="1"/>
  <c r="U26" i="1"/>
  <c r="P20" i="1"/>
  <c r="U15" i="1"/>
  <c r="U7" i="1"/>
  <c r="U8" i="1"/>
  <c r="U9" i="1"/>
  <c r="U10" i="1"/>
  <c r="U11" i="1"/>
  <c r="U12" i="1"/>
  <c r="U13" i="1"/>
  <c r="U16" i="1"/>
  <c r="U17" i="1"/>
  <c r="U18" i="1"/>
  <c r="U19" i="1"/>
  <c r="U6" i="1"/>
  <c r="P19" i="1"/>
  <c r="P18" i="1"/>
  <c r="P17" i="1"/>
  <c r="M16" i="1"/>
  <c r="N16" i="1"/>
  <c r="O16" i="1"/>
  <c r="P16" i="1"/>
  <c r="P15" i="1"/>
  <c r="P12" i="1"/>
  <c r="O15" i="1"/>
  <c r="O12" i="1"/>
  <c r="N15" i="1"/>
  <c r="N12" i="1"/>
  <c r="M15" i="1"/>
  <c r="M12" i="1"/>
  <c r="Q15" i="1"/>
  <c r="C32" i="1"/>
  <c r="C33" i="1"/>
  <c r="C34" i="1"/>
  <c r="C35" i="1"/>
  <c r="C36" i="1"/>
  <c r="C37" i="1"/>
  <c r="R29" i="1"/>
  <c r="R30" i="1"/>
  <c r="R31" i="1"/>
  <c r="R20" i="1"/>
  <c r="R21" i="1"/>
  <c r="R22" i="1"/>
  <c r="R23" i="1"/>
  <c r="R24" i="1"/>
  <c r="R25" i="1"/>
  <c r="R26" i="1"/>
  <c r="R27" i="1"/>
  <c r="R2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6" i="1"/>
  <c r="R6" i="1"/>
  <c r="J5" i="1"/>
  <c r="J4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L17" i="1"/>
  <c r="J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J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</calcChain>
</file>

<file path=xl/comments1.xml><?xml version="1.0" encoding="utf-8"?>
<comments xmlns="http://schemas.openxmlformats.org/spreadsheetml/2006/main">
  <authors>
    <author>Microsoft Office User</author>
  </authors>
  <commentList>
    <comment ref="P18" authorId="0">
      <text>
        <r>
          <rPr>
            <b/>
            <sz val="10"/>
            <color indexed="81"/>
            <rFont val="Calibri"/>
          </rPr>
          <t>This day, the big guy molted first and the others hadnt yet, maybe why discrepancy in weight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<sst xmlns="http://schemas.openxmlformats.org/spreadsheetml/2006/main" count="22" uniqueCount="22">
  <si>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Day of Project</t>
  </si>
  <si>
    <t>Day Old (since Hatched)</t>
  </si>
  <si>
    <t>Diameter Measured (mm)</t>
  </si>
  <si>
    <t>Approx Vol Calculated (cumbic meters)</t>
  </si>
  <si>
    <t>Volume Rate of Change (cubic mm/day)</t>
  </si>
  <si>
    <t>Percent difference from previous day</t>
  </si>
  <si>
    <t>Weight percent difference</t>
  </si>
  <si>
    <t>Length Meas. (mm)</t>
  </si>
  <si>
    <t>Uncert. in Length (mm)</t>
  </si>
  <si>
    <t>Uncert. in Diameter (mm)</t>
  </si>
  <si>
    <t>Approx Vol Calc  (Cubic mm)</t>
  </si>
  <si>
    <t>ln(weight big one)</t>
  </si>
  <si>
    <t>Ln(volume in mm)</t>
  </si>
  <si>
    <t>Density  of large one</t>
  </si>
  <si>
    <t>ln combined In 1.</t>
  </si>
  <si>
    <t>Weight of smallest (mg)</t>
  </si>
  <si>
    <t>Weight of middle       (mg)</t>
  </si>
  <si>
    <t>Weights of biggest       (mg)</t>
  </si>
  <si>
    <t>Average Weight    (mg)</t>
  </si>
  <si>
    <t>Weight Rate of Change (mg/day)</t>
  </si>
  <si>
    <t>Weight big one (mg)</t>
  </si>
  <si>
    <t>Weight bigRate of Change (mg/day)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</si>
</sst>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 Narrow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EDB5A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5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16" fontId="0" fillId="0" borderId="31" xfId="0" applyNumberFormat="1" applyFill="1" applyBorder="1"/>
    <xf numFmtId="0" fontId="0" fillId="0" borderId="31" xfId="0" applyFill="1" applyBorder="1"/>
    <xf numFmtId="164" fontId="0" fillId="0" borderId="31" xfId="0" applyNumberFormat="1" applyFill="1" applyBorder="1"/>
    <xf numFmtId="2" fontId="0" fillId="0" borderId="31" xfId="0" applyNumberFormat="1" applyFill="1" applyBorder="1"/>
    <xf numFmtId="16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3" borderId="1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4" borderId="12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16" fontId="0" fillId="4" borderId="10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64" fontId="0" fillId="4" borderId="27" xfId="0" applyNumberFormat="1" applyFill="1" applyBorder="1" applyAlignment="1">
      <alignment horizontal="center" vertical="center"/>
    </xf>
    <xf numFmtId="16" fontId="0" fillId="5" borderId="11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4" fontId="0" fillId="5" borderId="29" xfId="0" applyNumberFormat="1" applyFill="1" applyBorder="1" applyAlignment="1">
      <alignment horizontal="center" vertical="center"/>
    </xf>
    <xf numFmtId="16" fontId="0" fillId="5" borderId="12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16" fontId="0" fillId="6" borderId="1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" fontId="0" fillId="6" borderId="12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164" fontId="0" fillId="6" borderId="26" xfId="0" applyNumberFormat="1" applyFill="1" applyBorder="1" applyAlignment="1">
      <alignment horizontal="center" vertical="center"/>
    </xf>
    <xf numFmtId="16" fontId="0" fillId="6" borderId="10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164" fontId="0" fillId="6" borderId="27" xfId="0" applyNumberFormat="1" applyFill="1" applyBorder="1" applyAlignment="1">
      <alignment horizontal="center" vertical="center"/>
    </xf>
    <xf numFmtId="16" fontId="0" fillId="7" borderId="11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164" fontId="0" fillId="7" borderId="29" xfId="0" applyNumberFormat="1" applyFill="1" applyBorder="1" applyAlignment="1">
      <alignment horizontal="center" vertical="center"/>
    </xf>
    <xf numFmtId="16" fontId="0" fillId="7" borderId="12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" fontId="0" fillId="7" borderId="20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164" fontId="0" fillId="7" borderId="30" xfId="0" applyNumberFormat="1" applyFill="1" applyBorder="1" applyAlignment="1">
      <alignment horizontal="center" vertical="center"/>
    </xf>
    <xf numFmtId="16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22" xfId="0" applyNumberFormat="1" applyFill="1" applyBorder="1" applyAlignment="1">
      <alignment horizontal="center" vertical="center"/>
    </xf>
    <xf numFmtId="2" fontId="0" fillId="8" borderId="21" xfId="0" applyNumberFormat="1" applyFill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16" fontId="0" fillId="8" borderId="12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164" fontId="0" fillId="8" borderId="26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" fontId="0" fillId="8" borderId="10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164" fontId="0" fillId="8" borderId="2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B18F3"/>
      <color rgb="FFEDB5A7"/>
      <color rgb="FFFF00FF"/>
      <color rgb="FFA018F2"/>
      <color rgb="FF1CF1CC"/>
      <color rgb="FF00F6FF"/>
      <color rgb="FFEE89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Manduca:</a:t>
            </a:r>
            <a:r>
              <a:rPr lang="en-US" baseline="0"/>
              <a:t> </a:t>
            </a:r>
            <a:r>
              <a:rPr lang="en-US"/>
              <a:t>Volume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Sheet1!$H$3:$H$31</c:f>
              <c:numCache>
                <c:formatCode>0.0000</c:formatCode>
                <c:ptCount val="29"/>
                <c:pt idx="0">
                  <c:v>0.83448484375</c:v>
                </c:pt>
                <c:pt idx="1">
                  <c:v>2.6507165625</c:v>
                </c:pt>
                <c:pt idx="2">
                  <c:v>7.0685775</c:v>
                </c:pt>
                <c:pt idx="3">
                  <c:v>10.7378564453125</c:v>
                </c:pt>
                <c:pt idx="4">
                  <c:v>7.840230543750001</c:v>
                </c:pt>
                <c:pt idx="5">
                  <c:v>7.853975</c:v>
                </c:pt>
                <c:pt idx="6">
                  <c:v>12.4406964</c:v>
                </c:pt>
                <c:pt idx="7">
                  <c:v>17.70285965</c:v>
                </c:pt>
                <c:pt idx="8">
                  <c:v>26.1380288</c:v>
                </c:pt>
                <c:pt idx="9">
                  <c:v>41.1116321375</c:v>
                </c:pt>
                <c:pt idx="10">
                  <c:v>39.69398965</c:v>
                </c:pt>
                <c:pt idx="11">
                  <c:v>39.69398965</c:v>
                </c:pt>
                <c:pt idx="12">
                  <c:v>59.64112265625</c:v>
                </c:pt>
                <c:pt idx="13">
                  <c:v>100.8764549</c:v>
                </c:pt>
                <c:pt idx="14">
                  <c:v>124.73094046875</c:v>
                </c:pt>
                <c:pt idx="15">
                  <c:v>134.3029725</c:v>
                </c:pt>
                <c:pt idx="16">
                  <c:v>155.508705</c:v>
                </c:pt>
                <c:pt idx="17">
                  <c:v>254.02700390625</c:v>
                </c:pt>
                <c:pt idx="18">
                  <c:v>413.5117837499999</c:v>
                </c:pt>
                <c:pt idx="19">
                  <c:v>481.05596875</c:v>
                </c:pt>
                <c:pt idx="20">
                  <c:v>530.1433125</c:v>
                </c:pt>
                <c:pt idx="21">
                  <c:v>1032.272968795313</c:v>
                </c:pt>
                <c:pt idx="22">
                  <c:v>1645.65319921875</c:v>
                </c:pt>
                <c:pt idx="23">
                  <c:v>1971.88768578125</c:v>
                </c:pt>
                <c:pt idx="24">
                  <c:v>2086.01576</c:v>
                </c:pt>
                <c:pt idx="25">
                  <c:v>3508.6651565625</c:v>
                </c:pt>
                <c:pt idx="26">
                  <c:v>4946.556173359374</c:v>
                </c:pt>
                <c:pt idx="27">
                  <c:v>7460.09815375</c:v>
                </c:pt>
                <c:pt idx="28">
                  <c:v>10868.016446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23744"/>
        <c:axId val="2135554176"/>
      </c:scatterChart>
      <c:valAx>
        <c:axId val="2134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Hatched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54176"/>
        <c:crossesAt val="0.0"/>
        <c:crossBetween val="midCat"/>
      </c:valAx>
      <c:valAx>
        <c:axId val="21355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060703655622"/>
          <c:y val="0.90754563492275"/>
          <c:w val="0.22736743772143"/>
          <c:h val="0.0520272062305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(Instar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433404628153628"/>
                  <c:y val="0.361003329163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General</c:formatCode>
                <c:ptCount val="6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</c:numCache>
            </c:numRef>
          </c:xVal>
          <c:yVal>
            <c:numRef>
              <c:f>Sheet1!$H$28:$H$33</c:f>
              <c:numCache>
                <c:formatCode>0.0000</c:formatCode>
                <c:ptCount val="6"/>
                <c:pt idx="0">
                  <c:v>3508.6651565625</c:v>
                </c:pt>
                <c:pt idx="1">
                  <c:v>4946.556173359374</c:v>
                </c:pt>
                <c:pt idx="2">
                  <c:v>7460.09815375</c:v>
                </c:pt>
                <c:pt idx="3">
                  <c:v>10868.016446</c:v>
                </c:pt>
                <c:pt idx="4">
                  <c:v>14672.599745625</c:v>
                </c:pt>
                <c:pt idx="5">
                  <c:v>19603.5216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40208"/>
        <c:axId val="2136546256"/>
      </c:scatterChart>
      <c:valAx>
        <c:axId val="2136540208"/>
        <c:scaling>
          <c:orientation val="minMax"/>
          <c:min val="2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46256"/>
        <c:crossesAt val="0.0"/>
        <c:crossBetween val="midCat"/>
      </c:valAx>
      <c:valAx>
        <c:axId val="21365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(Instar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679092985067664"/>
                  <c:y val="0.371016014266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Sheet1!$H$3:$H$6</c:f>
              <c:numCache>
                <c:formatCode>0.0000</c:formatCode>
                <c:ptCount val="4"/>
                <c:pt idx="0">
                  <c:v>0.83448484375</c:v>
                </c:pt>
                <c:pt idx="1">
                  <c:v>2.6507165625</c:v>
                </c:pt>
                <c:pt idx="2">
                  <c:v>7.0685775</c:v>
                </c:pt>
                <c:pt idx="3">
                  <c:v>10.7378564453125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1504"/>
        <c:axId val="2133885232"/>
      </c:scatterChart>
      <c:valAx>
        <c:axId val="21338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85232"/>
        <c:crossesAt val="0.0"/>
        <c:crossBetween val="midCat"/>
      </c:valAx>
      <c:valAx>
        <c:axId val="21338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of the Largest Manduca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Sheet1!$V$3:$V$31</c:f>
              <c:numCache>
                <c:formatCode>0.0000</c:formatCode>
                <c:ptCount val="29"/>
                <c:pt idx="2">
                  <c:v>0.424413540065174</c:v>
                </c:pt>
                <c:pt idx="3">
                  <c:v>0.372513827165771</c:v>
                </c:pt>
                <c:pt idx="4">
                  <c:v>1.190441184254919</c:v>
                </c:pt>
                <c:pt idx="5">
                  <c:v>1.061033850162918</c:v>
                </c:pt>
                <c:pt idx="6">
                  <c:v>0.750225954660652</c:v>
                </c:pt>
                <c:pt idx="7">
                  <c:v>0.564880488108029</c:v>
                </c:pt>
                <c:pt idx="8">
                  <c:v>0.624887724254604</c:v>
                </c:pt>
                <c:pt idx="9">
                  <c:v>0.58377638522671</c:v>
                </c:pt>
                <c:pt idx="10">
                  <c:v>0.54584250305176</c:v>
                </c:pt>
                <c:pt idx="12">
                  <c:v>0.637144277431167</c:v>
                </c:pt>
                <c:pt idx="13">
                  <c:v>0.545221380494805</c:v>
                </c:pt>
                <c:pt idx="14">
                  <c:v>0.633363299459709</c:v>
                </c:pt>
                <c:pt idx="15">
                  <c:v>0.54354716534662</c:v>
                </c:pt>
                <c:pt idx="16">
                  <c:v>0.720216916474226</c:v>
                </c:pt>
                <c:pt idx="17">
                  <c:v>0.70464949492559</c:v>
                </c:pt>
                <c:pt idx="18">
                  <c:v>0.72549323088063</c:v>
                </c:pt>
                <c:pt idx="19">
                  <c:v>0.667282022992257</c:v>
                </c:pt>
                <c:pt idx="20">
                  <c:v>0.779034631319621</c:v>
                </c:pt>
                <c:pt idx="21">
                  <c:v>0.698458665290271</c:v>
                </c:pt>
                <c:pt idx="22">
                  <c:v>0.647767099718257</c:v>
                </c:pt>
                <c:pt idx="23">
                  <c:v>0.792134365087404</c:v>
                </c:pt>
                <c:pt idx="24">
                  <c:v>0.7166772316236</c:v>
                </c:pt>
                <c:pt idx="25">
                  <c:v>0.56431717238582</c:v>
                </c:pt>
                <c:pt idx="26">
                  <c:v>0.67137618246122</c:v>
                </c:pt>
                <c:pt idx="27">
                  <c:v>0.715138043769335</c:v>
                </c:pt>
                <c:pt idx="28">
                  <c:v>0.663966606588626</c:v>
                </c:pt>
              </c:numCache>
            </c:numRef>
          </c:yVal>
          <c:smooth val="0"/>
        </c:ser>
        <c:ser>
          <c:idx val="1"/>
          <c:order val="1"/>
          <c:tx>
            <c:v>Trendline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27774080710287"/>
                  <c:y val="0.141417330359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Sheet1!$C$9:$C$33</c:f>
              <c:numCache>
                <c:formatCode>General</c:formatCode>
                <c:ptCount val="2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</c:numCache>
            </c:numRef>
          </c:xVal>
          <c:yVal>
            <c:numRef>
              <c:f>Sheet1!$V$9:$V$33</c:f>
              <c:numCache>
                <c:formatCode>0.0000</c:formatCode>
                <c:ptCount val="25"/>
                <c:pt idx="0">
                  <c:v>0.750225954660652</c:v>
                </c:pt>
                <c:pt idx="1">
                  <c:v>0.564880488108029</c:v>
                </c:pt>
                <c:pt idx="2">
                  <c:v>0.624887724254604</c:v>
                </c:pt>
                <c:pt idx="3">
                  <c:v>0.58377638522671</c:v>
                </c:pt>
                <c:pt idx="4">
                  <c:v>0.54584250305176</c:v>
                </c:pt>
                <c:pt idx="6">
                  <c:v>0.637144277431167</c:v>
                </c:pt>
                <c:pt idx="7">
                  <c:v>0.545221380494805</c:v>
                </c:pt>
                <c:pt idx="8">
                  <c:v>0.633363299459709</c:v>
                </c:pt>
                <c:pt idx="9">
                  <c:v>0.54354716534662</c:v>
                </c:pt>
                <c:pt idx="10">
                  <c:v>0.720216916474226</c:v>
                </c:pt>
                <c:pt idx="11">
                  <c:v>0.70464949492559</c:v>
                </c:pt>
                <c:pt idx="12">
                  <c:v>0.72549323088063</c:v>
                </c:pt>
                <c:pt idx="13">
                  <c:v>0.667282022992257</c:v>
                </c:pt>
                <c:pt idx="14">
                  <c:v>0.779034631319621</c:v>
                </c:pt>
                <c:pt idx="15">
                  <c:v>0.698458665290271</c:v>
                </c:pt>
                <c:pt idx="16">
                  <c:v>0.647767099718257</c:v>
                </c:pt>
                <c:pt idx="17">
                  <c:v>0.792134365087404</c:v>
                </c:pt>
                <c:pt idx="18">
                  <c:v>0.7166772316236</c:v>
                </c:pt>
                <c:pt idx="19">
                  <c:v>0.56431717238582</c:v>
                </c:pt>
                <c:pt idx="20">
                  <c:v>0.67137618246122</c:v>
                </c:pt>
                <c:pt idx="21">
                  <c:v>0.715138043769335</c:v>
                </c:pt>
                <c:pt idx="22">
                  <c:v>0.663966606588626</c:v>
                </c:pt>
                <c:pt idx="23">
                  <c:v>0.642149323456424</c:v>
                </c:pt>
                <c:pt idx="24">
                  <c:v>0.551380523385145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5664"/>
        <c:axId val="2136571792"/>
      </c:scatterChart>
      <c:valAx>
        <c:axId val="21365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71792"/>
        <c:crosses val="autoZero"/>
        <c:crossBetween val="midCat"/>
      </c:valAx>
      <c:valAx>
        <c:axId val="21365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</a:t>
            </a:r>
            <a:r>
              <a:rPr lang="en-US" baseline="0"/>
              <a:t>vs Time  (Instar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015119258315215"/>
                  <c:y val="0.228643122164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Sheet1!$S$3:$S$6</c:f>
              <c:numCache>
                <c:formatCode>0.0000</c:formatCode>
                <c:ptCount val="4"/>
                <c:pt idx="2">
                  <c:v>3.00000000000004</c:v>
                </c:pt>
                <c:pt idx="3">
                  <c:v>4.000000000000004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56496"/>
        <c:axId val="2137462560"/>
      </c:scatterChart>
      <c:valAx>
        <c:axId val="2137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62560"/>
        <c:crosses val="autoZero"/>
        <c:crossBetween val="midCat"/>
      </c:valAx>
      <c:valAx>
        <c:axId val="21374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Weight vs Time  (Instar 2)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8029316540599"/>
                  <c:y val="0.238813333800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Sheet1!$S$7:$S$16</c:f>
              <c:numCache>
                <c:formatCode>0.0000</c:formatCode>
                <c:ptCount val="10"/>
                <c:pt idx="0">
                  <c:v>9.33333333333334</c:v>
                </c:pt>
                <c:pt idx="1">
                  <c:v>8.333333333333303</c:v>
                </c:pt>
                <c:pt idx="2">
                  <c:v>9.33333333333334</c:v>
                </c:pt>
                <c:pt idx="3">
                  <c:v>9.999999999999934</c:v>
                </c:pt>
                <c:pt idx="4">
                  <c:v>16.33333333333331</c:v>
                </c:pt>
                <c:pt idx="5">
                  <c:v>24.0</c:v>
                </c:pt>
                <c:pt idx="6">
                  <c:v>21.66666666666665</c:v>
                </c:pt>
                <c:pt idx="8">
                  <c:v>38.0</c:v>
                </c:pt>
                <c:pt idx="9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84368"/>
        <c:axId val="2133854480"/>
      </c:scatterChart>
      <c:valAx>
        <c:axId val="2136584368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54480"/>
        <c:crosses val="autoZero"/>
        <c:crossBetween val="midCat"/>
      </c:valAx>
      <c:valAx>
        <c:axId val="2133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Time  (Instar 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1598907182491"/>
                  <c:y val="0.1864380377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Sheet1!$C$17:$C$21</c:f>
              <c:numCache>
                <c:formatCode>General</c:formatCode>
                <c:ptCount val="5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</c:numCache>
            </c:numRef>
          </c:xVal>
          <c:yVal>
            <c:numRef>
              <c:f>Sheet1!$S$17:$S$21</c:f>
              <c:numCache>
                <c:formatCode>0.0000</c:formatCode>
                <c:ptCount val="5"/>
                <c:pt idx="0">
                  <c:v>79.0</c:v>
                </c:pt>
                <c:pt idx="1">
                  <c:v>73.0</c:v>
                </c:pt>
                <c:pt idx="2">
                  <c:v>112.0</c:v>
                </c:pt>
                <c:pt idx="3">
                  <c:v>179.0</c:v>
                </c:pt>
                <c:pt idx="4">
                  <c:v>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22048"/>
        <c:axId val="2137528112"/>
      </c:scatterChart>
      <c:valAx>
        <c:axId val="2137522048"/>
        <c:scaling>
          <c:orientation val="minMax"/>
          <c:min val="1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8112"/>
        <c:crosses val="autoZero"/>
        <c:crossBetween val="midCat"/>
      </c:valAx>
      <c:valAx>
        <c:axId val="21375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</a:t>
            </a:r>
            <a:r>
              <a:rPr lang="en-US" baseline="0"/>
              <a:t>vs Time  (Instar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0735182719957744"/>
                  <c:y val="0.284312476881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</c:numCache>
            </c:numRef>
          </c:xVal>
          <c:yVal>
            <c:numRef>
              <c:f>Sheet1!$S$22:$S$27</c:f>
              <c:numCache>
                <c:formatCode>0.0000</c:formatCode>
                <c:ptCount val="6"/>
                <c:pt idx="0">
                  <c:v>321.0</c:v>
                </c:pt>
                <c:pt idx="1">
                  <c:v>413.0</c:v>
                </c:pt>
                <c:pt idx="2">
                  <c:v>721.0</c:v>
                </c:pt>
                <c:pt idx="3">
                  <c:v>1066.0</c:v>
                </c:pt>
                <c:pt idx="4">
                  <c:v>1562.0</c:v>
                </c:pt>
                <c:pt idx="5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63088"/>
        <c:axId val="2137569152"/>
      </c:scatterChart>
      <c:valAx>
        <c:axId val="2137563088"/>
        <c:scaling>
          <c:orientation val="minMax"/>
          <c:min val="1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9152"/>
        <c:crosses val="autoZero"/>
        <c:crossBetween val="midCat"/>
      </c:valAx>
      <c:valAx>
        <c:axId val="2137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</a:t>
            </a:r>
            <a:r>
              <a:rPr lang="en-US" baseline="0"/>
              <a:t>vs Time  (Instar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0340281511086753"/>
                  <c:y val="0.376560089997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General</c:formatCode>
                <c:ptCount val="6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</c:numCache>
            </c:numRef>
          </c:xVal>
          <c:yVal>
            <c:numRef>
              <c:f>Sheet1!$S$28:$S$33</c:f>
              <c:numCache>
                <c:formatCode>0.0000</c:formatCode>
                <c:ptCount val="6"/>
                <c:pt idx="0">
                  <c:v>1980.0</c:v>
                </c:pt>
                <c:pt idx="1">
                  <c:v>3321.0</c:v>
                </c:pt>
                <c:pt idx="2">
                  <c:v>5335.0</c:v>
                </c:pt>
                <c:pt idx="3">
                  <c:v>7216.0</c:v>
                </c:pt>
                <c:pt idx="4">
                  <c:v>9422.0</c:v>
                </c:pt>
                <c:pt idx="5">
                  <c:v>10809.0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04112"/>
        <c:axId val="2137610176"/>
      </c:scatterChart>
      <c:valAx>
        <c:axId val="2137604112"/>
        <c:scaling>
          <c:orientation val="minMax"/>
          <c:min val="2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10176"/>
        <c:crosses val="autoZero"/>
        <c:crossBetween val="midCat"/>
      </c:valAx>
      <c:valAx>
        <c:axId val="2137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and Volume vs Time Comparison for Largest - Instar 1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Sheet1!$H$3:$H$6</c:f>
              <c:numCache>
                <c:formatCode>0.0000</c:formatCode>
                <c:ptCount val="4"/>
                <c:pt idx="0">
                  <c:v>0.83448484375</c:v>
                </c:pt>
                <c:pt idx="1">
                  <c:v>2.6507165625</c:v>
                </c:pt>
                <c:pt idx="2">
                  <c:v>7.0685775</c:v>
                </c:pt>
                <c:pt idx="3">
                  <c:v>10.7378564453125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07952"/>
        <c:axId val="2135914064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Sheet1!$S$3:$S$6</c:f>
              <c:numCache>
                <c:formatCode>0.0000</c:formatCode>
                <c:ptCount val="4"/>
                <c:pt idx="2">
                  <c:v>3.00000000000004</c:v>
                </c:pt>
                <c:pt idx="3">
                  <c:v>4.000000000000004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6416"/>
        <c:axId val="2135920496"/>
      </c:scatterChart>
      <c:valAx>
        <c:axId val="21359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064"/>
        <c:crosses val="autoZero"/>
        <c:crossBetween val="midCat"/>
      </c:valAx>
      <c:valAx>
        <c:axId val="21359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7952"/>
        <c:crosses val="autoZero"/>
        <c:crossBetween val="midCat"/>
      </c:valAx>
      <c:valAx>
        <c:axId val="2135920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6416"/>
        <c:crosses val="max"/>
        <c:crossBetween val="midCat"/>
      </c:valAx>
      <c:valAx>
        <c:axId val="213592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9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and Volume vs Time Comparison for Largest - Instar 1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Sheet1!$H$7:$H$16</c:f>
              <c:numCache>
                <c:formatCode>0.0000</c:formatCode>
                <c:ptCount val="10"/>
                <c:pt idx="0">
                  <c:v>7.840230543750001</c:v>
                </c:pt>
                <c:pt idx="1">
                  <c:v>7.853975</c:v>
                </c:pt>
                <c:pt idx="2">
                  <c:v>12.4406964</c:v>
                </c:pt>
                <c:pt idx="3">
                  <c:v>17.70285965</c:v>
                </c:pt>
                <c:pt idx="4">
                  <c:v>26.1380288</c:v>
                </c:pt>
                <c:pt idx="5">
                  <c:v>41.1116321375</c:v>
                </c:pt>
                <c:pt idx="6">
                  <c:v>39.69398965</c:v>
                </c:pt>
                <c:pt idx="7">
                  <c:v>39.69398965</c:v>
                </c:pt>
                <c:pt idx="8">
                  <c:v>59.64112265625</c:v>
                </c:pt>
                <c:pt idx="9">
                  <c:v>100.8764549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91264"/>
        <c:axId val="2135285152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Sheet1!$S$7:$S$16</c:f>
              <c:numCache>
                <c:formatCode>0.0000</c:formatCode>
                <c:ptCount val="10"/>
                <c:pt idx="0">
                  <c:v>9.33333333333334</c:v>
                </c:pt>
                <c:pt idx="1">
                  <c:v>8.333333333333303</c:v>
                </c:pt>
                <c:pt idx="2">
                  <c:v>9.33333333333334</c:v>
                </c:pt>
                <c:pt idx="3">
                  <c:v>9.999999999999934</c:v>
                </c:pt>
                <c:pt idx="4">
                  <c:v>16.33333333333331</c:v>
                </c:pt>
                <c:pt idx="5">
                  <c:v>24.0</c:v>
                </c:pt>
                <c:pt idx="6">
                  <c:v>21.66666666666665</c:v>
                </c:pt>
                <c:pt idx="8">
                  <c:v>38.0</c:v>
                </c:pt>
                <c:pt idx="9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41008"/>
        <c:axId val="2135278720"/>
      </c:scatterChart>
      <c:valAx>
        <c:axId val="2135291264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5152"/>
        <c:crosses val="autoZero"/>
        <c:crossBetween val="midCat"/>
      </c:valAx>
      <c:valAx>
        <c:axId val="21352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1264"/>
        <c:crosses val="autoZero"/>
        <c:crossBetween val="midCat"/>
      </c:valAx>
      <c:valAx>
        <c:axId val="213527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41008"/>
        <c:crosses val="max"/>
        <c:crossBetween val="midCat"/>
      </c:valAx>
      <c:valAx>
        <c:axId val="213754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27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of Change of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Sheet1!$C$3:$C$31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Sheet1!$K$3:$K$31</c:f>
              <c:numCache>
                <c:formatCode>0.0000</c:formatCode>
                <c:ptCount val="29"/>
                <c:pt idx="1">
                  <c:v>1.81623171875</c:v>
                </c:pt>
                <c:pt idx="2">
                  <c:v>4.4178609375</c:v>
                </c:pt>
                <c:pt idx="3">
                  <c:v>3.669278945312499</c:v>
                </c:pt>
                <c:pt idx="4">
                  <c:v>-2.897625901562498</c:v>
                </c:pt>
                <c:pt idx="5">
                  <c:v>0.0137444562499995</c:v>
                </c:pt>
                <c:pt idx="6">
                  <c:v>4.5867214</c:v>
                </c:pt>
                <c:pt idx="7">
                  <c:v>5.262163249999997</c:v>
                </c:pt>
                <c:pt idx="8">
                  <c:v>8.435169150000003</c:v>
                </c:pt>
                <c:pt idx="9">
                  <c:v>14.97360333749999</c:v>
                </c:pt>
                <c:pt idx="10">
                  <c:v>-1.417642487499997</c:v>
                </c:pt>
                <c:pt idx="11">
                  <c:v>0.0</c:v>
                </c:pt>
                <c:pt idx="12">
                  <c:v>19.94713300625</c:v>
                </c:pt>
                <c:pt idx="13">
                  <c:v>41.23533224375</c:v>
                </c:pt>
                <c:pt idx="14">
                  <c:v>23.85448556874998</c:v>
                </c:pt>
                <c:pt idx="15">
                  <c:v>9.572032031250017</c:v>
                </c:pt>
                <c:pt idx="16">
                  <c:v>21.20573250000001</c:v>
                </c:pt>
                <c:pt idx="17">
                  <c:v>98.51829890624995</c:v>
                </c:pt>
                <c:pt idx="18">
                  <c:v>159.48477984375</c:v>
                </c:pt>
                <c:pt idx="19">
                  <c:v>67.54418500000002</c:v>
                </c:pt>
                <c:pt idx="20">
                  <c:v>49.08734375</c:v>
                </c:pt>
                <c:pt idx="21">
                  <c:v>502.1296562953126</c:v>
                </c:pt>
                <c:pt idx="22">
                  <c:v>613.3802304234373</c:v>
                </c:pt>
                <c:pt idx="23">
                  <c:v>326.2344865624998</c:v>
                </c:pt>
                <c:pt idx="24">
                  <c:v>114.12807421875</c:v>
                </c:pt>
                <c:pt idx="25">
                  <c:v>1422.6493965625</c:v>
                </c:pt>
                <c:pt idx="26">
                  <c:v>1437.891016796875</c:v>
                </c:pt>
                <c:pt idx="27">
                  <c:v>2513.541980390625</c:v>
                </c:pt>
                <c:pt idx="28">
                  <c:v>3407.91829225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66608"/>
        <c:axId val="2135672768"/>
      </c:scatterChart>
      <c:valAx>
        <c:axId val="21356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72768"/>
        <c:crosses val="autoZero"/>
        <c:crossBetween val="midCat"/>
      </c:valAx>
      <c:valAx>
        <c:axId val="21356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Change of Volume (cubic mm/Day)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Natural Log of Weight and Volume vs Time </a:t>
            </a:r>
            <a:r>
              <a:rPr lang="en-US"/>
              <a:t>(Instar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5781493443"/>
          <c:y val="0.11986728369029"/>
          <c:w val="0.795829903539114"/>
          <c:h val="0.732635794624032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750064797796"/>
                  <c:y val="0.03847655200431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0.2779x + 0.8935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0.95737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Sheet1!$I$7:$I$16</c:f>
              <c:numCache>
                <c:formatCode>0.0000</c:formatCode>
                <c:ptCount val="10"/>
                <c:pt idx="0">
                  <c:v>2.059268240020527</c:v>
                </c:pt>
                <c:pt idx="1">
                  <c:v>2.061019773059333</c:v>
                </c:pt>
                <c:pt idx="2">
                  <c:v>2.520973066451567</c:v>
                </c:pt>
                <c:pt idx="3">
                  <c:v>2.873726188676917</c:v>
                </c:pt>
                <c:pt idx="4">
                  <c:v>3.263391296018295</c:v>
                </c:pt>
                <c:pt idx="5">
                  <c:v>3.716291101836606</c:v>
                </c:pt>
                <c:pt idx="6">
                  <c:v>3.681199782025335</c:v>
                </c:pt>
                <c:pt idx="7">
                  <c:v>3.681199782025335</c:v>
                </c:pt>
                <c:pt idx="8">
                  <c:v>4.088345313600155</c:v>
                </c:pt>
                <c:pt idx="9">
                  <c:v>4.613896549286601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98480"/>
        <c:axId val="2137704640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8729095638313"/>
                  <c:y val="0.1192693365088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0.214x + 1.0831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0.93163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Sheet1!$T$7:$T$16</c:f>
              <c:numCache>
                <c:formatCode>0.0000</c:formatCode>
                <c:ptCount val="10"/>
                <c:pt idx="0">
                  <c:v>2.233592221507095</c:v>
                </c:pt>
                <c:pt idx="1">
                  <c:v>2.120263536200087</c:v>
                </c:pt>
                <c:pt idx="2">
                  <c:v>2.233592221507095</c:v>
                </c:pt>
                <c:pt idx="3">
                  <c:v>2.302585092994039</c:v>
                </c:pt>
                <c:pt idx="4">
                  <c:v>2.793208009442515</c:v>
                </c:pt>
                <c:pt idx="5">
                  <c:v>3.178053830347946</c:v>
                </c:pt>
                <c:pt idx="6">
                  <c:v>3.075774981227527</c:v>
                </c:pt>
                <c:pt idx="8">
                  <c:v>3.637586159726386</c:v>
                </c:pt>
                <c:pt idx="9">
                  <c:v>4.00733318523247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16800"/>
        <c:axId val="2137710880"/>
      </c:scatterChart>
      <c:valAx>
        <c:axId val="2137698480"/>
        <c:scaling>
          <c:orientation val="minMax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04640"/>
        <c:crosses val="autoZero"/>
        <c:crossBetween val="midCat"/>
      </c:valAx>
      <c:valAx>
        <c:axId val="21377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8480"/>
        <c:crosses val="autoZero"/>
        <c:crossBetween val="midCat"/>
      </c:valAx>
      <c:valAx>
        <c:axId val="213771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6800"/>
        <c:crosses val="max"/>
        <c:crossBetween val="midCat"/>
      </c:valAx>
      <c:valAx>
        <c:axId val="21377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71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352746728351"/>
          <c:y val="0.934507486616161"/>
          <c:w val="0.627850367461972"/>
          <c:h val="0.0513896255186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Natural Log of Weight and Volume vs Time </a:t>
            </a:r>
            <a:r>
              <a:rPr lang="en-US"/>
              <a:t>(Instar 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5781493443"/>
          <c:y val="0.11986728369029"/>
          <c:w val="0.795829903539114"/>
          <c:h val="0.732635794624032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21943957399"/>
                  <c:y val="0.0389788862040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0.3034x + 0.412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0.89855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Sheet1!$C$17:$C$21</c:f>
              <c:numCache>
                <c:formatCode>General</c:formatCode>
                <c:ptCount val="5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</c:numCache>
            </c:numRef>
          </c:xVal>
          <c:yVal>
            <c:numRef>
              <c:f>Sheet1!$I$17:$I$21</c:f>
              <c:numCache>
                <c:formatCode>0.0000</c:formatCode>
                <c:ptCount val="5"/>
                <c:pt idx="0">
                  <c:v>4.82615894114567</c:v>
                </c:pt>
                <c:pt idx="1">
                  <c:v>4.900098236567947</c:v>
                </c:pt>
                <c:pt idx="2">
                  <c:v>5.046701710759823</c:v>
                </c:pt>
                <c:pt idx="3">
                  <c:v>5.537440575959076</c:v>
                </c:pt>
                <c:pt idx="4">
                  <c:v>6.024686011639318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4560"/>
        <c:axId val="2137770720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295351546925"/>
                  <c:y val="-0.00535096090367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0.3566x - 0.851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0.90551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Sheet1!$C$17:$C$21</c:f>
              <c:numCache>
                <c:formatCode>General</c:formatCode>
                <c:ptCount val="5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</c:numCache>
            </c:numRef>
          </c:xVal>
          <c:yVal>
            <c:numRef>
              <c:f>Sheet1!$T$17:$T$21</c:f>
              <c:numCache>
                <c:formatCode>0.0000</c:formatCode>
                <c:ptCount val="5"/>
                <c:pt idx="0">
                  <c:v>4.369447852467021</c:v>
                </c:pt>
                <c:pt idx="1">
                  <c:v>4.290459441148391</c:v>
                </c:pt>
                <c:pt idx="2">
                  <c:v>4.718498871295094</c:v>
                </c:pt>
                <c:pt idx="3">
                  <c:v>5.187385805840755</c:v>
                </c:pt>
                <c:pt idx="4">
                  <c:v>5.703782474656201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82880"/>
        <c:axId val="2137776960"/>
      </c:scatterChart>
      <c:valAx>
        <c:axId val="2137764560"/>
        <c:scaling>
          <c:orientation val="minMax"/>
          <c:min val="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0720"/>
        <c:crosses val="autoZero"/>
        <c:crossBetween val="midCat"/>
      </c:valAx>
      <c:valAx>
        <c:axId val="21377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4560"/>
        <c:crosses val="autoZero"/>
        <c:crossBetween val="midCat"/>
      </c:valAx>
      <c:valAx>
        <c:axId val="213777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2880"/>
        <c:crosses val="max"/>
        <c:crossBetween val="midCat"/>
      </c:valAx>
      <c:valAx>
        <c:axId val="21377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7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352746728351"/>
          <c:y val="0.934507486616161"/>
          <c:w val="0.627850367461972"/>
          <c:h val="0.0513896255186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Natural Log of Weight and Volume vs Time </a:t>
            </a:r>
            <a:r>
              <a:rPr lang="en-US"/>
              <a:t>(Instar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5781493443"/>
          <c:y val="0.11986728369029"/>
          <c:w val="0.795829903539114"/>
          <c:h val="0.732635794624032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4857829690866"/>
                  <c:y val="0.111716015204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0.3355x - 0.2091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0.9233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</c:numCache>
            </c:numRef>
          </c:xVal>
          <c:yVal>
            <c:numRef>
              <c:f>Sheet1!$I$22:$I$27</c:f>
              <c:numCache>
                <c:formatCode>0.0000</c:formatCode>
                <c:ptCount val="6"/>
                <c:pt idx="0">
                  <c:v>6.17598362248417</c:v>
                </c:pt>
                <c:pt idx="1">
                  <c:v>6.273147370937817</c:v>
                </c:pt>
                <c:pt idx="2">
                  <c:v>6.939518415712941</c:v>
                </c:pt>
                <c:pt idx="3">
                  <c:v>7.405892665975385</c:v>
                </c:pt>
                <c:pt idx="4">
                  <c:v>7.58674657906863</c:v>
                </c:pt>
                <c:pt idx="5">
                  <c:v>7.643011190661612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6480"/>
        <c:axId val="2135240320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447131716875"/>
                  <c:y val="-0.0108041147695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0.345x - 0.7485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0.94607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</c:numCache>
            </c:numRef>
          </c:xVal>
          <c:yVal>
            <c:numRef>
              <c:f>Sheet1!$T$22:$T$27</c:f>
              <c:numCache>
                <c:formatCode>0.0000</c:formatCode>
                <c:ptCount val="6"/>
                <c:pt idx="0">
                  <c:v>5.771441123130015</c:v>
                </c:pt>
                <c:pt idx="1">
                  <c:v>6.023447592961033</c:v>
                </c:pt>
                <c:pt idx="2">
                  <c:v>6.58063913728495</c:v>
                </c:pt>
                <c:pt idx="3">
                  <c:v>6.97166860472579</c:v>
                </c:pt>
                <c:pt idx="4">
                  <c:v>7.353722330399631</c:v>
                </c:pt>
                <c:pt idx="5">
                  <c:v>7.309881485824786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28160"/>
        <c:axId val="2135234080"/>
      </c:scatterChart>
      <c:valAx>
        <c:axId val="2135246480"/>
        <c:scaling>
          <c:orientation val="minMax"/>
          <c:min val="1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0320"/>
        <c:crosses val="autoZero"/>
        <c:crossBetween val="midCat"/>
      </c:valAx>
      <c:valAx>
        <c:axId val="21352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6480"/>
        <c:crosses val="autoZero"/>
        <c:crossBetween val="midCat"/>
      </c:valAx>
      <c:valAx>
        <c:axId val="213523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8160"/>
        <c:crosses val="max"/>
        <c:crossBetween val="midCat"/>
      </c:valAx>
      <c:valAx>
        <c:axId val="21352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2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352746728351"/>
          <c:y val="0.934507486616161"/>
          <c:w val="0.627850367461972"/>
          <c:h val="0.0513896255186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Natural Log of Weight and Volume vs Time </a:t>
            </a:r>
            <a:r>
              <a:rPr lang="en-US"/>
              <a:t>(Instar 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5781493443"/>
          <c:y val="0.11986728369029"/>
          <c:w val="0.795829903539114"/>
          <c:h val="0.732635794624032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02493404983954"/>
                  <c:y val="0.0583329213427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0.3497x - 0.5579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0.99604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General</c:formatCode>
                <c:ptCount val="6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</c:numCache>
            </c:numRef>
          </c:xVal>
          <c:yVal>
            <c:numRef>
              <c:f>Sheet1!$I$28:$I$33</c:f>
              <c:numCache>
                <c:formatCode>0.0000</c:formatCode>
                <c:ptCount val="6"/>
                <c:pt idx="0">
                  <c:v>8.162990946852922</c:v>
                </c:pt>
                <c:pt idx="1">
                  <c:v>8.50644689088183</c:v>
                </c:pt>
                <c:pt idx="2">
                  <c:v>8.917323850450392</c:v>
                </c:pt>
                <c:pt idx="3">
                  <c:v>9.293579483795002</c:v>
                </c:pt>
                <c:pt idx="4">
                  <c:v>9.593737070543646</c:v>
                </c:pt>
                <c:pt idx="5">
                  <c:v>9.88346450254865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33552"/>
        <c:axId val="2100139712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121158654011"/>
                  <c:y val="-0.016131687950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0.3405x - 0.7625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0.95768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General</c:formatCode>
                <c:ptCount val="6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</c:numCache>
            </c:numRef>
          </c:xVal>
          <c:yVal>
            <c:numRef>
              <c:f>Sheet1!$T$28:$T$33</c:f>
              <c:numCache>
                <c:formatCode>0.0000</c:formatCode>
                <c:ptCount val="6"/>
                <c:pt idx="0">
                  <c:v>7.590852123688581</c:v>
                </c:pt>
                <c:pt idx="1">
                  <c:v>8.108021221376747</c:v>
                </c:pt>
                <c:pt idx="2">
                  <c:v>8.582044163735853</c:v>
                </c:pt>
                <c:pt idx="3">
                  <c:v>8.88405606174246</c:v>
                </c:pt>
                <c:pt idx="4">
                  <c:v>9.150802659259985</c:v>
                </c:pt>
                <c:pt idx="5">
                  <c:v>9.288134399416202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51872"/>
        <c:axId val="2100145952"/>
      </c:scatterChart>
      <c:valAx>
        <c:axId val="2100133552"/>
        <c:scaling>
          <c:orientation val="minMax"/>
          <c:min val="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9712"/>
        <c:crosses val="autoZero"/>
        <c:crossBetween val="midCat"/>
      </c:valAx>
      <c:valAx>
        <c:axId val="2100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3552"/>
        <c:crosses val="autoZero"/>
        <c:crossBetween val="midCat"/>
      </c:valAx>
      <c:valAx>
        <c:axId val="21001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51872"/>
        <c:crosses val="max"/>
        <c:crossBetween val="midCat"/>
      </c:valAx>
      <c:valAx>
        <c:axId val="21001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1459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84352746728351"/>
          <c:y val="0.934507486616161"/>
          <c:w val="0.627850367461972"/>
          <c:h val="0.0513896255186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Manduca</a:t>
            </a:r>
            <a:r>
              <a:rPr lang="en-US" baseline="0"/>
              <a:t> </a:t>
            </a:r>
            <a:r>
              <a:rPr lang="en-US"/>
              <a:t>Weight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Big Guy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Sheet1!$S$3:$S$33</c:f>
              <c:numCache>
                <c:formatCode>0.0000</c:formatCode>
                <c:ptCount val="31"/>
                <c:pt idx="2">
                  <c:v>3.00000000000004</c:v>
                </c:pt>
                <c:pt idx="3">
                  <c:v>4.000000000000004</c:v>
                </c:pt>
                <c:pt idx="4">
                  <c:v>9.33333333333334</c:v>
                </c:pt>
                <c:pt idx="5">
                  <c:v>8.333333333333303</c:v>
                </c:pt>
                <c:pt idx="6">
                  <c:v>9.33333333333334</c:v>
                </c:pt>
                <c:pt idx="7">
                  <c:v>9.999999999999934</c:v>
                </c:pt>
                <c:pt idx="8">
                  <c:v>16.33333333333331</c:v>
                </c:pt>
                <c:pt idx="9">
                  <c:v>24.0</c:v>
                </c:pt>
                <c:pt idx="10">
                  <c:v>21.66666666666665</c:v>
                </c:pt>
                <c:pt idx="12">
                  <c:v>38.0</c:v>
                </c:pt>
                <c:pt idx="13">
                  <c:v>55.0</c:v>
                </c:pt>
                <c:pt idx="14">
                  <c:v>79.0</c:v>
                </c:pt>
                <c:pt idx="15">
                  <c:v>73.0</c:v>
                </c:pt>
                <c:pt idx="16">
                  <c:v>112.0</c:v>
                </c:pt>
                <c:pt idx="17">
                  <c:v>179.0</c:v>
                </c:pt>
                <c:pt idx="18">
                  <c:v>300.0</c:v>
                </c:pt>
                <c:pt idx="19">
                  <c:v>321.0</c:v>
                </c:pt>
                <c:pt idx="20">
                  <c:v>413.0</c:v>
                </c:pt>
                <c:pt idx="21">
                  <c:v>721.0</c:v>
                </c:pt>
                <c:pt idx="22">
                  <c:v>1066.0</c:v>
                </c:pt>
                <c:pt idx="23">
                  <c:v>1562.0</c:v>
                </c:pt>
                <c:pt idx="24">
                  <c:v>1495.0</c:v>
                </c:pt>
                <c:pt idx="25">
                  <c:v>1980.0</c:v>
                </c:pt>
                <c:pt idx="26">
                  <c:v>3321.0</c:v>
                </c:pt>
                <c:pt idx="27">
                  <c:v>5335.0</c:v>
                </c:pt>
                <c:pt idx="28">
                  <c:v>7216.0</c:v>
                </c:pt>
                <c:pt idx="29">
                  <c:v>9422.0</c:v>
                </c:pt>
                <c:pt idx="30">
                  <c:v>10809.0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25184"/>
        <c:axId val="2135731312"/>
      </c:scatterChart>
      <c:valAx>
        <c:axId val="2135725184"/>
        <c:scaling>
          <c:orientation val="minMax"/>
          <c:max val="3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31312"/>
        <c:crosses val="autoZero"/>
        <c:crossBetween val="midCat"/>
      </c:valAx>
      <c:valAx>
        <c:axId val="21357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Sheet1!$H$3:$H$33</c:f>
              <c:numCache>
                <c:formatCode>0.0000</c:formatCode>
                <c:ptCount val="31"/>
                <c:pt idx="0">
                  <c:v>0.83448484375</c:v>
                </c:pt>
                <c:pt idx="1">
                  <c:v>2.6507165625</c:v>
                </c:pt>
                <c:pt idx="2">
                  <c:v>7.0685775</c:v>
                </c:pt>
                <c:pt idx="3">
                  <c:v>10.7378564453125</c:v>
                </c:pt>
                <c:pt idx="4">
                  <c:v>7.840230543750001</c:v>
                </c:pt>
                <c:pt idx="5">
                  <c:v>7.853975</c:v>
                </c:pt>
                <c:pt idx="6">
                  <c:v>12.4406964</c:v>
                </c:pt>
                <c:pt idx="7">
                  <c:v>17.70285965</c:v>
                </c:pt>
                <c:pt idx="8">
                  <c:v>26.1380288</c:v>
                </c:pt>
                <c:pt idx="9">
                  <c:v>41.1116321375</c:v>
                </c:pt>
                <c:pt idx="10">
                  <c:v>39.69398965</c:v>
                </c:pt>
                <c:pt idx="11">
                  <c:v>39.69398965</c:v>
                </c:pt>
                <c:pt idx="12">
                  <c:v>59.64112265625</c:v>
                </c:pt>
                <c:pt idx="13">
                  <c:v>100.8764549</c:v>
                </c:pt>
                <c:pt idx="14">
                  <c:v>124.73094046875</c:v>
                </c:pt>
                <c:pt idx="15">
                  <c:v>134.3029725</c:v>
                </c:pt>
                <c:pt idx="16">
                  <c:v>155.508705</c:v>
                </c:pt>
                <c:pt idx="17">
                  <c:v>254.02700390625</c:v>
                </c:pt>
                <c:pt idx="18">
                  <c:v>413.5117837499999</c:v>
                </c:pt>
                <c:pt idx="19">
                  <c:v>481.05596875</c:v>
                </c:pt>
                <c:pt idx="20">
                  <c:v>530.1433125</c:v>
                </c:pt>
                <c:pt idx="21">
                  <c:v>1032.272968795313</c:v>
                </c:pt>
                <c:pt idx="22">
                  <c:v>1645.65319921875</c:v>
                </c:pt>
                <c:pt idx="23">
                  <c:v>1971.88768578125</c:v>
                </c:pt>
                <c:pt idx="24">
                  <c:v>2086.01576</c:v>
                </c:pt>
                <c:pt idx="25">
                  <c:v>3508.6651565625</c:v>
                </c:pt>
                <c:pt idx="26">
                  <c:v>4946.556173359374</c:v>
                </c:pt>
                <c:pt idx="27">
                  <c:v>7460.09815375</c:v>
                </c:pt>
                <c:pt idx="28">
                  <c:v>10868.016446</c:v>
                </c:pt>
                <c:pt idx="29">
                  <c:v>14672.599745625</c:v>
                </c:pt>
                <c:pt idx="30">
                  <c:v>19603.5216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80160"/>
        <c:axId val="2098274048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Sheet1!$S$3:$S$33</c:f>
              <c:numCache>
                <c:formatCode>0.0000</c:formatCode>
                <c:ptCount val="31"/>
                <c:pt idx="2">
                  <c:v>3.00000000000004</c:v>
                </c:pt>
                <c:pt idx="3">
                  <c:v>4.000000000000004</c:v>
                </c:pt>
                <c:pt idx="4">
                  <c:v>9.33333333333334</c:v>
                </c:pt>
                <c:pt idx="5">
                  <c:v>8.333333333333303</c:v>
                </c:pt>
                <c:pt idx="6">
                  <c:v>9.33333333333334</c:v>
                </c:pt>
                <c:pt idx="7">
                  <c:v>9.999999999999934</c:v>
                </c:pt>
                <c:pt idx="8">
                  <c:v>16.33333333333331</c:v>
                </c:pt>
                <c:pt idx="9">
                  <c:v>24.0</c:v>
                </c:pt>
                <c:pt idx="10">
                  <c:v>21.66666666666665</c:v>
                </c:pt>
                <c:pt idx="12">
                  <c:v>38.0</c:v>
                </c:pt>
                <c:pt idx="13">
                  <c:v>55.0</c:v>
                </c:pt>
                <c:pt idx="14">
                  <c:v>79.0</c:v>
                </c:pt>
                <c:pt idx="15">
                  <c:v>73.0</c:v>
                </c:pt>
                <c:pt idx="16">
                  <c:v>112.0</c:v>
                </c:pt>
                <c:pt idx="17">
                  <c:v>179.0</c:v>
                </c:pt>
                <c:pt idx="18">
                  <c:v>300.0</c:v>
                </c:pt>
                <c:pt idx="19">
                  <c:v>321.0</c:v>
                </c:pt>
                <c:pt idx="20">
                  <c:v>413.0</c:v>
                </c:pt>
                <c:pt idx="21">
                  <c:v>721.0</c:v>
                </c:pt>
                <c:pt idx="22">
                  <c:v>1066.0</c:v>
                </c:pt>
                <c:pt idx="23">
                  <c:v>1562.0</c:v>
                </c:pt>
                <c:pt idx="24">
                  <c:v>1495.0</c:v>
                </c:pt>
                <c:pt idx="25">
                  <c:v>1980.0</c:v>
                </c:pt>
                <c:pt idx="26">
                  <c:v>3321.0</c:v>
                </c:pt>
                <c:pt idx="27">
                  <c:v>5335.0</c:v>
                </c:pt>
                <c:pt idx="28">
                  <c:v>7216.0</c:v>
                </c:pt>
                <c:pt idx="29">
                  <c:v>9422.0</c:v>
                </c:pt>
                <c:pt idx="30">
                  <c:v>10809.0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61504"/>
        <c:axId val="2098267424"/>
      </c:scatterChart>
      <c:valAx>
        <c:axId val="20982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4048"/>
        <c:crosses val="autoZero"/>
        <c:crossBetween val="midCat"/>
      </c:valAx>
      <c:valAx>
        <c:axId val="2098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80160"/>
        <c:crosses val="autoZero"/>
        <c:crossBetween val="midCat"/>
      </c:valAx>
      <c:valAx>
        <c:axId val="209826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61504"/>
        <c:crosses val="max"/>
        <c:crossBetween val="midCat"/>
      </c:valAx>
      <c:valAx>
        <c:axId val="2098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2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Log of Weight and Volume vs Time</a:t>
            </a:r>
            <a:endParaRPr lang="en-US"/>
          </a:p>
        </c:rich>
      </c:tx>
      <c:layout>
        <c:manualLayout>
          <c:xMode val="edge"/>
          <c:yMode val="edge"/>
          <c:x val="0.18897508737399"/>
          <c:y val="0.03158554459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1912037970515"/>
          <c:y val="0.11986728369029"/>
          <c:w val="0.598207535003003"/>
          <c:h val="0.766599885894005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49068228369605"/>
                  <c:y val="0.7084736493337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t>y = 0.2986x + 0.6957</a:t>
                    </a:r>
                    <a:br>
                      <a:rPr lang="en-US" baseline="0">
                        <a:solidFill>
                          <a:schemeClr val="accent1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t>R² = 0.98698</a:t>
                    </a:r>
                    <a:endParaRPr lang="en-US">
                      <a:solidFill>
                        <a:schemeClr val="accent1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Sheet1!$I$3:$I$33</c:f>
              <c:numCache>
                <c:formatCode>0.0000</c:formatCode>
                <c:ptCount val="31"/>
                <c:pt idx="0">
                  <c:v>-0.180940698118277</c:v>
                </c:pt>
                <c:pt idx="1">
                  <c:v>0.974830004389781</c:v>
                </c:pt>
                <c:pt idx="2">
                  <c:v>1.955659257401507</c:v>
                </c:pt>
                <c:pt idx="3">
                  <c:v>2.37377548306323</c:v>
                </c:pt>
                <c:pt idx="4">
                  <c:v>2.059268240020527</c:v>
                </c:pt>
                <c:pt idx="5">
                  <c:v>2.061019773059333</c:v>
                </c:pt>
                <c:pt idx="6">
                  <c:v>2.520973066451567</c:v>
                </c:pt>
                <c:pt idx="7">
                  <c:v>2.873726188676917</c:v>
                </c:pt>
                <c:pt idx="8">
                  <c:v>3.263391296018295</c:v>
                </c:pt>
                <c:pt idx="9">
                  <c:v>3.716291101836606</c:v>
                </c:pt>
                <c:pt idx="10">
                  <c:v>3.681199782025335</c:v>
                </c:pt>
                <c:pt idx="11">
                  <c:v>3.681199782025335</c:v>
                </c:pt>
                <c:pt idx="12">
                  <c:v>4.088345313600155</c:v>
                </c:pt>
                <c:pt idx="13">
                  <c:v>4.613896549286601</c:v>
                </c:pt>
                <c:pt idx="14">
                  <c:v>4.82615894114567</c:v>
                </c:pt>
                <c:pt idx="15">
                  <c:v>4.900098236567947</c:v>
                </c:pt>
                <c:pt idx="16">
                  <c:v>5.046701710759823</c:v>
                </c:pt>
                <c:pt idx="17">
                  <c:v>5.537440575959076</c:v>
                </c:pt>
                <c:pt idx="18">
                  <c:v>6.024686011639318</c:v>
                </c:pt>
                <c:pt idx="19">
                  <c:v>6.17598362248417</c:v>
                </c:pt>
                <c:pt idx="20">
                  <c:v>6.273147370937817</c:v>
                </c:pt>
                <c:pt idx="21">
                  <c:v>6.939518415712941</c:v>
                </c:pt>
                <c:pt idx="22">
                  <c:v>7.405892665975385</c:v>
                </c:pt>
                <c:pt idx="23">
                  <c:v>7.58674657906863</c:v>
                </c:pt>
                <c:pt idx="24">
                  <c:v>7.643011190661612</c:v>
                </c:pt>
                <c:pt idx="25">
                  <c:v>8.162990946852922</c:v>
                </c:pt>
                <c:pt idx="26">
                  <c:v>8.50644689088183</c:v>
                </c:pt>
                <c:pt idx="27">
                  <c:v>8.917323850450392</c:v>
                </c:pt>
                <c:pt idx="28">
                  <c:v>9.293579483795002</c:v>
                </c:pt>
                <c:pt idx="29">
                  <c:v>9.593737070543646</c:v>
                </c:pt>
                <c:pt idx="30">
                  <c:v>9.88346450254865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67040"/>
        <c:axId val="2100073200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65735013511222"/>
                  <c:y val="0.7749475062473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0.293x + 0.4012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0.99061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Sheet1!$T$3:$T$33</c:f>
              <c:numCache>
                <c:formatCode>0.0000</c:formatCode>
                <c:ptCount val="31"/>
                <c:pt idx="2">
                  <c:v>1.098612288668123</c:v>
                </c:pt>
                <c:pt idx="3">
                  <c:v>1.386294361119891</c:v>
                </c:pt>
                <c:pt idx="4">
                  <c:v>2.233592221507095</c:v>
                </c:pt>
                <c:pt idx="5">
                  <c:v>2.120263536200087</c:v>
                </c:pt>
                <c:pt idx="6">
                  <c:v>2.233592221507095</c:v>
                </c:pt>
                <c:pt idx="7">
                  <c:v>2.302585092994039</c:v>
                </c:pt>
                <c:pt idx="8">
                  <c:v>2.793208009442515</c:v>
                </c:pt>
                <c:pt idx="9">
                  <c:v>3.178053830347946</c:v>
                </c:pt>
                <c:pt idx="10">
                  <c:v>3.075774981227527</c:v>
                </c:pt>
                <c:pt idx="12">
                  <c:v>3.637586159726386</c:v>
                </c:pt>
                <c:pt idx="13">
                  <c:v>4.00733318523247</c:v>
                </c:pt>
                <c:pt idx="14">
                  <c:v>4.369447852467021</c:v>
                </c:pt>
                <c:pt idx="15">
                  <c:v>4.290459441148391</c:v>
                </c:pt>
                <c:pt idx="16">
                  <c:v>4.718498871295094</c:v>
                </c:pt>
                <c:pt idx="17">
                  <c:v>5.187385805840755</c:v>
                </c:pt>
                <c:pt idx="18">
                  <c:v>5.703782474656201</c:v>
                </c:pt>
                <c:pt idx="19">
                  <c:v>5.771441123130015</c:v>
                </c:pt>
                <c:pt idx="20">
                  <c:v>6.023447592961033</c:v>
                </c:pt>
                <c:pt idx="21">
                  <c:v>6.58063913728495</c:v>
                </c:pt>
                <c:pt idx="22">
                  <c:v>6.97166860472579</c:v>
                </c:pt>
                <c:pt idx="23">
                  <c:v>7.353722330399631</c:v>
                </c:pt>
                <c:pt idx="24">
                  <c:v>7.309881485824786</c:v>
                </c:pt>
                <c:pt idx="25">
                  <c:v>7.590852123688581</c:v>
                </c:pt>
                <c:pt idx="26">
                  <c:v>8.108021221376747</c:v>
                </c:pt>
                <c:pt idx="27">
                  <c:v>8.582044163735853</c:v>
                </c:pt>
                <c:pt idx="28">
                  <c:v>8.88405606174246</c:v>
                </c:pt>
                <c:pt idx="29">
                  <c:v>9.150802659259985</c:v>
                </c:pt>
                <c:pt idx="30">
                  <c:v>9.288134399416202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85360"/>
        <c:axId val="2100079440"/>
      </c:scatterChart>
      <c:valAx>
        <c:axId val="2100067040"/>
        <c:scaling>
          <c:orientation val="minMax"/>
          <c:max val="3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73200"/>
        <c:crosses val="autoZero"/>
        <c:crossBetween val="midCat"/>
      </c:valAx>
      <c:valAx>
        <c:axId val="2100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67040"/>
        <c:crosses val="autoZero"/>
        <c:crossBetween val="midCat"/>
      </c:valAx>
      <c:valAx>
        <c:axId val="2100079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85360"/>
        <c:crosses val="max"/>
        <c:crossBetween val="midCat"/>
      </c:valAx>
      <c:valAx>
        <c:axId val="210008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0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50225680007693"/>
          <c:y val="0.936153593217181"/>
          <c:w val="0.466551800259401"/>
          <c:h val="0.0481447382902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baseline="0">
                <a:effectLst/>
              </a:rPr>
              <a:t>Natural Log of Weight and Volume vs Time </a:t>
            </a:r>
            <a:r>
              <a:rPr lang="en-US"/>
              <a:t>(Instar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5781493443"/>
          <c:y val="0.11986728369029"/>
          <c:w val="0.795829903539114"/>
          <c:h val="0.732635794624032"/>
        </c:manualLayout>
      </c:layout>
      <c:scatterChart>
        <c:scatterStyle val="lineMarker"/>
        <c:varyColors val="0"/>
        <c:ser>
          <c:idx val="0"/>
          <c:order val="0"/>
          <c:tx>
            <c:v>Volume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597352305073"/>
                  <c:y val="0.2722095476647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0.8645x - 0.0159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0.96301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Sheet1!$I$3:$I$6</c:f>
              <c:numCache>
                <c:formatCode>0.0000</c:formatCode>
                <c:ptCount val="4"/>
                <c:pt idx="0">
                  <c:v>-0.180940698118277</c:v>
                </c:pt>
                <c:pt idx="1">
                  <c:v>0.974830004389781</c:v>
                </c:pt>
                <c:pt idx="2">
                  <c:v>1.955659257401507</c:v>
                </c:pt>
                <c:pt idx="3">
                  <c:v>2.37377548306323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36944"/>
        <c:axId val="2135832608"/>
      </c:scatterChart>
      <c:scatterChart>
        <c:scatterStyle val="lineMarker"/>
        <c:varyColors val="0"/>
        <c:ser>
          <c:idx val="1"/>
          <c:order val="1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558037540152"/>
                  <c:y val="0.059319764155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Sheet1!$T$3:$T$6</c:f>
              <c:numCache>
                <c:formatCode>0.0000</c:formatCode>
                <c:ptCount val="4"/>
                <c:pt idx="2">
                  <c:v>1.098612288668123</c:v>
                </c:pt>
                <c:pt idx="3">
                  <c:v>1.386294361119891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44768"/>
        <c:axId val="2135838848"/>
      </c:scatterChart>
      <c:valAx>
        <c:axId val="21356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32608"/>
        <c:crosses val="autoZero"/>
        <c:crossBetween val="midCat"/>
      </c:valAx>
      <c:valAx>
        <c:axId val="2135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(cubic 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36944"/>
        <c:crosses val="autoZero"/>
        <c:crossBetween val="midCat"/>
      </c:valAx>
      <c:valAx>
        <c:axId val="213583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44768"/>
        <c:crosses val="max"/>
        <c:crossBetween val="midCat"/>
      </c:valAx>
      <c:valAx>
        <c:axId val="21358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8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352789526042"/>
          <c:y val="0.915939028923573"/>
          <c:w val="0.632787698446591"/>
          <c:h val="0.0505398189190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(Instar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593886717762008"/>
                  <c:y val="0.423296414130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Sheet1!$C$7:$C$16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Sheet1!$H$7:$H$16</c:f>
              <c:numCache>
                <c:formatCode>0.0000</c:formatCode>
                <c:ptCount val="10"/>
                <c:pt idx="0">
                  <c:v>7.840230543750001</c:v>
                </c:pt>
                <c:pt idx="1">
                  <c:v>7.853975</c:v>
                </c:pt>
                <c:pt idx="2">
                  <c:v>12.4406964</c:v>
                </c:pt>
                <c:pt idx="3">
                  <c:v>17.70285965</c:v>
                </c:pt>
                <c:pt idx="4">
                  <c:v>26.1380288</c:v>
                </c:pt>
                <c:pt idx="5">
                  <c:v>41.1116321375</c:v>
                </c:pt>
                <c:pt idx="6">
                  <c:v>39.69398965</c:v>
                </c:pt>
                <c:pt idx="7">
                  <c:v>39.69398965</c:v>
                </c:pt>
                <c:pt idx="8">
                  <c:v>59.64112265625</c:v>
                </c:pt>
                <c:pt idx="9">
                  <c:v>100.8764549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68672"/>
        <c:axId val="2136474720"/>
      </c:scatterChart>
      <c:valAx>
        <c:axId val="2136468672"/>
        <c:scaling>
          <c:orientation val="minMax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4720"/>
        <c:crossesAt val="0.0"/>
        <c:crossBetween val="midCat"/>
      </c:valAx>
      <c:valAx>
        <c:axId val="21364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(Instar 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716094038736586"/>
                  <c:y val="0.425006237139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Sheet1!$C$17:$C$21</c:f>
              <c:numCache>
                <c:formatCode>General</c:formatCode>
                <c:ptCount val="5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</c:numCache>
            </c:numRef>
          </c:xVal>
          <c:yVal>
            <c:numRef>
              <c:f>Sheet1!$H$17:$H$21</c:f>
              <c:numCache>
                <c:formatCode>0.0000</c:formatCode>
                <c:ptCount val="5"/>
                <c:pt idx="0">
                  <c:v>124.73094046875</c:v>
                </c:pt>
                <c:pt idx="1">
                  <c:v>134.3029725</c:v>
                </c:pt>
                <c:pt idx="2">
                  <c:v>155.508705</c:v>
                </c:pt>
                <c:pt idx="3">
                  <c:v>254.02700390625</c:v>
                </c:pt>
                <c:pt idx="4">
                  <c:v>413.5117837499999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08144"/>
        <c:axId val="2136514192"/>
      </c:scatterChart>
      <c:valAx>
        <c:axId val="2136508144"/>
        <c:scaling>
          <c:orientation val="minMax"/>
          <c:min val="1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14192"/>
        <c:crossesAt val="0.0"/>
        <c:crossBetween val="midCat"/>
      </c:valAx>
      <c:valAx>
        <c:axId val="2136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(Instar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Days since Hatched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226668927263734"/>
                  <c:y val="0.30370630665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</c:numCache>
            </c:numRef>
          </c:xVal>
          <c:yVal>
            <c:numRef>
              <c:f>Sheet1!$H$22:$H$27</c:f>
              <c:numCache>
                <c:formatCode>0.0000</c:formatCode>
                <c:ptCount val="6"/>
                <c:pt idx="0">
                  <c:v>481.05596875</c:v>
                </c:pt>
                <c:pt idx="1">
                  <c:v>530.1433125</c:v>
                </c:pt>
                <c:pt idx="2">
                  <c:v>1032.272968795313</c:v>
                </c:pt>
                <c:pt idx="3">
                  <c:v>1645.65319921875</c:v>
                </c:pt>
                <c:pt idx="4">
                  <c:v>1971.88768578125</c:v>
                </c:pt>
                <c:pt idx="5">
                  <c:v>2086.01576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3008"/>
        <c:axId val="2135869056"/>
      </c:scatterChart>
      <c:valAx>
        <c:axId val="2135863008"/>
        <c:scaling>
          <c:orientation val="minMax"/>
          <c:min val="1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Hatched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9056"/>
        <c:crossesAt val="0.0"/>
        <c:crossBetween val="midCat"/>
      </c:valAx>
      <c:valAx>
        <c:axId val="2135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(cubic 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5356</xdr:colOff>
      <xdr:row>0</xdr:row>
      <xdr:rowOff>131235</xdr:rowOff>
    </xdr:from>
    <xdr:to>
      <xdr:col>32</xdr:col>
      <xdr:colOff>688554</xdr:colOff>
      <xdr:row>20</xdr:row>
      <xdr:rowOff>45904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602695</xdr:colOff>
      <xdr:row>117</xdr:row>
      <xdr:rowOff>88898</xdr:rowOff>
    </xdr:from>
    <xdr:to>
      <xdr:col>33</xdr:col>
      <xdr:colOff>707970</xdr:colOff>
      <xdr:row>139</xdr:row>
      <xdr:rowOff>42333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11531</xdr:colOff>
      <xdr:row>21</xdr:row>
      <xdr:rowOff>15488</xdr:rowOff>
    </xdr:from>
    <xdr:to>
      <xdr:col>32</xdr:col>
      <xdr:colOff>634999</xdr:colOff>
      <xdr:row>44</xdr:row>
      <xdr:rowOff>66881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2162</xdr:colOff>
      <xdr:row>46</xdr:row>
      <xdr:rowOff>15487</xdr:rowOff>
    </xdr:from>
    <xdr:to>
      <xdr:col>32</xdr:col>
      <xdr:colOff>449146</xdr:colOff>
      <xdr:row>67</xdr:row>
      <xdr:rowOff>165658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100263</xdr:colOff>
      <xdr:row>70</xdr:row>
      <xdr:rowOff>17669</xdr:rowOff>
    </xdr:from>
    <xdr:to>
      <xdr:col>35</xdr:col>
      <xdr:colOff>69908</xdr:colOff>
      <xdr:row>94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419449</xdr:colOff>
      <xdr:row>70</xdr:row>
      <xdr:rowOff>89123</xdr:rowOff>
    </xdr:from>
    <xdr:to>
      <xdr:col>44</xdr:col>
      <xdr:colOff>349541</xdr:colOff>
      <xdr:row>94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21251</xdr:colOff>
      <xdr:row>0</xdr:row>
      <xdr:rowOff>227919</xdr:rowOff>
    </xdr:from>
    <xdr:to>
      <xdr:col>52</xdr:col>
      <xdr:colOff>249566</xdr:colOff>
      <xdr:row>19</xdr:row>
      <xdr:rowOff>173219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15301</xdr:colOff>
      <xdr:row>0</xdr:row>
      <xdr:rowOff>172718</xdr:rowOff>
    </xdr:from>
    <xdr:to>
      <xdr:col>62</xdr:col>
      <xdr:colOff>133225</xdr:colOff>
      <xdr:row>19</xdr:row>
      <xdr:rowOff>137710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809806</xdr:colOff>
      <xdr:row>0</xdr:row>
      <xdr:rowOff>136393</xdr:rowOff>
    </xdr:from>
    <xdr:to>
      <xdr:col>72</xdr:col>
      <xdr:colOff>211855</xdr:colOff>
      <xdr:row>19</xdr:row>
      <xdr:rowOff>94394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13852</xdr:colOff>
      <xdr:row>0</xdr:row>
      <xdr:rowOff>87019</xdr:rowOff>
    </xdr:from>
    <xdr:to>
      <xdr:col>82</xdr:col>
      <xdr:colOff>242167</xdr:colOff>
      <xdr:row>19</xdr:row>
      <xdr:rowOff>32320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10243</xdr:colOff>
      <xdr:row>0</xdr:row>
      <xdr:rowOff>228427</xdr:rowOff>
    </xdr:from>
    <xdr:to>
      <xdr:col>42</xdr:col>
      <xdr:colOff>267096</xdr:colOff>
      <xdr:row>20</xdr:row>
      <xdr:rowOff>43781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155967</xdr:colOff>
      <xdr:row>95</xdr:row>
      <xdr:rowOff>129006</xdr:rowOff>
    </xdr:from>
    <xdr:to>
      <xdr:col>32</xdr:col>
      <xdr:colOff>336885</xdr:colOff>
      <xdr:row>117</xdr:row>
      <xdr:rowOff>10472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21</xdr:row>
      <xdr:rowOff>122410</xdr:rowOff>
    </xdr:from>
    <xdr:to>
      <xdr:col>42</xdr:col>
      <xdr:colOff>128212</xdr:colOff>
      <xdr:row>44</xdr:row>
      <xdr:rowOff>142073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0</xdr:colOff>
      <xdr:row>21</xdr:row>
      <xdr:rowOff>137711</xdr:rowOff>
    </xdr:from>
    <xdr:to>
      <xdr:col>52</xdr:col>
      <xdr:colOff>128213</xdr:colOff>
      <xdr:row>44</xdr:row>
      <xdr:rowOff>157374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21</xdr:row>
      <xdr:rowOff>153012</xdr:rowOff>
    </xdr:from>
    <xdr:to>
      <xdr:col>62</xdr:col>
      <xdr:colOff>128212</xdr:colOff>
      <xdr:row>44</xdr:row>
      <xdr:rowOff>172675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15301</xdr:colOff>
      <xdr:row>21</xdr:row>
      <xdr:rowOff>168313</xdr:rowOff>
    </xdr:from>
    <xdr:to>
      <xdr:col>72</xdr:col>
      <xdr:colOff>143514</xdr:colOff>
      <xdr:row>44</xdr:row>
      <xdr:rowOff>187976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0</xdr:colOff>
      <xdr:row>21</xdr:row>
      <xdr:rowOff>193728</xdr:rowOff>
    </xdr:from>
    <xdr:to>
      <xdr:col>82</xdr:col>
      <xdr:colOff>128213</xdr:colOff>
      <xdr:row>45</xdr:row>
      <xdr:rowOff>19662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15489</xdr:colOff>
      <xdr:row>46</xdr:row>
      <xdr:rowOff>15487</xdr:rowOff>
    </xdr:from>
    <xdr:to>
      <xdr:col>42</xdr:col>
      <xdr:colOff>477961</xdr:colOff>
      <xdr:row>67</xdr:row>
      <xdr:rowOff>165658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15489</xdr:colOff>
      <xdr:row>46</xdr:row>
      <xdr:rowOff>-1</xdr:rowOff>
    </xdr:from>
    <xdr:to>
      <xdr:col>52</xdr:col>
      <xdr:colOff>477961</xdr:colOff>
      <xdr:row>67</xdr:row>
      <xdr:rowOff>150170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745688</xdr:colOff>
      <xdr:row>70</xdr:row>
      <xdr:rowOff>93211</xdr:rowOff>
    </xdr:from>
    <xdr:to>
      <xdr:col>53</xdr:col>
      <xdr:colOff>675780</xdr:colOff>
      <xdr:row>94</xdr:row>
      <xdr:rowOff>4088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38100</xdr:colOff>
      <xdr:row>70</xdr:row>
      <xdr:rowOff>88900</xdr:rowOff>
    </xdr:from>
    <xdr:to>
      <xdr:col>62</xdr:col>
      <xdr:colOff>793692</xdr:colOff>
      <xdr:row>93</xdr:row>
      <xdr:rowOff>202977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261756</xdr:colOff>
      <xdr:row>70</xdr:row>
      <xdr:rowOff>87252</xdr:rowOff>
    </xdr:from>
    <xdr:to>
      <xdr:col>72</xdr:col>
      <xdr:colOff>193302</xdr:colOff>
      <xdr:row>93</xdr:row>
      <xdr:rowOff>201329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457200</xdr:colOff>
      <xdr:row>70</xdr:row>
      <xdr:rowOff>118533</xdr:rowOff>
    </xdr:from>
    <xdr:to>
      <xdr:col>81</xdr:col>
      <xdr:colOff>388746</xdr:colOff>
      <xdr:row>94</xdr:row>
      <xdr:rowOff>29410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0.22442</cdr:x>
      <cdr:y>0.08701</cdr:y>
    </cdr:from>
    <cdr:to>
      <cdr:x>0.50418</cdr:x>
      <cdr:y>0.8455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825807" y="528377"/>
          <a:ext cx="2276123" cy="46060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3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0.12642</cdr:x>
      <cdr:y>0.08791</cdr:y>
    </cdr:from>
    <cdr:to>
      <cdr:x>0.22305</cdr:x>
      <cdr:y>0.84628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9459" y="536691"/>
          <a:ext cx="786928" cy="462960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0.50345</cdr:x>
      <cdr:y>0.08782</cdr:y>
    </cdr:from>
    <cdr:to>
      <cdr:x>0.64974</cdr:x>
      <cdr:y>0.84597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095959" y="533300"/>
          <a:ext cx="1190225" cy="460403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0.65128</cdr:x>
      <cdr:y>0.09166</cdr:y>
    </cdr:from>
    <cdr:to>
      <cdr:x>0.81695</cdr:x>
      <cdr:y>0.84844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324978" y="550944"/>
          <a:ext cx="1354557" cy="45487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0.81574</cdr:x>
      <cdr:y>0.08701</cdr:y>
    </cdr:from>
    <cdr:to>
      <cdr:x>0.97387</cdr:x>
      <cdr:y>0.84518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636722" y="528378"/>
          <a:ext cx="1286519" cy="46041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705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0.11372</cdr:x>
      <cdr:y>0.44709</cdr:y>
    </cdr:from>
    <cdr:to>
      <cdr:x>0.24008</cdr:x>
      <cdr:y>0.9177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50679" y="1975576"/>
          <a:ext cx="1056346" cy="20795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2705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0.55547</cdr:x>
      <cdr:y>0.12057</cdr:y>
    </cdr:from>
    <cdr:to>
      <cdr:x>0.68007</cdr:x>
      <cdr:y>0.85617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678288" y="533382"/>
          <a:ext cx="1049410" cy="32541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0.23958</cdr:x>
      <cdr:y>0.12057</cdr:y>
    </cdr:from>
    <cdr:to>
      <cdr:x>0.40687</cdr:x>
      <cdr:y>0.91962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2015766" y="533382"/>
          <a:ext cx="1407536" cy="35348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3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0.40637</cdr:x>
      <cdr:y>0.12057</cdr:y>
    </cdr:from>
    <cdr:to>
      <cdr:x>0.55547</cdr:x>
      <cdr:y>0.85617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3403600" y="533400"/>
          <a:ext cx="1248832" cy="3254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0.67957</cdr:x>
      <cdr:y>0.11866</cdr:y>
    </cdr:from>
    <cdr:to>
      <cdr:x>0.81983</cdr:x>
      <cdr:y>0.85425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5679757" y="524932"/>
          <a:ext cx="1172315" cy="3254128"/>
        </a:xfrm>
        <a:prstGeom xmlns:a="http://schemas.openxmlformats.org/drawingml/2006/main" prst="rect">
          <a:avLst/>
        </a:prstGeom>
        <a:solidFill xmlns:a="http://schemas.openxmlformats.org/drawingml/2006/main">
          <a:srgbClr val="A018F2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0.09701</cdr:x>
      <cdr:y>0.0868</cdr:y>
    </cdr:from>
    <cdr:to>
      <cdr:x>0.20089</cdr:x>
      <cdr:y>0.90183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780948" y="522992"/>
          <a:ext cx="836275" cy="491093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0.20049</cdr:x>
      <cdr:y>0.08741</cdr:y>
    </cdr:from>
    <cdr:to>
      <cdr:x>0.47941</cdr:x>
      <cdr:y>0.90052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1614069" y="526691"/>
          <a:ext cx="2245360" cy="48993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3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0.47688</cdr:x>
      <cdr:y>0.08618</cdr:y>
    </cdr:from>
    <cdr:to>
      <cdr:x>0.62202</cdr:x>
      <cdr:y>0.89843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3839109" y="519262"/>
          <a:ext cx="1168400" cy="48942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0.62202</cdr:x>
      <cdr:y>0.08618</cdr:y>
    </cdr:from>
    <cdr:to>
      <cdr:x>0.79113</cdr:x>
      <cdr:y>0.90002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5007510" y="519262"/>
          <a:ext cx="1361440" cy="490380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0.79113</cdr:x>
      <cdr:y>0.08741</cdr:y>
    </cdr:from>
    <cdr:to>
      <cdr:x>0.94636</cdr:x>
      <cdr:y>0.9002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6368949" y="526691"/>
          <a:ext cx="1249680" cy="489746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705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0.04471</cdr:x>
      <cdr:y>0.11519</cdr:y>
    </cdr:from>
    <cdr:to>
      <cdr:x>0.18302</cdr:x>
      <cdr:y>0.86886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71861" y="519642"/>
          <a:ext cx="1150349" cy="339989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2705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0.18375</cdr:x>
      <cdr:y>0.11666</cdr:y>
    </cdr:from>
    <cdr:to>
      <cdr:x>0.37654</cdr:x>
      <cdr:y>0.86739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514597" y="525722"/>
          <a:ext cx="1589119" cy="338312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3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0.3782</cdr:x>
      <cdr:y>0.11799</cdr:y>
    </cdr:from>
    <cdr:to>
      <cdr:x>0.52912</cdr:x>
      <cdr:y>0.87076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117373" y="531716"/>
          <a:ext cx="1244010" cy="3392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0.52912</cdr:x>
      <cdr:y>0.11631</cdr:y>
    </cdr:from>
    <cdr:to>
      <cdr:x>0.64503</cdr:x>
      <cdr:y>0.86886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417164" y="519952"/>
          <a:ext cx="967637" cy="336419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0.64503</cdr:x>
      <cdr:y>0.11742</cdr:y>
    </cdr:from>
    <cdr:to>
      <cdr:x>0.75774</cdr:x>
      <cdr:y>0.86174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379339" y="524933"/>
          <a:ext cx="939978" cy="3327401"/>
        </a:xfrm>
        <a:prstGeom xmlns:a="http://schemas.openxmlformats.org/drawingml/2006/main" prst="rect">
          <a:avLst/>
        </a:prstGeom>
        <a:solidFill xmlns:a="http://schemas.openxmlformats.org/drawingml/2006/main">
          <a:srgbClr val="A018F2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0.05939</cdr:x>
      <cdr:y>0.11856</cdr:y>
    </cdr:from>
    <cdr:to>
      <cdr:x>0.12807</cdr:x>
      <cdr:y>0.8854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86781" y="582055"/>
          <a:ext cx="678589" cy="376464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0.12807</cdr:x>
      <cdr:y>0.11856</cdr:y>
    </cdr:from>
    <cdr:to>
      <cdr:x>0.31963</cdr:x>
      <cdr:y>0.8862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65370" y="582054"/>
          <a:ext cx="1892653" cy="376859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3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0.3202</cdr:x>
      <cdr:y>0.11753</cdr:y>
    </cdr:from>
    <cdr:to>
      <cdr:x>0.41842</cdr:x>
      <cdr:y>0.88621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163605" y="577014"/>
          <a:ext cx="970468" cy="3773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0.41819</cdr:x>
      <cdr:y>0.11651</cdr:y>
    </cdr:from>
    <cdr:to>
      <cdr:x>0.51575</cdr:x>
      <cdr:y>0.88871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31760" y="571974"/>
          <a:ext cx="963902" cy="379098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2588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0.51578</cdr:x>
      <cdr:y>0.11651</cdr:y>
    </cdr:from>
    <cdr:to>
      <cdr:x>0.6567</cdr:x>
      <cdr:y>0.88874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095980" y="571974"/>
          <a:ext cx="1392252" cy="37911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705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M141"/>
  <sheetViews>
    <sheetView tabSelected="1" topLeftCell="A61" zoomScale="90" zoomScaleNormal="90" zoomScalePageLayoutView="90" workbookViewId="0">
      <selection activeCell="C67" sqref="C67"/>
    </sheetView>
  </sheetViews>
  <sheetFormatPr baseColWidth="10" defaultRowHeight="16" x14ac:dyDescent="0.2"/>
  <cols>
    <col min="1" max="2" width="7.33203125" customWidth="1"/>
    <col min="3" max="3" width="9" customWidth="1"/>
    <col min="4" max="4" width="8.83203125" customWidth="1"/>
    <col min="5" max="5" width="8" customWidth="1"/>
    <col min="6" max="6" width="9.1640625" customWidth="1"/>
    <col min="7" max="7" width="8.5" customWidth="1"/>
    <col min="8" max="8" width="12.33203125" style="1" customWidth="1"/>
    <col min="9" max="9" width="10.1640625" style="1" customWidth="1"/>
    <col min="10" max="10" width="13" customWidth="1"/>
    <col min="11" max="11" width="11.5" style="1" customWidth="1"/>
    <col min="12" max="12" width="12.33203125" style="1" customWidth="1"/>
    <col min="13" max="13" width="9.33203125" style="4" customWidth="1"/>
    <col min="14" max="14" width="10.83203125" style="4" customWidth="1"/>
    <col min="15" max="15" width="11.33203125" style="4" customWidth="1"/>
    <col min="16" max="16" width="9.83203125" style="4" customWidth="1"/>
    <col min="17" max="17" width="10.83203125" style="1" customWidth="1"/>
    <col min="18" max="22" width="12.5" style="1" customWidth="1"/>
    <col min="23" max="23" width="13.5" customWidth="1"/>
    <col min="24" max="24" width="11" customWidth="1"/>
  </cols>
  <sheetData>
    <row r="1" spans="1:117" s="2" customFormat="1" ht="65" thickBot="1" x14ac:dyDescent="0.25">
      <c r="A1" s="7"/>
      <c r="B1" s="8" t="s">
        <v>0</v>
      </c>
      <c r="C1" s="9" t="s">
        <v>1</v>
      </c>
      <c r="D1" s="10" t="s">
        <v>7</v>
      </c>
      <c r="E1" s="10" t="s">
        <v>8</v>
      </c>
      <c r="F1" s="10" t="s">
        <v>2</v>
      </c>
      <c r="G1" s="8" t="s">
        <v>9</v>
      </c>
      <c r="H1" s="11" t="s">
        <v>10</v>
      </c>
      <c r="I1" s="12" t="s">
        <v>12</v>
      </c>
      <c r="J1" s="10" t="s">
        <v>3</v>
      </c>
      <c r="K1" s="12" t="s">
        <v>4</v>
      </c>
      <c r="L1" s="13" t="s">
        <v>5</v>
      </c>
      <c r="M1" s="14" t="s">
        <v>15</v>
      </c>
      <c r="N1" s="15" t="s">
        <v>16</v>
      </c>
      <c r="O1" s="16" t="s">
        <v>17</v>
      </c>
      <c r="P1" s="17" t="s">
        <v>18</v>
      </c>
      <c r="Q1" s="12" t="s">
        <v>19</v>
      </c>
      <c r="R1" s="13" t="s">
        <v>6</v>
      </c>
      <c r="S1" s="11" t="s">
        <v>20</v>
      </c>
      <c r="T1" s="12" t="s">
        <v>11</v>
      </c>
      <c r="U1" s="12" t="s">
        <v>21</v>
      </c>
      <c r="V1" s="13" t="s">
        <v>13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</row>
    <row r="2" spans="1:117" s="39" customFormat="1" ht="22" customHeight="1" thickBot="1" x14ac:dyDescent="0.25">
      <c r="A2" s="26"/>
      <c r="B2" s="27"/>
      <c r="C2" s="28"/>
      <c r="D2" s="29"/>
      <c r="E2" s="29"/>
      <c r="F2" s="29"/>
      <c r="G2" s="27"/>
      <c r="H2" s="30">
        <v>1.0229999999999999</v>
      </c>
      <c r="I2" s="31">
        <f>LN(H2)</f>
        <v>2.2739486969489339E-2</v>
      </c>
      <c r="J2" s="29">
        <f>H2/1000000000</f>
        <v>1.0229999999999999E-9</v>
      </c>
      <c r="K2" s="31"/>
      <c r="L2" s="32"/>
      <c r="M2" s="33"/>
      <c r="N2" s="34"/>
      <c r="O2" s="35"/>
      <c r="P2" s="36"/>
      <c r="Q2" s="31"/>
      <c r="R2" s="32"/>
      <c r="S2" s="30"/>
      <c r="T2" s="31"/>
      <c r="U2" s="32"/>
      <c r="V2" s="37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</row>
    <row r="3" spans="1:117" s="39" customFormat="1" ht="22" customHeight="1" x14ac:dyDescent="0.2">
      <c r="A3" s="40">
        <v>42762</v>
      </c>
      <c r="B3" s="41">
        <v>8</v>
      </c>
      <c r="C3" s="42">
        <f>B3-8</f>
        <v>0</v>
      </c>
      <c r="D3" s="43">
        <v>4.25</v>
      </c>
      <c r="E3" s="43">
        <v>0.25</v>
      </c>
      <c r="F3" s="43">
        <v>0.5</v>
      </c>
      <c r="G3" s="41">
        <v>0.25</v>
      </c>
      <c r="H3" s="44">
        <f>D3*3.14159*(F3/2)^2</f>
        <v>0.83448484374999998</v>
      </c>
      <c r="I3" s="45">
        <f t="shared" ref="I3:I33" si="0">LN(H3)</f>
        <v>-0.18094069811827743</v>
      </c>
      <c r="J3" s="43">
        <f>H3/1000000000</f>
        <v>8.3448484374999999E-10</v>
      </c>
      <c r="K3" s="45"/>
      <c r="L3" s="46"/>
      <c r="M3" s="47"/>
      <c r="N3" s="48"/>
      <c r="O3" s="49"/>
      <c r="P3" s="50"/>
      <c r="Q3" s="45"/>
      <c r="R3" s="46"/>
      <c r="S3" s="44"/>
      <c r="T3" s="45"/>
      <c r="U3" s="46"/>
      <c r="V3" s="51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</row>
    <row r="4" spans="1:117" s="39" customFormat="1" ht="22" customHeight="1" x14ac:dyDescent="0.2">
      <c r="A4" s="52">
        <v>42763</v>
      </c>
      <c r="B4" s="53">
        <v>9</v>
      </c>
      <c r="C4" s="54">
        <f t="shared" ref="C4:C37" si="1">B4-8</f>
        <v>1</v>
      </c>
      <c r="D4" s="55">
        <v>6</v>
      </c>
      <c r="E4" s="55">
        <v>0.1</v>
      </c>
      <c r="F4" s="55">
        <v>0.75</v>
      </c>
      <c r="G4" s="53">
        <v>0.1</v>
      </c>
      <c r="H4" s="56">
        <f t="shared" ref="H4:H33" si="2">D4*3.14159*(F4/2)^2</f>
        <v>2.6507165624999995</v>
      </c>
      <c r="I4" s="57">
        <f t="shared" si="0"/>
        <v>0.97483000438978074</v>
      </c>
      <c r="J4" s="55">
        <f t="shared" ref="J4:J33" si="3">H4/1000000000</f>
        <v>2.6507165624999997E-9</v>
      </c>
      <c r="K4" s="57">
        <f>H4-H3</f>
        <v>1.8162317187499997</v>
      </c>
      <c r="L4" s="58">
        <f>(J4-J3)/((J4+J3)/2)</f>
        <v>1.0422535211267605</v>
      </c>
      <c r="M4" s="59"/>
      <c r="N4" s="60"/>
      <c r="O4" s="61"/>
      <c r="P4" s="62"/>
      <c r="Q4" s="57"/>
      <c r="R4" s="58"/>
      <c r="S4" s="56"/>
      <c r="T4" s="57"/>
      <c r="U4" s="58"/>
      <c r="V4" s="63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</row>
    <row r="5" spans="1:117" s="39" customFormat="1" ht="22" customHeight="1" x14ac:dyDescent="0.2">
      <c r="A5" s="52">
        <v>42764</v>
      </c>
      <c r="B5" s="53">
        <v>10</v>
      </c>
      <c r="C5" s="54">
        <f t="shared" si="1"/>
        <v>2</v>
      </c>
      <c r="D5" s="55">
        <v>9</v>
      </c>
      <c r="E5" s="55">
        <v>0.25</v>
      </c>
      <c r="F5" s="55">
        <v>1</v>
      </c>
      <c r="G5" s="53">
        <v>0.1</v>
      </c>
      <c r="H5" s="56">
        <f t="shared" si="2"/>
        <v>7.0685775</v>
      </c>
      <c r="I5" s="57">
        <f t="shared" si="0"/>
        <v>1.955659257401507</v>
      </c>
      <c r="J5" s="55">
        <f t="shared" si="3"/>
        <v>7.0685774999999996E-9</v>
      </c>
      <c r="K5" s="57">
        <f t="shared" ref="K5:K33" si="4">H5-H4</f>
        <v>4.4178609375000004</v>
      </c>
      <c r="L5" s="58">
        <f t="shared" ref="L5:L33" si="5">(J5-J4)/((J5+J4)/2)</f>
        <v>0.90909090909090928</v>
      </c>
      <c r="M5" s="59"/>
      <c r="N5" s="60"/>
      <c r="O5" s="61"/>
      <c r="P5" s="62">
        <f>(1.088-1.079)/3*1000</f>
        <v>3.0000000000000395</v>
      </c>
      <c r="Q5" s="57"/>
      <c r="R5" s="58"/>
      <c r="S5" s="56">
        <f>P5</f>
        <v>3.0000000000000395</v>
      </c>
      <c r="T5" s="57">
        <f>LN(S5)</f>
        <v>1.0986122886681229</v>
      </c>
      <c r="U5" s="58"/>
      <c r="V5" s="63">
        <f>S5/H5</f>
        <v>0.42441354006517429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</row>
    <row r="6" spans="1:117" s="39" customFormat="1" ht="22" customHeight="1" thickBot="1" x14ac:dyDescent="0.25">
      <c r="A6" s="64">
        <v>42765</v>
      </c>
      <c r="B6" s="65">
        <v>11</v>
      </c>
      <c r="C6" s="66">
        <f t="shared" si="1"/>
        <v>3</v>
      </c>
      <c r="D6" s="67">
        <v>8.75</v>
      </c>
      <c r="E6" s="67">
        <v>0.25</v>
      </c>
      <c r="F6" s="67">
        <v>1.25</v>
      </c>
      <c r="G6" s="65">
        <v>0.15</v>
      </c>
      <c r="H6" s="68">
        <f t="shared" si="2"/>
        <v>10.737856445312499</v>
      </c>
      <c r="I6" s="69">
        <f t="shared" si="0"/>
        <v>2.3737754830632301</v>
      </c>
      <c r="J6" s="67">
        <f t="shared" si="3"/>
        <v>1.0737856445312499E-8</v>
      </c>
      <c r="K6" s="69">
        <f t="shared" si="4"/>
        <v>3.6692789453124988</v>
      </c>
      <c r="L6" s="70">
        <f t="shared" si="5"/>
        <v>0.41212956581667815</v>
      </c>
      <c r="M6" s="71"/>
      <c r="N6" s="72"/>
      <c r="O6" s="73"/>
      <c r="P6" s="74">
        <f>(1.026-1.014)/3*1000</f>
        <v>4.0000000000000036</v>
      </c>
      <c r="Q6" s="69">
        <f>P6-P5</f>
        <v>0.99999999999996403</v>
      </c>
      <c r="R6" s="70">
        <f>(P6-P5)/((P6+P5)/2)</f>
        <v>0.28571428571427371</v>
      </c>
      <c r="S6" s="68">
        <f t="shared" ref="S6:S11" si="6">P6</f>
        <v>4.0000000000000036</v>
      </c>
      <c r="T6" s="69">
        <f t="shared" ref="T6:T33" si="7">LN(S6)</f>
        <v>1.3862943611198915</v>
      </c>
      <c r="U6" s="70">
        <f>S6-S5</f>
        <v>0.99999999999996403</v>
      </c>
      <c r="V6" s="75">
        <f t="shared" ref="V6:V33" si="8">S6/H6</f>
        <v>0.37251382716577131</v>
      </c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</row>
    <row r="7" spans="1:117" s="88" customFormat="1" ht="22" customHeight="1" x14ac:dyDescent="0.2">
      <c r="A7" s="76">
        <v>42766</v>
      </c>
      <c r="B7" s="77">
        <v>12</v>
      </c>
      <c r="C7" s="78">
        <f t="shared" si="1"/>
        <v>4</v>
      </c>
      <c r="D7" s="79">
        <v>8.25</v>
      </c>
      <c r="E7" s="79">
        <v>0.25</v>
      </c>
      <c r="F7" s="79">
        <v>1.1000000000000001</v>
      </c>
      <c r="G7" s="77">
        <v>0.15</v>
      </c>
      <c r="H7" s="80">
        <f t="shared" si="2"/>
        <v>7.8402305437500006</v>
      </c>
      <c r="I7" s="81">
        <f t="shared" si="0"/>
        <v>2.0592682400205273</v>
      </c>
      <c r="J7" s="79">
        <f t="shared" si="3"/>
        <v>7.8402305437500012E-9</v>
      </c>
      <c r="K7" s="81">
        <f t="shared" si="4"/>
        <v>-2.8976259015624981</v>
      </c>
      <c r="L7" s="82">
        <f t="shared" si="5"/>
        <v>-0.31194018019922298</v>
      </c>
      <c r="M7" s="83"/>
      <c r="N7" s="84"/>
      <c r="O7" s="85"/>
      <c r="P7" s="86">
        <f>(1.11-1.082)/3*1000</f>
        <v>9.333333333333341</v>
      </c>
      <c r="Q7" s="81">
        <f t="shared" ref="Q7:Q33" si="9">P7-P6</f>
        <v>5.3333333333333375</v>
      </c>
      <c r="R7" s="82">
        <f t="shared" ref="R7:R33" si="10">(P7-P6)/((P7+P6)/2)</f>
        <v>0.79999999999999993</v>
      </c>
      <c r="S7" s="80">
        <f t="shared" si="6"/>
        <v>9.333333333333341</v>
      </c>
      <c r="T7" s="81">
        <f t="shared" si="7"/>
        <v>2.2335922215070951</v>
      </c>
      <c r="U7" s="82">
        <f t="shared" ref="U7:U33" si="11">S7-S6</f>
        <v>5.3333333333333375</v>
      </c>
      <c r="V7" s="87">
        <f t="shared" si="8"/>
        <v>1.1904411842549194</v>
      </c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</row>
    <row r="8" spans="1:117" s="39" customFormat="1" ht="22" customHeight="1" x14ac:dyDescent="0.2">
      <c r="A8" s="89">
        <v>42767</v>
      </c>
      <c r="B8" s="90">
        <v>13</v>
      </c>
      <c r="C8" s="91">
        <f t="shared" si="1"/>
        <v>5</v>
      </c>
      <c r="D8" s="92">
        <v>10</v>
      </c>
      <c r="E8" s="92">
        <v>0.25</v>
      </c>
      <c r="F8" s="92">
        <v>1</v>
      </c>
      <c r="G8" s="90">
        <v>0.15</v>
      </c>
      <c r="H8" s="93">
        <f t="shared" si="2"/>
        <v>7.8539750000000002</v>
      </c>
      <c r="I8" s="94">
        <f t="shared" si="0"/>
        <v>2.0610197730593334</v>
      </c>
      <c r="J8" s="92">
        <f t="shared" si="3"/>
        <v>7.8539750000000007E-9</v>
      </c>
      <c r="K8" s="94">
        <f t="shared" si="4"/>
        <v>1.3744456249999537E-2</v>
      </c>
      <c r="L8" s="95">
        <f t="shared" si="5"/>
        <v>1.75153259101707E-3</v>
      </c>
      <c r="M8" s="96"/>
      <c r="N8" s="97"/>
      <c r="O8" s="98"/>
      <c r="P8" s="99">
        <f>(1.053-1.028)/3*1000</f>
        <v>8.3333333333333037</v>
      </c>
      <c r="Q8" s="94">
        <f t="shared" si="9"/>
        <v>-1.0000000000000373</v>
      </c>
      <c r="R8" s="95">
        <f t="shared" si="10"/>
        <v>-0.11320754716981569</v>
      </c>
      <c r="S8" s="93">
        <f t="shared" si="6"/>
        <v>8.3333333333333037</v>
      </c>
      <c r="T8" s="94">
        <f t="shared" si="7"/>
        <v>2.1202635362000875</v>
      </c>
      <c r="U8" s="95">
        <f t="shared" si="11"/>
        <v>-1.0000000000000373</v>
      </c>
      <c r="V8" s="100">
        <f t="shared" si="8"/>
        <v>1.061033850162918</v>
      </c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</row>
    <row r="9" spans="1:117" s="39" customFormat="1" ht="22" customHeight="1" x14ac:dyDescent="0.2">
      <c r="A9" s="89">
        <v>42768</v>
      </c>
      <c r="B9" s="90">
        <v>14</v>
      </c>
      <c r="C9" s="91">
        <f t="shared" si="1"/>
        <v>6</v>
      </c>
      <c r="D9" s="92">
        <v>11</v>
      </c>
      <c r="E9" s="92">
        <v>0.5</v>
      </c>
      <c r="F9" s="92">
        <v>1.2</v>
      </c>
      <c r="G9" s="90">
        <v>0.1</v>
      </c>
      <c r="H9" s="93">
        <f t="shared" si="2"/>
        <v>12.4406964</v>
      </c>
      <c r="I9" s="94">
        <f t="shared" si="0"/>
        <v>2.5209730664515675</v>
      </c>
      <c r="J9" s="92">
        <f t="shared" si="3"/>
        <v>1.24406964E-8</v>
      </c>
      <c r="K9" s="94">
        <f t="shared" si="4"/>
        <v>4.5867214000000001</v>
      </c>
      <c r="L9" s="95">
        <f t="shared" si="5"/>
        <v>0.45201238390092863</v>
      </c>
      <c r="M9" s="96"/>
      <c r="N9" s="97"/>
      <c r="O9" s="98"/>
      <c r="P9" s="99">
        <f>(3.214-3.186)/3*1000</f>
        <v>9.333333333333341</v>
      </c>
      <c r="Q9" s="94">
        <f t="shared" si="9"/>
        <v>1.0000000000000373</v>
      </c>
      <c r="R9" s="95">
        <f t="shared" si="10"/>
        <v>0.11320754716981569</v>
      </c>
      <c r="S9" s="93">
        <f t="shared" si="6"/>
        <v>9.333333333333341</v>
      </c>
      <c r="T9" s="94">
        <f t="shared" si="7"/>
        <v>2.2335922215070951</v>
      </c>
      <c r="U9" s="95">
        <f t="shared" si="11"/>
        <v>1.0000000000000373</v>
      </c>
      <c r="V9" s="100">
        <f t="shared" si="8"/>
        <v>0.75022595466065234</v>
      </c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s="39" customFormat="1" ht="22" customHeight="1" x14ac:dyDescent="0.2">
      <c r="A10" s="89">
        <v>42769</v>
      </c>
      <c r="B10" s="90">
        <v>15</v>
      </c>
      <c r="C10" s="91">
        <f t="shared" si="1"/>
        <v>7</v>
      </c>
      <c r="D10" s="92">
        <v>11.5</v>
      </c>
      <c r="E10" s="92">
        <v>0.5</v>
      </c>
      <c r="F10" s="92">
        <v>1.4</v>
      </c>
      <c r="G10" s="90">
        <v>0.15</v>
      </c>
      <c r="H10" s="93">
        <f t="shared" si="2"/>
        <v>17.702859649999997</v>
      </c>
      <c r="I10" s="94">
        <f t="shared" si="0"/>
        <v>2.8737261886769176</v>
      </c>
      <c r="J10" s="92">
        <f t="shared" si="3"/>
        <v>1.7702859649999996E-8</v>
      </c>
      <c r="K10" s="94">
        <f t="shared" si="4"/>
        <v>5.2621632499999969</v>
      </c>
      <c r="L10" s="95">
        <f t="shared" si="5"/>
        <v>0.34914017717561208</v>
      </c>
      <c r="M10" s="96"/>
      <c r="N10" s="97"/>
      <c r="O10" s="98"/>
      <c r="P10" s="99">
        <f>(2.335-2.305)/3*1000</f>
        <v>9.9999999999999343</v>
      </c>
      <c r="Q10" s="94">
        <f t="shared" si="9"/>
        <v>0.66666666666659324</v>
      </c>
      <c r="R10" s="95">
        <f t="shared" si="10"/>
        <v>6.8965517241371926E-2</v>
      </c>
      <c r="S10" s="93">
        <f t="shared" si="6"/>
        <v>9.9999999999999343</v>
      </c>
      <c r="T10" s="94">
        <f t="shared" si="7"/>
        <v>2.3025850929940392</v>
      </c>
      <c r="U10" s="95">
        <f t="shared" si="11"/>
        <v>0.66666666666659324</v>
      </c>
      <c r="V10" s="100">
        <f t="shared" si="8"/>
        <v>0.56488048810802927</v>
      </c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s="39" customFormat="1" ht="22" customHeight="1" x14ac:dyDescent="0.2">
      <c r="A11" s="89">
        <v>42770</v>
      </c>
      <c r="B11" s="90">
        <v>16</v>
      </c>
      <c r="C11" s="91">
        <f t="shared" si="1"/>
        <v>8</v>
      </c>
      <c r="D11" s="92">
        <v>13</v>
      </c>
      <c r="E11" s="92">
        <v>0.5</v>
      </c>
      <c r="F11" s="92">
        <v>1.6</v>
      </c>
      <c r="G11" s="90">
        <v>0.15</v>
      </c>
      <c r="H11" s="93">
        <f t="shared" si="2"/>
        <v>26.138028800000001</v>
      </c>
      <c r="I11" s="94">
        <f t="shared" si="0"/>
        <v>3.2633912960182956</v>
      </c>
      <c r="J11" s="92">
        <f t="shared" si="3"/>
        <v>2.6138028800000001E-8</v>
      </c>
      <c r="K11" s="94">
        <f t="shared" si="4"/>
        <v>8.4351691500000037</v>
      </c>
      <c r="L11" s="95">
        <f t="shared" si="5"/>
        <v>0.3848083124328201</v>
      </c>
      <c r="M11" s="96"/>
      <c r="N11" s="97"/>
      <c r="O11" s="98"/>
      <c r="P11" s="99">
        <f>(3.139-3.09)/3*1000</f>
        <v>16.333333333333311</v>
      </c>
      <c r="Q11" s="94">
        <f t="shared" si="9"/>
        <v>6.3333333333333766</v>
      </c>
      <c r="R11" s="95">
        <f t="shared" si="10"/>
        <v>0.48101265822785305</v>
      </c>
      <c r="S11" s="93">
        <f t="shared" si="6"/>
        <v>16.333333333333311</v>
      </c>
      <c r="T11" s="94">
        <f t="shared" si="7"/>
        <v>2.7932080094425156</v>
      </c>
      <c r="U11" s="95">
        <f t="shared" si="11"/>
        <v>6.3333333333333766</v>
      </c>
      <c r="V11" s="100">
        <f t="shared" si="8"/>
        <v>0.62488772425460448</v>
      </c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s="39" customFormat="1" ht="22" customHeight="1" x14ac:dyDescent="0.2">
      <c r="A12" s="89">
        <v>42771</v>
      </c>
      <c r="B12" s="90">
        <v>17</v>
      </c>
      <c r="C12" s="91">
        <f t="shared" si="1"/>
        <v>9</v>
      </c>
      <c r="D12" s="92">
        <v>14.5</v>
      </c>
      <c r="E12" s="92">
        <v>0.25</v>
      </c>
      <c r="F12" s="92">
        <v>1.9</v>
      </c>
      <c r="G12" s="90">
        <v>0.1</v>
      </c>
      <c r="H12" s="93">
        <f t="shared" si="2"/>
        <v>41.111632137499996</v>
      </c>
      <c r="I12" s="94">
        <f t="shared" si="0"/>
        <v>3.7162911018366058</v>
      </c>
      <c r="J12" s="92">
        <f t="shared" si="3"/>
        <v>4.1111632137499996E-8</v>
      </c>
      <c r="K12" s="94">
        <f t="shared" si="4"/>
        <v>14.973603337499995</v>
      </c>
      <c r="L12" s="95">
        <f t="shared" si="5"/>
        <v>0.4453138686131386</v>
      </c>
      <c r="M12" s="96">
        <f>0.018*1000</f>
        <v>18</v>
      </c>
      <c r="N12" s="97">
        <f>0.019*1000</f>
        <v>19</v>
      </c>
      <c r="O12" s="98">
        <f>0.024*1000</f>
        <v>24</v>
      </c>
      <c r="P12" s="99">
        <f>0.02*1000</f>
        <v>20</v>
      </c>
      <c r="Q12" s="94">
        <f t="shared" si="9"/>
        <v>3.6666666666666892</v>
      </c>
      <c r="R12" s="95">
        <f t="shared" si="10"/>
        <v>0.20183486238532244</v>
      </c>
      <c r="S12" s="93">
        <v>24</v>
      </c>
      <c r="T12" s="94">
        <f t="shared" si="7"/>
        <v>3.1780538303479458</v>
      </c>
      <c r="U12" s="95">
        <f t="shared" si="11"/>
        <v>7.6666666666666892</v>
      </c>
      <c r="V12" s="100">
        <f t="shared" si="8"/>
        <v>0.58377638522671027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s="38" customFormat="1" ht="22" customHeight="1" x14ac:dyDescent="0.2">
      <c r="A13" s="89">
        <v>42772</v>
      </c>
      <c r="B13" s="90">
        <v>18</v>
      </c>
      <c r="C13" s="91">
        <f t="shared" si="1"/>
        <v>10</v>
      </c>
      <c r="D13" s="92">
        <v>14</v>
      </c>
      <c r="E13" s="92">
        <v>0.25</v>
      </c>
      <c r="F13" s="92">
        <v>1.9</v>
      </c>
      <c r="G13" s="90">
        <v>0.15</v>
      </c>
      <c r="H13" s="93">
        <f t="shared" si="2"/>
        <v>39.693989649999999</v>
      </c>
      <c r="I13" s="94">
        <f t="shared" si="0"/>
        <v>3.6811997820253359</v>
      </c>
      <c r="J13" s="92">
        <f t="shared" si="3"/>
        <v>3.9693989649999999E-8</v>
      </c>
      <c r="K13" s="94">
        <f t="shared" si="4"/>
        <v>-1.4176424874999967</v>
      </c>
      <c r="L13" s="95">
        <f t="shared" si="5"/>
        <v>-3.508771929824555E-2</v>
      </c>
      <c r="M13" s="96"/>
      <c r="N13" s="97"/>
      <c r="O13" s="98"/>
      <c r="P13" s="99">
        <f>(2.799-2.734)/3*1000</f>
        <v>21.66666666666665</v>
      </c>
      <c r="Q13" s="94">
        <f t="shared" si="9"/>
        <v>1.6666666666666501</v>
      </c>
      <c r="R13" s="95">
        <f t="shared" si="10"/>
        <v>7.9999999999999238E-2</v>
      </c>
      <c r="S13" s="93">
        <f>P13</f>
        <v>21.66666666666665</v>
      </c>
      <c r="T13" s="94">
        <f t="shared" si="7"/>
        <v>3.0757749812275268</v>
      </c>
      <c r="U13" s="95">
        <f t="shared" si="11"/>
        <v>-2.3333333333333499</v>
      </c>
      <c r="V13" s="100">
        <f t="shared" si="8"/>
        <v>0.54584250305175985</v>
      </c>
    </row>
    <row r="14" spans="1:117" s="39" customFormat="1" ht="22" customHeight="1" x14ac:dyDescent="0.2">
      <c r="A14" s="89">
        <v>42773</v>
      </c>
      <c r="B14" s="90">
        <v>19</v>
      </c>
      <c r="C14" s="91">
        <f t="shared" si="1"/>
        <v>11</v>
      </c>
      <c r="D14" s="92">
        <v>14</v>
      </c>
      <c r="E14" s="92">
        <v>0.5</v>
      </c>
      <c r="F14" s="92">
        <v>1.9</v>
      </c>
      <c r="G14" s="90">
        <v>0.1</v>
      </c>
      <c r="H14" s="93">
        <f t="shared" si="2"/>
        <v>39.693989649999999</v>
      </c>
      <c r="I14" s="94">
        <f t="shared" si="0"/>
        <v>3.6811997820253359</v>
      </c>
      <c r="J14" s="92">
        <f t="shared" si="3"/>
        <v>3.9693989649999999E-8</v>
      </c>
      <c r="K14" s="94">
        <f t="shared" si="4"/>
        <v>0</v>
      </c>
      <c r="L14" s="95">
        <f t="shared" si="5"/>
        <v>0</v>
      </c>
      <c r="M14" s="96"/>
      <c r="N14" s="97"/>
      <c r="O14" s="98"/>
      <c r="P14" s="99"/>
      <c r="Q14" s="94"/>
      <c r="R14" s="95">
        <f t="shared" si="10"/>
        <v>-2</v>
      </c>
      <c r="S14" s="93"/>
      <c r="T14" s="94"/>
      <c r="U14" s="95"/>
      <c r="V14" s="100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</row>
    <row r="15" spans="1:117" s="39" customFormat="1" ht="22" customHeight="1" x14ac:dyDescent="0.2">
      <c r="A15" s="89">
        <v>42774</v>
      </c>
      <c r="B15" s="90">
        <v>20</v>
      </c>
      <c r="C15" s="91">
        <f t="shared" si="1"/>
        <v>12</v>
      </c>
      <c r="D15" s="92">
        <v>15</v>
      </c>
      <c r="E15" s="92">
        <v>0.5</v>
      </c>
      <c r="F15" s="92">
        <v>2.25</v>
      </c>
      <c r="G15" s="90">
        <v>0.25</v>
      </c>
      <c r="H15" s="93">
        <f t="shared" si="2"/>
        <v>59.641122656249998</v>
      </c>
      <c r="I15" s="94">
        <f t="shared" si="0"/>
        <v>4.0883453136001551</v>
      </c>
      <c r="J15" s="92">
        <f t="shared" si="3"/>
        <v>5.9641122656250003E-8</v>
      </c>
      <c r="K15" s="94">
        <f t="shared" si="4"/>
        <v>19.947133006249999</v>
      </c>
      <c r="L15" s="95">
        <f t="shared" si="5"/>
        <v>0.40161293510703494</v>
      </c>
      <c r="M15" s="96">
        <f>(2.355-2.317)*1000</f>
        <v>37.999999999999815</v>
      </c>
      <c r="N15" s="97">
        <f>(2.327-2.301)*1000</f>
        <v>25.999999999999801</v>
      </c>
      <c r="O15" s="98">
        <f>(2.301-2.263)*1000</f>
        <v>38.000000000000256</v>
      </c>
      <c r="P15" s="99">
        <f>(2.355-2.263)/3*1000</f>
        <v>30.666666666666693</v>
      </c>
      <c r="Q15" s="94">
        <f>P15-P13</f>
        <v>9.0000000000000426</v>
      </c>
      <c r="R15" s="95">
        <f t="shared" si="10"/>
        <v>2</v>
      </c>
      <c r="S15" s="93">
        <v>38</v>
      </c>
      <c r="T15" s="94">
        <f t="shared" si="7"/>
        <v>3.6375861597263857</v>
      </c>
      <c r="U15" s="95">
        <f>S15-S13</f>
        <v>16.33333333333335</v>
      </c>
      <c r="V15" s="100">
        <f t="shared" si="8"/>
        <v>0.63714427743116686</v>
      </c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s="39" customFormat="1" ht="22" customHeight="1" thickBot="1" x14ac:dyDescent="0.25">
      <c r="A16" s="101">
        <v>42775</v>
      </c>
      <c r="B16" s="102">
        <v>21</v>
      </c>
      <c r="C16" s="103">
        <f t="shared" si="1"/>
        <v>13</v>
      </c>
      <c r="D16" s="104">
        <v>19</v>
      </c>
      <c r="E16" s="104">
        <v>0.25</v>
      </c>
      <c r="F16" s="104">
        <v>2.6</v>
      </c>
      <c r="G16" s="102">
        <v>0.15</v>
      </c>
      <c r="H16" s="105">
        <f t="shared" si="2"/>
        <v>100.87645490000001</v>
      </c>
      <c r="I16" s="106">
        <f t="shared" si="0"/>
        <v>4.6138965492866006</v>
      </c>
      <c r="J16" s="104">
        <f t="shared" si="3"/>
        <v>1.0087645490000001E-7</v>
      </c>
      <c r="K16" s="106">
        <f t="shared" si="4"/>
        <v>41.235332243750015</v>
      </c>
      <c r="L16" s="107">
        <f t="shared" si="5"/>
        <v>0.51377964795537678</v>
      </c>
      <c r="M16" s="108">
        <f>(1.631-1.595)*1000</f>
        <v>36.000000000000028</v>
      </c>
      <c r="N16" s="109">
        <f>(1.595-1.549)*1000</f>
        <v>46.000000000000043</v>
      </c>
      <c r="O16" s="110">
        <f>(1.549-1.494)*1000</f>
        <v>54.999999999999936</v>
      </c>
      <c r="P16" s="111">
        <f>(M16+N16+O16)/3</f>
        <v>45.666666666666664</v>
      </c>
      <c r="Q16" s="106">
        <f t="shared" si="9"/>
        <v>14.999999999999972</v>
      </c>
      <c r="R16" s="107">
        <f t="shared" si="10"/>
        <v>0.39301310043668036</v>
      </c>
      <c r="S16" s="105">
        <v>55</v>
      </c>
      <c r="T16" s="106">
        <f t="shared" si="7"/>
        <v>4.0073331852324712</v>
      </c>
      <c r="U16" s="107">
        <f t="shared" si="11"/>
        <v>17</v>
      </c>
      <c r="V16" s="112">
        <f t="shared" si="8"/>
        <v>0.54522138049480551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117" s="88" customFormat="1" ht="22" customHeight="1" x14ac:dyDescent="0.2">
      <c r="A17" s="113">
        <v>42776</v>
      </c>
      <c r="B17" s="114">
        <v>22</v>
      </c>
      <c r="C17" s="115">
        <f t="shared" si="1"/>
        <v>14</v>
      </c>
      <c r="D17" s="116">
        <v>21</v>
      </c>
      <c r="E17" s="116">
        <v>0.25</v>
      </c>
      <c r="F17" s="116">
        <v>2.75</v>
      </c>
      <c r="G17" s="114">
        <v>0.25</v>
      </c>
      <c r="H17" s="117">
        <f t="shared" si="2"/>
        <v>124.73094046874999</v>
      </c>
      <c r="I17" s="118">
        <f t="shared" si="0"/>
        <v>4.8261589411456702</v>
      </c>
      <c r="J17" s="116">
        <f t="shared" si="3"/>
        <v>1.2473094046874999E-7</v>
      </c>
      <c r="K17" s="118">
        <f t="shared" si="4"/>
        <v>23.854485568749979</v>
      </c>
      <c r="L17" s="119">
        <f t="shared" si="5"/>
        <v>0.2114690037510551</v>
      </c>
      <c r="M17" s="120">
        <v>43</v>
      </c>
      <c r="N17" s="121">
        <v>66</v>
      </c>
      <c r="O17" s="122">
        <v>79</v>
      </c>
      <c r="P17" s="123">
        <f>(M17+N17+O17)/3</f>
        <v>62.666666666666664</v>
      </c>
      <c r="Q17" s="118">
        <f t="shared" si="9"/>
        <v>17</v>
      </c>
      <c r="R17" s="119">
        <f t="shared" si="10"/>
        <v>0.31384615384615389</v>
      </c>
      <c r="S17" s="117">
        <v>79</v>
      </c>
      <c r="T17" s="118">
        <f t="shared" si="7"/>
        <v>4.3694478524670215</v>
      </c>
      <c r="U17" s="119">
        <f t="shared" si="11"/>
        <v>24</v>
      </c>
      <c r="V17" s="124">
        <f t="shared" si="8"/>
        <v>0.63336329945970871</v>
      </c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117" s="39" customFormat="1" ht="22" customHeight="1" x14ac:dyDescent="0.2">
      <c r="A18" s="125">
        <v>42777</v>
      </c>
      <c r="B18" s="126">
        <v>23</v>
      </c>
      <c r="C18" s="127">
        <f t="shared" si="1"/>
        <v>15</v>
      </c>
      <c r="D18" s="128">
        <v>19</v>
      </c>
      <c r="E18" s="128">
        <v>2</v>
      </c>
      <c r="F18" s="128">
        <v>3</v>
      </c>
      <c r="G18" s="126">
        <v>0.5</v>
      </c>
      <c r="H18" s="129">
        <f t="shared" si="2"/>
        <v>134.30297250000001</v>
      </c>
      <c r="I18" s="130">
        <f t="shared" si="0"/>
        <v>4.9000982365679473</v>
      </c>
      <c r="J18" s="128">
        <f t="shared" si="3"/>
        <v>1.3430297250000001E-7</v>
      </c>
      <c r="K18" s="130">
        <f t="shared" si="4"/>
        <v>9.5720320312500178</v>
      </c>
      <c r="L18" s="131">
        <f>(J18-J17)/((J18+J17)/2)</f>
        <v>7.3905628197839843E-2</v>
      </c>
      <c r="M18" s="132"/>
      <c r="N18" s="133"/>
      <c r="O18" s="134">
        <v>73</v>
      </c>
      <c r="P18" s="135">
        <f>(3.236-2.996)/3*1000</f>
        <v>80.000000000000071</v>
      </c>
      <c r="Q18" s="130">
        <f t="shared" si="9"/>
        <v>17.333333333333407</v>
      </c>
      <c r="R18" s="131">
        <f t="shared" si="10"/>
        <v>0.24299065420560836</v>
      </c>
      <c r="S18" s="129">
        <v>73</v>
      </c>
      <c r="T18" s="130">
        <f t="shared" si="7"/>
        <v>4.290459441148391</v>
      </c>
      <c r="U18" s="131">
        <f t="shared" si="11"/>
        <v>-6</v>
      </c>
      <c r="V18" s="136">
        <f t="shared" si="8"/>
        <v>0.54354716534661951</v>
      </c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117" s="39" customFormat="1" ht="22" customHeight="1" x14ac:dyDescent="0.2">
      <c r="A19" s="125">
        <v>42778</v>
      </c>
      <c r="B19" s="126">
        <v>24</v>
      </c>
      <c r="C19" s="127">
        <f t="shared" si="1"/>
        <v>16</v>
      </c>
      <c r="D19" s="128">
        <v>22</v>
      </c>
      <c r="E19" s="128">
        <v>2</v>
      </c>
      <c r="F19" s="128">
        <v>3</v>
      </c>
      <c r="G19" s="126">
        <v>1</v>
      </c>
      <c r="H19" s="129">
        <f t="shared" si="2"/>
        <v>155.50870500000002</v>
      </c>
      <c r="I19" s="130">
        <f t="shared" si="0"/>
        <v>5.0467017107598231</v>
      </c>
      <c r="J19" s="128">
        <f t="shared" si="3"/>
        <v>1.5550870500000001E-7</v>
      </c>
      <c r="K19" s="130">
        <f t="shared" si="4"/>
        <v>21.205732500000011</v>
      </c>
      <c r="L19" s="131">
        <f t="shared" si="5"/>
        <v>0.14634146341463408</v>
      </c>
      <c r="M19" s="132">
        <v>59</v>
      </c>
      <c r="N19" s="133">
        <v>86</v>
      </c>
      <c r="O19" s="134">
        <v>112</v>
      </c>
      <c r="P19" s="135">
        <f t="shared" ref="P19:P33" si="12">AVERAGE(M19:O19)</f>
        <v>85.666666666666671</v>
      </c>
      <c r="Q19" s="130">
        <f t="shared" si="9"/>
        <v>5.6666666666666003</v>
      </c>
      <c r="R19" s="131">
        <f t="shared" si="10"/>
        <v>6.8410462776659131E-2</v>
      </c>
      <c r="S19" s="129">
        <v>112</v>
      </c>
      <c r="T19" s="130">
        <f t="shared" si="7"/>
        <v>4.7184988712950942</v>
      </c>
      <c r="U19" s="131">
        <f t="shared" si="11"/>
        <v>39</v>
      </c>
      <c r="V19" s="136">
        <f t="shared" si="8"/>
        <v>0.72021691647422559</v>
      </c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117" s="39" customFormat="1" ht="22" customHeight="1" x14ac:dyDescent="0.2">
      <c r="A20" s="125">
        <v>42779</v>
      </c>
      <c r="B20" s="126">
        <v>25</v>
      </c>
      <c r="C20" s="127">
        <f t="shared" si="1"/>
        <v>17</v>
      </c>
      <c r="D20" s="128">
        <v>23</v>
      </c>
      <c r="E20" s="128">
        <v>2</v>
      </c>
      <c r="F20" s="128">
        <v>3.75</v>
      </c>
      <c r="G20" s="126">
        <v>0.5</v>
      </c>
      <c r="H20" s="129">
        <f t="shared" si="2"/>
        <v>254.02700390624997</v>
      </c>
      <c r="I20" s="130">
        <f t="shared" si="0"/>
        <v>5.5374405759590761</v>
      </c>
      <c r="J20" s="128">
        <f t="shared" si="3"/>
        <v>2.5402700390624996E-7</v>
      </c>
      <c r="K20" s="130">
        <f t="shared" si="4"/>
        <v>98.518298906249953</v>
      </c>
      <c r="L20" s="131">
        <f t="shared" si="5"/>
        <v>0.48112189859762655</v>
      </c>
      <c r="M20" s="132">
        <v>77</v>
      </c>
      <c r="N20" s="133">
        <v>124</v>
      </c>
      <c r="O20" s="134">
        <v>179</v>
      </c>
      <c r="P20" s="135">
        <f t="shared" si="12"/>
        <v>126.66666666666667</v>
      </c>
      <c r="Q20" s="130">
        <f t="shared" si="9"/>
        <v>41</v>
      </c>
      <c r="R20" s="131">
        <f>(P20-P19)/((P20+P19)/2)</f>
        <v>0.38618524332810045</v>
      </c>
      <c r="S20" s="129">
        <f>O20</f>
        <v>179</v>
      </c>
      <c r="T20" s="130">
        <f t="shared" si="7"/>
        <v>5.1873858058407549</v>
      </c>
      <c r="U20" s="131">
        <f t="shared" si="11"/>
        <v>67</v>
      </c>
      <c r="V20" s="136">
        <f t="shared" si="8"/>
        <v>0.70464949492559026</v>
      </c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117" s="39" customFormat="1" ht="22" customHeight="1" thickBot="1" x14ac:dyDescent="0.25">
      <c r="A21" s="137">
        <v>42780</v>
      </c>
      <c r="B21" s="138">
        <v>26</v>
      </c>
      <c r="C21" s="139">
        <f t="shared" si="1"/>
        <v>18</v>
      </c>
      <c r="D21" s="140">
        <v>26</v>
      </c>
      <c r="E21" s="140">
        <v>1</v>
      </c>
      <c r="F21" s="140">
        <v>4.5</v>
      </c>
      <c r="G21" s="138">
        <v>0.5</v>
      </c>
      <c r="H21" s="141">
        <f t="shared" si="2"/>
        <v>413.51178374999995</v>
      </c>
      <c r="I21" s="142">
        <f t="shared" si="0"/>
        <v>6.0246860116393179</v>
      </c>
      <c r="J21" s="140">
        <f t="shared" si="3"/>
        <v>4.1351178374999993E-7</v>
      </c>
      <c r="K21" s="142">
        <f t="shared" si="4"/>
        <v>159.48477984374998</v>
      </c>
      <c r="L21" s="143">
        <f t="shared" si="5"/>
        <v>0.47782925215089339</v>
      </c>
      <c r="M21" s="144">
        <v>121</v>
      </c>
      <c r="N21" s="145">
        <v>216</v>
      </c>
      <c r="O21" s="146">
        <v>300</v>
      </c>
      <c r="P21" s="147">
        <f t="shared" si="12"/>
        <v>212.33333333333334</v>
      </c>
      <c r="Q21" s="142">
        <f t="shared" si="9"/>
        <v>85.666666666666671</v>
      </c>
      <c r="R21" s="143">
        <f t="shared" si="10"/>
        <v>0.50540806293018681</v>
      </c>
      <c r="S21" s="141">
        <f t="shared" ref="S21:S33" si="13">O21</f>
        <v>300</v>
      </c>
      <c r="T21" s="142">
        <f t="shared" si="7"/>
        <v>5.7037824746562009</v>
      </c>
      <c r="U21" s="143">
        <f t="shared" si="11"/>
        <v>121</v>
      </c>
      <c r="V21" s="148">
        <f t="shared" si="8"/>
        <v>0.72549323088063034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117" s="88" customFormat="1" ht="22" customHeight="1" x14ac:dyDescent="0.2">
      <c r="A22" s="149">
        <v>42781</v>
      </c>
      <c r="B22" s="150">
        <v>27</v>
      </c>
      <c r="C22" s="151">
        <f t="shared" si="1"/>
        <v>19</v>
      </c>
      <c r="D22" s="152">
        <v>24.5</v>
      </c>
      <c r="E22" s="152">
        <v>2</v>
      </c>
      <c r="F22" s="152">
        <v>5</v>
      </c>
      <c r="G22" s="150">
        <v>1</v>
      </c>
      <c r="H22" s="153">
        <f t="shared" si="2"/>
        <v>481.05596874999998</v>
      </c>
      <c r="I22" s="154">
        <f t="shared" si="0"/>
        <v>6.1759836224841695</v>
      </c>
      <c r="J22" s="152">
        <f t="shared" si="3"/>
        <v>4.8105596875000001E-7</v>
      </c>
      <c r="K22" s="154">
        <f t="shared" si="4"/>
        <v>67.544185000000027</v>
      </c>
      <c r="L22" s="155">
        <f t="shared" si="5"/>
        <v>0.1510096575943812</v>
      </c>
      <c r="M22" s="156">
        <v>172</v>
      </c>
      <c r="N22" s="157">
        <v>295</v>
      </c>
      <c r="O22" s="158">
        <v>321</v>
      </c>
      <c r="P22" s="159">
        <f t="shared" si="12"/>
        <v>262.66666666666669</v>
      </c>
      <c r="Q22" s="154">
        <f t="shared" si="9"/>
        <v>50.333333333333343</v>
      </c>
      <c r="R22" s="155">
        <f t="shared" si="10"/>
        <v>0.21192982456140355</v>
      </c>
      <c r="S22" s="153">
        <f t="shared" si="13"/>
        <v>321</v>
      </c>
      <c r="T22" s="154">
        <f t="shared" si="7"/>
        <v>5.7714411231300158</v>
      </c>
      <c r="U22" s="155">
        <f t="shared" si="11"/>
        <v>21</v>
      </c>
      <c r="V22" s="160">
        <f t="shared" si="8"/>
        <v>0.66728202299225714</v>
      </c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117" s="39" customFormat="1" ht="22" customHeight="1" x14ac:dyDescent="0.2">
      <c r="A23" s="161">
        <v>42782</v>
      </c>
      <c r="B23" s="162">
        <v>28</v>
      </c>
      <c r="C23" s="163">
        <f t="shared" si="1"/>
        <v>20</v>
      </c>
      <c r="D23" s="164">
        <v>27</v>
      </c>
      <c r="E23" s="164">
        <v>1.5</v>
      </c>
      <c r="F23" s="164">
        <v>5</v>
      </c>
      <c r="G23" s="162">
        <v>0.5</v>
      </c>
      <c r="H23" s="165">
        <f t="shared" si="2"/>
        <v>530.14331249999998</v>
      </c>
      <c r="I23" s="166">
        <f t="shared" si="0"/>
        <v>6.2731473709378172</v>
      </c>
      <c r="J23" s="164">
        <f t="shared" si="3"/>
        <v>5.3014331249999995E-7</v>
      </c>
      <c r="K23" s="166">
        <f t="shared" si="4"/>
        <v>49.087343750000002</v>
      </c>
      <c r="L23" s="167">
        <f t="shared" si="5"/>
        <v>9.7087378640776587E-2</v>
      </c>
      <c r="M23" s="168">
        <v>311</v>
      </c>
      <c r="N23" s="169">
        <v>269</v>
      </c>
      <c r="O23" s="170">
        <v>413</v>
      </c>
      <c r="P23" s="171">
        <f t="shared" si="12"/>
        <v>331</v>
      </c>
      <c r="Q23" s="166">
        <f t="shared" si="9"/>
        <v>68.333333333333314</v>
      </c>
      <c r="R23" s="167">
        <f t="shared" si="10"/>
        <v>0.23020774845592354</v>
      </c>
      <c r="S23" s="165">
        <f t="shared" si="13"/>
        <v>413</v>
      </c>
      <c r="T23" s="166">
        <f t="shared" si="7"/>
        <v>6.0234475929610332</v>
      </c>
      <c r="U23" s="167">
        <f t="shared" si="11"/>
        <v>92</v>
      </c>
      <c r="V23" s="172">
        <f t="shared" si="8"/>
        <v>0.77903463131962081</v>
      </c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117" s="39" customFormat="1" ht="22" customHeight="1" x14ac:dyDescent="0.2">
      <c r="A24" s="161">
        <v>42783</v>
      </c>
      <c r="B24" s="162">
        <v>29</v>
      </c>
      <c r="C24" s="163">
        <f t="shared" si="1"/>
        <v>21</v>
      </c>
      <c r="D24" s="164">
        <v>34.75</v>
      </c>
      <c r="E24" s="164">
        <v>2</v>
      </c>
      <c r="F24" s="164">
        <v>6.15</v>
      </c>
      <c r="G24" s="162">
        <v>0.25</v>
      </c>
      <c r="H24" s="165">
        <f t="shared" si="2"/>
        <v>1032.2729687953126</v>
      </c>
      <c r="I24" s="166">
        <f t="shared" si="0"/>
        <v>6.9395184157129419</v>
      </c>
      <c r="J24" s="164">
        <f t="shared" si="3"/>
        <v>1.0322729687953127E-6</v>
      </c>
      <c r="K24" s="166">
        <f t="shared" si="4"/>
        <v>502.12965629531266</v>
      </c>
      <c r="L24" s="167">
        <f t="shared" si="5"/>
        <v>0.64276039914154626</v>
      </c>
      <c r="M24" s="168">
        <v>260</v>
      </c>
      <c r="N24" s="169">
        <v>403</v>
      </c>
      <c r="O24" s="170">
        <v>721</v>
      </c>
      <c r="P24" s="171">
        <f t="shared" si="12"/>
        <v>461.33333333333331</v>
      </c>
      <c r="Q24" s="166">
        <f t="shared" si="9"/>
        <v>130.33333333333331</v>
      </c>
      <c r="R24" s="167">
        <f t="shared" si="10"/>
        <v>0.32898611695414387</v>
      </c>
      <c r="S24" s="165">
        <f t="shared" si="13"/>
        <v>721</v>
      </c>
      <c r="T24" s="166">
        <f t="shared" si="7"/>
        <v>6.5806391372849493</v>
      </c>
      <c r="U24" s="167">
        <f t="shared" si="11"/>
        <v>308</v>
      </c>
      <c r="V24" s="172">
        <f t="shared" si="8"/>
        <v>0.69845866529027134</v>
      </c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117" s="39" customFormat="1" ht="22" customHeight="1" x14ac:dyDescent="0.2">
      <c r="A25" s="161">
        <v>42784</v>
      </c>
      <c r="B25" s="162">
        <v>30</v>
      </c>
      <c r="C25" s="163">
        <f t="shared" si="1"/>
        <v>22</v>
      </c>
      <c r="D25" s="164">
        <f>30+3.75+3.5</f>
        <v>37.25</v>
      </c>
      <c r="E25" s="164">
        <v>2</v>
      </c>
      <c r="F25" s="164">
        <v>7.5</v>
      </c>
      <c r="G25" s="162">
        <v>1</v>
      </c>
      <c r="H25" s="165">
        <f t="shared" si="2"/>
        <v>1645.6531992187499</v>
      </c>
      <c r="I25" s="166">
        <f t="shared" si="0"/>
        <v>7.4058926659753856</v>
      </c>
      <c r="J25" s="164">
        <f t="shared" si="3"/>
        <v>1.64565319921875E-6</v>
      </c>
      <c r="K25" s="166">
        <f t="shared" si="4"/>
        <v>613.3802304234373</v>
      </c>
      <c r="L25" s="167">
        <f t="shared" si="5"/>
        <v>0.45810092731445029</v>
      </c>
      <c r="M25" s="168">
        <v>348</v>
      </c>
      <c r="N25" s="169">
        <v>642</v>
      </c>
      <c r="O25" s="170">
        <v>1066</v>
      </c>
      <c r="P25" s="171">
        <f t="shared" si="12"/>
        <v>685.33333333333337</v>
      </c>
      <c r="Q25" s="166">
        <f t="shared" si="9"/>
        <v>224.00000000000006</v>
      </c>
      <c r="R25" s="167">
        <f t="shared" si="10"/>
        <v>0.3906976744186047</v>
      </c>
      <c r="S25" s="165">
        <f t="shared" si="13"/>
        <v>1066</v>
      </c>
      <c r="T25" s="166">
        <f t="shared" si="7"/>
        <v>6.9716686047257896</v>
      </c>
      <c r="U25" s="167">
        <f t="shared" si="11"/>
        <v>345</v>
      </c>
      <c r="V25" s="172">
        <f t="shared" si="8"/>
        <v>0.64776709971825663</v>
      </c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117" s="39" customFormat="1" ht="22" customHeight="1" x14ac:dyDescent="0.2">
      <c r="A26" s="161">
        <v>42785</v>
      </c>
      <c r="B26" s="162">
        <v>31</v>
      </c>
      <c r="C26" s="163">
        <f t="shared" si="1"/>
        <v>23</v>
      </c>
      <c r="D26" s="164">
        <v>34.75</v>
      </c>
      <c r="E26" s="164">
        <v>3</v>
      </c>
      <c r="F26" s="164">
        <v>8.5</v>
      </c>
      <c r="G26" s="162">
        <v>1</v>
      </c>
      <c r="H26" s="165">
        <f t="shared" si="2"/>
        <v>1971.8876857812497</v>
      </c>
      <c r="I26" s="166">
        <f t="shared" si="0"/>
        <v>7.5867465790686301</v>
      </c>
      <c r="J26" s="164">
        <f t="shared" si="3"/>
        <v>1.9718876857812496E-6</v>
      </c>
      <c r="K26" s="166">
        <f t="shared" si="4"/>
        <v>326.2344865624998</v>
      </c>
      <c r="L26" s="167">
        <f t="shared" si="5"/>
        <v>0.18036257056013877</v>
      </c>
      <c r="M26" s="168">
        <v>588</v>
      </c>
      <c r="N26" s="169">
        <v>1078</v>
      </c>
      <c r="O26" s="170">
        <v>1562</v>
      </c>
      <c r="P26" s="171">
        <f t="shared" si="12"/>
        <v>1076</v>
      </c>
      <c r="Q26" s="166">
        <f t="shared" si="9"/>
        <v>390.66666666666663</v>
      </c>
      <c r="R26" s="167">
        <f t="shared" si="10"/>
        <v>0.44360333080999237</v>
      </c>
      <c r="S26" s="165">
        <f t="shared" si="13"/>
        <v>1562</v>
      </c>
      <c r="T26" s="166">
        <f t="shared" si="7"/>
        <v>7.3537223303996315</v>
      </c>
      <c r="U26" s="167">
        <f t="shared" si="11"/>
        <v>496</v>
      </c>
      <c r="V26" s="172">
        <f t="shared" si="8"/>
        <v>0.79213436508740365</v>
      </c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</row>
    <row r="27" spans="1:117" s="39" customFormat="1" ht="22" customHeight="1" thickBot="1" x14ac:dyDescent="0.25">
      <c r="A27" s="173">
        <v>42786</v>
      </c>
      <c r="B27" s="174">
        <v>32</v>
      </c>
      <c r="C27" s="175">
        <f t="shared" si="1"/>
        <v>24</v>
      </c>
      <c r="D27" s="176">
        <v>41.5</v>
      </c>
      <c r="E27" s="176">
        <v>5</v>
      </c>
      <c r="F27" s="176">
        <v>8</v>
      </c>
      <c r="G27" s="174">
        <v>1</v>
      </c>
      <c r="H27" s="177">
        <f t="shared" si="2"/>
        <v>2086.0157599999998</v>
      </c>
      <c r="I27" s="178">
        <f t="shared" si="0"/>
        <v>7.6430111906616123</v>
      </c>
      <c r="J27" s="176">
        <f t="shared" si="3"/>
        <v>2.0860157599999996E-6</v>
      </c>
      <c r="K27" s="178">
        <f t="shared" si="4"/>
        <v>114.12807421875004</v>
      </c>
      <c r="L27" s="179">
        <f t="shared" si="5"/>
        <v>5.6249773186398427E-2</v>
      </c>
      <c r="M27" s="180">
        <v>980</v>
      </c>
      <c r="N27" s="181">
        <v>1509</v>
      </c>
      <c r="O27" s="182">
        <v>1495</v>
      </c>
      <c r="P27" s="183">
        <f t="shared" si="12"/>
        <v>1328</v>
      </c>
      <c r="Q27" s="178">
        <f t="shared" si="9"/>
        <v>252</v>
      </c>
      <c r="R27" s="179">
        <f t="shared" si="10"/>
        <v>0.20965058236272879</v>
      </c>
      <c r="S27" s="177">
        <f t="shared" si="13"/>
        <v>1495</v>
      </c>
      <c r="T27" s="178">
        <f t="shared" si="7"/>
        <v>7.3098814858247865</v>
      </c>
      <c r="U27" s="179">
        <f t="shared" si="11"/>
        <v>-67</v>
      </c>
      <c r="V27" s="184">
        <f t="shared" si="8"/>
        <v>0.71667723162360009</v>
      </c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117" s="88" customFormat="1" ht="22" customHeight="1" x14ac:dyDescent="0.2">
      <c r="A28" s="185">
        <v>42787</v>
      </c>
      <c r="B28" s="186">
        <v>33</v>
      </c>
      <c r="C28" s="187">
        <f t="shared" si="1"/>
        <v>25</v>
      </c>
      <c r="D28" s="188">
        <v>49.5</v>
      </c>
      <c r="E28" s="188">
        <v>3</v>
      </c>
      <c r="F28" s="188">
        <v>9.5</v>
      </c>
      <c r="G28" s="186">
        <v>1</v>
      </c>
      <c r="H28" s="189">
        <f t="shared" si="2"/>
        <v>3508.6651565624998</v>
      </c>
      <c r="I28" s="190">
        <f t="shared" si="0"/>
        <v>8.162990946852922</v>
      </c>
      <c r="J28" s="188">
        <f t="shared" si="3"/>
        <v>3.5086651565625E-6</v>
      </c>
      <c r="K28" s="190">
        <f t="shared" si="4"/>
        <v>1422.6493965625</v>
      </c>
      <c r="L28" s="191">
        <f t="shared" si="5"/>
        <v>0.50857213048590044</v>
      </c>
      <c r="M28" s="192">
        <v>1379</v>
      </c>
      <c r="N28" s="193">
        <v>1492</v>
      </c>
      <c r="O28" s="194">
        <v>1980</v>
      </c>
      <c r="P28" s="195">
        <f t="shared" si="12"/>
        <v>1617</v>
      </c>
      <c r="Q28" s="190">
        <f t="shared" si="9"/>
        <v>289</v>
      </c>
      <c r="R28" s="191">
        <f t="shared" si="10"/>
        <v>0.1962648556876061</v>
      </c>
      <c r="S28" s="189">
        <f t="shared" si="13"/>
        <v>1980</v>
      </c>
      <c r="T28" s="190">
        <f t="shared" si="7"/>
        <v>7.5908521236885811</v>
      </c>
      <c r="U28" s="191">
        <f t="shared" si="11"/>
        <v>485</v>
      </c>
      <c r="V28" s="196">
        <f t="shared" si="8"/>
        <v>0.56431717238581991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117" s="39" customFormat="1" ht="22" customHeight="1" x14ac:dyDescent="0.2">
      <c r="A29" s="197">
        <v>42788</v>
      </c>
      <c r="B29" s="198">
        <v>34</v>
      </c>
      <c r="C29" s="199">
        <f t="shared" si="1"/>
        <v>26</v>
      </c>
      <c r="D29" s="200">
        <v>54.5</v>
      </c>
      <c r="E29" s="200">
        <v>2</v>
      </c>
      <c r="F29" s="200">
        <v>10.75</v>
      </c>
      <c r="G29" s="198">
        <v>1</v>
      </c>
      <c r="H29" s="201">
        <f t="shared" si="2"/>
        <v>4946.556173359375</v>
      </c>
      <c r="I29" s="202">
        <f t="shared" si="0"/>
        <v>8.5064468908818291</v>
      </c>
      <c r="J29" s="200">
        <f t="shared" si="3"/>
        <v>4.9465561733593753E-6</v>
      </c>
      <c r="K29" s="202">
        <f t="shared" si="4"/>
        <v>1437.8910167968752</v>
      </c>
      <c r="L29" s="203">
        <f t="shared" si="5"/>
        <v>0.34011907215447457</v>
      </c>
      <c r="M29" s="204">
        <v>1322</v>
      </c>
      <c r="N29" s="205">
        <v>1947</v>
      </c>
      <c r="O29" s="206">
        <v>3321</v>
      </c>
      <c r="P29" s="207">
        <f t="shared" si="12"/>
        <v>2196.6666666666665</v>
      </c>
      <c r="Q29" s="202">
        <f t="shared" si="9"/>
        <v>579.66666666666652</v>
      </c>
      <c r="R29" s="203">
        <f>(P29-P28)/((P29+P28)/2)</f>
        <v>0.30399440608338424</v>
      </c>
      <c r="S29" s="201">
        <f t="shared" si="13"/>
        <v>3321</v>
      </c>
      <c r="T29" s="202">
        <f t="shared" si="7"/>
        <v>8.1080212213767471</v>
      </c>
      <c r="U29" s="203">
        <f t="shared" si="11"/>
        <v>1341</v>
      </c>
      <c r="V29" s="208">
        <f t="shared" si="8"/>
        <v>0.67137618246122044</v>
      </c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117" s="39" customFormat="1" ht="22" customHeight="1" x14ac:dyDescent="0.2">
      <c r="A30" s="197">
        <v>42789</v>
      </c>
      <c r="B30" s="198">
        <v>35</v>
      </c>
      <c r="C30" s="199">
        <f t="shared" si="1"/>
        <v>27</v>
      </c>
      <c r="D30" s="200">
        <v>78.5</v>
      </c>
      <c r="E30" s="200">
        <v>10</v>
      </c>
      <c r="F30" s="200">
        <v>11</v>
      </c>
      <c r="G30" s="198">
        <v>1</v>
      </c>
      <c r="H30" s="201">
        <f t="shared" si="2"/>
        <v>7460.0981537500002</v>
      </c>
      <c r="I30" s="202">
        <f t="shared" si="0"/>
        <v>8.9173238504503924</v>
      </c>
      <c r="J30" s="200">
        <f t="shared" si="3"/>
        <v>7.4600981537500006E-6</v>
      </c>
      <c r="K30" s="202">
        <f t="shared" si="4"/>
        <v>2513.5419803906252</v>
      </c>
      <c r="L30" s="203">
        <f t="shared" si="5"/>
        <v>0.40519255459521697</v>
      </c>
      <c r="M30" s="204">
        <v>1576</v>
      </c>
      <c r="N30" s="205">
        <v>3253</v>
      </c>
      <c r="O30" s="206">
        <v>5335</v>
      </c>
      <c r="P30" s="207">
        <f t="shared" si="12"/>
        <v>3388</v>
      </c>
      <c r="Q30" s="202">
        <f t="shared" si="9"/>
        <v>1191.3333333333335</v>
      </c>
      <c r="R30" s="203">
        <f t="shared" si="10"/>
        <v>0.42664438343082262</v>
      </c>
      <c r="S30" s="201">
        <f t="shared" si="13"/>
        <v>5335</v>
      </c>
      <c r="T30" s="202">
        <f t="shared" si="7"/>
        <v>8.5820441637358531</v>
      </c>
      <c r="U30" s="203">
        <f t="shared" si="11"/>
        <v>2014</v>
      </c>
      <c r="V30" s="208">
        <f t="shared" si="8"/>
        <v>0.71513804376933465</v>
      </c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117" s="39" customFormat="1" ht="22" customHeight="1" x14ac:dyDescent="0.2">
      <c r="A31" s="197">
        <v>42790</v>
      </c>
      <c r="B31" s="198">
        <v>36</v>
      </c>
      <c r="C31" s="199">
        <f t="shared" si="1"/>
        <v>28</v>
      </c>
      <c r="D31" s="200">
        <v>70.599999999999994</v>
      </c>
      <c r="E31" s="200">
        <v>3</v>
      </c>
      <c r="F31" s="200">
        <v>14</v>
      </c>
      <c r="G31" s="198">
        <v>1</v>
      </c>
      <c r="H31" s="201">
        <f t="shared" si="2"/>
        <v>10868.016446</v>
      </c>
      <c r="I31" s="202">
        <f t="shared" si="0"/>
        <v>9.2935794837950017</v>
      </c>
      <c r="J31" s="200">
        <f t="shared" si="3"/>
        <v>1.0868016446E-5</v>
      </c>
      <c r="K31" s="202">
        <f t="shared" si="4"/>
        <v>3407.9182922499995</v>
      </c>
      <c r="L31" s="203">
        <f t="shared" si="5"/>
        <v>0.3718787629466791</v>
      </c>
      <c r="M31" s="204">
        <v>2467</v>
      </c>
      <c r="N31" s="205">
        <v>5199</v>
      </c>
      <c r="O31" s="206">
        <v>7216</v>
      </c>
      <c r="P31" s="207">
        <f t="shared" si="12"/>
        <v>4960.666666666667</v>
      </c>
      <c r="Q31" s="202">
        <f t="shared" si="9"/>
        <v>1572.666666666667</v>
      </c>
      <c r="R31" s="203">
        <f t="shared" si="10"/>
        <v>0.37674678591391841</v>
      </c>
      <c r="S31" s="201">
        <f t="shared" si="13"/>
        <v>7216</v>
      </c>
      <c r="T31" s="202">
        <f t="shared" si="7"/>
        <v>8.8840560617424593</v>
      </c>
      <c r="U31" s="203">
        <f t="shared" si="11"/>
        <v>1881</v>
      </c>
      <c r="V31" s="208">
        <f t="shared" si="8"/>
        <v>0.66396660658862605</v>
      </c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117" s="39" customFormat="1" ht="22" customHeight="1" x14ac:dyDescent="0.2">
      <c r="A32" s="197">
        <v>42791</v>
      </c>
      <c r="B32" s="198">
        <v>37</v>
      </c>
      <c r="C32" s="199">
        <f>B32-8</f>
        <v>29</v>
      </c>
      <c r="D32" s="200">
        <v>92</v>
      </c>
      <c r="E32" s="200">
        <v>2</v>
      </c>
      <c r="F32" s="200">
        <v>14.25</v>
      </c>
      <c r="G32" s="198">
        <v>1</v>
      </c>
      <c r="H32" s="201">
        <f t="shared" si="2"/>
        <v>14672.599745624999</v>
      </c>
      <c r="I32" s="202">
        <f t="shared" si="0"/>
        <v>9.5937370705436464</v>
      </c>
      <c r="J32" s="200">
        <f t="shared" si="3"/>
        <v>1.4672599745624999E-5</v>
      </c>
      <c r="K32" s="202">
        <f t="shared" si="4"/>
        <v>3804.5832996249992</v>
      </c>
      <c r="L32" s="203">
        <f t="shared" si="5"/>
        <v>0.297924159000718</v>
      </c>
      <c r="M32" s="204">
        <v>4152</v>
      </c>
      <c r="N32" s="205">
        <v>7127</v>
      </c>
      <c r="O32" s="206">
        <v>9422</v>
      </c>
      <c r="P32" s="207">
        <f t="shared" si="12"/>
        <v>6900.333333333333</v>
      </c>
      <c r="Q32" s="202">
        <f t="shared" si="9"/>
        <v>1939.6666666666661</v>
      </c>
      <c r="R32" s="203">
        <f t="shared" si="10"/>
        <v>0.32706629570300416</v>
      </c>
      <c r="S32" s="201">
        <f t="shared" si="13"/>
        <v>9422</v>
      </c>
      <c r="T32" s="202">
        <f t="shared" si="7"/>
        <v>9.1508026592599858</v>
      </c>
      <c r="U32" s="203">
        <f t="shared" si="11"/>
        <v>2206</v>
      </c>
      <c r="V32" s="208">
        <f t="shared" si="8"/>
        <v>0.6421493234564245</v>
      </c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s="39" customFormat="1" ht="22" customHeight="1" thickBot="1" x14ac:dyDescent="0.25">
      <c r="A33" s="209">
        <v>42792</v>
      </c>
      <c r="B33" s="210">
        <v>38</v>
      </c>
      <c r="C33" s="211">
        <f t="shared" si="1"/>
        <v>30</v>
      </c>
      <c r="D33" s="212">
        <v>97.5</v>
      </c>
      <c r="E33" s="212">
        <v>15</v>
      </c>
      <c r="F33" s="212">
        <v>16</v>
      </c>
      <c r="G33" s="210">
        <v>2</v>
      </c>
      <c r="H33" s="213">
        <f t="shared" si="2"/>
        <v>19603.5216</v>
      </c>
      <c r="I33" s="214">
        <f t="shared" si="0"/>
        <v>9.8834645025486516</v>
      </c>
      <c r="J33" s="212">
        <f t="shared" si="3"/>
        <v>1.96035216E-5</v>
      </c>
      <c r="K33" s="214">
        <f t="shared" si="4"/>
        <v>4930.9218543750012</v>
      </c>
      <c r="L33" s="215">
        <f t="shared" si="5"/>
        <v>0.28771760985753331</v>
      </c>
      <c r="M33" s="216">
        <v>5293</v>
      </c>
      <c r="N33" s="217">
        <v>8440</v>
      </c>
      <c r="O33" s="218">
        <v>10809</v>
      </c>
      <c r="P33" s="219">
        <f t="shared" si="12"/>
        <v>8180.666666666667</v>
      </c>
      <c r="Q33" s="214">
        <f t="shared" si="9"/>
        <v>1280.3333333333339</v>
      </c>
      <c r="R33" s="215">
        <f t="shared" si="10"/>
        <v>0.16979422231063376</v>
      </c>
      <c r="S33" s="213">
        <f t="shared" si="13"/>
        <v>10809</v>
      </c>
      <c r="T33" s="214">
        <f t="shared" si="7"/>
        <v>9.2881343994162027</v>
      </c>
      <c r="U33" s="215">
        <f t="shared" si="11"/>
        <v>1387</v>
      </c>
      <c r="V33" s="220">
        <f t="shared" si="8"/>
        <v>0.5513805233851452</v>
      </c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s="39" customFormat="1" ht="22" customHeight="1" x14ac:dyDescent="0.2">
      <c r="A34" s="221">
        <v>42793</v>
      </c>
      <c r="B34" s="222">
        <v>39</v>
      </c>
      <c r="C34" s="223">
        <f t="shared" si="1"/>
        <v>31</v>
      </c>
      <c r="D34" s="224"/>
      <c r="E34" s="224"/>
      <c r="F34" s="224"/>
      <c r="G34" s="222"/>
      <c r="H34" s="225"/>
      <c r="I34" s="226"/>
      <c r="J34" s="224"/>
      <c r="K34" s="226"/>
      <c r="L34" s="227"/>
      <c r="M34" s="228">
        <v>6424</v>
      </c>
      <c r="N34" s="229">
        <v>9176</v>
      </c>
      <c r="O34" s="230"/>
      <c r="P34" s="231"/>
      <c r="Q34" s="226"/>
      <c r="R34" s="227"/>
      <c r="S34" s="225"/>
      <c r="T34" s="226"/>
      <c r="U34" s="227"/>
      <c r="V34" s="232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s="39" customFormat="1" ht="22" customHeight="1" x14ac:dyDescent="0.2">
      <c r="A35" s="233">
        <v>42794</v>
      </c>
      <c r="B35" s="234">
        <v>40</v>
      </c>
      <c r="C35" s="235">
        <f t="shared" si="1"/>
        <v>32</v>
      </c>
      <c r="D35" s="236"/>
      <c r="E35" s="236"/>
      <c r="F35" s="236"/>
      <c r="G35" s="234"/>
      <c r="H35" s="237"/>
      <c r="I35" s="238"/>
      <c r="J35" s="236"/>
      <c r="K35" s="238"/>
      <c r="L35" s="239"/>
      <c r="M35" s="240">
        <v>7388</v>
      </c>
      <c r="N35" s="241">
        <v>9207</v>
      </c>
      <c r="O35" s="242"/>
      <c r="P35" s="243"/>
      <c r="Q35" s="238"/>
      <c r="R35" s="239"/>
      <c r="S35" s="237"/>
      <c r="T35" s="238"/>
      <c r="U35" s="239"/>
      <c r="V35" s="244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s="245" customFormat="1" ht="22" customHeight="1" x14ac:dyDescent="0.2">
      <c r="A36" s="233">
        <v>42795</v>
      </c>
      <c r="B36" s="234">
        <v>41</v>
      </c>
      <c r="C36" s="235">
        <f t="shared" si="1"/>
        <v>33</v>
      </c>
      <c r="D36" s="236"/>
      <c r="E36" s="236"/>
      <c r="F36" s="236"/>
      <c r="G36" s="234"/>
      <c r="H36" s="237"/>
      <c r="I36" s="238"/>
      <c r="J36" s="236"/>
      <c r="K36" s="238"/>
      <c r="L36" s="239"/>
      <c r="M36" s="240">
        <v>9105</v>
      </c>
      <c r="N36" s="241"/>
      <c r="O36" s="242"/>
      <c r="P36" s="243"/>
      <c r="Q36" s="238"/>
      <c r="R36" s="239"/>
      <c r="S36" s="237"/>
      <c r="T36" s="238"/>
      <c r="U36" s="239"/>
      <c r="V36" s="244"/>
    </row>
    <row r="37" spans="1:117" s="245" customFormat="1" ht="22" customHeight="1" thickBot="1" x14ac:dyDescent="0.25">
      <c r="A37" s="246">
        <v>42796</v>
      </c>
      <c r="B37" s="247">
        <v>42</v>
      </c>
      <c r="C37" s="248">
        <f t="shared" si="1"/>
        <v>34</v>
      </c>
      <c r="D37" s="249"/>
      <c r="E37" s="249"/>
      <c r="F37" s="249"/>
      <c r="G37" s="247"/>
      <c r="H37" s="250"/>
      <c r="I37" s="251"/>
      <c r="J37" s="249"/>
      <c r="K37" s="251"/>
      <c r="L37" s="252"/>
      <c r="M37" s="253">
        <v>9732</v>
      </c>
      <c r="N37" s="254"/>
      <c r="O37" s="255"/>
      <c r="P37" s="256"/>
      <c r="Q37" s="251"/>
      <c r="R37" s="252"/>
      <c r="S37" s="250"/>
      <c r="T37" s="251"/>
      <c r="U37" s="252"/>
      <c r="V37" s="257"/>
    </row>
    <row r="38" spans="1:117" x14ac:dyDescent="0.2">
      <c r="A38" s="18"/>
      <c r="B38" s="19"/>
      <c r="C38" s="19"/>
      <c r="D38" s="19"/>
      <c r="E38" s="19"/>
      <c r="F38" s="19"/>
      <c r="G38" s="19"/>
      <c r="H38" s="20"/>
      <c r="I38" s="20"/>
      <c r="J38" s="19"/>
      <c r="K38" s="20"/>
      <c r="L38" s="20"/>
      <c r="M38" s="21"/>
      <c r="N38" s="21"/>
      <c r="O38" s="21"/>
      <c r="P38" s="21"/>
      <c r="Q38" s="20"/>
      <c r="R38" s="20"/>
      <c r="S38" s="20"/>
      <c r="T38" s="20"/>
      <c r="U38" s="20"/>
      <c r="V38" s="20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</row>
    <row r="39" spans="1:117" x14ac:dyDescent="0.2">
      <c r="A39" s="22"/>
      <c r="B39" s="23"/>
      <c r="C39" s="23"/>
      <c r="D39" s="23"/>
      <c r="E39" s="23"/>
      <c r="F39" s="23"/>
      <c r="G39" s="23"/>
      <c r="H39" s="24"/>
      <c r="I39" s="24"/>
      <c r="J39" s="23"/>
      <c r="K39" s="24"/>
      <c r="L39" s="24"/>
      <c r="M39" s="25"/>
      <c r="N39" s="25"/>
      <c r="O39" s="25"/>
      <c r="P39" s="25"/>
      <c r="Q39" s="24"/>
      <c r="R39" s="24"/>
      <c r="S39" s="24"/>
      <c r="T39" s="24"/>
      <c r="U39" s="24"/>
      <c r="V39" s="24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</row>
    <row r="40" spans="1:117" x14ac:dyDescent="0.2">
      <c r="A40" s="22"/>
      <c r="B40" s="23"/>
      <c r="C40" s="23"/>
      <c r="D40" s="23"/>
      <c r="E40" s="23"/>
      <c r="F40" s="23"/>
      <c r="G40" s="23"/>
      <c r="H40" s="24"/>
      <c r="I40" s="24"/>
      <c r="J40" s="23"/>
      <c r="K40" s="24"/>
      <c r="L40" s="24"/>
      <c r="M40" s="25"/>
      <c r="N40" s="25"/>
      <c r="O40" s="25"/>
      <c r="P40" s="25"/>
      <c r="Q40" s="24"/>
      <c r="R40" s="24"/>
      <c r="S40" s="24"/>
      <c r="T40" s="24"/>
      <c r="U40" s="24"/>
      <c r="V40" s="24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</row>
    <row r="41" spans="1:117" x14ac:dyDescent="0.2">
      <c r="A41" s="22"/>
      <c r="B41" s="23"/>
      <c r="C41" s="23"/>
      <c r="D41" s="23"/>
      <c r="E41" s="23"/>
      <c r="F41" s="23"/>
      <c r="G41" s="23"/>
      <c r="H41" s="24"/>
      <c r="I41" s="24"/>
      <c r="J41" s="23"/>
      <c r="K41" s="24"/>
      <c r="L41" s="24"/>
      <c r="M41" s="25"/>
      <c r="N41" s="25"/>
      <c r="O41" s="25"/>
      <c r="P41" s="25"/>
      <c r="Q41" s="24"/>
      <c r="R41" s="24"/>
      <c r="S41" s="24"/>
      <c r="T41" s="24"/>
      <c r="U41" s="24"/>
      <c r="V41" s="24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</row>
    <row r="42" spans="1:117" x14ac:dyDescent="0.2">
      <c r="A42" s="22"/>
      <c r="B42" s="23"/>
      <c r="C42" s="23"/>
      <c r="D42" s="23"/>
      <c r="E42" s="23"/>
      <c r="F42" s="23"/>
      <c r="G42" s="23"/>
      <c r="H42" s="24"/>
      <c r="I42" s="24"/>
      <c r="J42" s="23"/>
      <c r="K42" s="24"/>
      <c r="L42" s="24"/>
      <c r="M42" s="25"/>
      <c r="N42" s="25"/>
      <c r="O42" s="25"/>
      <c r="P42" s="25"/>
      <c r="Q42" s="24"/>
      <c r="R42" s="24"/>
      <c r="S42" s="24"/>
      <c r="T42" s="24"/>
      <c r="U42" s="24"/>
      <c r="V42" s="2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</row>
    <row r="43" spans="1:117" x14ac:dyDescent="0.2">
      <c r="A43" s="22"/>
      <c r="B43" s="23"/>
      <c r="C43" s="23"/>
      <c r="D43" s="23"/>
      <c r="E43" s="23"/>
      <c r="F43" s="23"/>
      <c r="G43" s="23"/>
      <c r="H43" s="24"/>
      <c r="I43" s="24"/>
      <c r="J43" s="23"/>
      <c r="K43" s="24"/>
      <c r="L43" s="24"/>
      <c r="M43" s="25"/>
      <c r="N43" s="25"/>
      <c r="O43" s="25"/>
      <c r="P43" s="25"/>
      <c r="Q43" s="24"/>
      <c r="R43" s="24"/>
      <c r="S43" s="24"/>
      <c r="T43" s="24"/>
      <c r="U43" s="24"/>
      <c r="V43" s="2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</row>
    <row r="44" spans="1:117" x14ac:dyDescent="0.2">
      <c r="A44" s="22"/>
      <c r="B44" s="23"/>
      <c r="C44" s="23"/>
      <c r="D44" s="23"/>
      <c r="E44" s="23"/>
      <c r="F44" s="23"/>
      <c r="G44" s="23"/>
      <c r="H44" s="24"/>
      <c r="I44" s="24"/>
      <c r="J44" s="23"/>
      <c r="K44" s="24"/>
      <c r="L44" s="24"/>
      <c r="M44" s="25"/>
      <c r="N44" s="25"/>
      <c r="O44" s="25"/>
      <c r="P44" s="25"/>
      <c r="Q44" s="24"/>
      <c r="R44" s="24"/>
      <c r="S44" s="24"/>
      <c r="T44" s="24"/>
      <c r="U44" s="24"/>
      <c r="V44" s="24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</row>
    <row r="45" spans="1:117" x14ac:dyDescent="0.2">
      <c r="A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</row>
    <row r="46" spans="1:117" x14ac:dyDescent="0.2">
      <c r="A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</row>
    <row r="47" spans="1:117" x14ac:dyDescent="0.2">
      <c r="A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</row>
    <row r="48" spans="1:117" x14ac:dyDescent="0.2">
      <c r="A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</row>
    <row r="49" spans="1:117" x14ac:dyDescent="0.2">
      <c r="A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</row>
    <row r="50" spans="1:117" x14ac:dyDescent="0.2">
      <c r="A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</row>
    <row r="51" spans="1:117" x14ac:dyDescent="0.2">
      <c r="A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</row>
    <row r="52" spans="1:117" x14ac:dyDescent="0.2">
      <c r="A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</row>
    <row r="53" spans="1:117" x14ac:dyDescent="0.2">
      <c r="A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</row>
    <row r="54" spans="1:117" x14ac:dyDescent="0.2">
      <c r="A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</row>
    <row r="55" spans="1:117" x14ac:dyDescent="0.2">
      <c r="A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</row>
    <row r="56" spans="1:117" x14ac:dyDescent="0.2">
      <c r="A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</row>
    <row r="57" spans="1:117" x14ac:dyDescent="0.2">
      <c r="A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</row>
    <row r="58" spans="1:117" x14ac:dyDescent="0.2">
      <c r="A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</row>
    <row r="59" spans="1:117" x14ac:dyDescent="0.2">
      <c r="A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</row>
    <row r="60" spans="1:117" x14ac:dyDescent="0.2">
      <c r="A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</row>
    <row r="61" spans="1:117" x14ac:dyDescent="0.2">
      <c r="A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</row>
    <row r="62" spans="1:117" x14ac:dyDescent="0.2">
      <c r="A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</row>
    <row r="63" spans="1:117" x14ac:dyDescent="0.2">
      <c r="A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</row>
    <row r="64" spans="1:117" x14ac:dyDescent="0.2">
      <c r="A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</row>
    <row r="65" spans="1:117" x14ac:dyDescent="0.2">
      <c r="A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</row>
    <row r="66" spans="1:117" x14ac:dyDescent="0.2">
      <c r="A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</row>
    <row r="67" spans="1:117" x14ac:dyDescent="0.2">
      <c r="A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</row>
    <row r="68" spans="1:117" x14ac:dyDescent="0.2">
      <c r="A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</row>
    <row r="69" spans="1:117" x14ac:dyDescent="0.2">
      <c r="A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</row>
    <row r="70" spans="1:117" x14ac:dyDescent="0.2"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</row>
    <row r="71" spans="1:117" x14ac:dyDescent="0.2"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</row>
    <row r="72" spans="1:117" x14ac:dyDescent="0.2"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</row>
    <row r="73" spans="1:117" x14ac:dyDescent="0.2"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</row>
    <row r="74" spans="1:117" x14ac:dyDescent="0.2"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 t="s">
        <v>14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</row>
    <row r="75" spans="1:117" x14ac:dyDescent="0.2"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</row>
    <row r="76" spans="1:117" x14ac:dyDescent="0.2"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</row>
    <row r="77" spans="1:117" x14ac:dyDescent="0.2"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</row>
    <row r="78" spans="1:117" x14ac:dyDescent="0.2"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</row>
    <row r="79" spans="1:117" x14ac:dyDescent="0.2"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</row>
    <row r="80" spans="1:117" x14ac:dyDescent="0.2"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</row>
    <row r="81" spans="23:117" x14ac:dyDescent="0.2"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</row>
    <row r="82" spans="23:117" x14ac:dyDescent="0.2"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</row>
    <row r="83" spans="23:117" x14ac:dyDescent="0.2"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</row>
    <row r="84" spans="23:117" x14ac:dyDescent="0.2"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</row>
    <row r="85" spans="23:117" x14ac:dyDescent="0.2"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</row>
    <row r="86" spans="23:117" x14ac:dyDescent="0.2"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</row>
    <row r="87" spans="23:117" x14ac:dyDescent="0.2"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</row>
    <row r="88" spans="23:117" x14ac:dyDescent="0.2"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</row>
    <row r="89" spans="23:117" x14ac:dyDescent="0.2"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</row>
    <row r="90" spans="23:117" x14ac:dyDescent="0.2"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</row>
    <row r="91" spans="23:117" x14ac:dyDescent="0.2"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</row>
    <row r="92" spans="23:117" x14ac:dyDescent="0.2"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</row>
    <row r="93" spans="23:117" x14ac:dyDescent="0.2"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</row>
    <row r="94" spans="23:117" x14ac:dyDescent="0.2"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</row>
    <row r="95" spans="23:117" x14ac:dyDescent="0.2"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</row>
    <row r="96" spans="23:117" x14ac:dyDescent="0.2"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</row>
    <row r="97" spans="23:117" x14ac:dyDescent="0.2"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</row>
    <row r="98" spans="23:117" x14ac:dyDescent="0.2"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</row>
    <row r="99" spans="23:117" x14ac:dyDescent="0.2"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</row>
    <row r="100" spans="23:117" x14ac:dyDescent="0.2"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</row>
    <row r="101" spans="23:117" x14ac:dyDescent="0.2"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</row>
    <row r="102" spans="23:117" x14ac:dyDescent="0.2"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</row>
    <row r="103" spans="23:117" x14ac:dyDescent="0.2"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</row>
    <row r="104" spans="23:117" x14ac:dyDescent="0.2"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</row>
    <row r="105" spans="23:117" x14ac:dyDescent="0.2"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</row>
    <row r="106" spans="23:117" x14ac:dyDescent="0.2"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</row>
    <row r="107" spans="23:117" x14ac:dyDescent="0.2"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</row>
    <row r="108" spans="23:117" x14ac:dyDescent="0.2"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</row>
    <row r="109" spans="23:117" x14ac:dyDescent="0.2"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</row>
    <row r="110" spans="23:117" x14ac:dyDescent="0.2"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</row>
    <row r="111" spans="23:117" x14ac:dyDescent="0.2"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</row>
    <row r="112" spans="23:117" x14ac:dyDescent="0.2"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</row>
    <row r="113" spans="23:117" x14ac:dyDescent="0.2"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</row>
    <row r="114" spans="23:117" x14ac:dyDescent="0.2"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</row>
    <row r="115" spans="23:117" x14ac:dyDescent="0.2"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</row>
    <row r="116" spans="23:117" x14ac:dyDescent="0.2"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</row>
    <row r="117" spans="23:117" x14ac:dyDescent="0.2"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</row>
    <row r="118" spans="23:117" x14ac:dyDescent="0.2"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</row>
    <row r="119" spans="23:117" x14ac:dyDescent="0.2"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</row>
    <row r="120" spans="23:117" x14ac:dyDescent="0.2"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</row>
    <row r="121" spans="23:117" x14ac:dyDescent="0.2"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</row>
    <row r="122" spans="23:117" x14ac:dyDescent="0.2"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</row>
    <row r="123" spans="23:117" x14ac:dyDescent="0.2"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</row>
    <row r="124" spans="23:117" x14ac:dyDescent="0.2"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</row>
    <row r="125" spans="23:117" x14ac:dyDescent="0.2"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</row>
    <row r="126" spans="23:117" x14ac:dyDescent="0.2"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</row>
    <row r="127" spans="23:117" x14ac:dyDescent="0.2"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</row>
    <row r="128" spans="23:117" x14ac:dyDescent="0.2"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</row>
    <row r="129" spans="23:117" x14ac:dyDescent="0.2"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</row>
    <row r="130" spans="23:117" x14ac:dyDescent="0.2"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</row>
    <row r="131" spans="23:117" x14ac:dyDescent="0.2"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</row>
    <row r="132" spans="23:117" x14ac:dyDescent="0.2"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</row>
    <row r="133" spans="23:117" x14ac:dyDescent="0.2"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</row>
    <row r="134" spans="23:117" x14ac:dyDescent="0.2"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</row>
    <row r="135" spans="23:117" x14ac:dyDescent="0.2"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</row>
    <row r="136" spans="23:117" x14ac:dyDescent="0.2"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</row>
    <row r="137" spans="23:117" x14ac:dyDescent="0.2"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</row>
    <row r="138" spans="23:117" x14ac:dyDescent="0.2"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</row>
    <row r="139" spans="23:117" x14ac:dyDescent="0.2"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</row>
    <row r="140" spans="23:117" x14ac:dyDescent="0.2"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</row>
    <row r="141" spans="23:117" x14ac:dyDescent="0.2"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</row>
  </sheetData>
  <phoneticPr fontId="4" type="noConversion"/>
  <pageMargins left="0.7" right="0.7" top="0.75" bottom="0.75" header="0.3" footer="0.3"/>
  <pageSetup scale="49"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2017-04-16T00:21:11Z</cp:lastPrinted>
  <dcterms:created xsi:type="dcterms:W3CDTF">2017-01-28T18:47:09Z</dcterms:created>
  <dcterms:modified xsi:type="dcterms:W3CDTF">2017-04-16T01:11:11Z</dcterms:modified>
</cp:coreProperties>
</file>