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" sheetId="1" r:id="rId4"/>
    <sheet state="visible" name="Avg_Duration" sheetId="2" r:id="rId5"/>
    <sheet state="visible" name="Frequent_Hours" sheetId="3" r:id="rId6"/>
    <sheet state="visible" name="Week_days" sheetId="4" r:id="rId7"/>
    <sheet state="visible" name="Frequent_Routes" sheetId="5" r:id="rId8"/>
    <sheet state="visible" name="Period_Of_Year" sheetId="6" r:id="rId9"/>
  </sheets>
  <definedNames>
    <definedName name="member">Global!$B$2</definedName>
    <definedName name="Membership">Frequent_Hours!$B$2:$B$11</definedName>
    <definedName name="casual">Global!$B$3</definedName>
  </definedNames>
  <calcPr/>
</workbook>
</file>

<file path=xl/sharedStrings.xml><?xml version="1.0" encoding="utf-8"?>
<sst xmlns="http://schemas.openxmlformats.org/spreadsheetml/2006/main" count="127" uniqueCount="35">
  <si>
    <t>Membership</t>
  </si>
  <si>
    <t>Count_Trips</t>
  </si>
  <si>
    <t>Total_Trips</t>
  </si>
  <si>
    <t>Year</t>
  </si>
  <si>
    <t>%</t>
  </si>
  <si>
    <t>member</t>
  </si>
  <si>
    <t>2022</t>
  </si>
  <si>
    <t>casual</t>
  </si>
  <si>
    <t>Average_Trip_Duration</t>
  </si>
  <si>
    <t>Pick_Up_Hour</t>
  </si>
  <si>
    <t>Count_Hours</t>
  </si>
  <si>
    <t>Total</t>
  </si>
  <si>
    <t>Weekend_Business</t>
  </si>
  <si>
    <t>Count_Weekend_Business</t>
  </si>
  <si>
    <t>Business_day</t>
  </si>
  <si>
    <t>Weekend</t>
  </si>
  <si>
    <t>Route</t>
  </si>
  <si>
    <t>Count_Route</t>
  </si>
  <si>
    <t>Ellis Ave &amp; 60th St / University Ave &amp; 57th St</t>
  </si>
  <si>
    <t>University Ave &amp; 57th St / Ellis Ave &amp; 60th St</t>
  </si>
  <si>
    <t>Ellis Ave &amp; 60th St / Ellis Ave &amp; 55th St</t>
  </si>
  <si>
    <t>Ellis Ave &amp; 55th St / Ellis Ave &amp; 60th St</t>
  </si>
  <si>
    <t>State St &amp; 33rd St / Calumet Ave &amp; 33rd St</t>
  </si>
  <si>
    <t>Streeter Dr &amp; Grand Ave / Streeter Dr &amp; Grand Ave</t>
  </si>
  <si>
    <t>DuSable Lake Shore Dr &amp; Monroe St / DuSable Lake Shore Dr &amp; Monroe St</t>
  </si>
  <si>
    <t>DuSable Lake Shore Dr &amp; Monroe St / Streeter Dr &amp; Grand Ave</t>
  </si>
  <si>
    <t>Michigan Ave &amp; Oak St / Michigan Ave &amp; Oak St</t>
  </si>
  <si>
    <t>Millennium Park / Millennium Park</t>
  </si>
  <si>
    <t>Count_Routes</t>
  </si>
  <si>
    <t>Quarter</t>
  </si>
  <si>
    <t>Count_Quarter</t>
  </si>
  <si>
    <t>Q3</t>
  </si>
  <si>
    <t>Q2</t>
  </si>
  <si>
    <t>Q4</t>
  </si>
  <si>
    <t>Q1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</si>
</sst>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9" xfId="0" applyBorder="1" applyFont="1" applyNumberFormat="1"/>
    <xf borderId="1" fillId="0" fontId="2" numFmtId="0" xfId="0" applyBorder="1" applyFont="1"/>
    <xf borderId="0" fillId="0" fontId="2" numFmtId="0" xfId="0" applyFon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1.57"/>
    <col customWidth="1" min="3" max="3" width="10.71"/>
    <col customWidth="1" min="4" max="4" width="5.0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2603812.0</v>
      </c>
      <c r="C2" s="1">
        <v>4347180.0</v>
      </c>
      <c r="D2" s="1" t="s">
        <v>6</v>
      </c>
      <c r="E2" s="2">
        <f t="shared" ref="E2:E3" si="1">B2/C2</f>
        <v>0.5989657663</v>
      </c>
    </row>
    <row r="3">
      <c r="A3" s="1" t="s">
        <v>7</v>
      </c>
      <c r="B3" s="1">
        <v>1743368.0</v>
      </c>
      <c r="C3" s="1">
        <v>4347180.0</v>
      </c>
      <c r="D3" s="1" t="s">
        <v>6</v>
      </c>
      <c r="E3" s="2">
        <f t="shared" si="1"/>
        <v>0.4010342337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21.86"/>
    <col customWidth="1" min="3" max="3" width="5.0"/>
    <col customWidth="1" min="4" max="26" width="8.71"/>
  </cols>
  <sheetData>
    <row r="1">
      <c r="A1" s="1" t="s">
        <v>0</v>
      </c>
      <c r="B1" s="1" t="s">
        <v>8</v>
      </c>
      <c r="C1" s="1" t="s">
        <v>3</v>
      </c>
    </row>
    <row r="2">
      <c r="A2" s="1" t="s">
        <v>5</v>
      </c>
      <c r="B2" s="1">
        <v>11.0</v>
      </c>
      <c r="C2" s="1" t="s">
        <v>6</v>
      </c>
    </row>
    <row r="3">
      <c r="A3" s="1" t="s">
        <v>7</v>
      </c>
      <c r="B3" s="1">
        <v>22.0</v>
      </c>
      <c r="C3" s="1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2.29"/>
    <col customWidth="1" min="3" max="3" width="12.43"/>
    <col customWidth="1" min="4" max="4" width="5.0"/>
    <col customWidth="1" min="5" max="6" width="8.71"/>
    <col customWidth="1" min="7" max="7" width="13.43"/>
    <col customWidth="1" min="8" max="8" width="12.29"/>
    <col customWidth="1" min="9" max="11" width="12.43"/>
    <col customWidth="1" min="12" max="12" width="8.71"/>
    <col customWidth="1" min="13" max="13" width="13.43"/>
    <col customWidth="1" min="14" max="14" width="12.29"/>
    <col customWidth="1" min="15" max="15" width="12.43"/>
    <col customWidth="1" min="16" max="26" width="8.71"/>
  </cols>
  <sheetData>
    <row r="1">
      <c r="A1" s="1" t="s">
        <v>9</v>
      </c>
      <c r="B1" s="1" t="s">
        <v>0</v>
      </c>
      <c r="C1" s="1" t="s">
        <v>10</v>
      </c>
      <c r="D1" s="1" t="s">
        <v>3</v>
      </c>
      <c r="G1" s="3" t="str">
        <f>IFERROR(__xludf.DUMMYFUNCTION("ARRAY_CONSTRAIN(ARRAYFORMULA(VSTACK(A1:C1,FILTER(A2:C11,Membership=""casual""))), 6, 3)"),"Pick_Up_Hour")</f>
        <v>Pick_Up_Hour</v>
      </c>
      <c r="H1" s="3" t="str">
        <f>IFERROR(__xludf.DUMMYFUNCTION("""COMPUTED_VALUE"""),"Membership")</f>
        <v>Membership</v>
      </c>
      <c r="I1" s="3" t="str">
        <f>IFERROR(__xludf.DUMMYFUNCTION("""COMPUTED_VALUE"""),"Count_Hours")</f>
        <v>Count_Hours</v>
      </c>
      <c r="J1" s="3" t="s">
        <v>4</v>
      </c>
      <c r="K1" s="4"/>
      <c r="M1" s="3" t="str">
        <f>IFERROR(__xludf.DUMMYFUNCTION("ARRAY_CONSTRAIN(ARRAYFORMULA(VSTACK(A1:C1,FILTER(A2:C11,Membership=""member""))), 6, 3)"),"Pick_Up_Hour")</f>
        <v>Pick_Up_Hour</v>
      </c>
      <c r="N1" s="3" t="str">
        <f>IFERROR(__xludf.DUMMYFUNCTION("""COMPUTED_VALUE"""),"Membership")</f>
        <v>Membership</v>
      </c>
      <c r="O1" s="3" t="str">
        <f>IFERROR(__xludf.DUMMYFUNCTION("""COMPUTED_VALUE"""),"Count_Hours")</f>
        <v>Count_Hours</v>
      </c>
      <c r="P1" s="3" t="s">
        <v>4</v>
      </c>
    </row>
    <row r="2">
      <c r="A2" s="1">
        <v>15.0</v>
      </c>
      <c r="B2" s="1" t="s">
        <v>5</v>
      </c>
      <c r="C2" s="1">
        <v>172002.0</v>
      </c>
      <c r="D2" s="1" t="s">
        <v>6</v>
      </c>
      <c r="G2" s="1">
        <f>IFERROR(__xludf.DUMMYFUNCTION("""COMPUTED_VALUE"""),15.0)</f>
        <v>15</v>
      </c>
      <c r="H2" s="1" t="str">
        <f>IFERROR(__xludf.DUMMYFUNCTION("""COMPUTED_VALUE"""),"casual")</f>
        <v>casual</v>
      </c>
      <c r="I2" s="1">
        <f>IFERROR(__xludf.DUMMYFUNCTION("""COMPUTED_VALUE"""),135448.0)</f>
        <v>135448</v>
      </c>
      <c r="J2" s="2">
        <f>I2/casual</f>
        <v>0.07769329252</v>
      </c>
      <c r="M2" s="1">
        <f>IFERROR(__xludf.DUMMYFUNCTION("""COMPUTED_VALUE"""),15.0)</f>
        <v>15</v>
      </c>
      <c r="N2" s="1" t="str">
        <f>IFERROR(__xludf.DUMMYFUNCTION("""COMPUTED_VALUE"""),"member")</f>
        <v>member</v>
      </c>
      <c r="O2" s="1">
        <f>IFERROR(__xludf.DUMMYFUNCTION("""COMPUTED_VALUE"""),172002.0)</f>
        <v>172002</v>
      </c>
      <c r="P2" s="2">
        <f>O2/member</f>
        <v>0.06605776454</v>
      </c>
    </row>
    <row r="3">
      <c r="A3" s="1">
        <v>9.0</v>
      </c>
      <c r="B3" s="1" t="s">
        <v>5</v>
      </c>
      <c r="C3" s="1">
        <v>112429.0</v>
      </c>
      <c r="D3" s="1" t="s">
        <v>6</v>
      </c>
      <c r="G3" s="1">
        <f>IFERROR(__xludf.DUMMYFUNCTION("""COMPUTED_VALUE"""),9.0)</f>
        <v>9</v>
      </c>
      <c r="H3" s="1" t="str">
        <f>IFERROR(__xludf.DUMMYFUNCTION("""COMPUTED_VALUE"""),"casual")</f>
        <v>casual</v>
      </c>
      <c r="I3" s="1">
        <f>IFERROR(__xludf.DUMMYFUNCTION("""COMPUTED_VALUE"""),54603.0)</f>
        <v>54603</v>
      </c>
      <c r="J3" s="2">
        <f>I3/casual</f>
        <v>0.03132040969</v>
      </c>
      <c r="M3" s="1">
        <f>IFERROR(__xludf.DUMMYFUNCTION("""COMPUTED_VALUE"""),9.0)</f>
        <v>9</v>
      </c>
      <c r="N3" s="1" t="str">
        <f>IFERROR(__xludf.DUMMYFUNCTION("""COMPUTED_VALUE"""),"member")</f>
        <v>member</v>
      </c>
      <c r="O3" s="1">
        <f>IFERROR(__xludf.DUMMYFUNCTION("""COMPUTED_VALUE"""),112429.0)</f>
        <v>112429</v>
      </c>
      <c r="P3" s="2">
        <f>O3/member</f>
        <v>0.04317861658</v>
      </c>
    </row>
    <row r="4">
      <c r="A4" s="1">
        <v>23.0</v>
      </c>
      <c r="B4" s="1" t="s">
        <v>5</v>
      </c>
      <c r="C4" s="1">
        <v>34096.0</v>
      </c>
      <c r="D4" s="1" t="s">
        <v>6</v>
      </c>
      <c r="G4" s="1">
        <f>IFERROR(__xludf.DUMMYFUNCTION("""COMPUTED_VALUE"""),23.0)</f>
        <v>23</v>
      </c>
      <c r="H4" s="1" t="str">
        <f>IFERROR(__xludf.DUMMYFUNCTION("""COMPUTED_VALUE"""),"casual")</f>
        <v>casual</v>
      </c>
      <c r="I4" s="1">
        <f>IFERROR(__xludf.DUMMYFUNCTION("""COMPUTED_VALUE"""),35381.0)</f>
        <v>35381</v>
      </c>
      <c r="J4" s="2">
        <f>I4/casual</f>
        <v>0.02029462512</v>
      </c>
      <c r="M4" s="1">
        <f>IFERROR(__xludf.DUMMYFUNCTION("""COMPUTED_VALUE"""),23.0)</f>
        <v>23</v>
      </c>
      <c r="N4" s="1" t="str">
        <f>IFERROR(__xludf.DUMMYFUNCTION("""COMPUTED_VALUE"""),"member")</f>
        <v>member</v>
      </c>
      <c r="O4" s="1">
        <f>IFERROR(__xludf.DUMMYFUNCTION("""COMPUTED_VALUE"""),34096.0)</f>
        <v>34096</v>
      </c>
      <c r="P4" s="2">
        <f>O4/member</f>
        <v>0.01309464739</v>
      </c>
    </row>
    <row r="5">
      <c r="A5" s="1">
        <v>0.0</v>
      </c>
      <c r="B5" s="1" t="s">
        <v>5</v>
      </c>
      <c r="C5" s="1">
        <v>25221.0</v>
      </c>
      <c r="D5" s="1" t="s">
        <v>6</v>
      </c>
      <c r="G5" s="1">
        <f>IFERROR(__xludf.DUMMYFUNCTION("""COMPUTED_VALUE"""),0.0)</f>
        <v>0</v>
      </c>
      <c r="H5" s="1" t="str">
        <f>IFERROR(__xludf.DUMMYFUNCTION("""COMPUTED_VALUE"""),"casual")</f>
        <v>casual</v>
      </c>
      <c r="I5" s="1">
        <f>IFERROR(__xludf.DUMMYFUNCTION("""COMPUTED_VALUE"""),33310.0)</f>
        <v>33310</v>
      </c>
      <c r="J5" s="2">
        <f>I5/casual</f>
        <v>0.01910669463</v>
      </c>
      <c r="M5" s="1">
        <f>IFERROR(__xludf.DUMMYFUNCTION("""COMPUTED_VALUE"""),0.0)</f>
        <v>0</v>
      </c>
      <c r="N5" s="1" t="str">
        <f>IFERROR(__xludf.DUMMYFUNCTION("""COMPUTED_VALUE"""),"member")</f>
        <v>member</v>
      </c>
      <c r="O5" s="1">
        <f>IFERROR(__xludf.DUMMYFUNCTION("""COMPUTED_VALUE"""),25221.0)</f>
        <v>25221</v>
      </c>
      <c r="P5" s="2">
        <f>O5/member</f>
        <v>0.009686183181</v>
      </c>
    </row>
    <row r="6">
      <c r="A6" s="1">
        <v>3.0</v>
      </c>
      <c r="B6" s="1" t="s">
        <v>5</v>
      </c>
      <c r="C6" s="1">
        <v>5243.0</v>
      </c>
      <c r="D6" s="1" t="s">
        <v>6</v>
      </c>
      <c r="G6" s="1">
        <f>IFERROR(__xludf.DUMMYFUNCTION("""COMPUTED_VALUE"""),3.0)</f>
        <v>3</v>
      </c>
      <c r="H6" s="1" t="str">
        <f>IFERROR(__xludf.DUMMYFUNCTION("""COMPUTED_VALUE"""),"casual")</f>
        <v>casual</v>
      </c>
      <c r="I6" s="1">
        <f>IFERROR(__xludf.DUMMYFUNCTION("""COMPUTED_VALUE"""),7198.0)</f>
        <v>7198</v>
      </c>
      <c r="J6" s="2">
        <f>I6/casual</f>
        <v>0.004128789791</v>
      </c>
      <c r="M6" s="1">
        <f>IFERROR(__xludf.DUMMYFUNCTION("""COMPUTED_VALUE"""),3.0)</f>
        <v>3</v>
      </c>
      <c r="N6" s="1" t="str">
        <f>IFERROR(__xludf.DUMMYFUNCTION("""COMPUTED_VALUE"""),"member")</f>
        <v>member</v>
      </c>
      <c r="O6" s="1">
        <f>IFERROR(__xludf.DUMMYFUNCTION("""COMPUTED_VALUE"""),5243.0)</f>
        <v>5243</v>
      </c>
      <c r="P6" s="2">
        <f>O6/member</f>
        <v>0.002013586234</v>
      </c>
    </row>
    <row r="7">
      <c r="A7" s="1">
        <v>15.0</v>
      </c>
      <c r="B7" s="1" t="s">
        <v>7</v>
      </c>
      <c r="C7" s="1">
        <v>135448.0</v>
      </c>
      <c r="D7" s="1" t="s">
        <v>6</v>
      </c>
      <c r="H7" s="3" t="s">
        <v>11</v>
      </c>
      <c r="I7" s="1">
        <f>SUM(I2:I6)</f>
        <v>265940</v>
      </c>
      <c r="J7" s="2">
        <f>I7/casual</f>
        <v>0.1525438117</v>
      </c>
      <c r="N7" s="3" t="s">
        <v>11</v>
      </c>
      <c r="O7" s="1">
        <f>SUM(O2:O6)</f>
        <v>348991</v>
      </c>
      <c r="P7" s="2">
        <f>O7/member</f>
        <v>0.1340307979</v>
      </c>
    </row>
    <row r="8">
      <c r="A8" s="1">
        <v>9.0</v>
      </c>
      <c r="B8" s="1" t="s">
        <v>7</v>
      </c>
      <c r="C8" s="1">
        <v>54603.0</v>
      </c>
      <c r="D8" s="1" t="s">
        <v>6</v>
      </c>
    </row>
    <row r="9">
      <c r="A9" s="1">
        <v>23.0</v>
      </c>
      <c r="B9" s="1" t="s">
        <v>7</v>
      </c>
      <c r="C9" s="1">
        <v>35381.0</v>
      </c>
      <c r="D9" s="1" t="s">
        <v>6</v>
      </c>
    </row>
    <row r="10">
      <c r="A10" s="1">
        <v>0.0</v>
      </c>
      <c r="B10" s="1" t="s">
        <v>7</v>
      </c>
      <c r="C10" s="1">
        <v>33310.0</v>
      </c>
      <c r="D10" s="1" t="s">
        <v>6</v>
      </c>
    </row>
    <row r="11">
      <c r="A11" s="1">
        <v>3.0</v>
      </c>
      <c r="B11" s="1" t="s">
        <v>7</v>
      </c>
      <c r="C11" s="1">
        <v>7198.0</v>
      </c>
      <c r="D11" s="1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2.29"/>
    <col customWidth="1" min="3" max="3" width="25.0"/>
    <col customWidth="1" min="4" max="4" width="5.0"/>
    <col customWidth="1" min="5" max="6" width="8.71"/>
    <col customWidth="1" min="7" max="7" width="18.57"/>
    <col customWidth="1" min="8" max="8" width="12.29"/>
    <col customWidth="1" min="9" max="9" width="25.0"/>
    <col customWidth="1" min="10" max="26" width="8.71"/>
  </cols>
  <sheetData>
    <row r="1">
      <c r="A1" s="1" t="s">
        <v>12</v>
      </c>
      <c r="B1" s="1" t="s">
        <v>0</v>
      </c>
      <c r="C1" s="1" t="s">
        <v>13</v>
      </c>
      <c r="D1" s="1" t="s">
        <v>3</v>
      </c>
      <c r="G1" s="3" t="str">
        <f>IFERROR(__xludf.DUMMYFUNCTION("ARRAY_CONSTRAIN(ARRAYFORMULA(VSTACK(A1:C1,FILTER(A2:C5,B2:B5=""casual""))), 3, 3)"),"Weekend_Business")</f>
        <v>Weekend_Business</v>
      </c>
      <c r="H1" s="3" t="str">
        <f>IFERROR(__xludf.DUMMYFUNCTION("""COMPUTED_VALUE"""),"Membership")</f>
        <v>Membership</v>
      </c>
      <c r="I1" s="3" t="str">
        <f>IFERROR(__xludf.DUMMYFUNCTION("""COMPUTED_VALUE"""),"Count_Weekend_Business")</f>
        <v>Count_Weekend_Business</v>
      </c>
      <c r="J1" s="3" t="s">
        <v>4</v>
      </c>
    </row>
    <row r="2">
      <c r="A2" s="1" t="s">
        <v>14</v>
      </c>
      <c r="B2" s="1" t="s">
        <v>5</v>
      </c>
      <c r="C2" s="1">
        <v>1970393.0</v>
      </c>
      <c r="D2" s="1" t="s">
        <v>6</v>
      </c>
      <c r="G2" s="1" t="str">
        <f>IFERROR(__xludf.DUMMYFUNCTION("""COMPUTED_VALUE"""),"Business_day")</f>
        <v>Business_day</v>
      </c>
      <c r="H2" s="1" t="str">
        <f>IFERROR(__xludf.DUMMYFUNCTION("""COMPUTED_VALUE"""),"casual")</f>
        <v>casual</v>
      </c>
      <c r="I2" s="1">
        <f>IFERROR(__xludf.DUMMYFUNCTION("""COMPUTED_VALUE"""),1081083.0)</f>
        <v>1081083</v>
      </c>
      <c r="J2" s="2">
        <f>I2/casual</f>
        <v>0.6201117607</v>
      </c>
    </row>
    <row r="3">
      <c r="A3" s="1" t="s">
        <v>15</v>
      </c>
      <c r="B3" s="1" t="s">
        <v>5</v>
      </c>
      <c r="C3" s="1">
        <v>633419.0</v>
      </c>
      <c r="D3" s="1" t="s">
        <v>6</v>
      </c>
      <c r="G3" s="1" t="str">
        <f>IFERROR(__xludf.DUMMYFUNCTION("""COMPUTED_VALUE"""),"Weekend")</f>
        <v>Weekend</v>
      </c>
      <c r="H3" s="1" t="str">
        <f>IFERROR(__xludf.DUMMYFUNCTION("""COMPUTED_VALUE"""),"casual")</f>
        <v>casual</v>
      </c>
      <c r="I3" s="1">
        <f>IFERROR(__xludf.DUMMYFUNCTION("""COMPUTED_VALUE"""),662285.0)</f>
        <v>662285</v>
      </c>
      <c r="J3" s="2">
        <f>I3/casual</f>
        <v>0.3798882393</v>
      </c>
    </row>
    <row r="4">
      <c r="A4" s="1" t="s">
        <v>14</v>
      </c>
      <c r="B4" s="1" t="s">
        <v>7</v>
      </c>
      <c r="C4" s="1">
        <v>1081083.0</v>
      </c>
      <c r="D4" s="1" t="s">
        <v>6</v>
      </c>
      <c r="J4" s="5"/>
    </row>
    <row r="5">
      <c r="A5" s="1" t="s">
        <v>15</v>
      </c>
      <c r="B5" s="1" t="s">
        <v>7</v>
      </c>
      <c r="C5" s="1">
        <v>662285.0</v>
      </c>
      <c r="D5" s="1" t="s">
        <v>6</v>
      </c>
    </row>
    <row r="6">
      <c r="G6" s="3" t="str">
        <f>IFERROR(__xludf.DUMMYFUNCTION("ARRAY_CONSTRAIN(ARRAYFORMULA(VSTACK(A1:C1,FILTER(A2:C5,B2:B5=""member""))), 3, 3)"),"Weekend_Business")</f>
        <v>Weekend_Business</v>
      </c>
      <c r="H6" s="3" t="str">
        <f>IFERROR(__xludf.DUMMYFUNCTION("""COMPUTED_VALUE"""),"Membership")</f>
        <v>Membership</v>
      </c>
      <c r="I6" s="3" t="str">
        <f>IFERROR(__xludf.DUMMYFUNCTION("""COMPUTED_VALUE"""),"Count_Weekend_Business")</f>
        <v>Count_Weekend_Business</v>
      </c>
      <c r="J6" s="3" t="s">
        <v>4</v>
      </c>
    </row>
    <row r="7">
      <c r="G7" s="1" t="str">
        <f>IFERROR(__xludf.DUMMYFUNCTION("""COMPUTED_VALUE"""),"Business_day")</f>
        <v>Business_day</v>
      </c>
      <c r="H7" s="1" t="str">
        <f>IFERROR(__xludf.DUMMYFUNCTION("""COMPUTED_VALUE"""),"member")</f>
        <v>member</v>
      </c>
      <c r="I7" s="1">
        <f>IFERROR(__xludf.DUMMYFUNCTION("""COMPUTED_VALUE"""),1970393.0)</f>
        <v>1970393</v>
      </c>
      <c r="J7" s="2">
        <f>I7/member</f>
        <v>0.7567339731</v>
      </c>
    </row>
    <row r="8">
      <c r="G8" s="1" t="str">
        <f>IFERROR(__xludf.DUMMYFUNCTION("""COMPUTED_VALUE"""),"Weekend")</f>
        <v>Weekend</v>
      </c>
      <c r="H8" s="1" t="str">
        <f>IFERROR(__xludf.DUMMYFUNCTION("""COMPUTED_VALUE"""),"member")</f>
        <v>member</v>
      </c>
      <c r="I8" s="1">
        <f>IFERROR(__xludf.DUMMYFUNCTION("""COMPUTED_VALUE"""),633419.0)</f>
        <v>633419</v>
      </c>
      <c r="J8" s="2">
        <f>I8/member</f>
        <v>0.2432660269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7.0"/>
    <col customWidth="1" min="2" max="2" width="13.57"/>
    <col customWidth="1" min="3" max="3" width="12.57"/>
    <col customWidth="1" min="4" max="4" width="5.0"/>
    <col customWidth="1" min="5" max="6" width="8.71"/>
    <col customWidth="1" min="7" max="7" width="40.57"/>
    <col customWidth="1" min="8" max="8" width="12.29"/>
    <col customWidth="1" min="9" max="9" width="12.57"/>
    <col customWidth="1" min="10" max="26" width="8.71"/>
  </cols>
  <sheetData>
    <row r="1">
      <c r="A1" s="3" t="s">
        <v>16</v>
      </c>
      <c r="B1" s="3" t="s">
        <v>0</v>
      </c>
      <c r="C1" s="3" t="s">
        <v>17</v>
      </c>
      <c r="D1" s="3" t="s">
        <v>3</v>
      </c>
      <c r="G1" s="3" t="str">
        <f>IFERROR(__xludf.DUMMYFUNCTION("ARRAY_CONSTRAIN(ARRAYFORMULA(VSTACK(A1:C1,FILTER(A2:C11,B2:B11=""member""))), 6, 3)"),"Route")</f>
        <v>Route</v>
      </c>
      <c r="H1" s="3" t="str">
        <f>IFERROR(__xludf.DUMMYFUNCTION("""COMPUTED_VALUE"""),"Membership")</f>
        <v>Membership</v>
      </c>
      <c r="I1" s="3" t="str">
        <f>IFERROR(__xludf.DUMMYFUNCTION("""COMPUTED_VALUE"""),"Count_Route")</f>
        <v>Count_Route</v>
      </c>
    </row>
    <row r="2">
      <c r="A2" s="1" t="s">
        <v>18</v>
      </c>
      <c r="B2" s="1" t="s">
        <v>5</v>
      </c>
      <c r="C2" s="1">
        <v>5844.0</v>
      </c>
      <c r="D2" s="1" t="s">
        <v>6</v>
      </c>
      <c r="G2" s="1" t="str">
        <f>IFERROR(__xludf.DUMMYFUNCTION("""COMPUTED_VALUE"""),"Ellis Ave &amp; 60th St / University Ave &amp; 57th St")</f>
        <v>Ellis Ave &amp; 60th St / University Ave &amp; 57th St</v>
      </c>
      <c r="H2" s="1" t="str">
        <f>IFERROR(__xludf.DUMMYFUNCTION("""COMPUTED_VALUE"""),"member")</f>
        <v>member</v>
      </c>
      <c r="I2" s="1">
        <f>IFERROR(__xludf.DUMMYFUNCTION("""COMPUTED_VALUE"""),5844.0)</f>
        <v>5844</v>
      </c>
    </row>
    <row r="3">
      <c r="A3" s="1" t="s">
        <v>19</v>
      </c>
      <c r="B3" s="1" t="s">
        <v>5</v>
      </c>
      <c r="C3" s="1">
        <v>5537.0</v>
      </c>
      <c r="D3" s="1" t="s">
        <v>6</v>
      </c>
      <c r="G3" s="1" t="str">
        <f>IFERROR(__xludf.DUMMYFUNCTION("""COMPUTED_VALUE"""),"University Ave &amp; 57th St / Ellis Ave &amp; 60th St")</f>
        <v>University Ave &amp; 57th St / Ellis Ave &amp; 60th St</v>
      </c>
      <c r="H3" s="1" t="str">
        <f>IFERROR(__xludf.DUMMYFUNCTION("""COMPUTED_VALUE"""),"member")</f>
        <v>member</v>
      </c>
      <c r="I3" s="1">
        <f>IFERROR(__xludf.DUMMYFUNCTION("""COMPUTED_VALUE"""),5537.0)</f>
        <v>5537</v>
      </c>
    </row>
    <row r="4">
      <c r="A4" s="1" t="s">
        <v>20</v>
      </c>
      <c r="B4" s="1" t="s">
        <v>5</v>
      </c>
      <c r="C4" s="1">
        <v>5276.0</v>
      </c>
      <c r="D4" s="1" t="s">
        <v>6</v>
      </c>
      <c r="G4" s="1" t="str">
        <f>IFERROR(__xludf.DUMMYFUNCTION("""COMPUTED_VALUE"""),"Ellis Ave &amp; 60th St / Ellis Ave &amp; 55th St")</f>
        <v>Ellis Ave &amp; 60th St / Ellis Ave &amp; 55th St</v>
      </c>
      <c r="H4" s="1" t="str">
        <f>IFERROR(__xludf.DUMMYFUNCTION("""COMPUTED_VALUE"""),"member")</f>
        <v>member</v>
      </c>
      <c r="I4" s="1">
        <f>IFERROR(__xludf.DUMMYFUNCTION("""COMPUTED_VALUE"""),5276.0)</f>
        <v>5276</v>
      </c>
    </row>
    <row r="5">
      <c r="A5" s="1" t="s">
        <v>21</v>
      </c>
      <c r="B5" s="1" t="s">
        <v>5</v>
      </c>
      <c r="C5" s="1">
        <v>4735.0</v>
      </c>
      <c r="D5" s="1" t="s">
        <v>6</v>
      </c>
      <c r="G5" s="1" t="str">
        <f>IFERROR(__xludf.DUMMYFUNCTION("""COMPUTED_VALUE"""),"Ellis Ave &amp; 55th St / Ellis Ave &amp; 60th St")</f>
        <v>Ellis Ave &amp; 55th St / Ellis Ave &amp; 60th St</v>
      </c>
      <c r="H5" s="1" t="str">
        <f>IFERROR(__xludf.DUMMYFUNCTION("""COMPUTED_VALUE"""),"member")</f>
        <v>member</v>
      </c>
      <c r="I5" s="1">
        <f>IFERROR(__xludf.DUMMYFUNCTION("""COMPUTED_VALUE"""),4735.0)</f>
        <v>4735</v>
      </c>
    </row>
    <row r="6">
      <c r="A6" s="1" t="s">
        <v>22</v>
      </c>
      <c r="B6" s="1" t="s">
        <v>5</v>
      </c>
      <c r="C6" s="1">
        <v>3264.0</v>
      </c>
      <c r="D6" s="1" t="s">
        <v>6</v>
      </c>
      <c r="G6" s="1" t="str">
        <f>IFERROR(__xludf.DUMMYFUNCTION("""COMPUTED_VALUE"""),"State St &amp; 33rd St / Calumet Ave &amp; 33rd St")</f>
        <v>State St &amp; 33rd St / Calumet Ave &amp; 33rd St</v>
      </c>
      <c r="H6" s="1" t="str">
        <f>IFERROR(__xludf.DUMMYFUNCTION("""COMPUTED_VALUE"""),"member")</f>
        <v>member</v>
      </c>
      <c r="I6" s="1">
        <f>IFERROR(__xludf.DUMMYFUNCTION("""COMPUTED_VALUE"""),3264.0)</f>
        <v>3264</v>
      </c>
    </row>
    <row r="7">
      <c r="A7" s="1" t="s">
        <v>23</v>
      </c>
      <c r="B7" s="1" t="s">
        <v>7</v>
      </c>
      <c r="C7" s="1">
        <v>10588.0</v>
      </c>
      <c r="D7" s="1" t="s">
        <v>6</v>
      </c>
    </row>
    <row r="8">
      <c r="A8" s="1" t="s">
        <v>24</v>
      </c>
      <c r="B8" s="1" t="s">
        <v>7</v>
      </c>
      <c r="C8" s="1">
        <v>6568.0</v>
      </c>
      <c r="D8" s="1" t="s">
        <v>6</v>
      </c>
    </row>
    <row r="9">
      <c r="A9" s="1" t="s">
        <v>25</v>
      </c>
      <c r="B9" s="1" t="s">
        <v>7</v>
      </c>
      <c r="C9" s="1">
        <v>5084.0</v>
      </c>
      <c r="D9" s="1" t="s">
        <v>6</v>
      </c>
    </row>
    <row r="10">
      <c r="A10" s="1" t="s">
        <v>26</v>
      </c>
      <c r="B10" s="1" t="s">
        <v>7</v>
      </c>
      <c r="C10" s="1">
        <v>4565.0</v>
      </c>
      <c r="D10" s="1" t="s">
        <v>6</v>
      </c>
    </row>
    <row r="11">
      <c r="A11" s="1" t="s">
        <v>27</v>
      </c>
      <c r="B11" s="1" t="s">
        <v>7</v>
      </c>
      <c r="C11" s="1">
        <v>3988.0</v>
      </c>
      <c r="D11" s="1" t="s">
        <v>6</v>
      </c>
    </row>
    <row r="13">
      <c r="B13" s="3" t="s">
        <v>28</v>
      </c>
    </row>
    <row r="14">
      <c r="B14" s="1">
        <v>167987.0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2.29"/>
    <col customWidth="1" min="3" max="3" width="14.29"/>
    <col customWidth="1" min="4" max="4" width="5.0"/>
    <col customWidth="1" min="5" max="6" width="8.71"/>
    <col customWidth="1" min="7" max="7" width="7.86"/>
    <col customWidth="1" min="8" max="8" width="12.29"/>
    <col customWidth="1" min="9" max="9" width="14.29"/>
    <col customWidth="1" min="10" max="11" width="8.71"/>
    <col customWidth="1" min="12" max="12" width="7.86"/>
    <col customWidth="1" min="13" max="13" width="12.29"/>
    <col customWidth="1" min="14" max="14" width="14.29"/>
    <col customWidth="1" min="15" max="26" width="8.71"/>
  </cols>
  <sheetData>
    <row r="1">
      <c r="A1" s="3" t="s">
        <v>29</v>
      </c>
      <c r="B1" s="3" t="s">
        <v>0</v>
      </c>
      <c r="C1" s="3" t="s">
        <v>30</v>
      </c>
      <c r="D1" s="3" t="s">
        <v>3</v>
      </c>
      <c r="G1" s="3" t="str">
        <f>IFERROR(__xludf.DUMMYFUNCTION("ARRAY_CONSTRAIN(ARRAYFORMULA(VSTACK(A1:C1,FILTER(A2:C9,B2:B9=""casual""))), 5, 3)"),"Quarter")</f>
        <v>Quarter</v>
      </c>
      <c r="H1" s="3" t="str">
        <f>IFERROR(__xludf.DUMMYFUNCTION("""COMPUTED_VALUE"""),"Membership")</f>
        <v>Membership</v>
      </c>
      <c r="I1" s="3" t="str">
        <f>IFERROR(__xludf.DUMMYFUNCTION("""COMPUTED_VALUE"""),"Count_Quarter")</f>
        <v>Count_Quarter</v>
      </c>
      <c r="J1" s="3" t="s">
        <v>4</v>
      </c>
      <c r="L1" s="3" t="str">
        <f>IFERROR(__xludf.DUMMYFUNCTION("ARRAY_CONSTRAIN(ARRAYFORMULA(VSTACK(A1:C1,FILTER(A2:C9,B2:B9=""member""))), 5, 3)"),"Quarter")</f>
        <v>Quarter</v>
      </c>
      <c r="M1" s="3" t="str">
        <f>IFERROR(__xludf.DUMMYFUNCTION("""COMPUTED_VALUE"""),"Membership")</f>
        <v>Membership</v>
      </c>
      <c r="N1" s="3" t="str">
        <f>IFERROR(__xludf.DUMMYFUNCTION("""COMPUTED_VALUE"""),"Count_Quarter")</f>
        <v>Count_Quarter</v>
      </c>
      <c r="O1" s="3" t="s">
        <v>4</v>
      </c>
    </row>
    <row r="2">
      <c r="A2" s="1" t="s">
        <v>31</v>
      </c>
      <c r="B2" s="1" t="s">
        <v>5</v>
      </c>
      <c r="C2" s="1">
        <v>977285.0</v>
      </c>
      <c r="D2" s="1" t="s">
        <v>6</v>
      </c>
      <c r="G2" s="1" t="str">
        <f>IFERROR(__xludf.DUMMYFUNCTION("""COMPUTED_VALUE"""),"Q3")</f>
        <v>Q3</v>
      </c>
      <c r="H2" s="1" t="str">
        <f>IFERROR(__xludf.DUMMYFUNCTION("""COMPUTED_VALUE"""),"casual")</f>
        <v>casual</v>
      </c>
      <c r="I2" s="1">
        <f>IFERROR(__xludf.DUMMYFUNCTION("""COMPUTED_VALUE"""),795818.0)</f>
        <v>795818</v>
      </c>
      <c r="J2" s="2">
        <f>I2/member</f>
        <v>0.3056357371</v>
      </c>
      <c r="L2" s="1" t="str">
        <f>IFERROR(__xludf.DUMMYFUNCTION("""COMPUTED_VALUE"""),"Q3")</f>
        <v>Q3</v>
      </c>
      <c r="M2" s="1" t="str">
        <f>IFERROR(__xludf.DUMMYFUNCTION("""COMPUTED_VALUE"""),"member")</f>
        <v>member</v>
      </c>
      <c r="N2" s="1">
        <f>IFERROR(__xludf.DUMMYFUNCTION("""COMPUTED_VALUE"""),977285.0)</f>
        <v>977285</v>
      </c>
      <c r="O2" s="2">
        <f>N2/casual</f>
        <v>0.5605729829</v>
      </c>
    </row>
    <row r="3">
      <c r="A3" s="1" t="s">
        <v>32</v>
      </c>
      <c r="B3" s="1" t="s">
        <v>5</v>
      </c>
      <c r="C3" s="1">
        <v>788792.0</v>
      </c>
      <c r="D3" s="1" t="s">
        <v>6</v>
      </c>
      <c r="G3" s="1" t="str">
        <f>IFERROR(__xludf.DUMMYFUNCTION("""COMPUTED_VALUE"""),"Q2")</f>
        <v>Q2</v>
      </c>
      <c r="H3" s="1" t="str">
        <f>IFERROR(__xludf.DUMMYFUNCTION("""COMPUTED_VALUE"""),"casual")</f>
        <v>casual</v>
      </c>
      <c r="I3" s="1">
        <f>IFERROR(__xludf.DUMMYFUNCTION("""COMPUTED_VALUE"""),598162.0)</f>
        <v>598162</v>
      </c>
      <c r="J3" s="2">
        <f>I3/member</f>
        <v>0.2297254948</v>
      </c>
      <c r="L3" s="1" t="str">
        <f>IFERROR(__xludf.DUMMYFUNCTION("""COMPUTED_VALUE"""),"Q2")</f>
        <v>Q2</v>
      </c>
      <c r="M3" s="1" t="str">
        <f>IFERROR(__xludf.DUMMYFUNCTION("""COMPUTED_VALUE"""),"member")</f>
        <v>member</v>
      </c>
      <c r="N3" s="1">
        <f>IFERROR(__xludf.DUMMYFUNCTION("""COMPUTED_VALUE"""),788792.0)</f>
        <v>788792</v>
      </c>
      <c r="O3" s="2">
        <f>N3/casual</f>
        <v>0.4524529531</v>
      </c>
    </row>
    <row r="4">
      <c r="A4" s="1" t="s">
        <v>33</v>
      </c>
      <c r="B4" s="1" t="s">
        <v>5</v>
      </c>
      <c r="C4" s="1">
        <v>547849.0</v>
      </c>
      <c r="D4" s="1" t="s">
        <v>6</v>
      </c>
      <c r="G4" s="1" t="str">
        <f>IFERROR(__xludf.DUMMYFUNCTION("""COMPUTED_VALUE"""),"Q4")</f>
        <v>Q4</v>
      </c>
      <c r="H4" s="1" t="str">
        <f>IFERROR(__xludf.DUMMYFUNCTION("""COMPUTED_VALUE"""),"casual")</f>
        <v>casual</v>
      </c>
      <c r="I4" s="1">
        <f>IFERROR(__xludf.DUMMYFUNCTION("""COMPUTED_VALUE"""),255091.0)</f>
        <v>255091</v>
      </c>
      <c r="J4" s="2">
        <f>I4/member</f>
        <v>0.0979682865</v>
      </c>
      <c r="L4" s="1" t="str">
        <f>IFERROR(__xludf.DUMMYFUNCTION("""COMPUTED_VALUE"""),"Q4")</f>
        <v>Q4</v>
      </c>
      <c r="M4" s="1" t="str">
        <f>IFERROR(__xludf.DUMMYFUNCTION("""COMPUTED_VALUE"""),"member")</f>
        <v>member</v>
      </c>
      <c r="N4" s="1">
        <f>IFERROR(__xludf.DUMMYFUNCTION("""COMPUTED_VALUE"""),547849.0)</f>
        <v>547849</v>
      </c>
      <c r="O4" s="2">
        <f>N4/casual</f>
        <v>0.3142474796</v>
      </c>
    </row>
    <row r="5">
      <c r="A5" s="1" t="s">
        <v>34</v>
      </c>
      <c r="B5" s="1" t="s">
        <v>5</v>
      </c>
      <c r="C5" s="1">
        <v>289886.0</v>
      </c>
      <c r="D5" s="1" t="s">
        <v>6</v>
      </c>
      <c r="G5" s="1" t="str">
        <f>IFERROR(__xludf.DUMMYFUNCTION("""COMPUTED_VALUE"""),"Q1")</f>
        <v>Q1</v>
      </c>
      <c r="H5" s="1" t="str">
        <f>IFERROR(__xludf.DUMMYFUNCTION("""COMPUTED_VALUE"""),"casual")</f>
        <v>casual</v>
      </c>
      <c r="I5" s="1">
        <f>IFERROR(__xludf.DUMMYFUNCTION("""COMPUTED_VALUE"""),94297.0)</f>
        <v>94297</v>
      </c>
      <c r="J5" s="2">
        <f>I5/member</f>
        <v>0.03621498019</v>
      </c>
      <c r="L5" s="1" t="str">
        <f>IFERROR(__xludf.DUMMYFUNCTION("""COMPUTED_VALUE"""),"Q1")</f>
        <v>Q1</v>
      </c>
      <c r="M5" s="1" t="str">
        <f>IFERROR(__xludf.DUMMYFUNCTION("""COMPUTED_VALUE"""),"member")</f>
        <v>member</v>
      </c>
      <c r="N5" s="1">
        <f>IFERROR(__xludf.DUMMYFUNCTION("""COMPUTED_VALUE"""),289886.0)</f>
        <v>289886</v>
      </c>
      <c r="O5" s="2">
        <f>N5/casual</f>
        <v>0.1662792939</v>
      </c>
    </row>
    <row r="6">
      <c r="A6" s="1" t="s">
        <v>31</v>
      </c>
      <c r="B6" s="1" t="s">
        <v>7</v>
      </c>
      <c r="C6" s="1">
        <v>795818.0</v>
      </c>
      <c r="D6" s="1" t="s">
        <v>6</v>
      </c>
    </row>
    <row r="7">
      <c r="A7" s="1" t="s">
        <v>32</v>
      </c>
      <c r="B7" s="1" t="s">
        <v>7</v>
      </c>
      <c r="C7" s="1">
        <v>598162.0</v>
      </c>
      <c r="D7" s="1" t="s">
        <v>6</v>
      </c>
    </row>
    <row r="8">
      <c r="A8" s="1" t="s">
        <v>33</v>
      </c>
      <c r="B8" s="1" t="s">
        <v>7</v>
      </c>
      <c r="C8" s="1">
        <v>255091.0</v>
      </c>
      <c r="D8" s="1" t="s">
        <v>6</v>
      </c>
    </row>
    <row r="9">
      <c r="A9" s="1" t="s">
        <v>34</v>
      </c>
      <c r="B9" s="1" t="s">
        <v>7</v>
      </c>
      <c r="C9" s="1">
        <v>94297.0</v>
      </c>
      <c r="D9" s="1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