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cketsutoledo-my.sharepoint.com/personal/mthomas79_rockets_utoledo_edu/Documents/Research/Data/Survey/MintandNasturtium Survey/"/>
    </mc:Choice>
  </mc:AlternateContent>
  <xr:revisionPtr revIDLastSave="177" documentId="14_{54FD7B46-9163-498A-A201-F952F2F6AD88}" xr6:coauthVersionLast="47" xr6:coauthVersionMax="47" xr10:uidLastSave="{DBF809B6-68E7-458E-8F63-3D0C510A170D}"/>
  <bookViews>
    <workbookView xWindow="-120" yWindow="-120" windowWidth="29040" windowHeight="15840" xr2:uid="{39D73B87-E8B6-4B32-A06D-E71E10E7148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1" i="1" l="1"/>
  <c r="S8" i="1"/>
  <c r="S5" i="1"/>
  <c r="S2" i="1"/>
  <c r="J13" i="1"/>
  <c r="J12" i="1"/>
  <c r="J11" i="1"/>
  <c r="J10" i="1"/>
  <c r="J9" i="1"/>
  <c r="J8" i="1"/>
  <c r="J7" i="1"/>
  <c r="J6" i="1"/>
  <c r="J5" i="1"/>
  <c r="J4" i="1"/>
  <c r="J3" i="1"/>
  <c r="J2" i="1"/>
  <c r="I13" i="1"/>
  <c r="I12" i="1"/>
  <c r="I11" i="1"/>
  <c r="I10" i="1"/>
  <c r="I9" i="1"/>
  <c r="I8" i="1"/>
  <c r="I7" i="1"/>
  <c r="I6" i="1"/>
  <c r="I5" i="1"/>
  <c r="I4" i="1"/>
  <c r="I3" i="1"/>
  <c r="I2" i="1"/>
  <c r="H13" i="1"/>
  <c r="H12" i="1"/>
  <c r="H11" i="1"/>
  <c r="H10" i="1"/>
  <c r="H9" i="1"/>
  <c r="H8" i="1"/>
  <c r="H7" i="1"/>
  <c r="H6" i="1"/>
  <c r="H5" i="1"/>
  <c r="H4" i="1"/>
  <c r="H3" i="1"/>
  <c r="H2" i="1"/>
  <c r="G13" i="1"/>
  <c r="G12" i="1"/>
  <c r="G11" i="1"/>
  <c r="G10" i="1"/>
  <c r="G9" i="1"/>
  <c r="G8" i="1"/>
  <c r="G7" i="1"/>
  <c r="G6" i="1"/>
  <c r="G5" i="1"/>
  <c r="G4" i="1"/>
  <c r="G3" i="1"/>
  <c r="G2" i="1"/>
  <c r="F13" i="1"/>
  <c r="F12" i="1"/>
  <c r="F11" i="1"/>
  <c r="F10" i="1"/>
  <c r="F9" i="1"/>
  <c r="F8" i="1"/>
  <c r="F7" i="1"/>
  <c r="F6" i="1"/>
  <c r="F5" i="1"/>
  <c r="F4" i="1"/>
  <c r="F3" i="1"/>
  <c r="F2" i="1"/>
  <c r="E13" i="1"/>
  <c r="E12" i="1"/>
  <c r="E11" i="1"/>
  <c r="E10" i="1"/>
  <c r="E9" i="1"/>
  <c r="E8" i="1"/>
  <c r="E7" i="1"/>
  <c r="E6" i="1"/>
  <c r="E5" i="1"/>
  <c r="E4" i="1"/>
  <c r="E3" i="1"/>
  <c r="E2" i="1"/>
  <c r="D13" i="1"/>
  <c r="D12" i="1"/>
  <c r="D11" i="1"/>
  <c r="D10" i="1"/>
  <c r="D9" i="1"/>
  <c r="D8" i="1"/>
  <c r="D7" i="1"/>
  <c r="D6" i="1"/>
  <c r="D5" i="1"/>
  <c r="D4" i="1"/>
  <c r="D3" i="1"/>
  <c r="D2" i="1"/>
  <c r="C13" i="1"/>
  <c r="C12" i="1"/>
  <c r="C11" i="1"/>
  <c r="C10" i="1"/>
  <c r="C9" i="1"/>
  <c r="C8" i="1"/>
  <c r="C7" i="1"/>
  <c r="C6" i="1"/>
  <c r="C5" i="1"/>
  <c r="C4" i="1"/>
  <c r="C3" i="1"/>
  <c r="C2" i="1"/>
  <c r="B13" i="1"/>
  <c r="B12" i="1"/>
  <c r="B11" i="1"/>
  <c r="B10" i="1"/>
  <c r="B9" i="1"/>
  <c r="B8" i="1"/>
  <c r="B7" i="1"/>
  <c r="B6" i="1"/>
  <c r="B5" i="1"/>
  <c r="B4" i="1"/>
  <c r="B3" i="1"/>
  <c r="B2" i="1"/>
  <c r="Q14" i="1"/>
  <c r="Q15" i="1"/>
  <c r="Q16" i="1"/>
  <c r="Q17" i="1"/>
  <c r="Q18" i="1"/>
  <c r="Q19" i="1"/>
  <c r="Q20" i="1"/>
  <c r="Q21" i="1"/>
  <c r="Q22" i="1"/>
  <c r="Q23" i="1"/>
  <c r="Q24" i="1"/>
  <c r="Q25" i="1"/>
  <c r="E27" i="2" l="1"/>
  <c r="E26" i="2"/>
  <c r="E24" i="2"/>
  <c r="E23" i="2"/>
  <c r="E20" i="2"/>
  <c r="E19" i="2"/>
  <c r="E17" i="2"/>
  <c r="E16" i="2"/>
  <c r="E13" i="2"/>
  <c r="E12" i="2"/>
  <c r="E10" i="2"/>
  <c r="E9" i="2"/>
  <c r="E6" i="2"/>
  <c r="E5" i="2"/>
  <c r="E3" i="2"/>
  <c r="E2" i="2"/>
  <c r="Q13" i="1"/>
  <c r="Q12" i="1"/>
  <c r="Q11" i="1"/>
  <c r="Q8" i="1"/>
  <c r="Q7" i="1"/>
  <c r="Q5" i="1"/>
  <c r="Q9" i="1" l="1"/>
  <c r="Q10" i="1"/>
  <c r="Q2" i="1"/>
  <c r="Q3" i="1"/>
  <c r="Q4" i="1"/>
  <c r="Q6" i="1"/>
</calcChain>
</file>

<file path=xl/sharedStrings.xml><?xml version="1.0" encoding="utf-8"?>
<sst xmlns="http://schemas.openxmlformats.org/spreadsheetml/2006/main" count="98" uniqueCount="49">
  <si>
    <t>Plant</t>
  </si>
  <si>
    <t>Mint0101</t>
  </si>
  <si>
    <t>Mint0102</t>
  </si>
  <si>
    <t>Mint0103</t>
  </si>
  <si>
    <t>Nast0101</t>
  </si>
  <si>
    <t>Nast0102</t>
  </si>
  <si>
    <t>Nast0103</t>
  </si>
  <si>
    <t>Mint0201</t>
  </si>
  <si>
    <t>Mint0202</t>
  </si>
  <si>
    <t>Mint0203</t>
  </si>
  <si>
    <t>Nast0201</t>
  </si>
  <si>
    <t>Nast0202</t>
  </si>
  <si>
    <t>Nast0203</t>
  </si>
  <si>
    <t>Mint0301</t>
  </si>
  <si>
    <t>Mint0302</t>
  </si>
  <si>
    <t>Mint0303</t>
  </si>
  <si>
    <t>Nast0301</t>
  </si>
  <si>
    <t>Nast0302</t>
  </si>
  <si>
    <t>Nast0303</t>
  </si>
  <si>
    <t>Mint0401</t>
  </si>
  <si>
    <t>Mint0402</t>
  </si>
  <si>
    <t>Mint0403</t>
  </si>
  <si>
    <t>Nast0401</t>
  </si>
  <si>
    <t>Nast0402</t>
  </si>
  <si>
    <t>Nast0403</t>
  </si>
  <si>
    <t>Fresh Weight</t>
  </si>
  <si>
    <t>Dry Weight</t>
  </si>
  <si>
    <t>SLA</t>
  </si>
  <si>
    <t>/1.05 cm^2</t>
  </si>
  <si>
    <t>LeafDisc(g)</t>
  </si>
  <si>
    <t>Measurement</t>
  </si>
  <si>
    <t>LCI</t>
  </si>
  <si>
    <t>Reletive to Horizontal</t>
  </si>
  <si>
    <t>CO2</t>
  </si>
  <si>
    <t>Temp</t>
  </si>
  <si>
    <t>Day5_L</t>
  </si>
  <si>
    <t>Day5_M</t>
  </si>
  <si>
    <t>Day5_U</t>
  </si>
  <si>
    <t>Day6_L</t>
  </si>
  <si>
    <t>Day6_M</t>
  </si>
  <si>
    <t>Day6_U</t>
  </si>
  <si>
    <t>Day9_L</t>
  </si>
  <si>
    <t>Day9_M</t>
  </si>
  <si>
    <t>Day9_U</t>
  </si>
  <si>
    <t>Final</t>
  </si>
  <si>
    <t>ECO</t>
  </si>
  <si>
    <t>Warm</t>
  </si>
  <si>
    <t>Cont</t>
  </si>
  <si>
    <t>Comb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</si>
</sst>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BE639-37CE-410B-82AE-2EFB0A7BF387}">
  <dimension ref="A1:S25"/>
  <sheetViews>
    <sheetView tabSelected="1" workbookViewId="0">
      <selection activeCell="S12" sqref="S12"/>
    </sheetView>
  </sheetViews>
  <sheetFormatPr defaultRowHeight="15" x14ac:dyDescent="0.25"/>
  <cols>
    <col min="2" max="5" width="5.5703125" customWidth="1"/>
    <col min="6" max="6" width="9.28515625" customWidth="1"/>
    <col min="7" max="7" width="7.140625" customWidth="1"/>
    <col min="8" max="10" width="5.5703125" customWidth="1"/>
    <col min="11" max="11" width="8.28515625" customWidth="1"/>
    <col min="12" max="12" width="10.140625" customWidth="1"/>
    <col min="13" max="13" width="10.28515625" customWidth="1"/>
    <col min="14" max="14" width="19.7109375" customWidth="1"/>
  </cols>
  <sheetData>
    <row r="1" spans="1:19" x14ac:dyDescent="0.25">
      <c r="A1" s="1" t="s">
        <v>0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4" t="s">
        <v>40</v>
      </c>
      <c r="H1" s="1" t="s">
        <v>41</v>
      </c>
      <c r="I1" s="4" t="s">
        <v>42</v>
      </c>
      <c r="J1" s="1" t="s">
        <v>43</v>
      </c>
      <c r="K1" s="1" t="s">
        <v>25</v>
      </c>
      <c r="L1" s="1" t="s">
        <v>26</v>
      </c>
      <c r="M1" s="1" t="s">
        <v>29</v>
      </c>
      <c r="N1" s="1" t="s">
        <v>30</v>
      </c>
      <c r="O1" s="4" t="s">
        <v>33</v>
      </c>
      <c r="P1" s="1" t="s">
        <v>34</v>
      </c>
      <c r="Q1" s="5" t="s">
        <v>44</v>
      </c>
    </row>
    <row r="2" spans="1:19" x14ac:dyDescent="0.25">
      <c r="A2" s="1" t="s">
        <v>1</v>
      </c>
      <c r="B2" s="2">
        <f>45/23-1</f>
        <v>0.95652173913043481</v>
      </c>
      <c r="C2" s="2">
        <f>45/34-1</f>
        <v>0.32352941176470584</v>
      </c>
      <c r="D2" s="2">
        <f>47/32-1</f>
        <v>0.46875</v>
      </c>
      <c r="E2" s="2">
        <f>55/38-1</f>
        <v>0.44736842105263164</v>
      </c>
      <c r="F2" s="2">
        <f>44/35-1</f>
        <v>0.25714285714285712</v>
      </c>
      <c r="G2" s="2">
        <f>37/34-1</f>
        <v>8.8235294117646967E-2</v>
      </c>
      <c r="H2" s="2">
        <f>55/35-1</f>
        <v>0.5714285714285714</v>
      </c>
      <c r="I2" s="2">
        <f>48/31-1</f>
        <v>0.54838709677419351</v>
      </c>
      <c r="J2" s="2">
        <f>43/33-1</f>
        <v>0.30303030303030298</v>
      </c>
      <c r="K2" s="1">
        <v>31.7</v>
      </c>
      <c r="L2" s="1">
        <v>7.21</v>
      </c>
      <c r="M2" s="1">
        <v>6.6E-3</v>
      </c>
      <c r="N2" s="2" t="s">
        <v>31</v>
      </c>
      <c r="O2" s="2">
        <v>800</v>
      </c>
      <c r="P2" s="1">
        <v>22</v>
      </c>
      <c r="Q2">
        <f>AVERAGE(H2:J2)</f>
        <v>0.47428199041102265</v>
      </c>
      <c r="R2" t="s">
        <v>45</v>
      </c>
      <c r="S2">
        <f>AVERAGE(Q2:Q4)</f>
        <v>0.47131265872752182</v>
      </c>
    </row>
    <row r="3" spans="1:19" x14ac:dyDescent="0.25">
      <c r="A3" s="1" t="s">
        <v>2</v>
      </c>
      <c r="B3" s="1">
        <f>40/30-1</f>
        <v>0.33333333333333326</v>
      </c>
      <c r="C3" s="1">
        <f>40/35-1</f>
        <v>0.14285714285714279</v>
      </c>
      <c r="D3" s="1">
        <f>37/29-1</f>
        <v>0.27586206896551735</v>
      </c>
      <c r="E3" s="1">
        <f>42/31-1</f>
        <v>0.35483870967741926</v>
      </c>
      <c r="F3" s="1">
        <f>44/28-1</f>
        <v>0.5714285714285714</v>
      </c>
      <c r="G3" s="1">
        <f>38/27-1</f>
        <v>0.40740740740740744</v>
      </c>
      <c r="H3" s="1">
        <f>47/34-1</f>
        <v>0.38235294117647056</v>
      </c>
      <c r="I3" s="1">
        <f>46/31-1</f>
        <v>0.4838709677419355</v>
      </c>
      <c r="J3" s="1">
        <f>46/37-1</f>
        <v>0.2432432432432432</v>
      </c>
      <c r="K3" s="1">
        <v>31.2</v>
      </c>
      <c r="L3" s="1">
        <v>7.15</v>
      </c>
      <c r="M3" s="1">
        <v>5.4000000000000003E-3</v>
      </c>
      <c r="N3" s="2" t="s">
        <v>31</v>
      </c>
      <c r="O3" s="2">
        <v>800</v>
      </c>
      <c r="P3" s="1">
        <v>22</v>
      </c>
      <c r="Q3">
        <f t="shared" ref="Q3:Q25" si="0">AVERAGE(H3:J3)</f>
        <v>0.36982238405388307</v>
      </c>
    </row>
    <row r="4" spans="1:19" x14ac:dyDescent="0.25">
      <c r="A4" s="1" t="s">
        <v>3</v>
      </c>
      <c r="B4" s="1">
        <f>36/20-1</f>
        <v>0.8</v>
      </c>
      <c r="C4" s="1">
        <f>34/28-1</f>
        <v>0.21428571428571419</v>
      </c>
      <c r="D4" s="1">
        <f>42/25-1</f>
        <v>0.67999999999999994</v>
      </c>
      <c r="E4" s="1">
        <f>37/22-1</f>
        <v>0.68181818181818188</v>
      </c>
      <c r="F4" s="1">
        <f>37/27-1</f>
        <v>0.37037037037037046</v>
      </c>
      <c r="G4" s="1">
        <f>39/24-1</f>
        <v>0.625</v>
      </c>
      <c r="H4" s="1">
        <f>40/25-1</f>
        <v>0.60000000000000009</v>
      </c>
      <c r="I4" s="1">
        <f>37/27-1</f>
        <v>0.37037037037037046</v>
      </c>
      <c r="J4" s="1">
        <f>40/23-1</f>
        <v>0.73913043478260865</v>
      </c>
      <c r="K4" s="1">
        <v>22.3</v>
      </c>
      <c r="L4" s="1">
        <v>5.62</v>
      </c>
      <c r="M4" s="1">
        <v>5.4999999999999997E-3</v>
      </c>
      <c r="N4" s="2" t="s">
        <v>31</v>
      </c>
      <c r="O4" s="2">
        <v>800</v>
      </c>
      <c r="P4" s="1">
        <v>22</v>
      </c>
      <c r="Q4">
        <f t="shared" si="0"/>
        <v>0.56983360171765973</v>
      </c>
    </row>
    <row r="5" spans="1:19" x14ac:dyDescent="0.25">
      <c r="A5" s="1" t="s">
        <v>7</v>
      </c>
      <c r="B5" s="1">
        <f>38/30-1</f>
        <v>0.26666666666666661</v>
      </c>
      <c r="C5" s="1">
        <f>40/35-1</f>
        <v>0.14285714285714279</v>
      </c>
      <c r="D5" s="1">
        <f>39/27-1</f>
        <v>0.44444444444444442</v>
      </c>
      <c r="E5" s="1">
        <f>38/30-1</f>
        <v>0.26666666666666661</v>
      </c>
      <c r="F5" s="1">
        <f>38/31-1</f>
        <v>0.22580645161290325</v>
      </c>
      <c r="G5" s="1">
        <f>38/31-1</f>
        <v>0.22580645161290325</v>
      </c>
      <c r="H5" s="1">
        <f>40/33-1</f>
        <v>0.21212121212121215</v>
      </c>
      <c r="I5" s="1">
        <f>39/30-1</f>
        <v>0.30000000000000004</v>
      </c>
      <c r="J5" s="1">
        <f>39/32-1</f>
        <v>0.21875</v>
      </c>
      <c r="K5" s="1">
        <v>18.5</v>
      </c>
      <c r="L5" s="1">
        <v>4.3</v>
      </c>
      <c r="M5" s="1">
        <v>5.0000000000000001E-3</v>
      </c>
      <c r="N5" s="1" t="s">
        <v>31</v>
      </c>
      <c r="O5" s="1">
        <v>400</v>
      </c>
      <c r="P5" s="1">
        <v>28</v>
      </c>
      <c r="Q5">
        <f t="shared" si="0"/>
        <v>0.24362373737373741</v>
      </c>
      <c r="R5" t="s">
        <v>46</v>
      </c>
      <c r="S5">
        <f>AVERAGE(Q5:Q7)</f>
        <v>0.25287855287855288</v>
      </c>
    </row>
    <row r="6" spans="1:19" x14ac:dyDescent="0.25">
      <c r="A6" s="1" t="s">
        <v>8</v>
      </c>
      <c r="B6" s="1">
        <f>44/34-1</f>
        <v>0.29411764705882359</v>
      </c>
      <c r="C6" s="1">
        <f>45/36-1</f>
        <v>0.25</v>
      </c>
      <c r="D6" s="1">
        <f>42/31-1</f>
        <v>0.35483870967741926</v>
      </c>
      <c r="E6" s="1">
        <f>39/35-1</f>
        <v>0.11428571428571432</v>
      </c>
      <c r="F6" s="1">
        <f>43/37-1</f>
        <v>0.16216216216216206</v>
      </c>
      <c r="G6" s="1">
        <f>42/35-1</f>
        <v>0.19999999999999996</v>
      </c>
      <c r="H6" s="1">
        <f>41/30-1</f>
        <v>0.3666666666666667</v>
      </c>
      <c r="I6" s="1">
        <f>46/39-1</f>
        <v>0.17948717948717952</v>
      </c>
      <c r="J6" s="1">
        <f>38/30-1</f>
        <v>0.26666666666666661</v>
      </c>
      <c r="K6" s="1">
        <v>26.4</v>
      </c>
      <c r="L6" s="1">
        <v>6.06</v>
      </c>
      <c r="M6" s="1">
        <v>5.3E-3</v>
      </c>
      <c r="N6" s="1" t="s">
        <v>31</v>
      </c>
      <c r="O6" s="1">
        <v>400</v>
      </c>
      <c r="P6" s="1">
        <v>28</v>
      </c>
      <c r="Q6">
        <f t="shared" si="0"/>
        <v>0.27094017094017092</v>
      </c>
    </row>
    <row r="7" spans="1:19" x14ac:dyDescent="0.25">
      <c r="A7" s="1" t="s">
        <v>9</v>
      </c>
      <c r="B7" s="1">
        <f>44/37-1</f>
        <v>0.18918918918918926</v>
      </c>
      <c r="C7" s="1">
        <f>32/29-1</f>
        <v>0.10344827586206895</v>
      </c>
      <c r="D7" s="1">
        <f>38/31-1</f>
        <v>0.22580645161290325</v>
      </c>
      <c r="E7" s="1">
        <f>42/39-1</f>
        <v>7.6923076923076872E-2</v>
      </c>
      <c r="F7" s="1">
        <f>39/36-1</f>
        <v>8.3333333333333259E-2</v>
      </c>
      <c r="G7" s="1">
        <f>41/39-1</f>
        <v>5.1282051282051322E-2</v>
      </c>
      <c r="H7" s="1">
        <f>41/32-1</f>
        <v>0.28125</v>
      </c>
      <c r="I7" s="1">
        <f>41/37-1</f>
        <v>0.10810810810810811</v>
      </c>
      <c r="J7" s="1">
        <f>47/35-1</f>
        <v>0.34285714285714275</v>
      </c>
      <c r="K7" s="1">
        <v>28.4</v>
      </c>
      <c r="L7" s="1">
        <v>5.88</v>
      </c>
      <c r="M7" s="1">
        <v>4.1000000000000003E-3</v>
      </c>
      <c r="N7" s="1" t="s">
        <v>31</v>
      </c>
      <c r="O7" s="1">
        <v>400</v>
      </c>
      <c r="P7" s="1">
        <v>28</v>
      </c>
      <c r="Q7">
        <f t="shared" si="0"/>
        <v>0.2440717503217503</v>
      </c>
    </row>
    <row r="8" spans="1:19" x14ac:dyDescent="0.25">
      <c r="A8" s="1" t="s">
        <v>13</v>
      </c>
      <c r="B8" s="1">
        <f>39/27-1</f>
        <v>0.44444444444444442</v>
      </c>
      <c r="C8" s="1">
        <f>30/15-1</f>
        <v>1</v>
      </c>
      <c r="D8" s="1">
        <f>49/30-1</f>
        <v>0.6333333333333333</v>
      </c>
      <c r="E8" s="1">
        <f>35/19-1</f>
        <v>0.84210526315789469</v>
      </c>
      <c r="F8" s="1">
        <f>34/8-1</f>
        <v>3.25</v>
      </c>
      <c r="G8" s="1">
        <f>36/8-1</f>
        <v>3.5</v>
      </c>
      <c r="H8" s="1">
        <f>28/7-1</f>
        <v>3</v>
      </c>
      <c r="I8" s="1">
        <f>38/15-1</f>
        <v>1.5333333333333332</v>
      </c>
      <c r="J8" s="1">
        <f>32/10-1</f>
        <v>2.2000000000000002</v>
      </c>
      <c r="K8" s="1">
        <v>20.8</v>
      </c>
      <c r="L8" s="1">
        <v>5.78</v>
      </c>
      <c r="M8" s="1">
        <v>6.3E-3</v>
      </c>
      <c r="N8" s="1" t="s">
        <v>31</v>
      </c>
      <c r="O8" s="1">
        <v>400</v>
      </c>
      <c r="P8" s="1">
        <v>22</v>
      </c>
      <c r="Q8">
        <f t="shared" si="0"/>
        <v>2.2444444444444445</v>
      </c>
      <c r="R8" t="s">
        <v>47</v>
      </c>
      <c r="S8">
        <f>AVERAGE(Q8:Q10)</f>
        <v>1.4680516651104887</v>
      </c>
    </row>
    <row r="9" spans="1:19" x14ac:dyDescent="0.25">
      <c r="A9" s="1" t="s">
        <v>14</v>
      </c>
      <c r="B9" s="1">
        <f>56/25-1</f>
        <v>1.2400000000000002</v>
      </c>
      <c r="C9" s="1">
        <f>57/13-1</f>
        <v>3.384615384615385</v>
      </c>
      <c r="D9" s="1">
        <f>45/27-1</f>
        <v>0.66666666666666674</v>
      </c>
      <c r="E9" s="1">
        <f>40/24-1</f>
        <v>0.66666666666666674</v>
      </c>
      <c r="F9" s="1">
        <f>39/21-1</f>
        <v>0.85714285714285721</v>
      </c>
      <c r="G9" s="1">
        <f>42/15-1</f>
        <v>1.7999999999999998</v>
      </c>
      <c r="H9" s="1">
        <f>42/18-1</f>
        <v>1.3333333333333335</v>
      </c>
      <c r="I9" s="1">
        <f>41/20-1</f>
        <v>1.0499999999999998</v>
      </c>
      <c r="J9" s="1">
        <f>48/21-1</f>
        <v>1.2857142857142856</v>
      </c>
      <c r="K9" s="1">
        <v>27.8</v>
      </c>
      <c r="L9" s="1">
        <v>7.9</v>
      </c>
      <c r="M9" s="1">
        <v>8.3000000000000001E-3</v>
      </c>
      <c r="N9" s="1" t="s">
        <v>31</v>
      </c>
      <c r="O9" s="1">
        <v>400</v>
      </c>
      <c r="P9" s="1">
        <v>22</v>
      </c>
      <c r="Q9">
        <f t="shared" si="0"/>
        <v>1.2230158730158729</v>
      </c>
    </row>
    <row r="10" spans="1:19" x14ac:dyDescent="0.25">
      <c r="A10" s="1" t="s">
        <v>15</v>
      </c>
      <c r="B10" s="1">
        <f>37/24-1</f>
        <v>0.54166666666666674</v>
      </c>
      <c r="C10" s="1">
        <f>41/14-1</f>
        <v>1.9285714285714284</v>
      </c>
      <c r="D10" s="1">
        <f>45/28-1</f>
        <v>0.60714285714285721</v>
      </c>
      <c r="E10" s="1">
        <f>42/39-1</f>
        <v>7.6923076923076872E-2</v>
      </c>
      <c r="F10" s="1">
        <f>39/36-1</f>
        <v>8.3333333333333259E-2</v>
      </c>
      <c r="G10" s="1">
        <f>41/39-1</f>
        <v>5.1282051282051322E-2</v>
      </c>
      <c r="H10" s="1">
        <f>40/17-1</f>
        <v>1.3529411764705883</v>
      </c>
      <c r="I10" s="1">
        <f>39/21-1</f>
        <v>0.85714285714285721</v>
      </c>
      <c r="J10" s="1">
        <f>40/25-1</f>
        <v>0.60000000000000009</v>
      </c>
      <c r="K10" s="1">
        <v>28.8</v>
      </c>
      <c r="L10" s="1">
        <v>7.69</v>
      </c>
      <c r="M10" s="1">
        <v>8.2000000000000007E-3</v>
      </c>
      <c r="N10" s="1" t="s">
        <v>31</v>
      </c>
      <c r="O10" s="1">
        <v>400</v>
      </c>
      <c r="P10" s="1">
        <v>22</v>
      </c>
      <c r="Q10">
        <f t="shared" si="0"/>
        <v>0.93669467787114857</v>
      </c>
    </row>
    <row r="11" spans="1:19" x14ac:dyDescent="0.25">
      <c r="A11" s="1" t="s">
        <v>19</v>
      </c>
      <c r="B11" s="1">
        <f>41/25-1</f>
        <v>0.6399999999999999</v>
      </c>
      <c r="C11" s="1">
        <f>45/30-1</f>
        <v>0.5</v>
      </c>
      <c r="D11" s="1">
        <f>45/34-1</f>
        <v>0.32352941176470584</v>
      </c>
      <c r="E11" s="1">
        <f>35/29-1</f>
        <v>0.2068965517241379</v>
      </c>
      <c r="F11" s="1">
        <f>34/24-1</f>
        <v>0.41666666666666674</v>
      </c>
      <c r="G11" s="1">
        <f>41/25-1</f>
        <v>0.6399999999999999</v>
      </c>
      <c r="H11" s="1">
        <f>36/24-1</f>
        <v>0.5</v>
      </c>
      <c r="I11" s="1">
        <f>35/16-1</f>
        <v>1.1875</v>
      </c>
      <c r="J11" s="1">
        <f>32/16-1</f>
        <v>1</v>
      </c>
      <c r="K11" s="1">
        <v>36.6</v>
      </c>
      <c r="L11" s="1">
        <v>10.18</v>
      </c>
      <c r="M11" s="1">
        <v>9.5999999999999992E-3</v>
      </c>
      <c r="N11" s="1" t="s">
        <v>31</v>
      </c>
      <c r="O11" s="1">
        <v>800</v>
      </c>
      <c r="P11" s="1">
        <v>28</v>
      </c>
      <c r="Q11">
        <f t="shared" si="0"/>
        <v>0.89583333333333337</v>
      </c>
      <c r="R11" t="s">
        <v>48</v>
      </c>
      <c r="S11">
        <f>AVERAGE(Q11:Q13)</f>
        <v>0.76540782739141899</v>
      </c>
    </row>
    <row r="12" spans="1:19" x14ac:dyDescent="0.25">
      <c r="A12" s="1" t="s">
        <v>20</v>
      </c>
      <c r="B12" s="1">
        <f>46/25-1</f>
        <v>0.84000000000000008</v>
      </c>
      <c r="C12" s="1">
        <f>40/20-1</f>
        <v>1</v>
      </c>
      <c r="D12" s="1">
        <f>49/37-1</f>
        <v>0.32432432432432434</v>
      </c>
      <c r="E12" s="1">
        <f>44/32-1</f>
        <v>0.375</v>
      </c>
      <c r="F12" s="1">
        <f>44/35-1</f>
        <v>0.25714285714285712</v>
      </c>
      <c r="G12" s="1">
        <f>43/23-1</f>
        <v>0.86956521739130443</v>
      </c>
      <c r="H12" s="1">
        <f>47/29-1</f>
        <v>0.6206896551724137</v>
      </c>
      <c r="I12" s="1">
        <f>45/25-1</f>
        <v>0.8</v>
      </c>
      <c r="J12" s="1">
        <f>39/23-1</f>
        <v>0.69565217391304346</v>
      </c>
      <c r="K12" s="1">
        <v>36</v>
      </c>
      <c r="L12" s="1">
        <v>9.76</v>
      </c>
      <c r="M12" s="1">
        <v>8.8999999999999999E-3</v>
      </c>
      <c r="N12" s="1" t="s">
        <v>31</v>
      </c>
      <c r="O12" s="1">
        <v>800</v>
      </c>
      <c r="P12" s="1">
        <v>28</v>
      </c>
      <c r="Q12">
        <f t="shared" si="0"/>
        <v>0.70544727636181914</v>
      </c>
    </row>
    <row r="13" spans="1:19" x14ac:dyDescent="0.25">
      <c r="A13" s="1" t="s">
        <v>21</v>
      </c>
      <c r="B13" s="1">
        <f>37/23-1</f>
        <v>0.60869565217391308</v>
      </c>
      <c r="C13" s="1">
        <f>40/33-1</f>
        <v>0.21212121212121215</v>
      </c>
      <c r="D13" s="1">
        <f>46/37-1</f>
        <v>0.2432432432432432</v>
      </c>
      <c r="E13" s="1">
        <f>40/27-1</f>
        <v>0.4814814814814814</v>
      </c>
      <c r="F13" s="1">
        <f>41/33-1</f>
        <v>0.24242424242424243</v>
      </c>
      <c r="G13" s="1">
        <f>43/37-1</f>
        <v>0.16216216216216206</v>
      </c>
      <c r="H13" s="1">
        <f>43/27-1</f>
        <v>0.59259259259259256</v>
      </c>
      <c r="I13" s="1">
        <f>43/28-1</f>
        <v>0.53571428571428581</v>
      </c>
      <c r="J13" s="1">
        <f>45/23-1</f>
        <v>0.95652173913043481</v>
      </c>
      <c r="K13" s="1">
        <v>38.5</v>
      </c>
      <c r="L13" s="1">
        <v>10.9</v>
      </c>
      <c r="M13" s="1">
        <v>9.1000000000000004E-3</v>
      </c>
      <c r="N13" s="1" t="s">
        <v>31</v>
      </c>
      <c r="O13" s="1">
        <v>800</v>
      </c>
      <c r="P13" s="1">
        <v>28</v>
      </c>
      <c r="Q13">
        <f t="shared" si="0"/>
        <v>0.69494287247910436</v>
      </c>
    </row>
    <row r="14" spans="1:19" x14ac:dyDescent="0.25">
      <c r="A14" s="1" t="s">
        <v>4</v>
      </c>
      <c r="B14" s="1">
        <v>42</v>
      </c>
      <c r="C14" s="1">
        <v>55</v>
      </c>
      <c r="D14" s="1">
        <v>72</v>
      </c>
      <c r="E14" s="1">
        <v>49</v>
      </c>
      <c r="F14" s="1">
        <v>45</v>
      </c>
      <c r="G14" s="1">
        <v>65</v>
      </c>
      <c r="H14" s="1">
        <v>36</v>
      </c>
      <c r="I14" s="1">
        <v>53</v>
      </c>
      <c r="J14" s="1">
        <v>54</v>
      </c>
      <c r="K14" s="1">
        <v>11.8</v>
      </c>
      <c r="L14" s="1">
        <v>1.44</v>
      </c>
      <c r="M14" s="1">
        <v>5.1000000000000004E-3</v>
      </c>
      <c r="N14" s="1" t="s">
        <v>32</v>
      </c>
      <c r="O14" s="2">
        <v>800</v>
      </c>
      <c r="P14" s="1">
        <v>22</v>
      </c>
      <c r="Q14">
        <f t="shared" si="0"/>
        <v>47.666666666666664</v>
      </c>
    </row>
    <row r="15" spans="1:19" x14ac:dyDescent="0.25">
      <c r="A15" s="1" t="s">
        <v>5</v>
      </c>
      <c r="B15" s="1">
        <v>34</v>
      </c>
      <c r="C15" s="1">
        <v>15</v>
      </c>
      <c r="D15" s="1">
        <v>49</v>
      </c>
      <c r="E15" s="1">
        <v>47</v>
      </c>
      <c r="F15" s="1">
        <v>45</v>
      </c>
      <c r="G15" s="1">
        <v>32</v>
      </c>
      <c r="H15" s="1">
        <v>6</v>
      </c>
      <c r="I15" s="1">
        <v>46</v>
      </c>
      <c r="J15" s="1">
        <v>34</v>
      </c>
      <c r="K15" s="1">
        <v>20.5</v>
      </c>
      <c r="L15" s="1">
        <v>4.82</v>
      </c>
      <c r="M15" s="1">
        <v>6.4000000000000003E-3</v>
      </c>
      <c r="N15" s="1" t="s">
        <v>32</v>
      </c>
      <c r="O15" s="2">
        <v>800</v>
      </c>
      <c r="P15" s="1">
        <v>22</v>
      </c>
      <c r="Q15">
        <f t="shared" si="0"/>
        <v>28.666666666666668</v>
      </c>
    </row>
    <row r="16" spans="1:19" x14ac:dyDescent="0.25">
      <c r="A16" s="1" t="s">
        <v>6</v>
      </c>
      <c r="B16" s="1">
        <v>52</v>
      </c>
      <c r="C16" s="1">
        <v>25</v>
      </c>
      <c r="D16" s="1">
        <v>44</v>
      </c>
      <c r="E16" s="1">
        <v>51</v>
      </c>
      <c r="F16" s="1">
        <v>44</v>
      </c>
      <c r="G16" s="1">
        <v>45</v>
      </c>
      <c r="H16" s="1">
        <v>12</v>
      </c>
      <c r="I16" s="1">
        <v>45</v>
      </c>
      <c r="J16" s="1">
        <v>24</v>
      </c>
      <c r="K16" s="1">
        <v>15.8</v>
      </c>
      <c r="L16" s="1">
        <v>3.23</v>
      </c>
      <c r="M16" s="1">
        <v>5.7999999999999996E-3</v>
      </c>
      <c r="N16" s="1" t="s">
        <v>32</v>
      </c>
      <c r="O16" s="2">
        <v>800</v>
      </c>
      <c r="P16" s="1">
        <v>22</v>
      </c>
      <c r="Q16">
        <f t="shared" si="0"/>
        <v>27</v>
      </c>
    </row>
    <row r="17" spans="1:17" x14ac:dyDescent="0.25">
      <c r="A17" s="1" t="s">
        <v>10</v>
      </c>
      <c r="B17" s="1">
        <v>21</v>
      </c>
      <c r="C17" s="1">
        <v>28</v>
      </c>
      <c r="D17" s="1">
        <v>47</v>
      </c>
      <c r="E17" s="1">
        <v>24</v>
      </c>
      <c r="F17" s="1">
        <v>20</v>
      </c>
      <c r="G17" s="1">
        <v>23</v>
      </c>
      <c r="H17" s="1">
        <v>9</v>
      </c>
      <c r="I17" s="1">
        <v>48</v>
      </c>
      <c r="J17" s="1">
        <v>8</v>
      </c>
      <c r="K17" s="1">
        <v>20.399999999999999</v>
      </c>
      <c r="L17" s="1">
        <v>2.19</v>
      </c>
      <c r="M17" s="1">
        <v>3.0000000000000001E-3</v>
      </c>
      <c r="N17" s="1" t="s">
        <v>32</v>
      </c>
      <c r="O17" s="1">
        <v>400</v>
      </c>
      <c r="P17" s="1">
        <v>28</v>
      </c>
      <c r="Q17">
        <f t="shared" si="0"/>
        <v>21.666666666666668</v>
      </c>
    </row>
    <row r="18" spans="1:17" x14ac:dyDescent="0.25">
      <c r="A18" s="1" t="s">
        <v>11</v>
      </c>
      <c r="B18" s="1">
        <v>8</v>
      </c>
      <c r="C18" s="1">
        <v>22</v>
      </c>
      <c r="D18" s="1">
        <v>40</v>
      </c>
      <c r="E18" s="1">
        <v>27</v>
      </c>
      <c r="F18" s="1">
        <v>24</v>
      </c>
      <c r="G18" s="1">
        <v>44</v>
      </c>
      <c r="H18" s="1">
        <v>19</v>
      </c>
      <c r="I18" s="1">
        <v>38</v>
      </c>
      <c r="J18" s="1">
        <v>45</v>
      </c>
      <c r="K18" s="1">
        <v>9.6999999999999993</v>
      </c>
      <c r="L18" s="1">
        <v>0.93</v>
      </c>
      <c r="M18" s="1">
        <v>4.0000000000000001E-3</v>
      </c>
      <c r="N18" s="1" t="s">
        <v>32</v>
      </c>
      <c r="O18" s="1">
        <v>400</v>
      </c>
      <c r="P18" s="1">
        <v>28</v>
      </c>
      <c r="Q18">
        <f t="shared" si="0"/>
        <v>34</v>
      </c>
    </row>
    <row r="19" spans="1:17" x14ac:dyDescent="0.25">
      <c r="A19" s="1" t="s">
        <v>12</v>
      </c>
      <c r="B19" s="1">
        <v>57</v>
      </c>
      <c r="C19" s="1">
        <v>32</v>
      </c>
      <c r="D19" s="1">
        <v>34</v>
      </c>
      <c r="E19" s="1">
        <v>23</v>
      </c>
      <c r="F19" s="1">
        <v>59</v>
      </c>
      <c r="G19" s="1">
        <v>25</v>
      </c>
      <c r="H19" s="1">
        <v>48</v>
      </c>
      <c r="I19" s="1">
        <v>59</v>
      </c>
      <c r="J19" s="1">
        <v>23</v>
      </c>
      <c r="K19" s="1">
        <v>24.1</v>
      </c>
      <c r="L19" s="1">
        <v>3.06</v>
      </c>
      <c r="M19" s="1">
        <v>2.5999999999999999E-3</v>
      </c>
      <c r="N19" s="1" t="s">
        <v>32</v>
      </c>
      <c r="O19" s="1">
        <v>400</v>
      </c>
      <c r="P19" s="1">
        <v>28</v>
      </c>
      <c r="Q19">
        <f t="shared" si="0"/>
        <v>43.333333333333336</v>
      </c>
    </row>
    <row r="20" spans="1:17" x14ac:dyDescent="0.25">
      <c r="A20" s="1" t="s">
        <v>16</v>
      </c>
      <c r="B20" s="1">
        <v>47</v>
      </c>
      <c r="C20" s="1">
        <v>48</v>
      </c>
      <c r="D20" s="1">
        <v>72</v>
      </c>
      <c r="E20" s="1">
        <v>24</v>
      </c>
      <c r="F20" s="1">
        <v>20</v>
      </c>
      <c r="G20" s="1">
        <v>23</v>
      </c>
      <c r="H20" s="1">
        <v>24</v>
      </c>
      <c r="I20" s="1">
        <v>45</v>
      </c>
      <c r="J20" s="1">
        <v>29</v>
      </c>
      <c r="K20" s="1">
        <v>34.799999999999997</v>
      </c>
      <c r="L20" s="1">
        <v>7.42</v>
      </c>
      <c r="M20" s="1">
        <v>1.4500000000000001E-2</v>
      </c>
      <c r="N20" s="1" t="s">
        <v>32</v>
      </c>
      <c r="O20" s="1">
        <v>400</v>
      </c>
      <c r="P20" s="1">
        <v>22</v>
      </c>
      <c r="Q20">
        <f t="shared" si="0"/>
        <v>32.666666666666664</v>
      </c>
    </row>
    <row r="21" spans="1:17" x14ac:dyDescent="0.25">
      <c r="A21" s="1" t="s">
        <v>17</v>
      </c>
      <c r="B21" s="1">
        <v>36</v>
      </c>
      <c r="C21" s="1">
        <v>40</v>
      </c>
      <c r="D21" s="1">
        <v>42</v>
      </c>
      <c r="E21" s="1">
        <v>27</v>
      </c>
      <c r="F21" s="1">
        <v>24</v>
      </c>
      <c r="G21" s="1">
        <v>44</v>
      </c>
      <c r="H21" s="1">
        <v>25</v>
      </c>
      <c r="I21" s="1">
        <v>44</v>
      </c>
      <c r="J21" s="1">
        <v>39</v>
      </c>
      <c r="K21" s="1">
        <v>29.3</v>
      </c>
      <c r="L21" s="1">
        <v>1.94</v>
      </c>
      <c r="M21" s="1">
        <v>8.8000000000000005E-3</v>
      </c>
      <c r="N21" s="1" t="s">
        <v>32</v>
      </c>
      <c r="O21" s="1">
        <v>400</v>
      </c>
      <c r="P21" s="1">
        <v>22</v>
      </c>
      <c r="Q21">
        <f t="shared" si="0"/>
        <v>36</v>
      </c>
    </row>
    <row r="22" spans="1:17" x14ac:dyDescent="0.25">
      <c r="A22" s="1" t="s">
        <v>18</v>
      </c>
      <c r="B22" s="1">
        <v>63</v>
      </c>
      <c r="C22" s="1">
        <v>56</v>
      </c>
      <c r="D22" s="1">
        <v>60</v>
      </c>
      <c r="E22" s="1">
        <v>23</v>
      </c>
      <c r="F22" s="1">
        <v>59</v>
      </c>
      <c r="G22" s="1">
        <v>25</v>
      </c>
      <c r="H22" s="1">
        <v>60</v>
      </c>
      <c r="I22" s="1">
        <v>58</v>
      </c>
      <c r="J22" s="1">
        <v>57</v>
      </c>
      <c r="K22" s="1">
        <v>29.6</v>
      </c>
      <c r="L22" s="1">
        <v>4.76</v>
      </c>
      <c r="M22" s="1">
        <v>1.01E-2</v>
      </c>
      <c r="N22" s="1" t="s">
        <v>32</v>
      </c>
      <c r="O22" s="1">
        <v>400</v>
      </c>
      <c r="P22" s="1">
        <v>22</v>
      </c>
      <c r="Q22">
        <f t="shared" si="0"/>
        <v>58.333333333333336</v>
      </c>
    </row>
    <row r="23" spans="1:17" x14ac:dyDescent="0.25">
      <c r="A23" s="1" t="s">
        <v>22</v>
      </c>
      <c r="B23" s="1">
        <v>56</v>
      </c>
      <c r="C23" s="1">
        <v>56</v>
      </c>
      <c r="D23" s="1">
        <v>62</v>
      </c>
      <c r="E23" s="1">
        <v>54</v>
      </c>
      <c r="F23" s="1">
        <v>72</v>
      </c>
      <c r="G23" s="1">
        <v>50</v>
      </c>
      <c r="H23" s="1">
        <v>99</v>
      </c>
      <c r="I23" s="1">
        <v>68</v>
      </c>
      <c r="J23" s="1">
        <v>71</v>
      </c>
      <c r="K23" s="1">
        <v>24.4</v>
      </c>
      <c r="L23" s="1">
        <v>3.08</v>
      </c>
      <c r="M23" s="1">
        <v>8.3000000000000001E-3</v>
      </c>
      <c r="N23" s="1" t="s">
        <v>32</v>
      </c>
      <c r="O23" s="1">
        <v>800</v>
      </c>
      <c r="P23" s="1">
        <v>28</v>
      </c>
      <c r="Q23">
        <f t="shared" si="0"/>
        <v>79.333333333333329</v>
      </c>
    </row>
    <row r="24" spans="1:17" x14ac:dyDescent="0.25">
      <c r="A24" s="1" t="s">
        <v>23</v>
      </c>
      <c r="B24" s="1">
        <v>55</v>
      </c>
      <c r="C24" s="1">
        <v>68</v>
      </c>
      <c r="D24" s="1">
        <v>66</v>
      </c>
      <c r="E24" s="1">
        <v>67</v>
      </c>
      <c r="F24" s="1">
        <v>51</v>
      </c>
      <c r="G24" s="1">
        <v>83</v>
      </c>
      <c r="H24" s="1">
        <v>65</v>
      </c>
      <c r="I24" s="1">
        <v>85</v>
      </c>
      <c r="J24" s="1">
        <v>71</v>
      </c>
      <c r="K24" s="1">
        <v>21.4</v>
      </c>
      <c r="L24" s="1">
        <v>2.74</v>
      </c>
      <c r="M24" s="1">
        <v>8.3999999999999995E-3</v>
      </c>
      <c r="N24" s="1" t="s">
        <v>32</v>
      </c>
      <c r="O24" s="1">
        <v>800</v>
      </c>
      <c r="P24" s="1">
        <v>28</v>
      </c>
      <c r="Q24">
        <f t="shared" si="0"/>
        <v>73.666666666666671</v>
      </c>
    </row>
    <row r="25" spans="1:17" x14ac:dyDescent="0.25">
      <c r="A25" s="1" t="s">
        <v>24</v>
      </c>
      <c r="B25" s="1">
        <v>61</v>
      </c>
      <c r="C25" s="1">
        <v>44</v>
      </c>
      <c r="D25" s="1">
        <v>51</v>
      </c>
      <c r="E25" s="1">
        <v>83</v>
      </c>
      <c r="F25" s="1">
        <v>79</v>
      </c>
      <c r="G25" s="1">
        <v>62</v>
      </c>
      <c r="H25" s="1">
        <v>102</v>
      </c>
      <c r="I25" s="1">
        <v>77</v>
      </c>
      <c r="J25" s="1">
        <v>86</v>
      </c>
      <c r="K25" s="1">
        <v>24.9</v>
      </c>
      <c r="L25" s="1">
        <v>3.56</v>
      </c>
      <c r="M25" s="1">
        <v>7.7999999999999996E-3</v>
      </c>
      <c r="N25" s="1" t="s">
        <v>32</v>
      </c>
      <c r="O25" s="1">
        <v>800</v>
      </c>
      <c r="P25" s="1">
        <v>28</v>
      </c>
      <c r="Q25">
        <f t="shared" si="0"/>
        <v>88.333333333333329</v>
      </c>
    </row>
  </sheetData>
  <phoneticPr fontId="1" type="noConversion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51AD4-807D-4A8E-9848-7D17D85665BD}">
  <dimension ref="A1:E29"/>
  <sheetViews>
    <sheetView workbookViewId="0">
      <selection activeCell="B1" sqref="B1:D28"/>
    </sheetView>
  </sheetViews>
  <sheetFormatPr defaultRowHeight="15" x14ac:dyDescent="0.25"/>
  <cols>
    <col min="2" max="3" width="15.28515625" customWidth="1"/>
    <col min="4" max="4" width="14.7109375" customWidth="1"/>
  </cols>
  <sheetData>
    <row r="1" spans="1:5" x14ac:dyDescent="0.25">
      <c r="A1" s="1" t="s">
        <v>0</v>
      </c>
      <c r="B1" s="1" t="s">
        <v>25</v>
      </c>
      <c r="C1" s="1" t="s">
        <v>26</v>
      </c>
      <c r="D1" s="1" t="s">
        <v>27</v>
      </c>
    </row>
    <row r="2" spans="1:5" x14ac:dyDescent="0.25">
      <c r="A2" s="1" t="s">
        <v>1</v>
      </c>
      <c r="B2" s="1">
        <v>31.7</v>
      </c>
      <c r="C2" s="1">
        <v>7.21</v>
      </c>
      <c r="D2" s="1">
        <v>6.6E-3</v>
      </c>
      <c r="E2">
        <f>AVERAGE(B2:B4)</f>
        <v>28.400000000000002</v>
      </c>
    </row>
    <row r="3" spans="1:5" x14ac:dyDescent="0.25">
      <c r="A3" s="1" t="s">
        <v>2</v>
      </c>
      <c r="B3" s="1">
        <v>31.2</v>
      </c>
      <c r="C3" s="1">
        <v>7.15</v>
      </c>
      <c r="D3" s="1">
        <v>5.4000000000000003E-3</v>
      </c>
      <c r="E3">
        <f>STDEV(B2:B4)</f>
        <v>5.2886671288709222</v>
      </c>
    </row>
    <row r="4" spans="1:5" x14ac:dyDescent="0.25">
      <c r="A4" s="1" t="s">
        <v>3</v>
      </c>
      <c r="B4" s="1">
        <v>22.3</v>
      </c>
      <c r="C4" s="1">
        <v>5.62</v>
      </c>
      <c r="D4" s="1">
        <v>5.4999999999999997E-3</v>
      </c>
    </row>
    <row r="5" spans="1:5" x14ac:dyDescent="0.25">
      <c r="A5" s="1" t="s">
        <v>4</v>
      </c>
      <c r="B5" s="1">
        <v>11.8</v>
      </c>
      <c r="C5" s="1">
        <v>1.44</v>
      </c>
      <c r="D5" s="1">
        <v>5.1000000000000004E-3</v>
      </c>
      <c r="E5">
        <f>AVERAGE(B5:B7)</f>
        <v>16.033333333333331</v>
      </c>
    </row>
    <row r="6" spans="1:5" x14ac:dyDescent="0.25">
      <c r="A6" s="1" t="s">
        <v>5</v>
      </c>
      <c r="B6" s="1">
        <v>20.5</v>
      </c>
      <c r="C6" s="1">
        <v>4.82</v>
      </c>
      <c r="D6" s="1">
        <v>6.4000000000000003E-3</v>
      </c>
      <c r="E6">
        <f>STDEV(B5:B7)</f>
        <v>4.3546909572704893</v>
      </c>
    </row>
    <row r="7" spans="1:5" x14ac:dyDescent="0.25">
      <c r="A7" s="1" t="s">
        <v>6</v>
      </c>
      <c r="B7" s="1">
        <v>15.8</v>
      </c>
      <c r="C7" s="1">
        <v>3.23</v>
      </c>
      <c r="D7" s="1">
        <v>5.7999999999999996E-3</v>
      </c>
    </row>
    <row r="8" spans="1:5" x14ac:dyDescent="0.25">
      <c r="A8" s="3"/>
      <c r="B8" s="1"/>
      <c r="C8" s="1"/>
      <c r="D8" s="1"/>
    </row>
    <row r="9" spans="1:5" x14ac:dyDescent="0.25">
      <c r="A9" s="1" t="s">
        <v>7</v>
      </c>
      <c r="B9" s="1">
        <v>18.5</v>
      </c>
      <c r="C9" s="1">
        <v>4.3</v>
      </c>
      <c r="D9" s="1">
        <v>5.0000000000000001E-3</v>
      </c>
      <c r="E9">
        <f>AVERAGE(B9:B11)</f>
        <v>24.433333333333334</v>
      </c>
    </row>
    <row r="10" spans="1:5" x14ac:dyDescent="0.25">
      <c r="A10" s="1" t="s">
        <v>8</v>
      </c>
      <c r="B10" s="1">
        <v>26.4</v>
      </c>
      <c r="C10" s="1">
        <v>6.06</v>
      </c>
      <c r="D10" s="1">
        <v>5.3E-3</v>
      </c>
      <c r="E10">
        <f>STDEV(B9:B11)</f>
        <v>5.2348193219378087</v>
      </c>
    </row>
    <row r="11" spans="1:5" x14ac:dyDescent="0.25">
      <c r="A11" s="1" t="s">
        <v>9</v>
      </c>
      <c r="B11" s="1">
        <v>28.4</v>
      </c>
      <c r="C11" s="1">
        <v>5.88</v>
      </c>
      <c r="D11" s="1">
        <v>4.1000000000000003E-3</v>
      </c>
    </row>
    <row r="12" spans="1:5" x14ac:dyDescent="0.25">
      <c r="A12" s="1" t="s">
        <v>10</v>
      </c>
      <c r="B12" s="1">
        <v>20.399999999999999</v>
      </c>
      <c r="C12" s="1">
        <v>2.19</v>
      </c>
      <c r="D12" s="1">
        <v>3.0000000000000001E-3</v>
      </c>
      <c r="E12">
        <f>AVERAGE(B12:B14)</f>
        <v>18.066666666666666</v>
      </c>
    </row>
    <row r="13" spans="1:5" x14ac:dyDescent="0.25">
      <c r="A13" s="1" t="s">
        <v>11</v>
      </c>
      <c r="B13" s="1">
        <v>9.6999999999999993</v>
      </c>
      <c r="C13" s="1">
        <v>0.93</v>
      </c>
      <c r="D13" s="1">
        <v>4.0000000000000001E-3</v>
      </c>
      <c r="E13">
        <f>STDEV(B12:B14)</f>
        <v>7.4781905119710101</v>
      </c>
    </row>
    <row r="14" spans="1:5" x14ac:dyDescent="0.25">
      <c r="A14" s="1" t="s">
        <v>12</v>
      </c>
      <c r="B14" s="1">
        <v>24.1</v>
      </c>
      <c r="C14" s="1">
        <v>3.06</v>
      </c>
      <c r="D14" s="1">
        <v>2.5999999999999999E-3</v>
      </c>
    </row>
    <row r="15" spans="1:5" x14ac:dyDescent="0.25">
      <c r="A15" s="3"/>
      <c r="B15" s="1"/>
      <c r="C15" s="1"/>
      <c r="D15" s="1"/>
    </row>
    <row r="16" spans="1:5" x14ac:dyDescent="0.25">
      <c r="A16" s="1" t="s">
        <v>13</v>
      </c>
      <c r="B16" s="1">
        <v>20.8</v>
      </c>
      <c r="C16" s="1">
        <v>5.78</v>
      </c>
      <c r="D16" s="1">
        <v>6.3E-3</v>
      </c>
      <c r="E16">
        <f>AVERAGE(B16:B18)</f>
        <v>25.8</v>
      </c>
    </row>
    <row r="17" spans="1:5" x14ac:dyDescent="0.25">
      <c r="A17" s="1" t="s">
        <v>14</v>
      </c>
      <c r="B17" s="1">
        <v>27.8</v>
      </c>
      <c r="C17" s="1">
        <v>7.9</v>
      </c>
      <c r="D17" s="1">
        <v>8.3000000000000001E-3</v>
      </c>
      <c r="E17">
        <f>STDEV(B16:B18)</f>
        <v>4.3588989435406607</v>
      </c>
    </row>
    <row r="18" spans="1:5" x14ac:dyDescent="0.25">
      <c r="A18" s="1" t="s">
        <v>15</v>
      </c>
      <c r="B18" s="1">
        <v>28.8</v>
      </c>
      <c r="C18" s="1">
        <v>7.69</v>
      </c>
      <c r="D18" s="1">
        <v>8.2000000000000007E-3</v>
      </c>
    </row>
    <row r="19" spans="1:5" x14ac:dyDescent="0.25">
      <c r="A19" s="1" t="s">
        <v>16</v>
      </c>
      <c r="B19" s="1">
        <v>34.799999999999997</v>
      </c>
      <c r="C19" s="1">
        <v>7.42</v>
      </c>
      <c r="D19" s="1">
        <v>1.4500000000000001E-2</v>
      </c>
      <c r="E19">
        <f>AVERAGE(B19:B21)</f>
        <v>31.233333333333331</v>
      </c>
    </row>
    <row r="20" spans="1:5" x14ac:dyDescent="0.25">
      <c r="A20" s="1" t="s">
        <v>17</v>
      </c>
      <c r="B20" s="1">
        <v>29.3</v>
      </c>
      <c r="C20" s="1">
        <v>1.94</v>
      </c>
      <c r="D20" s="1">
        <v>8.8000000000000005E-3</v>
      </c>
      <c r="E20">
        <f>STDEV(B19:B21)</f>
        <v>3.0924639582917246</v>
      </c>
    </row>
    <row r="21" spans="1:5" x14ac:dyDescent="0.25">
      <c r="A21" s="1" t="s">
        <v>18</v>
      </c>
      <c r="B21" s="1">
        <v>29.6</v>
      </c>
      <c r="C21" s="1">
        <v>4.76</v>
      </c>
      <c r="D21" s="1">
        <v>1.01E-2</v>
      </c>
    </row>
    <row r="22" spans="1:5" x14ac:dyDescent="0.25">
      <c r="A22" s="3"/>
      <c r="B22" s="1"/>
      <c r="C22" s="1"/>
      <c r="D22" s="1"/>
    </row>
    <row r="23" spans="1:5" x14ac:dyDescent="0.25">
      <c r="A23" s="1" t="s">
        <v>19</v>
      </c>
      <c r="B23" s="1">
        <v>36.6</v>
      </c>
      <c r="C23" s="1">
        <v>10.18</v>
      </c>
      <c r="D23" s="1">
        <v>9.5999999999999992E-3</v>
      </c>
      <c r="E23">
        <f>AVERAGE(B23:B25)</f>
        <v>37.033333333333331</v>
      </c>
    </row>
    <row r="24" spans="1:5" x14ac:dyDescent="0.25">
      <c r="A24" s="1" t="s">
        <v>20</v>
      </c>
      <c r="B24" s="1">
        <v>36</v>
      </c>
      <c r="C24" s="1">
        <v>9.76</v>
      </c>
      <c r="D24" s="1">
        <v>8.8999999999999999E-3</v>
      </c>
      <c r="E24">
        <f>STDEV(B23:B25)</f>
        <v>1.305118130030126</v>
      </c>
    </row>
    <row r="25" spans="1:5" x14ac:dyDescent="0.25">
      <c r="A25" s="1" t="s">
        <v>21</v>
      </c>
      <c r="B25" s="1">
        <v>38.5</v>
      </c>
      <c r="C25" s="1">
        <v>10.9</v>
      </c>
      <c r="D25" s="1">
        <v>9.1000000000000004E-3</v>
      </c>
    </row>
    <row r="26" spans="1:5" x14ac:dyDescent="0.25">
      <c r="A26" s="1" t="s">
        <v>22</v>
      </c>
      <c r="B26" s="1">
        <v>24.4</v>
      </c>
      <c r="C26" s="1">
        <v>3.08</v>
      </c>
      <c r="D26" s="1">
        <v>8.3000000000000001E-3</v>
      </c>
      <c r="E26">
        <f>AVERAGE(B26:B28)</f>
        <v>23.566666666666663</v>
      </c>
    </row>
    <row r="27" spans="1:5" x14ac:dyDescent="0.25">
      <c r="A27" s="1" t="s">
        <v>23</v>
      </c>
      <c r="B27" s="1">
        <v>21.4</v>
      </c>
      <c r="C27" s="1">
        <v>2.74</v>
      </c>
      <c r="D27" s="1">
        <v>8.3999999999999995E-3</v>
      </c>
      <c r="E27">
        <f>STDEV(B26:B28)</f>
        <v>1.8929694486000912</v>
      </c>
    </row>
    <row r="28" spans="1:5" x14ac:dyDescent="0.25">
      <c r="A28" s="1" t="s">
        <v>24</v>
      </c>
      <c r="B28" s="1">
        <v>24.9</v>
      </c>
      <c r="C28" s="1">
        <v>3.56</v>
      </c>
      <c r="D28" s="1">
        <v>7.7999999999999996E-3</v>
      </c>
    </row>
    <row r="29" spans="1:5" x14ac:dyDescent="0.25">
      <c r="D29" t="s">
        <v>28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85BECC7A586D4A8A6BF6AEFA70346E" ma:contentTypeVersion="12" ma:contentTypeDescription="Create a new document." ma:contentTypeScope="" ma:versionID="01918a50be074cbae36aaf762599e071">
  <xsd:schema xmlns:xsd="http://www.w3.org/2001/XMLSchema" xmlns:xs="http://www.w3.org/2001/XMLSchema" xmlns:p="http://schemas.microsoft.com/office/2006/metadata/properties" xmlns:ns3="a56ddad5-6425-4127-9ac3-bd03fc8b7f27" xmlns:ns4="05d1c47c-3180-4d26-a39f-c5c735661cde" targetNamespace="http://schemas.microsoft.com/office/2006/metadata/properties" ma:root="true" ma:fieldsID="d0422dc86444aa044e44d3c891aa7cf6" ns3:_="" ns4:_="">
    <xsd:import namespace="a56ddad5-6425-4127-9ac3-bd03fc8b7f27"/>
    <xsd:import namespace="05d1c47c-3180-4d26-a39f-c5c735661cd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ddad5-6425-4127-9ac3-bd03fc8b7f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d1c47c-3180-4d26-a39f-c5c735661cd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9C01BD-74E4-4DC0-9B3B-C3C062B945C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378E4E-53FF-4DF5-B0BA-685B3AC37A13}">
  <ds:schemaRefs>
    <ds:schemaRef ds:uri="a56ddad5-6425-4127-9ac3-bd03fc8b7f27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05d1c47c-3180-4d26-a39f-c5c735661cde"/>
    <ds:schemaRef ds:uri="http://www.w3.org/XML/1998/namespace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242D99B-4929-466C-86BE-4CFF30D345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6ddad5-6425-4127-9ac3-bd03fc8b7f27"/>
    <ds:schemaRef ds:uri="05d1c47c-3180-4d26-a39f-c5c735661c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 Michael D</dc:creator>
  <cp:lastModifiedBy>Thomas, Michael D</cp:lastModifiedBy>
  <cp:lastPrinted>2021-07-16T16:49:42Z</cp:lastPrinted>
  <dcterms:created xsi:type="dcterms:W3CDTF">2021-07-06T15:02:42Z</dcterms:created>
  <dcterms:modified xsi:type="dcterms:W3CDTF">2023-02-28T19:31:45Z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0x010100C085BECC7A586D4A8A6BF6AEFA70346E</vt:lpwstr>
  </property>
</Properties>
</file>