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mthomas79_rockets_utoledo_edu/Documents/Research/Data/Survey/"/>
    </mc:Choice>
  </mc:AlternateContent>
  <xr:revisionPtr revIDLastSave="135" documentId="14_{4FF7D34A-5ABB-4F4B-AF59-F2742BCB4051}" xr6:coauthVersionLast="47" xr6:coauthVersionMax="47" xr10:uidLastSave="{B1BCF3EB-0277-4092-BD2E-211956474DD6}"/>
  <bookViews>
    <workbookView xWindow="-28920" yWindow="-30" windowWidth="29040" windowHeight="15840" xr2:uid="{516FDF50-FB87-422A-94FA-F40EE7760C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172" i="1" l="1"/>
  <c r="AZ172" i="1"/>
  <c r="BA172" i="1"/>
  <c r="BB172" i="1"/>
  <c r="BC172" i="1"/>
  <c r="BE172" i="1" s="1"/>
  <c r="BD172" i="1"/>
  <c r="BD191" i="1" l="1"/>
  <c r="BC191" i="1"/>
  <c r="BB191" i="1"/>
  <c r="BD190" i="1"/>
  <c r="BC190" i="1"/>
  <c r="BB190" i="1"/>
  <c r="BD189" i="1"/>
  <c r="BC189" i="1"/>
  <c r="BB189" i="1"/>
  <c r="BD188" i="1"/>
  <c r="BC188" i="1"/>
  <c r="BB188" i="1"/>
  <c r="BE188" i="1" s="1"/>
  <c r="BD187" i="1"/>
  <c r="BC187" i="1"/>
  <c r="BB187" i="1"/>
  <c r="BD186" i="1"/>
  <c r="BC186" i="1"/>
  <c r="BB186" i="1"/>
  <c r="BE186" i="1" s="1"/>
  <c r="BD185" i="1"/>
  <c r="BC185" i="1"/>
  <c r="BB185" i="1"/>
  <c r="BD184" i="1"/>
  <c r="BC184" i="1"/>
  <c r="BB184" i="1"/>
  <c r="BD183" i="1"/>
  <c r="BC183" i="1"/>
  <c r="BB183" i="1"/>
  <c r="BD182" i="1"/>
  <c r="BC182" i="1"/>
  <c r="BB182" i="1"/>
  <c r="BE182" i="1" s="1"/>
  <c r="BD181" i="1"/>
  <c r="BC181" i="1"/>
  <c r="BB181" i="1"/>
  <c r="BD180" i="1"/>
  <c r="BC180" i="1"/>
  <c r="BB180" i="1"/>
  <c r="BE180" i="1" s="1"/>
  <c r="BD179" i="1"/>
  <c r="BC179" i="1"/>
  <c r="BB179" i="1"/>
  <c r="BD178" i="1"/>
  <c r="BC178" i="1"/>
  <c r="BB178" i="1"/>
  <c r="BE178" i="1" s="1"/>
  <c r="BD177" i="1"/>
  <c r="BC177" i="1"/>
  <c r="BB177" i="1"/>
  <c r="BD176" i="1"/>
  <c r="BC176" i="1"/>
  <c r="BB176" i="1"/>
  <c r="BE176" i="1" s="1"/>
  <c r="BB175" i="1"/>
  <c r="BE175" i="1" s="1"/>
  <c r="BD174" i="1"/>
  <c r="BC174" i="1"/>
  <c r="BB174" i="1"/>
  <c r="BD173" i="1"/>
  <c r="BC173" i="1"/>
  <c r="BB173" i="1"/>
  <c r="BA191" i="1"/>
  <c r="AZ191" i="1"/>
  <c r="AY191" i="1"/>
  <c r="BA190" i="1"/>
  <c r="AZ190" i="1"/>
  <c r="AY190" i="1"/>
  <c r="BA189" i="1"/>
  <c r="AZ189" i="1"/>
  <c r="AY189" i="1"/>
  <c r="BA188" i="1"/>
  <c r="AZ188" i="1"/>
  <c r="AY188" i="1"/>
  <c r="BA187" i="1"/>
  <c r="AZ187" i="1"/>
  <c r="AY187" i="1"/>
  <c r="BA186" i="1"/>
  <c r="AZ186" i="1"/>
  <c r="AY186" i="1"/>
  <c r="BA185" i="1"/>
  <c r="AZ185" i="1"/>
  <c r="AY185" i="1"/>
  <c r="BA184" i="1"/>
  <c r="AZ184" i="1"/>
  <c r="AY184" i="1"/>
  <c r="BA183" i="1"/>
  <c r="AZ183" i="1"/>
  <c r="AY183" i="1"/>
  <c r="BA182" i="1"/>
  <c r="AZ182" i="1"/>
  <c r="AY182" i="1"/>
  <c r="BA181" i="1"/>
  <c r="AZ181" i="1"/>
  <c r="AY181" i="1"/>
  <c r="BA180" i="1"/>
  <c r="AZ180" i="1"/>
  <c r="AY180" i="1"/>
  <c r="BA179" i="1"/>
  <c r="AZ179" i="1"/>
  <c r="AY179" i="1"/>
  <c r="BA178" i="1"/>
  <c r="AZ178" i="1"/>
  <c r="AY178" i="1"/>
  <c r="BA177" i="1"/>
  <c r="AZ177" i="1"/>
  <c r="AY177" i="1"/>
  <c r="BA176" i="1"/>
  <c r="AZ176" i="1"/>
  <c r="AY176" i="1"/>
  <c r="BA175" i="1"/>
  <c r="AZ175" i="1"/>
  <c r="AY175" i="1"/>
  <c r="BA174" i="1"/>
  <c r="AZ174" i="1"/>
  <c r="AY174" i="1"/>
  <c r="BA173" i="1"/>
  <c r="AZ173" i="1"/>
  <c r="AY173" i="1"/>
  <c r="BA95" i="1"/>
  <c r="AZ95" i="1"/>
  <c r="AY95" i="1"/>
  <c r="BA94" i="1"/>
  <c r="AZ94" i="1"/>
  <c r="AY94" i="1"/>
  <c r="BA93" i="1"/>
  <c r="AZ93" i="1"/>
  <c r="AY93" i="1"/>
  <c r="BA92" i="1"/>
  <c r="AZ92" i="1"/>
  <c r="AY92" i="1"/>
  <c r="BA91" i="1"/>
  <c r="AZ91" i="1"/>
  <c r="AY91" i="1"/>
  <c r="BA90" i="1"/>
  <c r="AZ90" i="1"/>
  <c r="AY90" i="1"/>
  <c r="BA89" i="1"/>
  <c r="AZ89" i="1"/>
  <c r="AY89" i="1"/>
  <c r="BA88" i="1"/>
  <c r="AZ88" i="1"/>
  <c r="AY88" i="1"/>
  <c r="BA87" i="1"/>
  <c r="AZ87" i="1"/>
  <c r="AY87" i="1"/>
  <c r="BA86" i="1"/>
  <c r="AZ86" i="1"/>
  <c r="AY86" i="1"/>
  <c r="BA85" i="1"/>
  <c r="AZ85" i="1"/>
  <c r="AY85" i="1"/>
  <c r="BA84" i="1"/>
  <c r="AZ84" i="1"/>
  <c r="AY84" i="1"/>
  <c r="AU95" i="1"/>
  <c r="AT95" i="1"/>
  <c r="AS95" i="1"/>
  <c r="AR95" i="1"/>
  <c r="AQ95" i="1"/>
  <c r="AP95" i="1"/>
  <c r="AU94" i="1"/>
  <c r="AT94" i="1"/>
  <c r="AS94" i="1"/>
  <c r="AR94" i="1"/>
  <c r="AQ94" i="1"/>
  <c r="AP94" i="1"/>
  <c r="AU93" i="1"/>
  <c r="AT93" i="1"/>
  <c r="AS93" i="1"/>
  <c r="AR93" i="1"/>
  <c r="AQ93" i="1"/>
  <c r="AP93" i="1"/>
  <c r="AU92" i="1"/>
  <c r="AT92" i="1"/>
  <c r="AS92" i="1"/>
  <c r="AR92" i="1"/>
  <c r="AQ92" i="1"/>
  <c r="AP92" i="1"/>
  <c r="AU91" i="1"/>
  <c r="AT91" i="1"/>
  <c r="AS91" i="1"/>
  <c r="AR91" i="1"/>
  <c r="AQ91" i="1"/>
  <c r="AP91" i="1"/>
  <c r="AU90" i="1"/>
  <c r="AT90" i="1"/>
  <c r="AS90" i="1"/>
  <c r="AR90" i="1"/>
  <c r="AQ90" i="1"/>
  <c r="AP90" i="1"/>
  <c r="AU89" i="1"/>
  <c r="AT89" i="1"/>
  <c r="AS89" i="1"/>
  <c r="AR89" i="1"/>
  <c r="AQ89" i="1"/>
  <c r="AP89" i="1"/>
  <c r="AU88" i="1"/>
  <c r="AT88" i="1"/>
  <c r="AS88" i="1"/>
  <c r="AR88" i="1"/>
  <c r="AQ88" i="1"/>
  <c r="AP88" i="1"/>
  <c r="AU87" i="1"/>
  <c r="AT87" i="1"/>
  <c r="AS87" i="1"/>
  <c r="AR87" i="1"/>
  <c r="AQ87" i="1"/>
  <c r="AP87" i="1"/>
  <c r="AU86" i="1"/>
  <c r="AT86" i="1"/>
  <c r="AS86" i="1"/>
  <c r="AR86" i="1"/>
  <c r="AQ86" i="1"/>
  <c r="AP86" i="1"/>
  <c r="AU85" i="1"/>
  <c r="AT85" i="1"/>
  <c r="AS85" i="1"/>
  <c r="AR85" i="1"/>
  <c r="AQ85" i="1"/>
  <c r="AP85" i="1"/>
  <c r="AU84" i="1"/>
  <c r="AT84" i="1"/>
  <c r="AS84" i="1"/>
  <c r="AR84" i="1"/>
  <c r="AQ84" i="1"/>
  <c r="AP84" i="1"/>
  <c r="AX17" i="1"/>
  <c r="AW17" i="1"/>
  <c r="AV17" i="1"/>
  <c r="AX16" i="1"/>
  <c r="AW16" i="1"/>
  <c r="AV16" i="1"/>
  <c r="AX15" i="1"/>
  <c r="AW15" i="1"/>
  <c r="AV15" i="1"/>
  <c r="AX13" i="1"/>
  <c r="AW13" i="1"/>
  <c r="AV13" i="1"/>
  <c r="AX12" i="1"/>
  <c r="AW12" i="1"/>
  <c r="AV12" i="1"/>
  <c r="AX11" i="1"/>
  <c r="AW11" i="1"/>
  <c r="AV11" i="1"/>
  <c r="AX9" i="1"/>
  <c r="AW9" i="1"/>
  <c r="BE9" i="1" s="1"/>
  <c r="AW8" i="1"/>
  <c r="BE8" i="1" s="1"/>
  <c r="AX5" i="1"/>
  <c r="AV4" i="1"/>
  <c r="BE4" i="1" s="1"/>
  <c r="AX3" i="1"/>
  <c r="AW3" i="1"/>
  <c r="AV3" i="1"/>
  <c r="AW2" i="1"/>
  <c r="BE2" i="1" s="1"/>
  <c r="AO17" i="1"/>
  <c r="AN17" i="1"/>
  <c r="AM17" i="1"/>
  <c r="AO16" i="1"/>
  <c r="AN16" i="1"/>
  <c r="AM16" i="1"/>
  <c r="AO15" i="1"/>
  <c r="AN15" i="1"/>
  <c r="AM15" i="1"/>
  <c r="AO14" i="1"/>
  <c r="AN14" i="1"/>
  <c r="AM14" i="1"/>
  <c r="AO13" i="1"/>
  <c r="AN13" i="1"/>
  <c r="AM13" i="1"/>
  <c r="AO12" i="1"/>
  <c r="AN12" i="1"/>
  <c r="AM12" i="1"/>
  <c r="AO11" i="1"/>
  <c r="AN11" i="1"/>
  <c r="AM11" i="1"/>
  <c r="AO10" i="1"/>
  <c r="AN10" i="1"/>
  <c r="AN9" i="1"/>
  <c r="AM9" i="1"/>
  <c r="AM6" i="1"/>
  <c r="AO5" i="1"/>
  <c r="AN5" i="1"/>
  <c r="AN4" i="1"/>
  <c r="AM4" i="1"/>
  <c r="AN2" i="1"/>
  <c r="AM2" i="1"/>
  <c r="BE5" i="1"/>
  <c r="BE6" i="1"/>
  <c r="BE7" i="1"/>
  <c r="BE10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73" i="1"/>
  <c r="AL73" i="1" s="1"/>
  <c r="AK74" i="1"/>
  <c r="AL74" i="1" s="1"/>
  <c r="AK75" i="1"/>
  <c r="AL75" i="1" s="1"/>
  <c r="AK76" i="1"/>
  <c r="AL76" i="1" s="1"/>
  <c r="AK77" i="1"/>
  <c r="AL77" i="1" s="1"/>
  <c r="AK78" i="1"/>
  <c r="AL78" i="1" s="1"/>
  <c r="AK79" i="1"/>
  <c r="AL79" i="1" s="1"/>
  <c r="AK80" i="1"/>
  <c r="AL80" i="1" s="1"/>
  <c r="AK81" i="1"/>
  <c r="AL81" i="1" s="1"/>
  <c r="AK82" i="1"/>
  <c r="AL82" i="1" s="1"/>
  <c r="AK83" i="1"/>
  <c r="AL83" i="1" s="1"/>
  <c r="AK72" i="1"/>
  <c r="AL72" i="1" s="1"/>
  <c r="AK129" i="1"/>
  <c r="AL129" i="1" s="1"/>
  <c r="AK130" i="1"/>
  <c r="AL130" i="1" s="1"/>
  <c r="AK131" i="1"/>
  <c r="AL131" i="1" s="1"/>
  <c r="AK132" i="1"/>
  <c r="AL132" i="1" s="1"/>
  <c r="AK133" i="1"/>
  <c r="AL133" i="1" s="1"/>
  <c r="AK134" i="1"/>
  <c r="AL134" i="1" s="1"/>
  <c r="AK135" i="1"/>
  <c r="AL135" i="1" s="1"/>
  <c r="AK136" i="1"/>
  <c r="AL136" i="1" s="1"/>
  <c r="AK137" i="1"/>
  <c r="AL137" i="1" s="1"/>
  <c r="AK138" i="1"/>
  <c r="AL138" i="1" s="1"/>
  <c r="AK139" i="1"/>
  <c r="AL139" i="1" s="1"/>
  <c r="AK140" i="1"/>
  <c r="AL140" i="1" s="1"/>
  <c r="AK141" i="1"/>
  <c r="AL141" i="1" s="1"/>
  <c r="AK142" i="1"/>
  <c r="AL142" i="1" s="1"/>
  <c r="AK143" i="1"/>
  <c r="AL143" i="1" s="1"/>
  <c r="AK144" i="1"/>
  <c r="AL144" i="1" s="1"/>
  <c r="AK145" i="1"/>
  <c r="AL145" i="1" s="1"/>
  <c r="AK146" i="1"/>
  <c r="AL146" i="1" s="1"/>
  <c r="AK148" i="1"/>
  <c r="AL148" i="1" s="1"/>
  <c r="AK150" i="1"/>
  <c r="AL150" i="1" s="1"/>
  <c r="AK151" i="1"/>
  <c r="AL151" i="1" s="1"/>
  <c r="AK128" i="1"/>
  <c r="AL128" i="1" s="1"/>
  <c r="AL17" i="1"/>
  <c r="AL16" i="1"/>
  <c r="AL15" i="1"/>
  <c r="AL13" i="1"/>
  <c r="AL12" i="1"/>
  <c r="AL11" i="1"/>
  <c r="AL10" i="1"/>
  <c r="AL9" i="1"/>
  <c r="AL8" i="1"/>
  <c r="AL7" i="1"/>
  <c r="AL6" i="1"/>
  <c r="AL5" i="1"/>
  <c r="AL4" i="1"/>
  <c r="AL3" i="1"/>
  <c r="AL2" i="1"/>
  <c r="BE190" i="1" l="1"/>
  <c r="BE184" i="1"/>
  <c r="BE174" i="1"/>
  <c r="BE179" i="1"/>
  <c r="BE183" i="1"/>
  <c r="BE187" i="1"/>
  <c r="BE191" i="1"/>
  <c r="BE173" i="1"/>
  <c r="BE185" i="1"/>
  <c r="BE16" i="1"/>
  <c r="BE177" i="1"/>
  <c r="BE181" i="1"/>
  <c r="BE189" i="1"/>
  <c r="BE17" i="1"/>
  <c r="BE13" i="1"/>
  <c r="BE87" i="1"/>
  <c r="BE91" i="1"/>
  <c r="BE95" i="1"/>
  <c r="BE3" i="1"/>
  <c r="BE15" i="1"/>
  <c r="BE86" i="1"/>
  <c r="BE90" i="1"/>
  <c r="BE94" i="1"/>
  <c r="BE11" i="1"/>
  <c r="BE93" i="1"/>
  <c r="BE12" i="1"/>
  <c r="BE85" i="1"/>
  <c r="BE89" i="1"/>
  <c r="BE84" i="1"/>
  <c r="BE88" i="1"/>
  <c r="BE92" i="1"/>
</calcChain>
</file>

<file path=xl/sharedStrings.xml><?xml version="1.0" encoding="utf-8"?>
<sst xmlns="http://schemas.openxmlformats.org/spreadsheetml/2006/main" count="820" uniqueCount="278">
  <si>
    <t>Plant ID</t>
  </si>
  <si>
    <t>B0101</t>
  </si>
  <si>
    <t>B0102</t>
  </si>
  <si>
    <t>B0103</t>
  </si>
  <si>
    <t>B0104</t>
  </si>
  <si>
    <t>B0201</t>
  </si>
  <si>
    <t>B0202</t>
  </si>
  <si>
    <t>B0203</t>
  </si>
  <si>
    <t>B0204</t>
  </si>
  <si>
    <t>B0301</t>
  </si>
  <si>
    <t>B0302</t>
  </si>
  <si>
    <t>B0303</t>
  </si>
  <si>
    <t>B0304</t>
  </si>
  <si>
    <t>B0401</t>
  </si>
  <si>
    <t>B0402</t>
  </si>
  <si>
    <t>B0403</t>
  </si>
  <si>
    <t>B0404</t>
  </si>
  <si>
    <t>Sl0101</t>
  </si>
  <si>
    <t>Sl0103</t>
  </si>
  <si>
    <t>Sl0104</t>
  </si>
  <si>
    <t>Sl0201</t>
  </si>
  <si>
    <t>Sl0202</t>
  </si>
  <si>
    <t>Sl0203</t>
  </si>
  <si>
    <t>Sl0204</t>
  </si>
  <si>
    <t>Sl0301</t>
  </si>
  <si>
    <t>Sl0302</t>
  </si>
  <si>
    <t>Sl0304</t>
  </si>
  <si>
    <t>Sl0401</t>
  </si>
  <si>
    <t>Sl0402</t>
  </si>
  <si>
    <t>Sl0403</t>
  </si>
  <si>
    <t>Sl0404</t>
  </si>
  <si>
    <t>E0101</t>
  </si>
  <si>
    <t>E0102</t>
  </si>
  <si>
    <t>E0103</t>
  </si>
  <si>
    <t>E0104</t>
  </si>
  <si>
    <t>E0201</t>
  </si>
  <si>
    <t>E0202</t>
  </si>
  <si>
    <t>E0203</t>
  </si>
  <si>
    <t>E0204</t>
  </si>
  <si>
    <t>E0301</t>
  </si>
  <si>
    <t>E0302</t>
  </si>
  <si>
    <t>E0303</t>
  </si>
  <si>
    <t>E0304</t>
  </si>
  <si>
    <t>E0401</t>
  </si>
  <si>
    <t>E0402</t>
  </si>
  <si>
    <t>E0403</t>
  </si>
  <si>
    <t>E0404</t>
  </si>
  <si>
    <t>Pp0101</t>
  </si>
  <si>
    <t>Pp0102</t>
  </si>
  <si>
    <t>Pp0103</t>
  </si>
  <si>
    <t>Pp0104</t>
  </si>
  <si>
    <t>Pp0105</t>
  </si>
  <si>
    <t>Pp0106</t>
  </si>
  <si>
    <t>Pp0201</t>
  </si>
  <si>
    <t>Pp0202</t>
  </si>
  <si>
    <t>Pp0203</t>
  </si>
  <si>
    <t>Pp0204</t>
  </si>
  <si>
    <t>Pp0205</t>
  </si>
  <si>
    <t>Pp0206</t>
  </si>
  <si>
    <t>Pp0301</t>
  </si>
  <si>
    <t>Pp0302</t>
  </si>
  <si>
    <t>Pp0303</t>
  </si>
  <si>
    <t>Pp0304</t>
  </si>
  <si>
    <t>Pp0305</t>
  </si>
  <si>
    <t>Pp0306</t>
  </si>
  <si>
    <t>Pp0401</t>
  </si>
  <si>
    <t>Pp0402</t>
  </si>
  <si>
    <t>Pp0403</t>
  </si>
  <si>
    <t>Pp0404</t>
  </si>
  <si>
    <t>Pp0405</t>
  </si>
  <si>
    <t>Pp0406</t>
  </si>
  <si>
    <t>HIB0101</t>
  </si>
  <si>
    <t>HIB0102</t>
  </si>
  <si>
    <t>HIB0103</t>
  </si>
  <si>
    <t>HIB0201</t>
  </si>
  <si>
    <t>HIB0202</t>
  </si>
  <si>
    <t>HIB0203</t>
  </si>
  <si>
    <t>HIB0301</t>
  </si>
  <si>
    <t>HIB0302</t>
  </si>
  <si>
    <t>HIB0303</t>
  </si>
  <si>
    <t>HIB0401</t>
  </si>
  <si>
    <t>HIB0402</t>
  </si>
  <si>
    <t>HIB0403</t>
  </si>
  <si>
    <t>Mint0101</t>
  </si>
  <si>
    <t>Mint0102</t>
  </si>
  <si>
    <t>Mint0103</t>
  </si>
  <si>
    <t>Mint0201</t>
  </si>
  <si>
    <t>Mint0202</t>
  </si>
  <si>
    <t>Mint0203</t>
  </si>
  <si>
    <t>Mint0301</t>
  </si>
  <si>
    <t>Mint0302</t>
  </si>
  <si>
    <t>Mint0303</t>
  </si>
  <si>
    <t>Mint0401</t>
  </si>
  <si>
    <t>Mint0402</t>
  </si>
  <si>
    <t>Mint0403</t>
  </si>
  <si>
    <t>Nast0101</t>
  </si>
  <si>
    <t>Nast0102</t>
  </si>
  <si>
    <t>Nast0103</t>
  </si>
  <si>
    <t>Nast0201</t>
  </si>
  <si>
    <t>Nast0202</t>
  </si>
  <si>
    <t>Nast0203</t>
  </si>
  <si>
    <t>Nast0301</t>
  </si>
  <si>
    <t>Nast0302</t>
  </si>
  <si>
    <t>Nast0303</t>
  </si>
  <si>
    <t>Nast0401</t>
  </si>
  <si>
    <t>Nast0402</t>
  </si>
  <si>
    <t>Nast0403</t>
  </si>
  <si>
    <t>BP0101</t>
  </si>
  <si>
    <t>BP0102</t>
  </si>
  <si>
    <t>BP0103</t>
  </si>
  <si>
    <t>BP0104</t>
  </si>
  <si>
    <t>BP0105</t>
  </si>
  <si>
    <t>BP0201</t>
  </si>
  <si>
    <t>BP0202</t>
  </si>
  <si>
    <t>BP0203</t>
  </si>
  <si>
    <t>BP0204</t>
  </si>
  <si>
    <t>BP0205</t>
  </si>
  <si>
    <t>BP0301</t>
  </si>
  <si>
    <t>BP0302</t>
  </si>
  <si>
    <t>BP0303</t>
  </si>
  <si>
    <t>BP0304</t>
  </si>
  <si>
    <t>BP0305</t>
  </si>
  <si>
    <t>BP0401</t>
  </si>
  <si>
    <t>BP0402</t>
  </si>
  <si>
    <t>BP0403</t>
  </si>
  <si>
    <t>BP0404</t>
  </si>
  <si>
    <t>BP0405</t>
  </si>
  <si>
    <t>ST0101</t>
  </si>
  <si>
    <t>ST0102</t>
  </si>
  <si>
    <t>ST0103</t>
  </si>
  <si>
    <t>ST0104</t>
  </si>
  <si>
    <t>ST0105</t>
  </si>
  <si>
    <t>ST0106</t>
  </si>
  <si>
    <t>ST0201</t>
  </si>
  <si>
    <t>ST0202</t>
  </si>
  <si>
    <t>ST0203</t>
  </si>
  <si>
    <t>ST0204</t>
  </si>
  <si>
    <t>ST0205</t>
  </si>
  <si>
    <t>ST0206</t>
  </si>
  <si>
    <t>ST0301</t>
  </si>
  <si>
    <t>ST0302</t>
  </si>
  <si>
    <t>ST0303</t>
  </si>
  <si>
    <t>ST0304</t>
  </si>
  <si>
    <t>ST0305</t>
  </si>
  <si>
    <t>ST0306</t>
  </si>
  <si>
    <t>ST0401</t>
  </si>
  <si>
    <t>ST0402</t>
  </si>
  <si>
    <t>ST0403</t>
  </si>
  <si>
    <t>ST0404</t>
  </si>
  <si>
    <t>ST0405</t>
  </si>
  <si>
    <t>ST0406</t>
  </si>
  <si>
    <t>Y0101</t>
  </si>
  <si>
    <t>Y0102</t>
  </si>
  <si>
    <t>Y0103</t>
  </si>
  <si>
    <t>Y0104</t>
  </si>
  <si>
    <t>Y0105</t>
  </si>
  <si>
    <t>Y0201</t>
  </si>
  <si>
    <t>Y0202</t>
  </si>
  <si>
    <t>Y0203</t>
  </si>
  <si>
    <t>Y0204</t>
  </si>
  <si>
    <t>Y0205</t>
  </si>
  <si>
    <t>Y0301</t>
  </si>
  <si>
    <t>Y0302</t>
  </si>
  <si>
    <t>Y0303</t>
  </si>
  <si>
    <t>Y0304</t>
  </si>
  <si>
    <t>Y0305</t>
  </si>
  <si>
    <t>Y0401</t>
  </si>
  <si>
    <t>Y0402</t>
  </si>
  <si>
    <t>Y0403</t>
  </si>
  <si>
    <t>Y0404</t>
  </si>
  <si>
    <t>Y0405</t>
  </si>
  <si>
    <t>Temp</t>
  </si>
  <si>
    <t>CO2</t>
  </si>
  <si>
    <t>Day 0</t>
  </si>
  <si>
    <t>Day 1</t>
  </si>
  <si>
    <t>Day 2</t>
  </si>
  <si>
    <t xml:space="preserve">Day 2 </t>
  </si>
  <si>
    <t>Day 3</t>
  </si>
  <si>
    <t>Day 4</t>
  </si>
  <si>
    <t>Day 5</t>
  </si>
  <si>
    <t>Day 6</t>
  </si>
  <si>
    <t>Day 7</t>
  </si>
  <si>
    <t>Day 8</t>
  </si>
  <si>
    <t>Day 9</t>
  </si>
  <si>
    <t>Final_adaxial_AVG</t>
  </si>
  <si>
    <t>LCI_4</t>
  </si>
  <si>
    <t>LCI_5</t>
  </si>
  <si>
    <t>LCI_6</t>
  </si>
  <si>
    <t>LCI_9</t>
  </si>
  <si>
    <t>LCI_7</t>
  </si>
  <si>
    <t>Final_LCI_Avg</t>
  </si>
  <si>
    <t>Final_Abaxial_AVG</t>
  </si>
  <si>
    <t>Fresh_Mass</t>
  </si>
  <si>
    <t>Leaf_Disc</t>
  </si>
  <si>
    <t>DryMass</t>
  </si>
  <si>
    <t>Plant</t>
  </si>
  <si>
    <t>P.vulgaris</t>
  </si>
  <si>
    <t>S.lycopersicum</t>
  </si>
  <si>
    <t>S.melongena</t>
  </si>
  <si>
    <t>P.pruinosa</t>
  </si>
  <si>
    <t>H.rosa-sinensis</t>
  </si>
  <si>
    <t>M.xpiperita</t>
  </si>
  <si>
    <t>T.majus</t>
  </si>
  <si>
    <t>C.annuum</t>
  </si>
  <si>
    <t>S.tuberosum</t>
  </si>
  <si>
    <t>A.millefolium</t>
  </si>
  <si>
    <t>R.multiflora</t>
  </si>
  <si>
    <t>R0101</t>
  </si>
  <si>
    <t>R0102</t>
  </si>
  <si>
    <t>R0103</t>
  </si>
  <si>
    <t>R0104</t>
  </si>
  <si>
    <t>R0105</t>
  </si>
  <si>
    <t>R0201</t>
  </si>
  <si>
    <t>R0202</t>
  </si>
  <si>
    <t>R0203</t>
  </si>
  <si>
    <t>R0204</t>
  </si>
  <si>
    <t>R0205</t>
  </si>
  <si>
    <t>R0301</t>
  </si>
  <si>
    <t>R0302</t>
  </si>
  <si>
    <t>R0303</t>
  </si>
  <si>
    <t>R0304</t>
  </si>
  <si>
    <t>R0305</t>
  </si>
  <si>
    <t>R0401</t>
  </si>
  <si>
    <t>R0402</t>
  </si>
  <si>
    <t>R0403</t>
  </si>
  <si>
    <t>R0404</t>
  </si>
  <si>
    <t>R0405</t>
  </si>
  <si>
    <t>LCI_15</t>
  </si>
  <si>
    <t>Treatment</t>
  </si>
  <si>
    <t>Control</t>
  </si>
  <si>
    <t>Warming</t>
  </si>
  <si>
    <t>eCO2</t>
  </si>
  <si>
    <t>Warming+eCO2</t>
  </si>
  <si>
    <t>Group</t>
  </si>
  <si>
    <t>B01</t>
  </si>
  <si>
    <t>B02</t>
  </si>
  <si>
    <t>B03</t>
  </si>
  <si>
    <t>B04</t>
  </si>
  <si>
    <t>Sl01</t>
  </si>
  <si>
    <t>Sl02</t>
  </si>
  <si>
    <t>Sl03</t>
  </si>
  <si>
    <t>Sl04</t>
  </si>
  <si>
    <t>E01</t>
  </si>
  <si>
    <t>E02</t>
  </si>
  <si>
    <t>E03</t>
  </si>
  <si>
    <t>E04</t>
  </si>
  <si>
    <t>Pp01</t>
  </si>
  <si>
    <t>Pp02</t>
  </si>
  <si>
    <t>Pp03</t>
  </si>
  <si>
    <t>Pp04</t>
  </si>
  <si>
    <t>HIB01</t>
  </si>
  <si>
    <t>HIB02</t>
  </si>
  <si>
    <t>HIB03</t>
  </si>
  <si>
    <t>HIB04</t>
  </si>
  <si>
    <t>Mint01</t>
  </si>
  <si>
    <t>Mint02</t>
  </si>
  <si>
    <t>Mint03</t>
  </si>
  <si>
    <t>Mint04</t>
  </si>
  <si>
    <t>Nast01</t>
  </si>
  <si>
    <t>Nast02</t>
  </si>
  <si>
    <t>Nast03</t>
  </si>
  <si>
    <t>Nast04</t>
  </si>
  <si>
    <t>BP01</t>
  </si>
  <si>
    <t>BP02</t>
  </si>
  <si>
    <t>BP03</t>
  </si>
  <si>
    <t>BP04</t>
  </si>
  <si>
    <t>ST01</t>
  </si>
  <si>
    <t>ST02</t>
  </si>
  <si>
    <t>ST03</t>
  </si>
  <si>
    <t>ST04</t>
  </si>
  <si>
    <t>Y01</t>
  </si>
  <si>
    <t>Y02</t>
  </si>
  <si>
    <t>Y03</t>
  </si>
  <si>
    <t>Y04</t>
  </si>
  <si>
    <t>R01</t>
  </si>
  <si>
    <t>R02</t>
  </si>
  <si>
    <t>R03</t>
  </si>
  <si>
    <t>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</si>
</sst>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478A-D6F4-4C2C-BDCA-D975DB2BBFCE}">
  <dimension ref="A1:BH191"/>
  <sheetViews>
    <sheetView tabSelected="1" topLeftCell="U1" zoomScale="70" zoomScaleNormal="70" workbookViewId="0">
      <pane ySplit="1" topLeftCell="A74" activePane="bottomLeft" state="frozen"/>
      <selection pane="bottomLeft" activeCell="BC108" sqref="BC108"/>
    </sheetView>
  </sheetViews>
  <sheetFormatPr defaultRowHeight="15" x14ac:dyDescent="0.25"/>
  <cols>
    <col min="2" max="2" width="16.28515625" bestFit="1" customWidth="1"/>
    <col min="3" max="3" width="16.28515625" customWidth="1"/>
    <col min="4" max="4" width="20" customWidth="1"/>
    <col min="37" max="37" width="13" customWidth="1"/>
    <col min="38" max="38" width="13.42578125" customWidth="1"/>
  </cols>
  <sheetData>
    <row r="1" spans="1:60" x14ac:dyDescent="0.25">
      <c r="A1" s="1" t="s">
        <v>0</v>
      </c>
      <c r="B1" s="1" t="s">
        <v>195</v>
      </c>
      <c r="C1" s="1" t="s">
        <v>233</v>
      </c>
      <c r="D1" s="1" t="s">
        <v>228</v>
      </c>
      <c r="E1" s="1" t="s">
        <v>171</v>
      </c>
      <c r="F1" s="1" t="s">
        <v>172</v>
      </c>
      <c r="G1" s="1" t="s">
        <v>173</v>
      </c>
      <c r="H1" s="1" t="s">
        <v>173</v>
      </c>
      <c r="I1" s="1" t="s">
        <v>173</v>
      </c>
      <c r="J1" s="1" t="s">
        <v>174</v>
      </c>
      <c r="K1" s="1" t="s">
        <v>174</v>
      </c>
      <c r="L1" s="1" t="s">
        <v>174</v>
      </c>
      <c r="M1" s="1" t="s">
        <v>175</v>
      </c>
      <c r="N1" s="1" t="s">
        <v>176</v>
      </c>
      <c r="O1" s="1" t="s">
        <v>175</v>
      </c>
      <c r="P1" s="1" t="s">
        <v>177</v>
      </c>
      <c r="Q1" s="1" t="s">
        <v>177</v>
      </c>
      <c r="R1" s="1" t="s">
        <v>177</v>
      </c>
      <c r="S1" s="1" t="s">
        <v>178</v>
      </c>
      <c r="T1" s="1" t="s">
        <v>178</v>
      </c>
      <c r="U1" s="1" t="s">
        <v>178</v>
      </c>
      <c r="V1" s="1" t="s">
        <v>179</v>
      </c>
      <c r="W1" s="1" t="s">
        <v>179</v>
      </c>
      <c r="X1" s="1" t="s">
        <v>179</v>
      </c>
      <c r="Y1" s="1" t="s">
        <v>180</v>
      </c>
      <c r="Z1" s="1" t="s">
        <v>180</v>
      </c>
      <c r="AA1" s="1" t="s">
        <v>180</v>
      </c>
      <c r="AB1" s="1" t="s">
        <v>181</v>
      </c>
      <c r="AC1" s="1" t="s">
        <v>181</v>
      </c>
      <c r="AD1" s="1" t="s">
        <v>181</v>
      </c>
      <c r="AE1" s="1" t="s">
        <v>182</v>
      </c>
      <c r="AF1" s="1" t="s">
        <v>182</v>
      </c>
      <c r="AG1" s="1" t="s">
        <v>182</v>
      </c>
      <c r="AH1" s="1" t="s">
        <v>183</v>
      </c>
      <c r="AI1" s="1" t="s">
        <v>183</v>
      </c>
      <c r="AJ1" s="1" t="s">
        <v>183</v>
      </c>
      <c r="AK1" s="1" t="s">
        <v>184</v>
      </c>
      <c r="AL1" s="1" t="s">
        <v>191</v>
      </c>
      <c r="AM1" s="1" t="s">
        <v>185</v>
      </c>
      <c r="AN1" s="1" t="s">
        <v>185</v>
      </c>
      <c r="AO1" s="1" t="s">
        <v>185</v>
      </c>
      <c r="AP1" s="1" t="s">
        <v>186</v>
      </c>
      <c r="AQ1" s="1" t="s">
        <v>186</v>
      </c>
      <c r="AR1" s="1" t="s">
        <v>186</v>
      </c>
      <c r="AS1" s="1" t="s">
        <v>187</v>
      </c>
      <c r="AT1" s="1" t="s">
        <v>187</v>
      </c>
      <c r="AU1" s="1" t="s">
        <v>187</v>
      </c>
      <c r="AV1" s="1" t="s">
        <v>189</v>
      </c>
      <c r="AW1" s="1" t="s">
        <v>189</v>
      </c>
      <c r="AX1" s="1" t="s">
        <v>189</v>
      </c>
      <c r="AY1" s="1" t="s">
        <v>188</v>
      </c>
      <c r="AZ1" s="1" t="s">
        <v>188</v>
      </c>
      <c r="BA1" s="1" t="s">
        <v>188</v>
      </c>
      <c r="BB1" s="1" t="s">
        <v>227</v>
      </c>
      <c r="BC1" s="1" t="s">
        <v>227</v>
      </c>
      <c r="BD1" s="1" t="s">
        <v>227</v>
      </c>
      <c r="BE1" s="1" t="s">
        <v>190</v>
      </c>
      <c r="BF1" s="1" t="s">
        <v>192</v>
      </c>
      <c r="BG1" s="1" t="s">
        <v>194</v>
      </c>
      <c r="BH1" s="1" t="s">
        <v>193</v>
      </c>
    </row>
    <row r="2" spans="1:60" x14ac:dyDescent="0.25">
      <c r="A2" s="1" t="s">
        <v>1</v>
      </c>
      <c r="B2" s="1" t="s">
        <v>196</v>
      </c>
      <c r="C2" s="1" t="s">
        <v>234</v>
      </c>
      <c r="D2" s="1" t="s">
        <v>229</v>
      </c>
      <c r="E2" s="1">
        <v>29</v>
      </c>
      <c r="F2" s="1">
        <v>400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41</v>
      </c>
      <c r="T2" s="1">
        <v>49</v>
      </c>
      <c r="U2" s="1">
        <v>54</v>
      </c>
      <c r="V2" s="1"/>
      <c r="W2" s="1"/>
      <c r="X2" s="1"/>
      <c r="Y2" s="1"/>
      <c r="Z2" s="1"/>
      <c r="AA2" s="1"/>
      <c r="AB2" s="1">
        <v>45</v>
      </c>
      <c r="AC2" s="1">
        <v>37</v>
      </c>
      <c r="AD2" s="1">
        <v>32</v>
      </c>
      <c r="AE2" s="1"/>
      <c r="AF2" s="1"/>
      <c r="AG2" s="1"/>
      <c r="AH2" s="1"/>
      <c r="AI2" s="1"/>
      <c r="AJ2" s="1"/>
      <c r="AK2" s="3">
        <v>38</v>
      </c>
      <c r="AL2" s="2">
        <f>90-AK2</f>
        <v>52</v>
      </c>
      <c r="AM2" s="2">
        <f>4/3-1</f>
        <v>0.33333333333333326</v>
      </c>
      <c r="AN2" s="2">
        <f>4.45/4-1</f>
        <v>0.11250000000000004</v>
      </c>
      <c r="AO2" s="2">
        <v>0</v>
      </c>
      <c r="AP2" s="2"/>
      <c r="AQ2" s="2"/>
      <c r="AR2" s="2"/>
      <c r="AS2" s="2"/>
      <c r="AT2" s="2"/>
      <c r="AU2" s="2"/>
      <c r="AV2" s="2">
        <v>0</v>
      </c>
      <c r="AW2" s="2">
        <f>5/4-1</f>
        <v>0.25</v>
      </c>
      <c r="AX2" s="2">
        <v>0</v>
      </c>
      <c r="AY2" s="2"/>
      <c r="AZ2" s="2"/>
      <c r="BA2" s="2"/>
      <c r="BB2" s="2"/>
      <c r="BC2" s="2"/>
      <c r="BD2" s="2"/>
      <c r="BE2" s="2">
        <f>AVERAGE(AV2:AW2)</f>
        <v>0.125</v>
      </c>
      <c r="BF2" s="2">
        <v>24.35</v>
      </c>
      <c r="BG2" s="2">
        <v>3.02</v>
      </c>
      <c r="BH2" s="1">
        <v>5.4999999999999997E-3</v>
      </c>
    </row>
    <row r="3" spans="1:60" x14ac:dyDescent="0.25">
      <c r="A3" s="1" t="s">
        <v>2</v>
      </c>
      <c r="B3" s="1" t="s">
        <v>196</v>
      </c>
      <c r="C3" s="1" t="s">
        <v>234</v>
      </c>
      <c r="D3" s="1" t="s">
        <v>229</v>
      </c>
      <c r="E3" s="1">
        <v>29</v>
      </c>
      <c r="F3" s="1">
        <v>400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41</v>
      </c>
      <c r="T3" s="1">
        <v>31</v>
      </c>
      <c r="U3" s="1">
        <v>41</v>
      </c>
      <c r="V3" s="1"/>
      <c r="W3" s="1"/>
      <c r="X3" s="1"/>
      <c r="Y3" s="1"/>
      <c r="Z3" s="1"/>
      <c r="AA3" s="1"/>
      <c r="AB3" s="1">
        <v>33</v>
      </c>
      <c r="AC3" s="1">
        <v>34</v>
      </c>
      <c r="AD3" s="1">
        <v>34</v>
      </c>
      <c r="AE3" s="1"/>
      <c r="AF3" s="1"/>
      <c r="AG3" s="1"/>
      <c r="AH3" s="1"/>
      <c r="AI3" s="1"/>
      <c r="AJ3" s="1"/>
      <c r="AK3" s="3">
        <v>33.666666666666664</v>
      </c>
      <c r="AL3" s="2">
        <f t="shared" ref="AL3:AL17" si="0">90-AK3</f>
        <v>56.333333333333336</v>
      </c>
      <c r="AM3" s="2">
        <v>0</v>
      </c>
      <c r="AN3" s="2">
        <v>0</v>
      </c>
      <c r="AO3" s="2">
        <v>0</v>
      </c>
      <c r="AP3" s="2"/>
      <c r="AQ3" s="2"/>
      <c r="AR3" s="2"/>
      <c r="AS3" s="2"/>
      <c r="AT3" s="2"/>
      <c r="AU3" s="2"/>
      <c r="AV3" s="2">
        <f>3.1/2.5-1</f>
        <v>0.24</v>
      </c>
      <c r="AW3" s="2">
        <f>3.7/3.2-1</f>
        <v>0.15625</v>
      </c>
      <c r="AX3" s="2">
        <f>4.1/3.4-1</f>
        <v>0.20588235294117641</v>
      </c>
      <c r="AY3" s="2"/>
      <c r="AZ3" s="2"/>
      <c r="BA3" s="2"/>
      <c r="BB3" s="2"/>
      <c r="BC3" s="2"/>
      <c r="BD3" s="2"/>
      <c r="BE3" s="2">
        <f t="shared" ref="BE3:BE17" si="1">AVERAGE(AV3:AW3)</f>
        <v>0.198125</v>
      </c>
      <c r="BF3" s="2">
        <v>26.76</v>
      </c>
      <c r="BG3" s="2">
        <v>3.27</v>
      </c>
      <c r="BH3" s="1">
        <v>6.7999999999999996E-3</v>
      </c>
    </row>
    <row r="4" spans="1:60" x14ac:dyDescent="0.25">
      <c r="A4" s="1" t="s">
        <v>3</v>
      </c>
      <c r="B4" s="1" t="s">
        <v>196</v>
      </c>
      <c r="C4" s="1" t="s">
        <v>234</v>
      </c>
      <c r="D4" s="1" t="s">
        <v>229</v>
      </c>
      <c r="E4" s="1">
        <v>29</v>
      </c>
      <c r="F4" s="1">
        <v>400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43</v>
      </c>
      <c r="T4" s="1">
        <v>35</v>
      </c>
      <c r="U4" s="1">
        <v>32</v>
      </c>
      <c r="V4" s="1"/>
      <c r="W4" s="1"/>
      <c r="X4" s="1"/>
      <c r="Y4" s="1"/>
      <c r="Z4" s="1"/>
      <c r="AA4" s="1"/>
      <c r="AB4" s="1">
        <v>59</v>
      </c>
      <c r="AC4" s="1">
        <v>31</v>
      </c>
      <c r="AD4" s="1">
        <v>30</v>
      </c>
      <c r="AE4" s="1"/>
      <c r="AF4" s="1"/>
      <c r="AG4" s="1"/>
      <c r="AH4" s="1"/>
      <c r="AI4" s="1"/>
      <c r="AJ4" s="1"/>
      <c r="AK4" s="3">
        <v>40</v>
      </c>
      <c r="AL4" s="2">
        <f t="shared" si="0"/>
        <v>50</v>
      </c>
      <c r="AM4" s="2">
        <f>3.9/3.3-1</f>
        <v>0.18181818181818188</v>
      </c>
      <c r="AN4" s="2">
        <f>4.6/4-1</f>
        <v>0.14999999999999991</v>
      </c>
      <c r="AO4" s="2">
        <v>0</v>
      </c>
      <c r="AP4" s="2"/>
      <c r="AQ4" s="2"/>
      <c r="AR4" s="2"/>
      <c r="AS4" s="2"/>
      <c r="AT4" s="2"/>
      <c r="AU4" s="2"/>
      <c r="AV4" s="2">
        <f>4.1/3.5-1</f>
        <v>0.17142857142857126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>
        <f t="shared" si="1"/>
        <v>8.5714285714285632E-2</v>
      </c>
      <c r="BF4" s="2">
        <v>35.78</v>
      </c>
      <c r="BG4" s="2">
        <v>4.55</v>
      </c>
      <c r="BH4" s="1">
        <v>6.1999999999999998E-3</v>
      </c>
    </row>
    <row r="5" spans="1:60" x14ac:dyDescent="0.25">
      <c r="A5" s="1" t="s">
        <v>4</v>
      </c>
      <c r="B5" s="1" t="s">
        <v>196</v>
      </c>
      <c r="C5" s="1" t="s">
        <v>234</v>
      </c>
      <c r="D5" s="1" t="s">
        <v>229</v>
      </c>
      <c r="E5" s="1">
        <v>29</v>
      </c>
      <c r="F5" s="1">
        <v>400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50</v>
      </c>
      <c r="T5" s="1">
        <v>45</v>
      </c>
      <c r="U5" s="1">
        <v>46</v>
      </c>
      <c r="V5" s="1"/>
      <c r="W5" s="1"/>
      <c r="X5" s="1"/>
      <c r="Y5" s="1"/>
      <c r="Z5" s="1"/>
      <c r="AA5" s="1"/>
      <c r="AB5" s="1">
        <v>43</v>
      </c>
      <c r="AC5" s="1">
        <v>44</v>
      </c>
      <c r="AD5" s="1">
        <v>38</v>
      </c>
      <c r="AE5" s="1"/>
      <c r="AF5" s="1"/>
      <c r="AG5" s="1"/>
      <c r="AH5" s="1"/>
      <c r="AI5" s="1"/>
      <c r="AJ5" s="1"/>
      <c r="AK5" s="3">
        <v>41.666666666666664</v>
      </c>
      <c r="AL5" s="2">
        <f t="shared" si="0"/>
        <v>48.333333333333336</v>
      </c>
      <c r="AM5" s="2">
        <v>0</v>
      </c>
      <c r="AN5" s="2">
        <f>4.7/4.1-1</f>
        <v>0.14634146341463428</v>
      </c>
      <c r="AO5" s="2">
        <f>4.6/3.6-1</f>
        <v>0.27777777777777768</v>
      </c>
      <c r="AP5" s="2"/>
      <c r="AQ5" s="2"/>
      <c r="AR5" s="2"/>
      <c r="AS5" s="2"/>
      <c r="AT5" s="2"/>
      <c r="AU5" s="2"/>
      <c r="AV5" s="2">
        <v>0</v>
      </c>
      <c r="AW5" s="2">
        <v>0</v>
      </c>
      <c r="AX5" s="2">
        <f>3.9/3.5-1</f>
        <v>0.11428571428571432</v>
      </c>
      <c r="AY5" s="2"/>
      <c r="AZ5" s="2"/>
      <c r="BA5" s="2"/>
      <c r="BB5" s="2"/>
      <c r="BC5" s="2"/>
      <c r="BD5" s="2"/>
      <c r="BE5" s="2">
        <f t="shared" si="1"/>
        <v>0</v>
      </c>
      <c r="BF5" s="2">
        <v>24.6</v>
      </c>
      <c r="BG5" s="2">
        <v>2.89</v>
      </c>
      <c r="BH5" s="1">
        <v>5.7999999999999996E-3</v>
      </c>
    </row>
    <row r="6" spans="1:60" x14ac:dyDescent="0.25">
      <c r="A6" s="1" t="s">
        <v>5</v>
      </c>
      <c r="B6" s="1" t="s">
        <v>196</v>
      </c>
      <c r="C6" s="1" t="s">
        <v>235</v>
      </c>
      <c r="D6" s="1" t="s">
        <v>230</v>
      </c>
      <c r="E6" s="1">
        <v>37</v>
      </c>
      <c r="F6" s="1">
        <v>400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39</v>
      </c>
      <c r="T6" s="1">
        <v>29</v>
      </c>
      <c r="U6" s="1">
        <v>28</v>
      </c>
      <c r="V6" s="1"/>
      <c r="W6" s="1"/>
      <c r="X6" s="1"/>
      <c r="Y6" s="1"/>
      <c r="Z6" s="1"/>
      <c r="AA6" s="1"/>
      <c r="AB6" s="1">
        <v>25</v>
      </c>
      <c r="AC6" s="1">
        <v>37</v>
      </c>
      <c r="AD6" s="1">
        <v>36</v>
      </c>
      <c r="AE6" s="1"/>
      <c r="AF6" s="1"/>
      <c r="AG6" s="1"/>
      <c r="AH6" s="1"/>
      <c r="AI6" s="1"/>
      <c r="AJ6" s="1"/>
      <c r="AK6" s="3">
        <v>32.666666666666664</v>
      </c>
      <c r="AL6" s="2">
        <f t="shared" si="0"/>
        <v>57.333333333333336</v>
      </c>
      <c r="AM6" s="2">
        <f>3.5/3-1</f>
        <v>0.16666666666666674</v>
      </c>
      <c r="AN6" s="2">
        <v>0</v>
      </c>
      <c r="AO6" s="2">
        <v>0</v>
      </c>
      <c r="AP6" s="2"/>
      <c r="AQ6" s="2"/>
      <c r="AR6" s="2"/>
      <c r="AS6" s="2"/>
      <c r="AT6" s="2"/>
      <c r="AU6" s="2"/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>
        <f t="shared" si="1"/>
        <v>0</v>
      </c>
      <c r="BF6" s="2">
        <v>25.55</v>
      </c>
      <c r="BG6" s="2">
        <v>3.55</v>
      </c>
      <c r="BH6" s="1">
        <v>8.6999999999999994E-3</v>
      </c>
    </row>
    <row r="7" spans="1:60" x14ac:dyDescent="0.25">
      <c r="A7" s="1" t="s">
        <v>6</v>
      </c>
      <c r="B7" s="1" t="s">
        <v>196</v>
      </c>
      <c r="C7" s="1" t="s">
        <v>235</v>
      </c>
      <c r="D7" s="1" t="s">
        <v>230</v>
      </c>
      <c r="E7" s="1">
        <v>37</v>
      </c>
      <c r="F7" s="1">
        <v>400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39</v>
      </c>
      <c r="T7" s="1">
        <v>25</v>
      </c>
      <c r="U7" s="1">
        <v>27</v>
      </c>
      <c r="V7" s="1"/>
      <c r="W7" s="1"/>
      <c r="X7" s="1"/>
      <c r="Y7" s="1"/>
      <c r="Z7" s="1"/>
      <c r="AA7" s="1"/>
      <c r="AB7" s="1">
        <v>34</v>
      </c>
      <c r="AC7" s="1">
        <v>31</v>
      </c>
      <c r="AD7" s="1">
        <v>33</v>
      </c>
      <c r="AE7" s="1"/>
      <c r="AF7" s="1"/>
      <c r="AG7" s="1"/>
      <c r="AH7" s="1"/>
      <c r="AI7" s="1"/>
      <c r="AJ7" s="1"/>
      <c r="AK7" s="3">
        <v>32.666666666666664</v>
      </c>
      <c r="AL7" s="2">
        <f t="shared" si="0"/>
        <v>57.333333333333336</v>
      </c>
      <c r="AM7" s="2">
        <v>0</v>
      </c>
      <c r="AN7" s="2">
        <v>0</v>
      </c>
      <c r="AO7" s="2">
        <v>0</v>
      </c>
      <c r="AP7" s="2"/>
      <c r="AQ7" s="2"/>
      <c r="AR7" s="2"/>
      <c r="AS7" s="2"/>
      <c r="AT7" s="2"/>
      <c r="AU7" s="2"/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>
        <f t="shared" si="1"/>
        <v>0</v>
      </c>
      <c r="BF7" s="2">
        <v>20.399999999999999</v>
      </c>
      <c r="BG7" s="2">
        <v>2.91</v>
      </c>
      <c r="BH7" s="1">
        <v>5.8999999999999999E-3</v>
      </c>
    </row>
    <row r="8" spans="1:60" x14ac:dyDescent="0.25">
      <c r="A8" s="1" t="s">
        <v>7</v>
      </c>
      <c r="B8" s="1" t="s">
        <v>196</v>
      </c>
      <c r="C8" s="1" t="s">
        <v>235</v>
      </c>
      <c r="D8" s="1" t="s">
        <v>230</v>
      </c>
      <c r="E8" s="1">
        <v>37</v>
      </c>
      <c r="F8" s="1">
        <v>400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37</v>
      </c>
      <c r="T8" s="1">
        <v>35</v>
      </c>
      <c r="U8" s="1">
        <v>29</v>
      </c>
      <c r="V8" s="1"/>
      <c r="W8" s="1"/>
      <c r="X8" s="1"/>
      <c r="Y8" s="1"/>
      <c r="Z8" s="1"/>
      <c r="AA8" s="1"/>
      <c r="AB8" s="1">
        <v>37</v>
      </c>
      <c r="AC8" s="1">
        <v>30</v>
      </c>
      <c r="AD8" s="1">
        <v>30</v>
      </c>
      <c r="AE8" s="1"/>
      <c r="AF8" s="1"/>
      <c r="AG8" s="1"/>
      <c r="AH8" s="1"/>
      <c r="AI8" s="1"/>
      <c r="AJ8" s="1"/>
      <c r="AK8" s="3">
        <v>32.333333333333336</v>
      </c>
      <c r="AL8" s="2">
        <f t="shared" si="0"/>
        <v>57.666666666666664</v>
      </c>
      <c r="AM8" s="2">
        <v>0</v>
      </c>
      <c r="AN8" s="2">
        <v>0</v>
      </c>
      <c r="AO8" s="2">
        <v>0</v>
      </c>
      <c r="AP8" s="2"/>
      <c r="AQ8" s="2"/>
      <c r="AR8" s="2"/>
      <c r="AS8" s="2"/>
      <c r="AT8" s="2"/>
      <c r="AU8" s="2"/>
      <c r="AV8" s="2">
        <v>0</v>
      </c>
      <c r="AW8" s="2">
        <f>3.8/3.5-1</f>
        <v>8.5714285714285632E-2</v>
      </c>
      <c r="AX8" s="2">
        <v>0</v>
      </c>
      <c r="AY8" s="2"/>
      <c r="AZ8" s="2"/>
      <c r="BA8" s="2"/>
      <c r="BB8" s="2"/>
      <c r="BC8" s="2"/>
      <c r="BD8" s="2"/>
      <c r="BE8" s="2">
        <f t="shared" si="1"/>
        <v>4.2857142857142816E-2</v>
      </c>
      <c r="BF8" s="2">
        <v>16.57</v>
      </c>
      <c r="BG8" s="2">
        <v>2.2000000000000002</v>
      </c>
      <c r="BH8" s="1">
        <v>7.1000000000000004E-3</v>
      </c>
    </row>
    <row r="9" spans="1:60" x14ac:dyDescent="0.25">
      <c r="A9" s="1" t="s">
        <v>8</v>
      </c>
      <c r="B9" s="1" t="s">
        <v>196</v>
      </c>
      <c r="C9" s="1" t="s">
        <v>235</v>
      </c>
      <c r="D9" s="1" t="s">
        <v>230</v>
      </c>
      <c r="E9" s="1">
        <v>37</v>
      </c>
      <c r="F9" s="1">
        <v>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32</v>
      </c>
      <c r="T9" s="1">
        <v>25</v>
      </c>
      <c r="U9" s="1">
        <v>24</v>
      </c>
      <c r="V9" s="1"/>
      <c r="W9" s="1"/>
      <c r="X9" s="1"/>
      <c r="Y9" s="1"/>
      <c r="Z9" s="1"/>
      <c r="AA9" s="1"/>
      <c r="AB9" s="1">
        <v>26</v>
      </c>
      <c r="AC9" s="1">
        <v>29</v>
      </c>
      <c r="AD9" s="1">
        <v>26</v>
      </c>
      <c r="AE9" s="1"/>
      <c r="AF9" s="1"/>
      <c r="AG9" s="1"/>
      <c r="AH9" s="1"/>
      <c r="AI9" s="1"/>
      <c r="AJ9" s="1"/>
      <c r="AK9" s="3">
        <v>27</v>
      </c>
      <c r="AL9" s="2">
        <f t="shared" si="0"/>
        <v>63</v>
      </c>
      <c r="AM9" s="2">
        <f>4.6/4.2-1</f>
        <v>9.5238095238095122E-2</v>
      </c>
      <c r="AN9" s="2">
        <f>4.5/4-1</f>
        <v>0.125</v>
      </c>
      <c r="AO9" s="2">
        <v>0</v>
      </c>
      <c r="AP9" s="2"/>
      <c r="AQ9" s="2"/>
      <c r="AR9" s="2"/>
      <c r="AS9" s="2"/>
      <c r="AT9" s="2"/>
      <c r="AU9" s="2"/>
      <c r="AV9" s="2">
        <v>0</v>
      </c>
      <c r="AW9" s="2">
        <f>4.1/3.5-1</f>
        <v>0.17142857142857126</v>
      </c>
      <c r="AX9" s="2">
        <f>3.8/3.5-1</f>
        <v>8.5714285714285632E-2</v>
      </c>
      <c r="AY9" s="2"/>
      <c r="AZ9" s="2"/>
      <c r="BA9" s="2"/>
      <c r="BB9" s="2"/>
      <c r="BC9" s="2"/>
      <c r="BD9" s="2"/>
      <c r="BE9" s="2">
        <f t="shared" si="1"/>
        <v>8.5714285714285632E-2</v>
      </c>
      <c r="BF9" s="2">
        <v>16.010000000000002</v>
      </c>
      <c r="BG9" s="2">
        <v>2.15</v>
      </c>
      <c r="BH9" s="1">
        <v>6.8999999999999999E-3</v>
      </c>
    </row>
    <row r="10" spans="1:60" x14ac:dyDescent="0.25">
      <c r="A10" s="1" t="s">
        <v>9</v>
      </c>
      <c r="B10" s="1" t="s">
        <v>196</v>
      </c>
      <c r="C10" s="1" t="s">
        <v>236</v>
      </c>
      <c r="D10" s="1" t="s">
        <v>231</v>
      </c>
      <c r="E10" s="1">
        <v>29</v>
      </c>
      <c r="F10" s="1">
        <v>800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31</v>
      </c>
      <c r="T10" s="1">
        <v>35</v>
      </c>
      <c r="U10" s="1">
        <v>25</v>
      </c>
      <c r="V10" s="1"/>
      <c r="W10" s="1"/>
      <c r="X10" s="1"/>
      <c r="Y10" s="1"/>
      <c r="Z10" s="1"/>
      <c r="AA10" s="1"/>
      <c r="AB10" s="1">
        <v>36</v>
      </c>
      <c r="AC10" s="1">
        <v>40</v>
      </c>
      <c r="AD10" s="1">
        <v>31</v>
      </c>
      <c r="AE10" s="1"/>
      <c r="AF10" s="1"/>
      <c r="AG10" s="1"/>
      <c r="AH10" s="1"/>
      <c r="AI10" s="1"/>
      <c r="AJ10" s="1"/>
      <c r="AK10" s="3">
        <v>35.666666666666664</v>
      </c>
      <c r="AL10" s="2">
        <f t="shared" si="0"/>
        <v>54.333333333333336</v>
      </c>
      <c r="AM10" s="2">
        <v>0</v>
      </c>
      <c r="AN10" s="2">
        <f>4.8/4.1-1</f>
        <v>0.17073170731707332</v>
      </c>
      <c r="AO10" s="2">
        <f>5.1/4.4-1</f>
        <v>0.15909090909090895</v>
      </c>
      <c r="AP10" s="2"/>
      <c r="AQ10" s="2"/>
      <c r="AR10" s="2"/>
      <c r="AS10" s="2"/>
      <c r="AT10" s="2"/>
      <c r="AU10" s="2"/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>
        <f t="shared" si="1"/>
        <v>0</v>
      </c>
      <c r="BF10" s="2">
        <v>28.31</v>
      </c>
      <c r="BG10" s="2">
        <v>4.55</v>
      </c>
      <c r="BH10" s="1">
        <v>9.4999999999999998E-3</v>
      </c>
    </row>
    <row r="11" spans="1:60" x14ac:dyDescent="0.25">
      <c r="A11" s="1" t="s">
        <v>10</v>
      </c>
      <c r="B11" s="1" t="s">
        <v>196</v>
      </c>
      <c r="C11" s="1" t="s">
        <v>236</v>
      </c>
      <c r="D11" s="1" t="s">
        <v>231</v>
      </c>
      <c r="E11" s="1">
        <v>29</v>
      </c>
      <c r="F11" s="1">
        <v>800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30</v>
      </c>
      <c r="T11" s="1">
        <v>29</v>
      </c>
      <c r="U11" s="1">
        <v>26</v>
      </c>
      <c r="V11" s="1"/>
      <c r="W11" s="1"/>
      <c r="X11" s="1"/>
      <c r="Y11" s="1"/>
      <c r="Z11" s="1"/>
      <c r="AA11" s="1"/>
      <c r="AB11" s="1">
        <v>29</v>
      </c>
      <c r="AC11" s="1">
        <v>30</v>
      </c>
      <c r="AD11" s="1">
        <v>30</v>
      </c>
      <c r="AE11" s="1"/>
      <c r="AF11" s="1"/>
      <c r="AG11" s="1"/>
      <c r="AH11" s="1"/>
      <c r="AI11" s="1"/>
      <c r="AJ11" s="1"/>
      <c r="AK11" s="3">
        <v>29.666666666666668</v>
      </c>
      <c r="AL11" s="2">
        <f t="shared" si="0"/>
        <v>60.333333333333329</v>
      </c>
      <c r="AM11" s="2">
        <f>6.3/5.3-1</f>
        <v>0.18867924528301883</v>
      </c>
      <c r="AN11" s="2">
        <f>5.2/4-1</f>
        <v>0.30000000000000004</v>
      </c>
      <c r="AO11" s="2">
        <f>4.5/3.4-1</f>
        <v>0.32352941176470584</v>
      </c>
      <c r="AP11" s="2"/>
      <c r="AQ11" s="2"/>
      <c r="AR11" s="2"/>
      <c r="AS11" s="2"/>
      <c r="AT11" s="2"/>
      <c r="AU11" s="2"/>
      <c r="AV11" s="2">
        <f>4.4/4.1-1</f>
        <v>7.317073170731736E-2</v>
      </c>
      <c r="AW11" s="2">
        <f>6.5/6.3-1</f>
        <v>3.1746031746031855E-2</v>
      </c>
      <c r="AX11" s="2">
        <f>5.2/4.4-1</f>
        <v>0.18181818181818166</v>
      </c>
      <c r="AY11" s="2"/>
      <c r="AZ11" s="2"/>
      <c r="BA11" s="2"/>
      <c r="BB11" s="2"/>
      <c r="BC11" s="2"/>
      <c r="BD11" s="2"/>
      <c r="BE11" s="2">
        <f t="shared" si="1"/>
        <v>5.2458381726674608E-2</v>
      </c>
      <c r="BF11" s="2">
        <v>37.75</v>
      </c>
      <c r="BG11" s="2">
        <v>5.92</v>
      </c>
      <c r="BH11" s="1">
        <v>9.4000000000000004E-3</v>
      </c>
    </row>
    <row r="12" spans="1:60" x14ac:dyDescent="0.25">
      <c r="A12" s="1" t="s">
        <v>11</v>
      </c>
      <c r="B12" s="1" t="s">
        <v>196</v>
      </c>
      <c r="C12" s="1" t="s">
        <v>236</v>
      </c>
      <c r="D12" s="1" t="s">
        <v>231</v>
      </c>
      <c r="E12" s="1">
        <v>29</v>
      </c>
      <c r="F12" s="1">
        <v>800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36</v>
      </c>
      <c r="T12" s="1">
        <v>42</v>
      </c>
      <c r="U12" s="1">
        <v>41</v>
      </c>
      <c r="V12" s="1"/>
      <c r="W12" s="1"/>
      <c r="X12" s="1"/>
      <c r="Y12" s="1"/>
      <c r="Z12" s="1"/>
      <c r="AA12" s="1"/>
      <c r="AB12" s="1">
        <v>32</v>
      </c>
      <c r="AC12" s="1">
        <v>59</v>
      </c>
      <c r="AD12" s="1">
        <v>30</v>
      </c>
      <c r="AE12" s="1"/>
      <c r="AF12" s="1"/>
      <c r="AG12" s="1"/>
      <c r="AH12" s="1"/>
      <c r="AI12" s="1"/>
      <c r="AJ12" s="1"/>
      <c r="AK12" s="3">
        <v>40.333333333333336</v>
      </c>
      <c r="AL12" s="2">
        <f t="shared" si="0"/>
        <v>49.666666666666664</v>
      </c>
      <c r="AM12" s="2">
        <f>5.7/4.6-1</f>
        <v>0.23913043478260887</v>
      </c>
      <c r="AN12" s="2">
        <f>5.8/5-1</f>
        <v>0.15999999999999992</v>
      </c>
      <c r="AO12" s="2">
        <f>6.6/4.9-1</f>
        <v>0.3469387755102038</v>
      </c>
      <c r="AP12" s="2"/>
      <c r="AQ12" s="2"/>
      <c r="AR12" s="2"/>
      <c r="AS12" s="2"/>
      <c r="AT12" s="2"/>
      <c r="AU12" s="2"/>
      <c r="AV12" s="2">
        <f>5.7/5-1</f>
        <v>0.14000000000000012</v>
      </c>
      <c r="AW12" s="2">
        <f>5.7/5-1</f>
        <v>0.14000000000000012</v>
      </c>
      <c r="AX12" s="2">
        <f>6.9/5.8-1</f>
        <v>0.18965517241379315</v>
      </c>
      <c r="AY12" s="2"/>
      <c r="AZ12" s="2"/>
      <c r="BA12" s="2"/>
      <c r="BB12" s="2"/>
      <c r="BC12" s="2"/>
      <c r="BD12" s="2"/>
      <c r="BE12" s="2">
        <f t="shared" si="1"/>
        <v>0.14000000000000012</v>
      </c>
      <c r="BF12" s="2">
        <v>52.68</v>
      </c>
      <c r="BG12" s="2">
        <v>9.08</v>
      </c>
      <c r="BH12" s="1">
        <v>1.2200000000000001E-2</v>
      </c>
    </row>
    <row r="13" spans="1:60" x14ac:dyDescent="0.25">
      <c r="A13" s="1" t="s">
        <v>12</v>
      </c>
      <c r="B13" s="1" t="s">
        <v>196</v>
      </c>
      <c r="C13" s="1" t="s">
        <v>236</v>
      </c>
      <c r="D13" s="1" t="s">
        <v>231</v>
      </c>
      <c r="E13" s="1">
        <v>29</v>
      </c>
      <c r="F13" s="1">
        <v>800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34</v>
      </c>
      <c r="T13" s="1">
        <v>35</v>
      </c>
      <c r="U13" s="1">
        <v>28</v>
      </c>
      <c r="V13" s="1"/>
      <c r="W13" s="1"/>
      <c r="X13" s="1"/>
      <c r="Y13" s="1"/>
      <c r="Z13" s="1"/>
      <c r="AA13" s="1"/>
      <c r="AB13" s="1">
        <v>35</v>
      </c>
      <c r="AC13" s="1">
        <v>32</v>
      </c>
      <c r="AD13" s="1">
        <v>29</v>
      </c>
      <c r="AE13" s="1"/>
      <c r="AF13" s="1"/>
      <c r="AG13" s="1"/>
      <c r="AH13" s="1"/>
      <c r="AI13" s="1"/>
      <c r="AJ13" s="1"/>
      <c r="AK13" s="3">
        <v>32</v>
      </c>
      <c r="AL13" s="2">
        <f t="shared" si="0"/>
        <v>58</v>
      </c>
      <c r="AM13" s="2">
        <f>5.9/5.4-1</f>
        <v>9.259259259259256E-2</v>
      </c>
      <c r="AN13" s="2">
        <f>5/4.2-1</f>
        <v>0.19047619047619047</v>
      </c>
      <c r="AO13" s="2">
        <f>4.2/3.3-1</f>
        <v>0.27272727272727293</v>
      </c>
      <c r="AP13" s="2"/>
      <c r="AQ13" s="2"/>
      <c r="AR13" s="2"/>
      <c r="AS13" s="2"/>
      <c r="AT13" s="2"/>
      <c r="AU13" s="2"/>
      <c r="AV13" s="2">
        <f>5.3/4.5-1</f>
        <v>0.17777777777777781</v>
      </c>
      <c r="AW13" s="2">
        <f>4.4/3.5-1</f>
        <v>0.25714285714285734</v>
      </c>
      <c r="AX13" s="2">
        <f>4.2/3.6-1</f>
        <v>0.16666666666666674</v>
      </c>
      <c r="AY13" s="2"/>
      <c r="AZ13" s="2"/>
      <c r="BA13" s="2"/>
      <c r="BB13" s="2"/>
      <c r="BC13" s="2"/>
      <c r="BD13" s="2"/>
      <c r="BE13" s="2">
        <f t="shared" si="1"/>
        <v>0.21746031746031758</v>
      </c>
      <c r="BF13" s="2">
        <v>37.64</v>
      </c>
      <c r="BG13" s="2">
        <v>5.68</v>
      </c>
      <c r="BH13" s="1">
        <v>9.7000000000000003E-3</v>
      </c>
    </row>
    <row r="14" spans="1:60" x14ac:dyDescent="0.25">
      <c r="A14" s="1" t="s">
        <v>13</v>
      </c>
      <c r="B14" s="1" t="s">
        <v>196</v>
      </c>
      <c r="C14" s="1" t="s">
        <v>237</v>
      </c>
      <c r="D14" s="1" t="s">
        <v>232</v>
      </c>
      <c r="E14" s="1">
        <v>37</v>
      </c>
      <c r="F14" s="1">
        <v>800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33</v>
      </c>
      <c r="T14" s="1">
        <v>33</v>
      </c>
      <c r="U14" s="1">
        <v>25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2"/>
      <c r="AM14" s="2">
        <f>3.7/2.9-1</f>
        <v>0.27586206896551735</v>
      </c>
      <c r="AN14" s="2">
        <f>4.3/3.6-1</f>
        <v>0.19444444444444442</v>
      </c>
      <c r="AO14" s="2">
        <f>5/4.5-1</f>
        <v>0.11111111111111116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1"/>
    </row>
    <row r="15" spans="1:60" x14ac:dyDescent="0.25">
      <c r="A15" s="1" t="s">
        <v>14</v>
      </c>
      <c r="B15" s="1" t="s">
        <v>196</v>
      </c>
      <c r="C15" s="1" t="s">
        <v>237</v>
      </c>
      <c r="D15" s="1" t="s">
        <v>232</v>
      </c>
      <c r="E15" s="1">
        <v>37</v>
      </c>
      <c r="F15" s="1">
        <v>800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31</v>
      </c>
      <c r="T15" s="1">
        <v>28</v>
      </c>
      <c r="U15" s="1">
        <v>25</v>
      </c>
      <c r="V15" s="1"/>
      <c r="W15" s="1"/>
      <c r="X15" s="1"/>
      <c r="Y15" s="1"/>
      <c r="Z15" s="1"/>
      <c r="AA15" s="1"/>
      <c r="AB15" s="1">
        <v>29</v>
      </c>
      <c r="AC15" s="1">
        <v>28</v>
      </c>
      <c r="AD15" s="1">
        <v>27</v>
      </c>
      <c r="AE15" s="1"/>
      <c r="AF15" s="1"/>
      <c r="AG15" s="1"/>
      <c r="AH15" s="1"/>
      <c r="AI15" s="1"/>
      <c r="AJ15" s="1"/>
      <c r="AK15" s="3">
        <v>28</v>
      </c>
      <c r="AL15" s="2">
        <f t="shared" si="0"/>
        <v>62</v>
      </c>
      <c r="AM15" s="2">
        <f>3/2.4-1</f>
        <v>0.25</v>
      </c>
      <c r="AN15" s="2">
        <f>4.3/3.6-1</f>
        <v>0.19444444444444442</v>
      </c>
      <c r="AO15" s="2">
        <f>3.7/3.5-1</f>
        <v>5.7142857142857162E-2</v>
      </c>
      <c r="AP15" s="2"/>
      <c r="AQ15" s="2"/>
      <c r="AR15" s="2"/>
      <c r="AS15" s="2"/>
      <c r="AT15" s="2"/>
      <c r="AU15" s="2"/>
      <c r="AV15" s="2">
        <f>3.2/2.5-1</f>
        <v>0.28000000000000003</v>
      </c>
      <c r="AW15" s="2">
        <f>3.7/3.5-1</f>
        <v>5.7142857142857162E-2</v>
      </c>
      <c r="AX15" s="2">
        <f>4.5/4-1</f>
        <v>0.125</v>
      </c>
      <c r="AY15" s="2"/>
      <c r="AZ15" s="2"/>
      <c r="BA15" s="2"/>
      <c r="BB15" s="2"/>
      <c r="BC15" s="2"/>
      <c r="BD15" s="2"/>
      <c r="BE15" s="2">
        <f t="shared" si="1"/>
        <v>0.16857142857142859</v>
      </c>
      <c r="BF15" s="2">
        <v>20.47</v>
      </c>
      <c r="BG15" s="2">
        <v>4.25</v>
      </c>
      <c r="BH15" s="1">
        <v>1.32E-2</v>
      </c>
    </row>
    <row r="16" spans="1:60" x14ac:dyDescent="0.25">
      <c r="A16" s="1" t="s">
        <v>15</v>
      </c>
      <c r="B16" s="1" t="s">
        <v>196</v>
      </c>
      <c r="C16" s="1" t="s">
        <v>237</v>
      </c>
      <c r="D16" s="1" t="s">
        <v>232</v>
      </c>
      <c r="E16" s="1">
        <v>37</v>
      </c>
      <c r="F16" s="1">
        <v>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37</v>
      </c>
      <c r="T16" s="1">
        <v>32</v>
      </c>
      <c r="U16" s="1">
        <v>24</v>
      </c>
      <c r="V16" s="1"/>
      <c r="W16" s="1"/>
      <c r="X16" s="1"/>
      <c r="Y16" s="1"/>
      <c r="Z16" s="1"/>
      <c r="AA16" s="1"/>
      <c r="AB16" s="1">
        <v>35</v>
      </c>
      <c r="AC16" s="1">
        <v>25</v>
      </c>
      <c r="AD16" s="1">
        <v>23</v>
      </c>
      <c r="AE16" s="1"/>
      <c r="AF16" s="1"/>
      <c r="AG16" s="1"/>
      <c r="AH16" s="1"/>
      <c r="AI16" s="1"/>
      <c r="AJ16" s="1"/>
      <c r="AK16" s="3">
        <v>27.666666666666668</v>
      </c>
      <c r="AL16" s="2">
        <f t="shared" si="0"/>
        <v>62.333333333333329</v>
      </c>
      <c r="AM16" s="2">
        <f>3.8/2.9-1</f>
        <v>0.31034482758620685</v>
      </c>
      <c r="AN16" s="2">
        <f>3.5/2.9-1</f>
        <v>0.2068965517241379</v>
      </c>
      <c r="AO16" s="2">
        <f>4.1/3.3-1</f>
        <v>0.24242424242424243</v>
      </c>
      <c r="AP16" s="2"/>
      <c r="AQ16" s="2"/>
      <c r="AR16" s="2"/>
      <c r="AS16" s="2"/>
      <c r="AT16" s="2"/>
      <c r="AU16" s="2"/>
      <c r="AV16" s="2">
        <f>3.9/2.9-1</f>
        <v>0.34482758620689657</v>
      </c>
      <c r="AW16" s="2">
        <f>3.6/2.6-1</f>
        <v>0.38461538461538458</v>
      </c>
      <c r="AX16" s="2">
        <f>3.4/2.5-1</f>
        <v>0.35999999999999988</v>
      </c>
      <c r="AY16" s="2"/>
      <c r="AZ16" s="2"/>
      <c r="BA16" s="2"/>
      <c r="BB16" s="2"/>
      <c r="BC16" s="2"/>
      <c r="BD16" s="2"/>
      <c r="BE16" s="2">
        <f t="shared" si="1"/>
        <v>0.36472148541114058</v>
      </c>
      <c r="BF16" s="2">
        <v>10.67</v>
      </c>
      <c r="BG16" s="2">
        <v>3.94</v>
      </c>
      <c r="BH16" s="1">
        <v>1.4500000000000001E-2</v>
      </c>
    </row>
    <row r="17" spans="1:60" x14ac:dyDescent="0.25">
      <c r="A17" s="1" t="s">
        <v>16</v>
      </c>
      <c r="B17" s="1" t="s">
        <v>196</v>
      </c>
      <c r="C17" s="1" t="s">
        <v>237</v>
      </c>
      <c r="D17" s="1" t="s">
        <v>232</v>
      </c>
      <c r="E17" s="1">
        <v>37</v>
      </c>
      <c r="F17" s="1">
        <v>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38</v>
      </c>
      <c r="T17" s="1">
        <v>29</v>
      </c>
      <c r="U17" s="1">
        <v>26</v>
      </c>
      <c r="V17" s="1"/>
      <c r="W17" s="1"/>
      <c r="X17" s="1"/>
      <c r="Y17" s="1"/>
      <c r="Z17" s="1"/>
      <c r="AA17" s="1"/>
      <c r="AB17" s="1">
        <v>32</v>
      </c>
      <c r="AC17" s="1">
        <v>24</v>
      </c>
      <c r="AD17" s="1">
        <v>24</v>
      </c>
      <c r="AE17" s="1"/>
      <c r="AF17" s="1"/>
      <c r="AG17" s="1"/>
      <c r="AH17" s="1"/>
      <c r="AI17" s="1"/>
      <c r="AJ17" s="1"/>
      <c r="AK17" s="3">
        <v>26.666666666666668</v>
      </c>
      <c r="AL17" s="2">
        <f t="shared" si="0"/>
        <v>63.333333333333329</v>
      </c>
      <c r="AM17" s="2">
        <f>4.6/4.4-1</f>
        <v>4.5454545454545192E-2</v>
      </c>
      <c r="AN17" s="2">
        <f>4/3.5-1</f>
        <v>0.14285714285714279</v>
      </c>
      <c r="AO17" s="2">
        <f>4.4/4.1-1</f>
        <v>7.317073170731736E-2</v>
      </c>
      <c r="AP17" s="2"/>
      <c r="AQ17" s="2"/>
      <c r="AR17" s="2"/>
      <c r="AS17" s="2"/>
      <c r="AT17" s="2"/>
      <c r="AU17" s="2"/>
      <c r="AV17" s="2">
        <f>4.3/3-1</f>
        <v>0.43333333333333335</v>
      </c>
      <c r="AW17" s="2">
        <f>5.8/3-1</f>
        <v>0.93333333333333335</v>
      </c>
      <c r="AX17" s="2">
        <f>4.8/3.7-1</f>
        <v>0.29729729729729715</v>
      </c>
      <c r="AY17" s="2"/>
      <c r="AZ17" s="2"/>
      <c r="BA17" s="2"/>
      <c r="BB17" s="2"/>
      <c r="BC17" s="2"/>
      <c r="BD17" s="2"/>
      <c r="BE17" s="2">
        <f t="shared" si="1"/>
        <v>0.68333333333333335</v>
      </c>
      <c r="BF17" s="2">
        <v>23.08</v>
      </c>
      <c r="BG17" s="2">
        <v>4.47</v>
      </c>
      <c r="BH17" s="1">
        <v>1.2999999999999999E-2</v>
      </c>
    </row>
    <row r="18" spans="1:60" x14ac:dyDescent="0.25">
      <c r="A18" s="1" t="s">
        <v>17</v>
      </c>
      <c r="B18" s="1" t="s">
        <v>197</v>
      </c>
      <c r="C18" s="1" t="s">
        <v>238</v>
      </c>
      <c r="D18" s="1" t="s">
        <v>232</v>
      </c>
      <c r="E18" s="1">
        <v>38</v>
      </c>
      <c r="F18" s="1">
        <v>800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40</v>
      </c>
      <c r="W18" s="1">
        <v>30</v>
      </c>
      <c r="X18" s="1"/>
      <c r="Y18" s="1"/>
      <c r="Z18" s="1"/>
      <c r="AA18" s="1"/>
      <c r="AB18" s="1">
        <v>22</v>
      </c>
      <c r="AC18" s="1">
        <v>28</v>
      </c>
      <c r="AD18" s="1"/>
      <c r="AE18" s="1"/>
      <c r="AF18" s="1"/>
      <c r="AG18" s="1"/>
      <c r="AH18" s="1">
        <v>19</v>
      </c>
      <c r="AI18" s="1">
        <v>26</v>
      </c>
      <c r="AJ18" s="1"/>
      <c r="AK18" s="2">
        <v>23.75</v>
      </c>
      <c r="AL18" s="2">
        <v>66.25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3.48</v>
      </c>
      <c r="BG18" s="2">
        <v>0.56999999999999995</v>
      </c>
      <c r="BH18" s="1"/>
    </row>
    <row r="19" spans="1:60" x14ac:dyDescent="0.25">
      <c r="A19" s="1" t="s">
        <v>18</v>
      </c>
      <c r="B19" s="1" t="s">
        <v>197</v>
      </c>
      <c r="C19" s="1" t="s">
        <v>238</v>
      </c>
      <c r="D19" s="1" t="s">
        <v>232</v>
      </c>
      <c r="E19" s="1">
        <v>38</v>
      </c>
      <c r="F19" s="1">
        <v>800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30</v>
      </c>
      <c r="W19" s="1">
        <v>25</v>
      </c>
      <c r="X19" s="1"/>
      <c r="Y19" s="1"/>
      <c r="Z19" s="1"/>
      <c r="AA19" s="1"/>
      <c r="AB19" s="1">
        <v>15</v>
      </c>
      <c r="AC19" s="1">
        <v>32</v>
      </c>
      <c r="AD19" s="1"/>
      <c r="AE19" s="1"/>
      <c r="AF19" s="1"/>
      <c r="AG19" s="1"/>
      <c r="AH19" s="1">
        <v>18</v>
      </c>
      <c r="AI19" s="1">
        <v>22</v>
      </c>
      <c r="AJ19" s="1"/>
      <c r="AK19" s="2">
        <v>21.75</v>
      </c>
      <c r="AL19" s="2">
        <v>68.25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4.91</v>
      </c>
      <c r="BG19" s="2">
        <v>0.76</v>
      </c>
      <c r="BH19" s="1"/>
    </row>
    <row r="20" spans="1:60" x14ac:dyDescent="0.25">
      <c r="A20" s="1" t="s">
        <v>19</v>
      </c>
      <c r="B20" s="1" t="s">
        <v>197</v>
      </c>
      <c r="C20" s="1" t="s">
        <v>238</v>
      </c>
      <c r="D20" s="1" t="s">
        <v>232</v>
      </c>
      <c r="E20" s="1">
        <v>38</v>
      </c>
      <c r="F20" s="1">
        <v>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18</v>
      </c>
      <c r="W20" s="1">
        <v>28</v>
      </c>
      <c r="X20" s="1"/>
      <c r="Y20" s="1"/>
      <c r="Z20" s="1"/>
      <c r="AA20" s="1"/>
      <c r="AB20" s="1">
        <v>20</v>
      </c>
      <c r="AC20" s="1">
        <v>12</v>
      </c>
      <c r="AD20" s="1"/>
      <c r="AE20" s="1"/>
      <c r="AF20" s="1"/>
      <c r="AG20" s="1"/>
      <c r="AH20" s="1">
        <v>25</v>
      </c>
      <c r="AI20" s="1">
        <v>17</v>
      </c>
      <c r="AJ20" s="1"/>
      <c r="AK20" s="2">
        <v>18.5</v>
      </c>
      <c r="AL20" s="2">
        <v>71.5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>
        <v>6.78</v>
      </c>
      <c r="BG20" s="2">
        <v>1.1399999999999999</v>
      </c>
      <c r="BH20" s="1"/>
    </row>
    <row r="21" spans="1:60" x14ac:dyDescent="0.25">
      <c r="A21" s="1" t="s">
        <v>20</v>
      </c>
      <c r="B21" s="1" t="s">
        <v>197</v>
      </c>
      <c r="C21" s="1" t="s">
        <v>239</v>
      </c>
      <c r="D21" s="1" t="s">
        <v>230</v>
      </c>
      <c r="E21" s="1">
        <v>38</v>
      </c>
      <c r="F21" s="1">
        <v>400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45</v>
      </c>
      <c r="W21" s="1">
        <v>42</v>
      </c>
      <c r="X21" s="1"/>
      <c r="Y21" s="1"/>
      <c r="Z21" s="1"/>
      <c r="AA21" s="1"/>
      <c r="AB21" s="1">
        <v>44</v>
      </c>
      <c r="AC21" s="1">
        <v>43</v>
      </c>
      <c r="AD21" s="1"/>
      <c r="AE21" s="1"/>
      <c r="AF21" s="1"/>
      <c r="AG21" s="1"/>
      <c r="AH21" s="1">
        <v>32</v>
      </c>
      <c r="AI21" s="1">
        <v>34</v>
      </c>
      <c r="AJ21" s="1"/>
      <c r="AK21" s="2">
        <v>38.25</v>
      </c>
      <c r="AL21" s="2">
        <v>51.75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>
        <v>15.09</v>
      </c>
      <c r="BG21" s="2">
        <v>2.04</v>
      </c>
      <c r="BH21" s="1"/>
    </row>
    <row r="22" spans="1:60" x14ac:dyDescent="0.25">
      <c r="A22" s="1" t="s">
        <v>21</v>
      </c>
      <c r="B22" s="1" t="s">
        <v>197</v>
      </c>
      <c r="C22" s="1" t="s">
        <v>239</v>
      </c>
      <c r="D22" s="1" t="s">
        <v>230</v>
      </c>
      <c r="E22" s="1">
        <v>38</v>
      </c>
      <c r="F22" s="1">
        <v>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40</v>
      </c>
      <c r="W22" s="1">
        <v>38</v>
      </c>
      <c r="X22" s="1"/>
      <c r="Y22" s="1"/>
      <c r="Z22" s="1"/>
      <c r="AA22" s="1"/>
      <c r="AB22" s="1">
        <v>30</v>
      </c>
      <c r="AC22" s="1">
        <v>28</v>
      </c>
      <c r="AD22" s="1"/>
      <c r="AE22" s="1"/>
      <c r="AF22" s="1"/>
      <c r="AG22" s="1"/>
      <c r="AH22" s="1">
        <v>32</v>
      </c>
      <c r="AI22" s="1">
        <v>34</v>
      </c>
      <c r="AJ22" s="1"/>
      <c r="AK22" s="2">
        <v>31</v>
      </c>
      <c r="AL22" s="2">
        <v>59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14.25</v>
      </c>
      <c r="BG22" s="2">
        <v>1.92</v>
      </c>
      <c r="BH22" s="1"/>
    </row>
    <row r="23" spans="1:60" x14ac:dyDescent="0.25">
      <c r="A23" s="1" t="s">
        <v>22</v>
      </c>
      <c r="B23" s="1" t="s">
        <v>197</v>
      </c>
      <c r="C23" s="1" t="s">
        <v>239</v>
      </c>
      <c r="D23" s="1" t="s">
        <v>230</v>
      </c>
      <c r="E23" s="1">
        <v>38</v>
      </c>
      <c r="F23" s="1">
        <v>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47</v>
      </c>
      <c r="W23" s="1">
        <v>48</v>
      </c>
      <c r="X23" s="1"/>
      <c r="Y23" s="1"/>
      <c r="Z23" s="1"/>
      <c r="AA23" s="1"/>
      <c r="AB23" s="1">
        <v>44</v>
      </c>
      <c r="AC23" s="1">
        <v>36</v>
      </c>
      <c r="AD23" s="1"/>
      <c r="AE23" s="1"/>
      <c r="AF23" s="1"/>
      <c r="AG23" s="1"/>
      <c r="AH23" s="1">
        <v>43</v>
      </c>
      <c r="AI23" s="1">
        <v>43</v>
      </c>
      <c r="AJ23" s="1"/>
      <c r="AK23" s="2">
        <v>41.5</v>
      </c>
      <c r="AL23" s="2">
        <v>48.5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>
        <v>17.95</v>
      </c>
      <c r="BG23" s="2">
        <v>3.05</v>
      </c>
      <c r="BH23" s="1"/>
    </row>
    <row r="24" spans="1:60" x14ac:dyDescent="0.25">
      <c r="A24" s="1" t="s">
        <v>23</v>
      </c>
      <c r="B24" s="1" t="s">
        <v>197</v>
      </c>
      <c r="C24" s="1" t="s">
        <v>239</v>
      </c>
      <c r="D24" s="1" t="s">
        <v>230</v>
      </c>
      <c r="E24" s="1">
        <v>38</v>
      </c>
      <c r="F24" s="1">
        <v>400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46</v>
      </c>
      <c r="W24" s="1">
        <v>48</v>
      </c>
      <c r="X24" s="1"/>
      <c r="Y24" s="1"/>
      <c r="Z24" s="1"/>
      <c r="AA24" s="1"/>
      <c r="AB24" s="1">
        <v>37</v>
      </c>
      <c r="AC24" s="1">
        <v>42</v>
      </c>
      <c r="AD24" s="1"/>
      <c r="AE24" s="1"/>
      <c r="AF24" s="1"/>
      <c r="AG24" s="1"/>
      <c r="AH24" s="1">
        <v>36</v>
      </c>
      <c r="AI24" s="1">
        <v>34</v>
      </c>
      <c r="AJ24" s="1"/>
      <c r="AK24" s="2">
        <v>37.25</v>
      </c>
      <c r="AL24" s="2">
        <v>52.75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20.68</v>
      </c>
      <c r="BG24" s="2">
        <v>2.81</v>
      </c>
      <c r="BH24" s="1"/>
    </row>
    <row r="25" spans="1:60" x14ac:dyDescent="0.25">
      <c r="A25" s="1" t="s">
        <v>24</v>
      </c>
      <c r="B25" s="1" t="s">
        <v>197</v>
      </c>
      <c r="C25" s="1" t="s">
        <v>240</v>
      </c>
      <c r="D25" s="1" t="s">
        <v>231</v>
      </c>
      <c r="E25" s="1">
        <v>30</v>
      </c>
      <c r="F25" s="1">
        <v>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52</v>
      </c>
      <c r="W25" s="1">
        <v>45</v>
      </c>
      <c r="X25" s="1"/>
      <c r="Y25" s="1"/>
      <c r="Z25" s="1"/>
      <c r="AA25" s="1"/>
      <c r="AB25" s="1">
        <v>49</v>
      </c>
      <c r="AC25" s="1">
        <v>55</v>
      </c>
      <c r="AD25" s="1"/>
      <c r="AE25" s="1"/>
      <c r="AF25" s="1"/>
      <c r="AG25" s="1"/>
      <c r="AH25" s="1">
        <v>53</v>
      </c>
      <c r="AI25" s="1">
        <v>55</v>
      </c>
      <c r="AJ25" s="1"/>
      <c r="AK25" s="2">
        <v>53</v>
      </c>
      <c r="AL25" s="2">
        <v>37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>
        <v>21.94</v>
      </c>
      <c r="BG25" s="2">
        <v>5.07</v>
      </c>
      <c r="BH25" s="1"/>
    </row>
    <row r="26" spans="1:60" x14ac:dyDescent="0.25">
      <c r="A26" s="1" t="s">
        <v>25</v>
      </c>
      <c r="B26" s="1" t="s">
        <v>197</v>
      </c>
      <c r="C26" s="1" t="s">
        <v>240</v>
      </c>
      <c r="D26" s="1" t="s">
        <v>231</v>
      </c>
      <c r="E26" s="1">
        <v>30</v>
      </c>
      <c r="F26" s="1">
        <v>800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59</v>
      </c>
      <c r="W26" s="1">
        <v>56</v>
      </c>
      <c r="X26" s="1"/>
      <c r="Y26" s="1"/>
      <c r="Z26" s="1"/>
      <c r="AA26" s="1"/>
      <c r="AB26" s="1">
        <v>63</v>
      </c>
      <c r="AC26" s="1">
        <v>49</v>
      </c>
      <c r="AD26" s="1"/>
      <c r="AE26" s="1"/>
      <c r="AF26" s="1"/>
      <c r="AG26" s="1"/>
      <c r="AH26" s="1">
        <v>44</v>
      </c>
      <c r="AI26" s="1">
        <v>40</v>
      </c>
      <c r="AJ26" s="1"/>
      <c r="AK26" s="2">
        <v>49</v>
      </c>
      <c r="AL26" s="2">
        <v>41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14.05</v>
      </c>
      <c r="BG26" s="2">
        <v>2.98</v>
      </c>
      <c r="BH26" s="1"/>
    </row>
    <row r="27" spans="1:60" x14ac:dyDescent="0.25">
      <c r="A27" s="1" t="s">
        <v>26</v>
      </c>
      <c r="B27" s="1" t="s">
        <v>197</v>
      </c>
      <c r="C27" s="1" t="s">
        <v>240</v>
      </c>
      <c r="D27" s="1" t="s">
        <v>231</v>
      </c>
      <c r="E27" s="1">
        <v>30</v>
      </c>
      <c r="F27" s="1">
        <v>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50</v>
      </c>
      <c r="W27" s="1">
        <v>42</v>
      </c>
      <c r="X27" s="1"/>
      <c r="Y27" s="1"/>
      <c r="Z27" s="1"/>
      <c r="AA27" s="1"/>
      <c r="AB27" s="1">
        <v>54</v>
      </c>
      <c r="AC27" s="1">
        <v>43</v>
      </c>
      <c r="AD27" s="1"/>
      <c r="AE27" s="1"/>
      <c r="AF27" s="1"/>
      <c r="AG27" s="1"/>
      <c r="AH27" s="1">
        <v>50</v>
      </c>
      <c r="AI27" s="1">
        <v>43</v>
      </c>
      <c r="AJ27" s="1"/>
      <c r="AK27" s="2">
        <v>47.5</v>
      </c>
      <c r="AL27" s="2">
        <v>42.5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>
        <v>13.14</v>
      </c>
      <c r="BG27" s="2">
        <v>3.46</v>
      </c>
      <c r="BH27" s="1"/>
    </row>
    <row r="28" spans="1:60" x14ac:dyDescent="0.25">
      <c r="A28" s="1" t="s">
        <v>27</v>
      </c>
      <c r="B28" s="1" t="s">
        <v>197</v>
      </c>
      <c r="C28" s="1" t="s">
        <v>241</v>
      </c>
      <c r="D28" s="1" t="s">
        <v>229</v>
      </c>
      <c r="E28" s="1">
        <v>30</v>
      </c>
      <c r="F28" s="1">
        <v>400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60</v>
      </c>
      <c r="W28" s="1">
        <v>67</v>
      </c>
      <c r="X28" s="1"/>
      <c r="Y28" s="1"/>
      <c r="Z28" s="1"/>
      <c r="AA28" s="1"/>
      <c r="AB28" s="1">
        <v>55</v>
      </c>
      <c r="AC28" s="1">
        <v>59</v>
      </c>
      <c r="AD28" s="1"/>
      <c r="AE28" s="1"/>
      <c r="AF28" s="1"/>
      <c r="AG28" s="1"/>
      <c r="AH28" s="1">
        <v>50</v>
      </c>
      <c r="AI28" s="1">
        <v>49</v>
      </c>
      <c r="AJ28" s="1"/>
      <c r="AK28" s="2">
        <v>53.25</v>
      </c>
      <c r="AL28" s="2">
        <v>36.75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>
        <v>20.100000000000001</v>
      </c>
      <c r="BG28" s="2">
        <v>3.68</v>
      </c>
      <c r="BH28" s="1"/>
    </row>
    <row r="29" spans="1:60" x14ac:dyDescent="0.25">
      <c r="A29" s="1" t="s">
        <v>28</v>
      </c>
      <c r="B29" s="1" t="s">
        <v>197</v>
      </c>
      <c r="C29" s="1" t="s">
        <v>241</v>
      </c>
      <c r="D29" s="1" t="s">
        <v>229</v>
      </c>
      <c r="E29" s="1">
        <v>30</v>
      </c>
      <c r="F29" s="1">
        <v>400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54</v>
      </c>
      <c r="W29" s="1">
        <v>55</v>
      </c>
      <c r="X29" s="1"/>
      <c r="Y29" s="1"/>
      <c r="Z29" s="1"/>
      <c r="AA29" s="1"/>
      <c r="AB29" s="1">
        <v>57</v>
      </c>
      <c r="AC29" s="1">
        <v>47</v>
      </c>
      <c r="AD29" s="1"/>
      <c r="AE29" s="1"/>
      <c r="AF29" s="1"/>
      <c r="AG29" s="1"/>
      <c r="AH29" s="1">
        <v>48</v>
      </c>
      <c r="AI29" s="1">
        <v>45</v>
      </c>
      <c r="AJ29" s="1"/>
      <c r="AK29" s="2">
        <v>49.25</v>
      </c>
      <c r="AL29" s="2">
        <v>40.75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23.51</v>
      </c>
      <c r="BG29" s="2">
        <v>4.04</v>
      </c>
      <c r="BH29" s="1"/>
    </row>
    <row r="30" spans="1:60" x14ac:dyDescent="0.25">
      <c r="A30" s="1" t="s">
        <v>29</v>
      </c>
      <c r="B30" s="1" t="s">
        <v>197</v>
      </c>
      <c r="C30" s="1" t="s">
        <v>241</v>
      </c>
      <c r="D30" s="1" t="s">
        <v>229</v>
      </c>
      <c r="E30" s="1">
        <v>30</v>
      </c>
      <c r="F30" s="1">
        <v>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60</v>
      </c>
      <c r="W30" s="1">
        <v>51</v>
      </c>
      <c r="X30" s="1"/>
      <c r="Y30" s="1"/>
      <c r="Z30" s="1"/>
      <c r="AA30" s="1"/>
      <c r="AB30" s="1">
        <v>60</v>
      </c>
      <c r="AC30" s="1">
        <v>57</v>
      </c>
      <c r="AD30" s="1"/>
      <c r="AE30" s="1"/>
      <c r="AF30" s="1"/>
      <c r="AG30" s="1"/>
      <c r="AH30" s="1">
        <v>62</v>
      </c>
      <c r="AI30" s="1">
        <v>58</v>
      </c>
      <c r="AJ30" s="1"/>
      <c r="AK30" s="2">
        <v>59.25</v>
      </c>
      <c r="AL30" s="2">
        <v>30.75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>
        <v>18.16</v>
      </c>
      <c r="BG30" s="2">
        <v>3.23</v>
      </c>
      <c r="BH30" s="1"/>
    </row>
    <row r="31" spans="1:60" x14ac:dyDescent="0.25">
      <c r="A31" s="1" t="s">
        <v>30</v>
      </c>
      <c r="B31" s="1" t="s">
        <v>197</v>
      </c>
      <c r="C31" s="1" t="s">
        <v>241</v>
      </c>
      <c r="D31" s="1" t="s">
        <v>229</v>
      </c>
      <c r="E31" s="1">
        <v>30</v>
      </c>
      <c r="F31" s="1">
        <v>400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67</v>
      </c>
      <c r="W31" s="1">
        <v>53</v>
      </c>
      <c r="X31" s="1"/>
      <c r="Y31" s="1"/>
      <c r="Z31" s="1"/>
      <c r="AA31" s="1"/>
      <c r="AB31" s="1">
        <v>57</v>
      </c>
      <c r="AC31" s="1">
        <v>58</v>
      </c>
      <c r="AD31" s="1"/>
      <c r="AE31" s="1"/>
      <c r="AF31" s="1"/>
      <c r="AG31" s="1"/>
      <c r="AH31" s="1">
        <v>61</v>
      </c>
      <c r="AI31" s="1">
        <v>56</v>
      </c>
      <c r="AJ31" s="1"/>
      <c r="AK31" s="2">
        <v>58</v>
      </c>
      <c r="AL31" s="2">
        <v>32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>
        <v>23.67</v>
      </c>
      <c r="BG31" s="2">
        <v>3.61</v>
      </c>
      <c r="BH31" s="1"/>
    </row>
    <row r="32" spans="1:60" x14ac:dyDescent="0.25">
      <c r="A32" s="1" t="s">
        <v>31</v>
      </c>
      <c r="B32" s="1" t="s">
        <v>198</v>
      </c>
      <c r="C32" s="1" t="s">
        <v>242</v>
      </c>
      <c r="D32" s="1" t="s">
        <v>232</v>
      </c>
      <c r="E32" s="1">
        <v>38</v>
      </c>
      <c r="F32" s="1">
        <v>800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50</v>
      </c>
      <c r="W32" s="1">
        <v>41</v>
      </c>
      <c r="X32" s="1"/>
      <c r="Y32" s="1"/>
      <c r="Z32" s="1"/>
      <c r="AA32" s="1"/>
      <c r="AB32" s="1">
        <v>60</v>
      </c>
      <c r="AC32" s="1">
        <v>40</v>
      </c>
      <c r="AD32" s="1">
        <v>29</v>
      </c>
      <c r="AE32" s="1"/>
      <c r="AF32" s="1"/>
      <c r="AG32" s="1"/>
      <c r="AH32" s="1"/>
      <c r="AI32" s="1"/>
      <c r="AJ32" s="1"/>
      <c r="AK32" s="2">
        <v>43</v>
      </c>
      <c r="AL32" s="2">
        <v>47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>
        <v>42.77</v>
      </c>
      <c r="BG32" s="2">
        <v>9.3800000000000008</v>
      </c>
      <c r="BH32" s="1">
        <v>1.0699999999999999E-2</v>
      </c>
    </row>
    <row r="33" spans="1:60" x14ac:dyDescent="0.25">
      <c r="A33" s="1" t="s">
        <v>32</v>
      </c>
      <c r="B33" s="1" t="s">
        <v>198</v>
      </c>
      <c r="C33" s="1" t="s">
        <v>242</v>
      </c>
      <c r="D33" s="1" t="s">
        <v>232</v>
      </c>
      <c r="E33" s="1">
        <v>38</v>
      </c>
      <c r="F33" s="1">
        <v>800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47</v>
      </c>
      <c r="W33" s="1">
        <v>41</v>
      </c>
      <c r="X33" s="1"/>
      <c r="Y33" s="1"/>
      <c r="Z33" s="1"/>
      <c r="AA33" s="1"/>
      <c r="AB33" s="1">
        <v>55</v>
      </c>
      <c r="AC33" s="1">
        <v>43</v>
      </c>
      <c r="AD33" s="1">
        <v>29</v>
      </c>
      <c r="AE33" s="1"/>
      <c r="AF33" s="1"/>
      <c r="AG33" s="1"/>
      <c r="AH33" s="1"/>
      <c r="AI33" s="1"/>
      <c r="AJ33" s="1"/>
      <c r="AK33" s="2">
        <v>42.333333333333336</v>
      </c>
      <c r="AL33" s="2">
        <v>47.666666666666664</v>
      </c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>
        <v>17.93</v>
      </c>
      <c r="BG33" s="2">
        <v>3.37</v>
      </c>
      <c r="BH33" s="1">
        <v>8.0999999999999996E-3</v>
      </c>
    </row>
    <row r="34" spans="1:60" x14ac:dyDescent="0.25">
      <c r="A34" s="1" t="s">
        <v>33</v>
      </c>
      <c r="B34" s="1" t="s">
        <v>198</v>
      </c>
      <c r="C34" s="1" t="s">
        <v>242</v>
      </c>
      <c r="D34" s="1" t="s">
        <v>232</v>
      </c>
      <c r="E34" s="1">
        <v>38</v>
      </c>
      <c r="F34" s="1">
        <v>800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>
        <v>53</v>
      </c>
      <c r="W34" s="1">
        <v>42</v>
      </c>
      <c r="X34" s="1"/>
      <c r="Y34" s="1"/>
      <c r="Z34" s="1"/>
      <c r="AA34" s="1"/>
      <c r="AB34" s="1">
        <v>64</v>
      </c>
      <c r="AC34" s="1">
        <v>34</v>
      </c>
      <c r="AD34" s="1">
        <v>25</v>
      </c>
      <c r="AE34" s="1"/>
      <c r="AF34" s="1"/>
      <c r="AG34" s="1"/>
      <c r="AH34" s="1"/>
      <c r="AI34" s="1"/>
      <c r="AJ34" s="1"/>
      <c r="AK34" s="2">
        <v>41</v>
      </c>
      <c r="AL34" s="2">
        <v>49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>
        <v>25.24</v>
      </c>
      <c r="BG34" s="2">
        <v>5.62</v>
      </c>
      <c r="BH34" s="1">
        <v>8.6999999999999994E-3</v>
      </c>
    </row>
    <row r="35" spans="1:60" x14ac:dyDescent="0.25">
      <c r="A35" s="1" t="s">
        <v>34</v>
      </c>
      <c r="B35" s="1" t="s">
        <v>198</v>
      </c>
      <c r="C35" s="1" t="s">
        <v>242</v>
      </c>
      <c r="D35" s="1" t="s">
        <v>232</v>
      </c>
      <c r="E35" s="1">
        <v>38</v>
      </c>
      <c r="F35" s="1">
        <v>800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51</v>
      </c>
      <c r="W35" s="1">
        <v>41</v>
      </c>
      <c r="X35" s="1"/>
      <c r="Y35" s="1"/>
      <c r="Z35" s="1"/>
      <c r="AA35" s="1"/>
      <c r="AB35" s="1">
        <v>46</v>
      </c>
      <c r="AC35" s="1">
        <v>37</v>
      </c>
      <c r="AD35" s="1">
        <v>27</v>
      </c>
      <c r="AE35" s="1"/>
      <c r="AF35" s="1"/>
      <c r="AG35" s="1"/>
      <c r="AH35" s="1"/>
      <c r="AI35" s="1"/>
      <c r="AJ35" s="1"/>
      <c r="AK35" s="2">
        <v>36.666666666666664</v>
      </c>
      <c r="AL35" s="2">
        <v>53.333333333333336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>
        <v>47.82</v>
      </c>
      <c r="BG35" s="2">
        <v>9.9600000000000009</v>
      </c>
      <c r="BH35" s="1">
        <v>1.06E-2</v>
      </c>
    </row>
    <row r="36" spans="1:60" x14ac:dyDescent="0.25">
      <c r="A36" s="1" t="s">
        <v>35</v>
      </c>
      <c r="B36" s="1" t="s">
        <v>198</v>
      </c>
      <c r="C36" s="1" t="s">
        <v>243</v>
      </c>
      <c r="D36" s="1" t="s">
        <v>229</v>
      </c>
      <c r="E36" s="1">
        <v>30</v>
      </c>
      <c r="F36" s="1">
        <v>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59</v>
      </c>
      <c r="W36" s="1">
        <v>56</v>
      </c>
      <c r="X36" s="1"/>
      <c r="Y36" s="1"/>
      <c r="Z36" s="1"/>
      <c r="AA36" s="1"/>
      <c r="AB36" s="1">
        <v>68</v>
      </c>
      <c r="AC36" s="1">
        <v>61</v>
      </c>
      <c r="AD36" s="1">
        <v>44</v>
      </c>
      <c r="AE36" s="1"/>
      <c r="AF36" s="1"/>
      <c r="AG36" s="1"/>
      <c r="AH36" s="1"/>
      <c r="AI36" s="1"/>
      <c r="AJ36" s="1"/>
      <c r="AK36" s="2">
        <v>57.666666666666664</v>
      </c>
      <c r="AL36" s="2">
        <v>32.333333333333336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>
        <v>19.04</v>
      </c>
      <c r="BG36" s="2">
        <v>3.46</v>
      </c>
      <c r="BH36" s="1">
        <v>7.9000000000000008E-3</v>
      </c>
    </row>
    <row r="37" spans="1:60" x14ac:dyDescent="0.25">
      <c r="A37" s="1" t="s">
        <v>36</v>
      </c>
      <c r="B37" s="1" t="s">
        <v>198</v>
      </c>
      <c r="C37" s="1" t="s">
        <v>243</v>
      </c>
      <c r="D37" s="1" t="s">
        <v>229</v>
      </c>
      <c r="E37" s="1">
        <v>30</v>
      </c>
      <c r="F37" s="1">
        <v>400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61</v>
      </c>
      <c r="W37" s="1">
        <v>60</v>
      </c>
      <c r="X37" s="1"/>
      <c r="Y37" s="1"/>
      <c r="Z37" s="1"/>
      <c r="AA37" s="1"/>
      <c r="AB37" s="1">
        <v>71</v>
      </c>
      <c r="AC37" s="1">
        <v>56</v>
      </c>
      <c r="AD37" s="1">
        <v>41</v>
      </c>
      <c r="AE37" s="1"/>
      <c r="AF37" s="1"/>
      <c r="AG37" s="1"/>
      <c r="AH37" s="1"/>
      <c r="AI37" s="1"/>
      <c r="AJ37" s="1"/>
      <c r="AK37" s="2">
        <v>56</v>
      </c>
      <c r="AL37" s="2">
        <v>34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>
        <v>19.73</v>
      </c>
      <c r="BG37" s="2">
        <v>3.64</v>
      </c>
      <c r="BH37" s="1">
        <v>9.1999999999999998E-3</v>
      </c>
    </row>
    <row r="38" spans="1:60" x14ac:dyDescent="0.25">
      <c r="A38" s="1" t="s">
        <v>37</v>
      </c>
      <c r="B38" s="1" t="s">
        <v>198</v>
      </c>
      <c r="C38" s="1" t="s">
        <v>243</v>
      </c>
      <c r="D38" s="1" t="s">
        <v>229</v>
      </c>
      <c r="E38" s="1">
        <v>30</v>
      </c>
      <c r="F38" s="1">
        <v>400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>
        <v>56</v>
      </c>
      <c r="W38" s="1">
        <v>51</v>
      </c>
      <c r="X38" s="1"/>
      <c r="Y38" s="1"/>
      <c r="Z38" s="1"/>
      <c r="AA38" s="1"/>
      <c r="AB38" s="1">
        <v>64</v>
      </c>
      <c r="AC38" s="1">
        <v>55</v>
      </c>
      <c r="AD38" s="1">
        <v>46</v>
      </c>
      <c r="AE38" s="1"/>
      <c r="AF38" s="1"/>
      <c r="AG38" s="1"/>
      <c r="AH38" s="1"/>
      <c r="AI38" s="1"/>
      <c r="AJ38" s="1"/>
      <c r="AK38" s="2">
        <v>55</v>
      </c>
      <c r="AL38" s="2">
        <v>35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>
        <v>32.840000000000003</v>
      </c>
      <c r="BG38" s="2">
        <v>6.19</v>
      </c>
      <c r="BH38" s="1">
        <v>7.7000000000000002E-3</v>
      </c>
    </row>
    <row r="39" spans="1:60" x14ac:dyDescent="0.25">
      <c r="A39" s="1" t="s">
        <v>38</v>
      </c>
      <c r="B39" s="1" t="s">
        <v>198</v>
      </c>
      <c r="C39" s="1" t="s">
        <v>243</v>
      </c>
      <c r="D39" s="1" t="s">
        <v>229</v>
      </c>
      <c r="E39" s="1">
        <v>30</v>
      </c>
      <c r="F39" s="1">
        <v>400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"/>
    </row>
    <row r="40" spans="1:60" x14ac:dyDescent="0.25">
      <c r="A40" s="1" t="s">
        <v>39</v>
      </c>
      <c r="B40" s="1" t="s">
        <v>198</v>
      </c>
      <c r="C40" s="1" t="s">
        <v>244</v>
      </c>
      <c r="D40" s="1" t="s">
        <v>230</v>
      </c>
      <c r="E40" s="1">
        <v>38</v>
      </c>
      <c r="F40" s="1">
        <v>400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>
        <v>43</v>
      </c>
      <c r="W40" s="1">
        <v>45</v>
      </c>
      <c r="X40" s="1"/>
      <c r="Y40" s="1"/>
      <c r="Z40" s="1"/>
      <c r="AA40" s="1"/>
      <c r="AB40" s="1">
        <v>59</v>
      </c>
      <c r="AC40" s="1">
        <v>44</v>
      </c>
      <c r="AD40" s="1">
        <v>28</v>
      </c>
      <c r="AE40" s="1"/>
      <c r="AF40" s="1"/>
      <c r="AG40" s="1"/>
      <c r="AH40" s="1"/>
      <c r="AI40" s="1"/>
      <c r="AJ40" s="1"/>
      <c r="AK40" s="2">
        <v>43.666666666666664</v>
      </c>
      <c r="AL40" s="2">
        <v>46.333333333333336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>
        <v>10.91</v>
      </c>
      <c r="BG40" s="2">
        <v>1.7</v>
      </c>
      <c r="BH40" s="1">
        <v>5.1000000000000004E-3</v>
      </c>
    </row>
    <row r="41" spans="1:60" x14ac:dyDescent="0.25">
      <c r="A41" s="1" t="s">
        <v>40</v>
      </c>
      <c r="B41" s="1" t="s">
        <v>198</v>
      </c>
      <c r="C41" s="1" t="s">
        <v>244</v>
      </c>
      <c r="D41" s="1" t="s">
        <v>230</v>
      </c>
      <c r="E41" s="1">
        <v>38</v>
      </c>
      <c r="F41" s="1">
        <v>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v>59</v>
      </c>
      <c r="W41" s="1">
        <v>50</v>
      </c>
      <c r="X41" s="1"/>
      <c r="Y41" s="1"/>
      <c r="Z41" s="1"/>
      <c r="AA41" s="1"/>
      <c r="AB41" s="1">
        <v>65</v>
      </c>
      <c r="AC41" s="1">
        <v>47</v>
      </c>
      <c r="AD41" s="1">
        <v>32</v>
      </c>
      <c r="AE41" s="1"/>
      <c r="AF41" s="1"/>
      <c r="AG41" s="1"/>
      <c r="AH41" s="1"/>
      <c r="AI41" s="1"/>
      <c r="AJ41" s="1"/>
      <c r="AK41" s="2">
        <v>48</v>
      </c>
      <c r="AL41" s="2">
        <v>42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>
        <v>25.78</v>
      </c>
      <c r="BG41" s="2">
        <v>4.7699999999999996</v>
      </c>
      <c r="BH41" s="1">
        <v>8.6999999999999994E-3</v>
      </c>
    </row>
    <row r="42" spans="1:60" x14ac:dyDescent="0.25">
      <c r="A42" s="1" t="s">
        <v>41</v>
      </c>
      <c r="B42" s="1" t="s">
        <v>198</v>
      </c>
      <c r="C42" s="1" t="s">
        <v>244</v>
      </c>
      <c r="D42" s="1" t="s">
        <v>230</v>
      </c>
      <c r="E42" s="1">
        <v>38</v>
      </c>
      <c r="F42" s="1">
        <v>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46</v>
      </c>
      <c r="W42" s="1">
        <v>39</v>
      </c>
      <c r="X42" s="1"/>
      <c r="Y42" s="1"/>
      <c r="Z42" s="1"/>
      <c r="AA42" s="1"/>
      <c r="AB42" s="1">
        <v>45</v>
      </c>
      <c r="AC42" s="1">
        <v>39</v>
      </c>
      <c r="AD42" s="1">
        <v>28</v>
      </c>
      <c r="AE42" s="1"/>
      <c r="AF42" s="1"/>
      <c r="AG42" s="1"/>
      <c r="AH42" s="1"/>
      <c r="AI42" s="1"/>
      <c r="AJ42" s="1"/>
      <c r="AK42" s="2">
        <v>37.333333333333336</v>
      </c>
      <c r="AL42" s="2">
        <v>52.666666666666664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14.66</v>
      </c>
      <c r="BG42" s="2">
        <v>2.3199999999999998</v>
      </c>
      <c r="BH42" s="1">
        <v>6.3E-3</v>
      </c>
    </row>
    <row r="43" spans="1:60" x14ac:dyDescent="0.25">
      <c r="A43" s="1" t="s">
        <v>42</v>
      </c>
      <c r="B43" s="1" t="s">
        <v>198</v>
      </c>
      <c r="C43" s="1" t="s">
        <v>244</v>
      </c>
      <c r="D43" s="1" t="s">
        <v>230</v>
      </c>
      <c r="E43" s="1">
        <v>38</v>
      </c>
      <c r="F43" s="1">
        <v>400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49</v>
      </c>
      <c r="W43" s="1">
        <v>56</v>
      </c>
      <c r="X43" s="1"/>
      <c r="Y43" s="1"/>
      <c r="Z43" s="1"/>
      <c r="AA43" s="1"/>
      <c r="AB43" s="1">
        <v>56</v>
      </c>
      <c r="AC43" s="1">
        <v>54</v>
      </c>
      <c r="AD43" s="1">
        <v>32</v>
      </c>
      <c r="AE43" s="1"/>
      <c r="AF43" s="1"/>
      <c r="AG43" s="1"/>
      <c r="AH43" s="1"/>
      <c r="AI43" s="1"/>
      <c r="AJ43" s="1"/>
      <c r="AK43" s="2">
        <v>47.333333333333336</v>
      </c>
      <c r="AL43" s="2">
        <v>42.666666666666664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>
        <v>25.65</v>
      </c>
      <c r="BG43" s="2">
        <v>4.55</v>
      </c>
      <c r="BH43" s="1">
        <v>8.8999999999999999E-3</v>
      </c>
    </row>
    <row r="44" spans="1:60" x14ac:dyDescent="0.25">
      <c r="A44" s="1" t="s">
        <v>43</v>
      </c>
      <c r="B44" s="1" t="s">
        <v>198</v>
      </c>
      <c r="C44" s="1" t="s">
        <v>245</v>
      </c>
      <c r="D44" s="1" t="s">
        <v>231</v>
      </c>
      <c r="E44" s="1">
        <v>30</v>
      </c>
      <c r="F44" s="1">
        <v>800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>
        <v>67</v>
      </c>
      <c r="W44" s="1">
        <v>56</v>
      </c>
      <c r="X44" s="1"/>
      <c r="Y44" s="1"/>
      <c r="Z44" s="1"/>
      <c r="AA44" s="1"/>
      <c r="AB44" s="1">
        <v>59</v>
      </c>
      <c r="AC44" s="1">
        <v>54</v>
      </c>
      <c r="AD44" s="1">
        <v>46</v>
      </c>
      <c r="AE44" s="1"/>
      <c r="AF44" s="1"/>
      <c r="AG44" s="1"/>
      <c r="AH44" s="1"/>
      <c r="AI44" s="1"/>
      <c r="AJ44" s="1"/>
      <c r="AK44" s="2">
        <v>53</v>
      </c>
      <c r="AL44" s="2">
        <v>37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>
        <v>32.26</v>
      </c>
      <c r="BG44" s="2">
        <v>6.67</v>
      </c>
      <c r="BH44" s="1">
        <v>1.1599999999999999E-2</v>
      </c>
    </row>
    <row r="45" spans="1:60" x14ac:dyDescent="0.25">
      <c r="A45" s="1" t="s">
        <v>44</v>
      </c>
      <c r="B45" s="1" t="s">
        <v>198</v>
      </c>
      <c r="C45" s="1" t="s">
        <v>245</v>
      </c>
      <c r="D45" s="1" t="s">
        <v>231</v>
      </c>
      <c r="E45" s="1">
        <v>30</v>
      </c>
      <c r="F45" s="1">
        <v>800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65</v>
      </c>
      <c r="W45" s="1">
        <v>50</v>
      </c>
      <c r="X45" s="1"/>
      <c r="Y45" s="1"/>
      <c r="Z45" s="1"/>
      <c r="AA45" s="1"/>
      <c r="AB45" s="1">
        <v>62</v>
      </c>
      <c r="AC45" s="1">
        <v>59</v>
      </c>
      <c r="AD45" s="1">
        <v>43</v>
      </c>
      <c r="AE45" s="1"/>
      <c r="AF45" s="1"/>
      <c r="AG45" s="1"/>
      <c r="AH45" s="1"/>
      <c r="AI45" s="1"/>
      <c r="AJ45" s="1"/>
      <c r="AK45" s="2">
        <v>54.666666666666664</v>
      </c>
      <c r="AL45" s="2">
        <v>35.333333333333336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>
        <v>7.16</v>
      </c>
      <c r="BG45" s="2">
        <v>1.45</v>
      </c>
      <c r="BH45" s="1">
        <v>0.01</v>
      </c>
    </row>
    <row r="46" spans="1:60" x14ac:dyDescent="0.25">
      <c r="A46" s="1" t="s">
        <v>45</v>
      </c>
      <c r="B46" s="1" t="s">
        <v>198</v>
      </c>
      <c r="C46" s="1" t="s">
        <v>245</v>
      </c>
      <c r="D46" s="1" t="s">
        <v>231</v>
      </c>
      <c r="E46" s="1">
        <v>30</v>
      </c>
      <c r="F46" s="1">
        <v>800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64</v>
      </c>
      <c r="W46" s="1">
        <v>50</v>
      </c>
      <c r="X46" s="1"/>
      <c r="Y46" s="1"/>
      <c r="Z46" s="1"/>
      <c r="AA46" s="1"/>
      <c r="AB46" s="1">
        <v>61</v>
      </c>
      <c r="AC46" s="1">
        <v>57</v>
      </c>
      <c r="AD46" s="1">
        <v>49</v>
      </c>
      <c r="AE46" s="1"/>
      <c r="AF46" s="1"/>
      <c r="AG46" s="1"/>
      <c r="AH46" s="1"/>
      <c r="AI46" s="1"/>
      <c r="AJ46" s="1"/>
      <c r="AK46" s="2">
        <v>55.666666666666664</v>
      </c>
      <c r="AL46" s="2">
        <v>34.333333333333336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>
        <v>18.88</v>
      </c>
      <c r="BG46" s="2">
        <v>2.67</v>
      </c>
      <c r="BH46" s="1">
        <v>9.5999999999999992E-3</v>
      </c>
    </row>
    <row r="47" spans="1:60" x14ac:dyDescent="0.25">
      <c r="A47" s="1" t="s">
        <v>46</v>
      </c>
      <c r="B47" s="1" t="s">
        <v>198</v>
      </c>
      <c r="C47" s="1" t="s">
        <v>245</v>
      </c>
      <c r="D47" s="1" t="s">
        <v>231</v>
      </c>
      <c r="E47" s="1">
        <v>30</v>
      </c>
      <c r="F47" s="1">
        <v>800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62</v>
      </c>
      <c r="W47" s="1">
        <v>54</v>
      </c>
      <c r="X47" s="1"/>
      <c r="Y47" s="1"/>
      <c r="Z47" s="1"/>
      <c r="AA47" s="1"/>
      <c r="AB47" s="1">
        <v>62</v>
      </c>
      <c r="AC47" s="1">
        <v>53</v>
      </c>
      <c r="AD47" s="1">
        <v>45</v>
      </c>
      <c r="AE47" s="1"/>
      <c r="AF47" s="1"/>
      <c r="AG47" s="1"/>
      <c r="AH47" s="1"/>
      <c r="AI47" s="1"/>
      <c r="AJ47" s="1"/>
      <c r="AK47" s="2">
        <v>53.333333333333336</v>
      </c>
      <c r="AL47" s="2">
        <v>36.666666666666664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>
        <v>32.22</v>
      </c>
      <c r="BG47" s="2">
        <v>7.08</v>
      </c>
      <c r="BH47" s="1">
        <v>1.0699999999999999E-2</v>
      </c>
    </row>
    <row r="48" spans="1:60" x14ac:dyDescent="0.25">
      <c r="A48" s="1" t="s">
        <v>47</v>
      </c>
      <c r="B48" s="1" t="s">
        <v>199</v>
      </c>
      <c r="C48" s="1" t="s">
        <v>246</v>
      </c>
      <c r="D48" s="1" t="s">
        <v>232</v>
      </c>
      <c r="E48" s="1">
        <v>38</v>
      </c>
      <c r="F48" s="1">
        <v>800</v>
      </c>
      <c r="G48" s="1">
        <v>45</v>
      </c>
      <c r="H48" s="1">
        <v>45</v>
      </c>
      <c r="I48" s="1"/>
      <c r="J48" s="1"/>
      <c r="K48" s="1"/>
      <c r="L48" s="1"/>
      <c r="M48" s="1">
        <v>42</v>
      </c>
      <c r="N48" s="1">
        <v>60</v>
      </c>
      <c r="O48" s="1"/>
      <c r="P48" s="1"/>
      <c r="Q48" s="1"/>
      <c r="R48" s="1"/>
      <c r="S48" s="1"/>
      <c r="T48" s="1"/>
      <c r="U48" s="1"/>
      <c r="V48" s="1">
        <v>60</v>
      </c>
      <c r="W48" s="1">
        <v>57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>
        <v>54.75</v>
      </c>
      <c r="AL48" s="2">
        <v>35.25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1"/>
    </row>
    <row r="49" spans="1:60" x14ac:dyDescent="0.25">
      <c r="A49" s="1" t="s">
        <v>48</v>
      </c>
      <c r="B49" s="1" t="s">
        <v>199</v>
      </c>
      <c r="C49" s="1" t="s">
        <v>246</v>
      </c>
      <c r="D49" s="1" t="s">
        <v>232</v>
      </c>
      <c r="E49" s="1">
        <v>38</v>
      </c>
      <c r="F49" s="1">
        <v>800</v>
      </c>
      <c r="G49" s="1">
        <v>30</v>
      </c>
      <c r="H49" s="1">
        <v>65</v>
      </c>
      <c r="I49" s="1"/>
      <c r="J49" s="1"/>
      <c r="K49" s="1"/>
      <c r="L49" s="1"/>
      <c r="M49" s="1">
        <v>50</v>
      </c>
      <c r="N49" s="1">
        <v>55</v>
      </c>
      <c r="O49" s="1"/>
      <c r="P49" s="1"/>
      <c r="Q49" s="1"/>
      <c r="R49" s="1"/>
      <c r="S49" s="1"/>
      <c r="T49" s="1"/>
      <c r="U49" s="1"/>
      <c r="V49" s="1">
        <v>47</v>
      </c>
      <c r="W49" s="1">
        <v>59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>
        <v>52.75</v>
      </c>
      <c r="AL49" s="2">
        <v>37.25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"/>
    </row>
    <row r="50" spans="1:60" x14ac:dyDescent="0.25">
      <c r="A50" s="1" t="s">
        <v>49</v>
      </c>
      <c r="B50" s="1" t="s">
        <v>199</v>
      </c>
      <c r="C50" s="1" t="s">
        <v>246</v>
      </c>
      <c r="D50" s="1" t="s">
        <v>232</v>
      </c>
      <c r="E50" s="1">
        <v>38</v>
      </c>
      <c r="F50" s="1">
        <v>800</v>
      </c>
      <c r="G50" s="1">
        <v>48</v>
      </c>
      <c r="H50" s="1">
        <v>40</v>
      </c>
      <c r="I50" s="1"/>
      <c r="J50" s="1"/>
      <c r="K50" s="1"/>
      <c r="L50" s="1"/>
      <c r="M50" s="1">
        <v>47</v>
      </c>
      <c r="N50" s="1">
        <v>54</v>
      </c>
      <c r="O50" s="1"/>
      <c r="P50" s="1"/>
      <c r="Q50" s="1"/>
      <c r="R50" s="1"/>
      <c r="S50" s="1"/>
      <c r="T50" s="1"/>
      <c r="U50" s="1"/>
      <c r="V50" s="1">
        <v>50</v>
      </c>
      <c r="W50" s="1">
        <v>55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>
        <v>51.5</v>
      </c>
      <c r="AL50" s="2">
        <v>38.5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"/>
    </row>
    <row r="51" spans="1:60" x14ac:dyDescent="0.25">
      <c r="A51" s="1" t="s">
        <v>50</v>
      </c>
      <c r="B51" s="1" t="s">
        <v>199</v>
      </c>
      <c r="C51" s="1" t="s">
        <v>246</v>
      </c>
      <c r="D51" s="1" t="s">
        <v>232</v>
      </c>
      <c r="E51" s="1">
        <v>38</v>
      </c>
      <c r="F51" s="1">
        <v>800</v>
      </c>
      <c r="G51" s="1">
        <v>36</v>
      </c>
      <c r="H51" s="1">
        <v>52</v>
      </c>
      <c r="I51" s="1"/>
      <c r="J51" s="1"/>
      <c r="K51" s="1"/>
      <c r="L51" s="1"/>
      <c r="M51" s="1">
        <v>56</v>
      </c>
      <c r="N51" s="1">
        <v>58</v>
      </c>
      <c r="O51" s="1"/>
      <c r="P51" s="1"/>
      <c r="Q51" s="1"/>
      <c r="R51" s="1"/>
      <c r="S51" s="1"/>
      <c r="T51" s="1"/>
      <c r="U51" s="1"/>
      <c r="V51" s="1">
        <v>64</v>
      </c>
      <c r="W51" s="1">
        <v>70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>
        <v>62</v>
      </c>
      <c r="AL51" s="2">
        <v>28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1"/>
    </row>
    <row r="52" spans="1:60" x14ac:dyDescent="0.25">
      <c r="A52" s="1" t="s">
        <v>51</v>
      </c>
      <c r="B52" s="1" t="s">
        <v>199</v>
      </c>
      <c r="C52" s="1" t="s">
        <v>246</v>
      </c>
      <c r="D52" s="1" t="s">
        <v>232</v>
      </c>
      <c r="E52" s="1">
        <v>38</v>
      </c>
      <c r="F52" s="1">
        <v>800</v>
      </c>
      <c r="G52" s="1">
        <v>52</v>
      </c>
      <c r="H52" s="1">
        <v>38</v>
      </c>
      <c r="I52" s="1"/>
      <c r="J52" s="1"/>
      <c r="K52" s="1"/>
      <c r="L52" s="1"/>
      <c r="M52" s="1">
        <v>64</v>
      </c>
      <c r="N52" s="1">
        <v>59</v>
      </c>
      <c r="O52" s="1"/>
      <c r="P52" s="1"/>
      <c r="Q52" s="1"/>
      <c r="R52" s="1"/>
      <c r="S52" s="1"/>
      <c r="T52" s="1"/>
      <c r="U52" s="1"/>
      <c r="V52" s="1">
        <v>56</v>
      </c>
      <c r="W52" s="1">
        <v>55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>
        <v>58.5</v>
      </c>
      <c r="AL52" s="2">
        <v>31.5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"/>
    </row>
    <row r="53" spans="1:60" x14ac:dyDescent="0.25">
      <c r="A53" s="1" t="s">
        <v>52</v>
      </c>
      <c r="B53" s="1" t="s">
        <v>199</v>
      </c>
      <c r="C53" s="1" t="s">
        <v>246</v>
      </c>
      <c r="D53" s="1" t="s">
        <v>232</v>
      </c>
      <c r="E53" s="1">
        <v>38</v>
      </c>
      <c r="F53" s="1">
        <v>800</v>
      </c>
      <c r="G53" s="1">
        <v>30</v>
      </c>
      <c r="H53" s="1">
        <v>36</v>
      </c>
      <c r="I53" s="1"/>
      <c r="J53" s="1"/>
      <c r="K53" s="1"/>
      <c r="L53" s="1"/>
      <c r="M53" s="1">
        <v>46</v>
      </c>
      <c r="N53" s="1">
        <v>72</v>
      </c>
      <c r="O53" s="1"/>
      <c r="P53" s="1"/>
      <c r="Q53" s="1"/>
      <c r="R53" s="1"/>
      <c r="S53" s="1"/>
      <c r="T53" s="1"/>
      <c r="U53" s="1"/>
      <c r="V53" s="1">
        <v>52</v>
      </c>
      <c r="W53" s="1">
        <v>58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>
        <v>57</v>
      </c>
      <c r="AL53" s="2">
        <v>33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1"/>
    </row>
    <row r="54" spans="1:60" x14ac:dyDescent="0.25">
      <c r="A54" s="1" t="s">
        <v>53</v>
      </c>
      <c r="B54" s="1" t="s">
        <v>199</v>
      </c>
      <c r="C54" s="1" t="s">
        <v>247</v>
      </c>
      <c r="D54" s="1" t="s">
        <v>230</v>
      </c>
      <c r="E54" s="1">
        <v>38</v>
      </c>
      <c r="F54" s="1">
        <v>400</v>
      </c>
      <c r="G54" s="1">
        <v>40</v>
      </c>
      <c r="H54" s="1">
        <v>50</v>
      </c>
      <c r="I54" s="1"/>
      <c r="J54" s="1"/>
      <c r="K54" s="1"/>
      <c r="L54" s="1"/>
      <c r="M54" s="1">
        <v>45</v>
      </c>
      <c r="N54" s="1">
        <v>54</v>
      </c>
      <c r="O54" s="1"/>
      <c r="P54" s="1"/>
      <c r="Q54" s="1"/>
      <c r="R54" s="1"/>
      <c r="S54" s="1"/>
      <c r="T54" s="1"/>
      <c r="U54" s="1"/>
      <c r="V54" s="1">
        <v>66</v>
      </c>
      <c r="W54" s="1">
        <v>49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2">
        <v>53.5</v>
      </c>
      <c r="AL54" s="2">
        <v>36.5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1"/>
    </row>
    <row r="55" spans="1:60" x14ac:dyDescent="0.25">
      <c r="A55" s="1" t="s">
        <v>54</v>
      </c>
      <c r="B55" s="1" t="s">
        <v>199</v>
      </c>
      <c r="C55" s="1" t="s">
        <v>247</v>
      </c>
      <c r="D55" s="1" t="s">
        <v>230</v>
      </c>
      <c r="E55" s="1">
        <v>38</v>
      </c>
      <c r="F55" s="1">
        <v>400</v>
      </c>
      <c r="G55" s="1">
        <v>47</v>
      </c>
      <c r="H55" s="1">
        <v>48</v>
      </c>
      <c r="I55" s="1"/>
      <c r="J55" s="1"/>
      <c r="K55" s="1"/>
      <c r="L55" s="1"/>
      <c r="M55" s="1">
        <v>75</v>
      </c>
      <c r="N55" s="1">
        <v>62</v>
      </c>
      <c r="O55" s="1"/>
      <c r="P55" s="1"/>
      <c r="Q55" s="1"/>
      <c r="R55" s="1"/>
      <c r="S55" s="1"/>
      <c r="T55" s="1"/>
      <c r="U55" s="1"/>
      <c r="V55" s="1">
        <v>52</v>
      </c>
      <c r="W55" s="1">
        <v>63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">
        <v>63</v>
      </c>
      <c r="AL55" s="2">
        <v>27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1"/>
    </row>
    <row r="56" spans="1:60" x14ac:dyDescent="0.25">
      <c r="A56" s="1" t="s">
        <v>55</v>
      </c>
      <c r="B56" s="1" t="s">
        <v>199</v>
      </c>
      <c r="C56" s="1" t="s">
        <v>247</v>
      </c>
      <c r="D56" s="1" t="s">
        <v>230</v>
      </c>
      <c r="E56" s="1">
        <v>38</v>
      </c>
      <c r="F56" s="1">
        <v>400</v>
      </c>
      <c r="G56" s="1">
        <v>32</v>
      </c>
      <c r="H56" s="1">
        <v>39</v>
      </c>
      <c r="I56" s="1"/>
      <c r="J56" s="1"/>
      <c r="K56" s="1"/>
      <c r="L56" s="1"/>
      <c r="M56" s="1">
        <v>58</v>
      </c>
      <c r="N56" s="1">
        <v>50</v>
      </c>
      <c r="O56" s="1"/>
      <c r="P56" s="1"/>
      <c r="Q56" s="1"/>
      <c r="R56" s="1"/>
      <c r="S56" s="1"/>
      <c r="T56" s="1"/>
      <c r="U56" s="1"/>
      <c r="V56" s="1">
        <v>54</v>
      </c>
      <c r="W56" s="1">
        <v>54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">
        <v>54</v>
      </c>
      <c r="AL56" s="2">
        <v>36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1"/>
    </row>
    <row r="57" spans="1:60" x14ac:dyDescent="0.25">
      <c r="A57" s="1" t="s">
        <v>56</v>
      </c>
      <c r="B57" s="1" t="s">
        <v>199</v>
      </c>
      <c r="C57" s="1" t="s">
        <v>247</v>
      </c>
      <c r="D57" s="1" t="s">
        <v>230</v>
      </c>
      <c r="E57" s="1">
        <v>38</v>
      </c>
      <c r="F57" s="1">
        <v>400</v>
      </c>
      <c r="G57" s="1">
        <v>45</v>
      </c>
      <c r="H57" s="1">
        <v>44</v>
      </c>
      <c r="I57" s="1"/>
      <c r="J57" s="1"/>
      <c r="K57" s="1"/>
      <c r="L57" s="1"/>
      <c r="M57" s="1">
        <v>44</v>
      </c>
      <c r="N57" s="1">
        <v>60</v>
      </c>
      <c r="O57" s="1"/>
      <c r="P57" s="1"/>
      <c r="Q57" s="1"/>
      <c r="R57" s="1"/>
      <c r="S57" s="1"/>
      <c r="T57" s="1"/>
      <c r="U57" s="1"/>
      <c r="V57" s="1">
        <v>65</v>
      </c>
      <c r="W57" s="1">
        <v>48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">
        <v>54.25</v>
      </c>
      <c r="AL57" s="2">
        <v>35.75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1"/>
    </row>
    <row r="58" spans="1:60" x14ac:dyDescent="0.25">
      <c r="A58" s="1" t="s">
        <v>57</v>
      </c>
      <c r="B58" s="1" t="s">
        <v>199</v>
      </c>
      <c r="C58" s="1" t="s">
        <v>247</v>
      </c>
      <c r="D58" s="1" t="s">
        <v>230</v>
      </c>
      <c r="E58" s="1">
        <v>38</v>
      </c>
      <c r="F58" s="1">
        <v>400</v>
      </c>
      <c r="G58" s="1">
        <v>47</v>
      </c>
      <c r="H58" s="1">
        <v>43</v>
      </c>
      <c r="I58" s="1"/>
      <c r="J58" s="1"/>
      <c r="K58" s="1"/>
      <c r="L58" s="1"/>
      <c r="M58" s="1">
        <v>55</v>
      </c>
      <c r="N58" s="1">
        <v>60</v>
      </c>
      <c r="O58" s="1"/>
      <c r="P58" s="1"/>
      <c r="Q58" s="1"/>
      <c r="R58" s="1"/>
      <c r="S58" s="1"/>
      <c r="T58" s="1"/>
      <c r="U58" s="1"/>
      <c r="V58" s="1">
        <v>71</v>
      </c>
      <c r="W58" s="1">
        <v>49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">
        <v>58.75</v>
      </c>
      <c r="AL58" s="2">
        <v>31.25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1"/>
    </row>
    <row r="59" spans="1:60" x14ac:dyDescent="0.25">
      <c r="A59" s="1" t="s">
        <v>58</v>
      </c>
      <c r="B59" s="1" t="s">
        <v>199</v>
      </c>
      <c r="C59" s="1" t="s">
        <v>247</v>
      </c>
      <c r="D59" s="1" t="s">
        <v>230</v>
      </c>
      <c r="E59" s="1">
        <v>38</v>
      </c>
      <c r="F59" s="1">
        <v>400</v>
      </c>
      <c r="G59" s="1">
        <v>43</v>
      </c>
      <c r="H59" s="1">
        <v>44</v>
      </c>
      <c r="I59" s="1"/>
      <c r="J59" s="1"/>
      <c r="K59" s="1"/>
      <c r="L59" s="1"/>
      <c r="M59" s="1">
        <v>60</v>
      </c>
      <c r="N59" s="1">
        <v>48</v>
      </c>
      <c r="O59" s="1"/>
      <c r="P59" s="1"/>
      <c r="Q59" s="1"/>
      <c r="R59" s="1"/>
      <c r="S59" s="1"/>
      <c r="T59" s="1"/>
      <c r="U59" s="1"/>
      <c r="V59" s="1">
        <v>64</v>
      </c>
      <c r="W59" s="1">
        <v>49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">
        <v>55.25</v>
      </c>
      <c r="AL59" s="2">
        <v>34.75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"/>
    </row>
    <row r="60" spans="1:60" x14ac:dyDescent="0.25">
      <c r="A60" s="1" t="s">
        <v>59</v>
      </c>
      <c r="B60" s="1" t="s">
        <v>199</v>
      </c>
      <c r="C60" s="1" t="s">
        <v>248</v>
      </c>
      <c r="D60" s="1" t="s">
        <v>231</v>
      </c>
      <c r="E60" s="1">
        <v>30</v>
      </c>
      <c r="F60" s="1">
        <v>800</v>
      </c>
      <c r="G60" s="1">
        <v>32</v>
      </c>
      <c r="H60" s="1">
        <v>34</v>
      </c>
      <c r="I60" s="1"/>
      <c r="J60" s="1"/>
      <c r="K60" s="1"/>
      <c r="L60" s="1"/>
      <c r="M60" s="1">
        <v>40</v>
      </c>
      <c r="N60" s="1">
        <v>43</v>
      </c>
      <c r="O60" s="1"/>
      <c r="P60" s="1"/>
      <c r="Q60" s="1"/>
      <c r="R60" s="1"/>
      <c r="S60" s="1"/>
      <c r="T60" s="1"/>
      <c r="U60" s="1"/>
      <c r="V60" s="1">
        <v>39</v>
      </c>
      <c r="W60" s="1">
        <v>46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">
        <v>42</v>
      </c>
      <c r="AL60" s="2">
        <v>48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1"/>
    </row>
    <row r="61" spans="1:60" x14ac:dyDescent="0.25">
      <c r="A61" s="1" t="s">
        <v>60</v>
      </c>
      <c r="B61" s="1" t="s">
        <v>199</v>
      </c>
      <c r="C61" s="1" t="s">
        <v>248</v>
      </c>
      <c r="D61" s="1" t="s">
        <v>231</v>
      </c>
      <c r="E61" s="1">
        <v>30</v>
      </c>
      <c r="F61" s="1">
        <v>800</v>
      </c>
      <c r="G61" s="1">
        <v>25</v>
      </c>
      <c r="H61" s="1">
        <v>32</v>
      </c>
      <c r="I61" s="1"/>
      <c r="J61" s="1"/>
      <c r="K61" s="1"/>
      <c r="L61" s="1"/>
      <c r="M61" s="1">
        <v>45</v>
      </c>
      <c r="N61" s="1">
        <v>56</v>
      </c>
      <c r="O61" s="1"/>
      <c r="P61" s="1"/>
      <c r="Q61" s="1"/>
      <c r="R61" s="1"/>
      <c r="S61" s="1"/>
      <c r="T61" s="1"/>
      <c r="U61" s="1"/>
      <c r="V61" s="1">
        <v>52</v>
      </c>
      <c r="W61" s="1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">
        <v>47.75</v>
      </c>
      <c r="AL61" s="2">
        <v>42.25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1"/>
    </row>
    <row r="62" spans="1:60" x14ac:dyDescent="0.25">
      <c r="A62" s="1" t="s">
        <v>61</v>
      </c>
      <c r="B62" s="1" t="s">
        <v>199</v>
      </c>
      <c r="C62" s="1" t="s">
        <v>248</v>
      </c>
      <c r="D62" s="1" t="s">
        <v>231</v>
      </c>
      <c r="E62" s="1">
        <v>30</v>
      </c>
      <c r="F62" s="1">
        <v>800</v>
      </c>
      <c r="G62" s="1">
        <v>36</v>
      </c>
      <c r="H62" s="1">
        <v>40</v>
      </c>
      <c r="I62" s="1"/>
      <c r="J62" s="1"/>
      <c r="K62" s="1"/>
      <c r="L62" s="1"/>
      <c r="M62" s="1">
        <v>42</v>
      </c>
      <c r="N62" s="1">
        <v>53</v>
      </c>
      <c r="O62" s="1"/>
      <c r="P62" s="1"/>
      <c r="Q62" s="1"/>
      <c r="R62" s="1"/>
      <c r="S62" s="1"/>
      <c r="T62" s="1"/>
      <c r="U62" s="1"/>
      <c r="V62" s="1">
        <v>62</v>
      </c>
      <c r="W62" s="1">
        <v>59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">
        <v>54</v>
      </c>
      <c r="AL62" s="2">
        <v>36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1"/>
    </row>
    <row r="63" spans="1:60" x14ac:dyDescent="0.25">
      <c r="A63" s="1" t="s">
        <v>62</v>
      </c>
      <c r="B63" s="1" t="s">
        <v>199</v>
      </c>
      <c r="C63" s="1" t="s">
        <v>248</v>
      </c>
      <c r="D63" s="1" t="s">
        <v>231</v>
      </c>
      <c r="E63" s="1">
        <v>30</v>
      </c>
      <c r="F63" s="1">
        <v>800</v>
      </c>
      <c r="G63" s="1">
        <v>34</v>
      </c>
      <c r="H63" s="1">
        <v>31</v>
      </c>
      <c r="I63" s="1"/>
      <c r="J63" s="1"/>
      <c r="K63" s="1"/>
      <c r="L63" s="1"/>
      <c r="M63" s="1">
        <v>56</v>
      </c>
      <c r="N63" s="1">
        <v>62</v>
      </c>
      <c r="O63" s="1"/>
      <c r="P63" s="1"/>
      <c r="Q63" s="1"/>
      <c r="R63" s="1"/>
      <c r="S63" s="1"/>
      <c r="T63" s="1"/>
      <c r="U63" s="1"/>
      <c r="V63" s="1">
        <v>54</v>
      </c>
      <c r="W63" s="1">
        <v>46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">
        <v>54.5</v>
      </c>
      <c r="AL63" s="2">
        <v>35.5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1"/>
    </row>
    <row r="64" spans="1:60" x14ac:dyDescent="0.25">
      <c r="A64" s="1" t="s">
        <v>63</v>
      </c>
      <c r="B64" s="1" t="s">
        <v>199</v>
      </c>
      <c r="C64" s="1" t="s">
        <v>248</v>
      </c>
      <c r="D64" s="1" t="s">
        <v>231</v>
      </c>
      <c r="E64" s="1">
        <v>30</v>
      </c>
      <c r="F64" s="1">
        <v>800</v>
      </c>
      <c r="G64" s="1">
        <v>34</v>
      </c>
      <c r="H64" s="1">
        <v>45</v>
      </c>
      <c r="I64" s="1"/>
      <c r="J64" s="1"/>
      <c r="K64" s="1"/>
      <c r="L64" s="1"/>
      <c r="M64" s="1">
        <v>38</v>
      </c>
      <c r="N64" s="1">
        <v>42</v>
      </c>
      <c r="O64" s="1"/>
      <c r="P64" s="1"/>
      <c r="Q64" s="1"/>
      <c r="R64" s="1"/>
      <c r="S64" s="1"/>
      <c r="T64" s="1"/>
      <c r="U64" s="1"/>
      <c r="V64" s="1">
        <v>64</v>
      </c>
      <c r="W64" s="1">
        <v>56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">
        <v>50</v>
      </c>
      <c r="AL64" s="2">
        <v>40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1"/>
    </row>
    <row r="65" spans="1:60" x14ac:dyDescent="0.25">
      <c r="A65" s="1" t="s">
        <v>64</v>
      </c>
      <c r="B65" s="1" t="s">
        <v>199</v>
      </c>
      <c r="C65" s="1" t="s">
        <v>248</v>
      </c>
      <c r="D65" s="1" t="s">
        <v>231</v>
      </c>
      <c r="E65" s="1">
        <v>30</v>
      </c>
      <c r="F65" s="1">
        <v>800</v>
      </c>
      <c r="G65" s="1"/>
      <c r="H65" s="1"/>
      <c r="I65" s="1"/>
      <c r="J65" s="1"/>
      <c r="K65" s="1"/>
      <c r="L65" s="1"/>
      <c r="M65" s="1">
        <v>52</v>
      </c>
      <c r="N65" s="1">
        <v>45</v>
      </c>
      <c r="O65" s="1"/>
      <c r="P65" s="1"/>
      <c r="Q65" s="1"/>
      <c r="R65" s="1"/>
      <c r="S65" s="1"/>
      <c r="T65" s="1"/>
      <c r="U65" s="1"/>
      <c r="V65" s="1">
        <v>45</v>
      </c>
      <c r="W65" s="1">
        <v>40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">
        <v>45.5</v>
      </c>
      <c r="AL65" s="2">
        <v>44.5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spans="1:60" x14ac:dyDescent="0.25">
      <c r="A66" s="1" t="s">
        <v>65</v>
      </c>
      <c r="B66" s="1" t="s">
        <v>199</v>
      </c>
      <c r="C66" s="1" t="s">
        <v>249</v>
      </c>
      <c r="D66" s="1" t="s">
        <v>229</v>
      </c>
      <c r="E66" s="1">
        <v>30</v>
      </c>
      <c r="F66" s="1">
        <v>400</v>
      </c>
      <c r="G66" s="1">
        <v>40</v>
      </c>
      <c r="H66" s="1">
        <v>60</v>
      </c>
      <c r="I66" s="1"/>
      <c r="J66" s="1"/>
      <c r="K66" s="1"/>
      <c r="L66" s="1"/>
      <c r="M66" s="1">
        <v>44</v>
      </c>
      <c r="N66" s="1">
        <v>70</v>
      </c>
      <c r="O66" s="1"/>
      <c r="P66" s="1"/>
      <c r="Q66" s="1"/>
      <c r="R66" s="1"/>
      <c r="S66" s="1"/>
      <c r="T66" s="1"/>
      <c r="U66" s="1"/>
      <c r="V66" s="1">
        <v>63</v>
      </c>
      <c r="W66" s="1">
        <v>65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">
        <v>60.5</v>
      </c>
      <c r="AL66" s="2">
        <v>29.5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1"/>
    </row>
    <row r="67" spans="1:60" x14ac:dyDescent="0.25">
      <c r="A67" s="1" t="s">
        <v>66</v>
      </c>
      <c r="B67" s="1" t="s">
        <v>199</v>
      </c>
      <c r="C67" s="1" t="s">
        <v>249</v>
      </c>
      <c r="D67" s="1" t="s">
        <v>229</v>
      </c>
      <c r="E67" s="1">
        <v>30</v>
      </c>
      <c r="F67" s="1">
        <v>400</v>
      </c>
      <c r="G67" s="1">
        <v>49</v>
      </c>
      <c r="H67" s="1">
        <v>41</v>
      </c>
      <c r="I67" s="1"/>
      <c r="J67" s="1"/>
      <c r="K67" s="1"/>
      <c r="L67" s="1"/>
      <c r="M67" s="1">
        <v>60</v>
      </c>
      <c r="N67" s="1">
        <v>58</v>
      </c>
      <c r="O67" s="1"/>
      <c r="P67" s="1"/>
      <c r="Q67" s="1"/>
      <c r="R67" s="1"/>
      <c r="S67" s="1"/>
      <c r="T67" s="1"/>
      <c r="U67" s="1"/>
      <c r="V67" s="1">
        <v>53</v>
      </c>
      <c r="W67" s="1">
        <v>65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">
        <v>59</v>
      </c>
      <c r="AL67" s="2">
        <v>31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"/>
    </row>
    <row r="68" spans="1:60" x14ac:dyDescent="0.25">
      <c r="A68" s="1" t="s">
        <v>67</v>
      </c>
      <c r="B68" s="1" t="s">
        <v>199</v>
      </c>
      <c r="C68" s="1" t="s">
        <v>249</v>
      </c>
      <c r="D68" s="1" t="s">
        <v>229</v>
      </c>
      <c r="E68" s="1">
        <v>30</v>
      </c>
      <c r="F68" s="1">
        <v>400</v>
      </c>
      <c r="G68" s="1">
        <v>48</v>
      </c>
      <c r="H68" s="1">
        <v>42</v>
      </c>
      <c r="I68" s="1"/>
      <c r="J68" s="1"/>
      <c r="K68" s="1"/>
      <c r="L68" s="1"/>
      <c r="M68" s="1">
        <v>62</v>
      </c>
      <c r="N68" s="1">
        <v>56</v>
      </c>
      <c r="O68" s="1"/>
      <c r="P68" s="1"/>
      <c r="Q68" s="1"/>
      <c r="R68" s="1"/>
      <c r="S68" s="1"/>
      <c r="T68" s="1"/>
      <c r="U68" s="1"/>
      <c r="V68" s="1">
        <v>71</v>
      </c>
      <c r="W68" s="1">
        <v>65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">
        <v>63.5</v>
      </c>
      <c r="AL68" s="2">
        <v>26.5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1"/>
    </row>
    <row r="69" spans="1:60" x14ac:dyDescent="0.25">
      <c r="A69" s="1" t="s">
        <v>68</v>
      </c>
      <c r="B69" s="1" t="s">
        <v>199</v>
      </c>
      <c r="C69" s="1" t="s">
        <v>249</v>
      </c>
      <c r="D69" s="1" t="s">
        <v>229</v>
      </c>
      <c r="E69" s="1">
        <v>30</v>
      </c>
      <c r="F69" s="1">
        <v>400</v>
      </c>
      <c r="G69" s="1">
        <v>42</v>
      </c>
      <c r="H69" s="1">
        <v>33</v>
      </c>
      <c r="I69" s="1"/>
      <c r="J69" s="1"/>
      <c r="K69" s="1"/>
      <c r="L69" s="1"/>
      <c r="M69" s="1">
        <v>58</v>
      </c>
      <c r="N69" s="1">
        <v>54</v>
      </c>
      <c r="O69" s="1"/>
      <c r="P69" s="1"/>
      <c r="Q69" s="1"/>
      <c r="R69" s="1"/>
      <c r="S69" s="1"/>
      <c r="T69" s="1"/>
      <c r="U69" s="1"/>
      <c r="V69" s="1">
        <v>58</v>
      </c>
      <c r="W69" s="1">
        <v>55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">
        <v>56.25</v>
      </c>
      <c r="AL69" s="2">
        <v>33.75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1"/>
    </row>
    <row r="70" spans="1:60" x14ac:dyDescent="0.25">
      <c r="A70" s="1" t="s">
        <v>69</v>
      </c>
      <c r="B70" s="1" t="s">
        <v>199</v>
      </c>
      <c r="C70" s="1" t="s">
        <v>249</v>
      </c>
      <c r="D70" s="1" t="s">
        <v>229</v>
      </c>
      <c r="E70" s="1">
        <v>30</v>
      </c>
      <c r="F70" s="1">
        <v>400</v>
      </c>
      <c r="G70" s="1">
        <v>39</v>
      </c>
      <c r="H70" s="1">
        <v>48</v>
      </c>
      <c r="I70" s="1"/>
      <c r="J70" s="1"/>
      <c r="K70" s="1"/>
      <c r="L70" s="1"/>
      <c r="M70" s="1">
        <v>47</v>
      </c>
      <c r="N70" s="1">
        <v>58</v>
      </c>
      <c r="O70" s="1"/>
      <c r="P70" s="1"/>
      <c r="Q70" s="1"/>
      <c r="R70" s="1"/>
      <c r="S70" s="1"/>
      <c r="T70" s="1"/>
      <c r="U70" s="1"/>
      <c r="V70" s="1">
        <v>53</v>
      </c>
      <c r="W70" s="1">
        <v>57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">
        <v>53.75</v>
      </c>
      <c r="AL70" s="2">
        <v>36.25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1"/>
    </row>
    <row r="71" spans="1:60" x14ac:dyDescent="0.25">
      <c r="A71" s="1" t="s">
        <v>70</v>
      </c>
      <c r="B71" s="1" t="s">
        <v>199</v>
      </c>
      <c r="C71" s="1" t="s">
        <v>249</v>
      </c>
      <c r="D71" s="1" t="s">
        <v>229</v>
      </c>
      <c r="E71" s="1">
        <v>30</v>
      </c>
      <c r="F71" s="1">
        <v>400</v>
      </c>
      <c r="G71" s="1">
        <v>38</v>
      </c>
      <c r="H71" s="1">
        <v>48</v>
      </c>
      <c r="I71" s="1"/>
      <c r="J71" s="1"/>
      <c r="K71" s="1"/>
      <c r="L71" s="1"/>
      <c r="M71" s="1">
        <v>55</v>
      </c>
      <c r="N71" s="1">
        <v>57</v>
      </c>
      <c r="O71" s="1"/>
      <c r="P71" s="1"/>
      <c r="Q71" s="1"/>
      <c r="R71" s="1"/>
      <c r="S71" s="1"/>
      <c r="T71" s="1"/>
      <c r="U71" s="1"/>
      <c r="V71" s="1">
        <v>65</v>
      </c>
      <c r="W71" s="1">
        <v>56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">
        <v>58.25</v>
      </c>
      <c r="AL71" s="2">
        <v>31.75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1"/>
    </row>
    <row r="72" spans="1:60" x14ac:dyDescent="0.25">
      <c r="A72" s="1" t="s">
        <v>71</v>
      </c>
      <c r="B72" s="1" t="s">
        <v>200</v>
      </c>
      <c r="C72" s="1" t="s">
        <v>250</v>
      </c>
      <c r="D72" s="1" t="s">
        <v>229</v>
      </c>
      <c r="E72" s="1">
        <v>30</v>
      </c>
      <c r="F72" s="1">
        <v>400</v>
      </c>
      <c r="G72" s="1"/>
      <c r="H72" s="1"/>
      <c r="I72" s="1"/>
      <c r="J72" s="1">
        <v>92</v>
      </c>
      <c r="K72" s="1">
        <v>87</v>
      </c>
      <c r="L72" s="1">
        <v>85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63</v>
      </c>
      <c r="AI72" s="1">
        <v>49</v>
      </c>
      <c r="AJ72" s="1">
        <v>39</v>
      </c>
      <c r="AK72" s="2">
        <f>AVERAGE(AH72:AJ72)</f>
        <v>50.333333333333336</v>
      </c>
      <c r="AL72" s="2">
        <f>90-AK72</f>
        <v>39.666666666666664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>
        <v>10.81</v>
      </c>
      <c r="BH72" s="1">
        <v>0.01</v>
      </c>
    </row>
    <row r="73" spans="1:60" x14ac:dyDescent="0.25">
      <c r="A73" s="1" t="s">
        <v>72</v>
      </c>
      <c r="B73" s="1" t="s">
        <v>200</v>
      </c>
      <c r="C73" s="1" t="s">
        <v>250</v>
      </c>
      <c r="D73" s="1" t="s">
        <v>229</v>
      </c>
      <c r="E73" s="1">
        <v>30</v>
      </c>
      <c r="F73" s="1">
        <v>400</v>
      </c>
      <c r="G73" s="1"/>
      <c r="H73" s="1"/>
      <c r="I73" s="1"/>
      <c r="J73" s="1">
        <v>82</v>
      </c>
      <c r="K73" s="1">
        <v>75</v>
      </c>
      <c r="L73" s="1">
        <v>74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65</v>
      </c>
      <c r="AI73" s="1">
        <v>53</v>
      </c>
      <c r="AJ73" s="1">
        <v>34</v>
      </c>
      <c r="AK73" s="2">
        <f t="shared" ref="AK73:AK83" si="2">AVERAGE(AH73:AJ73)</f>
        <v>50.666666666666664</v>
      </c>
      <c r="AL73" s="2">
        <f t="shared" ref="AL73:AL83" si="3">90-AK73</f>
        <v>39.333333333333336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>
        <v>10.77</v>
      </c>
      <c r="BH73" s="1">
        <v>1.06E-2</v>
      </c>
    </row>
    <row r="74" spans="1:60" x14ac:dyDescent="0.25">
      <c r="A74" s="1" t="s">
        <v>73</v>
      </c>
      <c r="B74" s="1" t="s">
        <v>200</v>
      </c>
      <c r="C74" s="1" t="s">
        <v>250</v>
      </c>
      <c r="D74" s="1" t="s">
        <v>229</v>
      </c>
      <c r="E74" s="1">
        <v>30</v>
      </c>
      <c r="F74" s="1">
        <v>400</v>
      </c>
      <c r="G74" s="1"/>
      <c r="H74" s="1"/>
      <c r="I74" s="1"/>
      <c r="J74" s="1">
        <v>78</v>
      </c>
      <c r="K74" s="1">
        <v>73</v>
      </c>
      <c r="L74" s="1">
        <v>68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84</v>
      </c>
      <c r="AI74" s="1">
        <v>56</v>
      </c>
      <c r="AJ74" s="1">
        <v>64</v>
      </c>
      <c r="AK74" s="2">
        <f t="shared" si="2"/>
        <v>68</v>
      </c>
      <c r="AL74" s="2">
        <f t="shared" si="3"/>
        <v>22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>
        <v>8.92</v>
      </c>
      <c r="BH74" s="1">
        <v>1.15E-2</v>
      </c>
    </row>
    <row r="75" spans="1:60" x14ac:dyDescent="0.25">
      <c r="A75" s="1" t="s">
        <v>74</v>
      </c>
      <c r="B75" s="1" t="s">
        <v>200</v>
      </c>
      <c r="C75" s="1" t="s">
        <v>251</v>
      </c>
      <c r="D75" s="1" t="s">
        <v>232</v>
      </c>
      <c r="E75" s="1">
        <v>37</v>
      </c>
      <c r="F75" s="1">
        <v>800</v>
      </c>
      <c r="G75" s="1"/>
      <c r="H75" s="1"/>
      <c r="I75" s="1"/>
      <c r="J75" s="1">
        <v>43</v>
      </c>
      <c r="K75" s="1">
        <v>39</v>
      </c>
      <c r="L75" s="1">
        <v>42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59</v>
      </c>
      <c r="AI75" s="1">
        <v>33</v>
      </c>
      <c r="AJ75" s="1">
        <v>24</v>
      </c>
      <c r="AK75" s="2">
        <f t="shared" si="2"/>
        <v>38.666666666666664</v>
      </c>
      <c r="AL75" s="2">
        <f t="shared" si="3"/>
        <v>51.333333333333336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>
        <v>6.13</v>
      </c>
      <c r="BH75" s="1">
        <v>7.4000000000000003E-3</v>
      </c>
    </row>
    <row r="76" spans="1:60" x14ac:dyDescent="0.25">
      <c r="A76" s="1" t="s">
        <v>75</v>
      </c>
      <c r="B76" s="1" t="s">
        <v>200</v>
      </c>
      <c r="C76" s="1" t="s">
        <v>251</v>
      </c>
      <c r="D76" s="1" t="s">
        <v>232</v>
      </c>
      <c r="E76" s="1">
        <v>37</v>
      </c>
      <c r="F76" s="1">
        <v>800</v>
      </c>
      <c r="G76" s="1"/>
      <c r="H76" s="1"/>
      <c r="I76" s="1"/>
      <c r="J76" s="1">
        <v>51</v>
      </c>
      <c r="K76" s="1">
        <v>34</v>
      </c>
      <c r="L76" s="1">
        <v>35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33</v>
      </c>
      <c r="AI76" s="1">
        <v>29</v>
      </c>
      <c r="AJ76" s="1">
        <v>28</v>
      </c>
      <c r="AK76" s="2">
        <f t="shared" si="2"/>
        <v>30</v>
      </c>
      <c r="AL76" s="2">
        <f t="shared" si="3"/>
        <v>60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>
        <v>7.21</v>
      </c>
      <c r="BH76" s="1">
        <v>1.09E-2</v>
      </c>
    </row>
    <row r="77" spans="1:60" x14ac:dyDescent="0.25">
      <c r="A77" s="1" t="s">
        <v>76</v>
      </c>
      <c r="B77" s="1" t="s">
        <v>200</v>
      </c>
      <c r="C77" s="1" t="s">
        <v>251</v>
      </c>
      <c r="D77" s="1" t="s">
        <v>232</v>
      </c>
      <c r="E77" s="1">
        <v>37</v>
      </c>
      <c r="F77" s="1">
        <v>800</v>
      </c>
      <c r="G77" s="1"/>
      <c r="H77" s="1"/>
      <c r="I77" s="1"/>
      <c r="J77" s="1">
        <v>53</v>
      </c>
      <c r="K77" s="1">
        <v>50</v>
      </c>
      <c r="L77" s="1">
        <v>46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51</v>
      </c>
      <c r="AI77" s="1">
        <v>58</v>
      </c>
      <c r="AJ77" s="1">
        <v>55</v>
      </c>
      <c r="AK77" s="2">
        <f t="shared" si="2"/>
        <v>54.666666666666664</v>
      </c>
      <c r="AL77" s="2">
        <f t="shared" si="3"/>
        <v>35.333333333333336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>
        <v>4.83</v>
      </c>
      <c r="BH77" s="1">
        <v>110</v>
      </c>
    </row>
    <row r="78" spans="1:60" x14ac:dyDescent="0.25">
      <c r="A78" s="1" t="s">
        <v>77</v>
      </c>
      <c r="B78" s="1" t="s">
        <v>200</v>
      </c>
      <c r="C78" s="1" t="s">
        <v>252</v>
      </c>
      <c r="D78" s="1" t="s">
        <v>231</v>
      </c>
      <c r="E78" s="1">
        <v>30</v>
      </c>
      <c r="F78" s="1">
        <v>800</v>
      </c>
      <c r="G78" s="1"/>
      <c r="H78" s="1"/>
      <c r="I78" s="1"/>
      <c r="J78" s="1">
        <v>52</v>
      </c>
      <c r="K78" s="1">
        <v>51</v>
      </c>
      <c r="L78" s="1">
        <v>39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43</v>
      </c>
      <c r="AI78" s="1">
        <v>37</v>
      </c>
      <c r="AJ78" s="1">
        <v>39</v>
      </c>
      <c r="AK78" s="2">
        <f t="shared" si="2"/>
        <v>39.666666666666664</v>
      </c>
      <c r="AL78" s="2">
        <f t="shared" si="3"/>
        <v>50.333333333333336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>
        <v>15.88</v>
      </c>
      <c r="BH78" s="1">
        <v>1.5699999999999999E-2</v>
      </c>
    </row>
    <row r="79" spans="1:60" x14ac:dyDescent="0.25">
      <c r="A79" s="1" t="s">
        <v>78</v>
      </c>
      <c r="B79" s="1" t="s">
        <v>200</v>
      </c>
      <c r="C79" s="1" t="s">
        <v>252</v>
      </c>
      <c r="D79" s="1" t="s">
        <v>231</v>
      </c>
      <c r="E79" s="1">
        <v>30</v>
      </c>
      <c r="F79" s="1">
        <v>800</v>
      </c>
      <c r="G79" s="1"/>
      <c r="H79" s="1"/>
      <c r="I79" s="1"/>
      <c r="J79" s="1">
        <v>44</v>
      </c>
      <c r="K79" s="1">
        <v>39</v>
      </c>
      <c r="L79" s="1">
        <v>33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39</v>
      </c>
      <c r="AI79" s="1">
        <v>34</v>
      </c>
      <c r="AJ79" s="1">
        <v>32</v>
      </c>
      <c r="AK79" s="2">
        <f t="shared" si="2"/>
        <v>35</v>
      </c>
      <c r="AL79" s="2">
        <f t="shared" si="3"/>
        <v>55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>
        <v>16.03</v>
      </c>
      <c r="BH79" s="1">
        <v>1.1299999999999999E-2</v>
      </c>
    </row>
    <row r="80" spans="1:60" x14ac:dyDescent="0.25">
      <c r="A80" s="1" t="s">
        <v>79</v>
      </c>
      <c r="B80" s="1" t="s">
        <v>200</v>
      </c>
      <c r="C80" s="1" t="s">
        <v>252</v>
      </c>
      <c r="D80" s="1" t="s">
        <v>231</v>
      </c>
      <c r="E80" s="1">
        <v>30</v>
      </c>
      <c r="F80" s="1">
        <v>800</v>
      </c>
      <c r="G80" s="1"/>
      <c r="H80" s="1"/>
      <c r="I80" s="1"/>
      <c r="J80" s="1">
        <v>60</v>
      </c>
      <c r="K80" s="1">
        <v>42</v>
      </c>
      <c r="L80" s="1">
        <v>39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45</v>
      </c>
      <c r="AI80" s="1">
        <v>37</v>
      </c>
      <c r="AJ80" s="1">
        <v>34</v>
      </c>
      <c r="AK80" s="2">
        <f t="shared" si="2"/>
        <v>38.666666666666664</v>
      </c>
      <c r="AL80" s="2">
        <f t="shared" si="3"/>
        <v>51.333333333333336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>
        <v>16.66</v>
      </c>
      <c r="BH80" s="1">
        <v>1.2500000000000001E-2</v>
      </c>
    </row>
    <row r="81" spans="1:60" x14ac:dyDescent="0.25">
      <c r="A81" s="1" t="s">
        <v>80</v>
      </c>
      <c r="B81" s="1" t="s">
        <v>200</v>
      </c>
      <c r="C81" s="1" t="s">
        <v>253</v>
      </c>
      <c r="D81" s="1" t="s">
        <v>230</v>
      </c>
      <c r="E81" s="1">
        <v>37</v>
      </c>
      <c r="F81" s="1">
        <v>400</v>
      </c>
      <c r="G81" s="1"/>
      <c r="H81" s="1"/>
      <c r="I81" s="1"/>
      <c r="J81" s="1">
        <v>64</v>
      </c>
      <c r="K81" s="1">
        <v>54</v>
      </c>
      <c r="L81" s="1">
        <v>36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48</v>
      </c>
      <c r="AI81" s="1">
        <v>35</v>
      </c>
      <c r="AJ81" s="1">
        <v>38</v>
      </c>
      <c r="AK81" s="2">
        <f t="shared" si="2"/>
        <v>40.333333333333336</v>
      </c>
      <c r="AL81" s="2">
        <f t="shared" si="3"/>
        <v>49.666666666666664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>
        <v>7.15</v>
      </c>
      <c r="BH81" s="1"/>
    </row>
    <row r="82" spans="1:60" x14ac:dyDescent="0.25">
      <c r="A82" s="1" t="s">
        <v>81</v>
      </c>
      <c r="B82" s="1" t="s">
        <v>200</v>
      </c>
      <c r="C82" s="1" t="s">
        <v>253</v>
      </c>
      <c r="D82" s="1" t="s">
        <v>230</v>
      </c>
      <c r="E82" s="1">
        <v>37</v>
      </c>
      <c r="F82" s="1">
        <v>400</v>
      </c>
      <c r="G82" s="1"/>
      <c r="H82" s="1"/>
      <c r="I82" s="1"/>
      <c r="J82" s="1">
        <v>75</v>
      </c>
      <c r="K82" s="1">
        <v>61</v>
      </c>
      <c r="L82" s="1">
        <v>41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57</v>
      </c>
      <c r="AI82" s="1">
        <v>51</v>
      </c>
      <c r="AJ82" s="1">
        <v>34</v>
      </c>
      <c r="AK82" s="2">
        <f t="shared" si="2"/>
        <v>47.333333333333336</v>
      </c>
      <c r="AL82" s="2">
        <f t="shared" si="3"/>
        <v>42.666666666666664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>
        <v>7.61</v>
      </c>
      <c r="BH82" s="1">
        <v>9.1999999999999998E-3</v>
      </c>
    </row>
    <row r="83" spans="1:60" x14ac:dyDescent="0.25">
      <c r="A83" s="1" t="s">
        <v>82</v>
      </c>
      <c r="B83" s="1" t="s">
        <v>200</v>
      </c>
      <c r="C83" s="1" t="s">
        <v>253</v>
      </c>
      <c r="D83" s="1" t="s">
        <v>230</v>
      </c>
      <c r="E83" s="1">
        <v>37</v>
      </c>
      <c r="F83" s="1">
        <v>400</v>
      </c>
      <c r="G83" s="1"/>
      <c r="H83" s="1"/>
      <c r="I83" s="1"/>
      <c r="J83" s="1">
        <v>51</v>
      </c>
      <c r="K83" s="1">
        <v>45</v>
      </c>
      <c r="L83" s="1">
        <v>48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55</v>
      </c>
      <c r="AI83" s="1">
        <v>53</v>
      </c>
      <c r="AJ83" s="1">
        <v>35</v>
      </c>
      <c r="AK83" s="2">
        <f t="shared" si="2"/>
        <v>47.666666666666664</v>
      </c>
      <c r="AL83" s="2">
        <f t="shared" si="3"/>
        <v>42.333333333333336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>
        <v>6.43</v>
      </c>
      <c r="BH83" s="1">
        <v>8.3000000000000001E-3</v>
      </c>
    </row>
    <row r="84" spans="1:60" x14ac:dyDescent="0.25">
      <c r="A84" s="1" t="s">
        <v>83</v>
      </c>
      <c r="B84" s="1" t="s">
        <v>201</v>
      </c>
      <c r="C84" s="1" t="s">
        <v>254</v>
      </c>
      <c r="D84" s="1" t="s">
        <v>231</v>
      </c>
      <c r="E84" s="1">
        <v>22</v>
      </c>
      <c r="F84" s="1">
        <v>800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2"/>
      <c r="AL84" s="2"/>
      <c r="AM84" s="2"/>
      <c r="AN84" s="2"/>
      <c r="AO84" s="2"/>
      <c r="AP84" s="4">
        <f>45/23-1</f>
        <v>0.95652173913043481</v>
      </c>
      <c r="AQ84" s="4">
        <f>45/34-1</f>
        <v>0.32352941176470584</v>
      </c>
      <c r="AR84" s="4">
        <f>47/32-1</f>
        <v>0.46875</v>
      </c>
      <c r="AS84" s="4">
        <f>55/38-1</f>
        <v>0.44736842105263164</v>
      </c>
      <c r="AT84" s="4">
        <f>44/35-1</f>
        <v>0.25714285714285712</v>
      </c>
      <c r="AU84" s="4">
        <f>37/34-1</f>
        <v>8.8235294117646967E-2</v>
      </c>
      <c r="AV84" s="2"/>
      <c r="AW84" s="2"/>
      <c r="AX84" s="2"/>
      <c r="AY84" s="4">
        <f>55/35-1</f>
        <v>0.5714285714285714</v>
      </c>
      <c r="AZ84" s="4">
        <f>48/31-1</f>
        <v>0.54838709677419351</v>
      </c>
      <c r="BA84" s="4">
        <f>43/33-1</f>
        <v>0.30303030303030298</v>
      </c>
      <c r="BB84" s="4"/>
      <c r="BC84" s="4"/>
      <c r="BD84" s="4"/>
      <c r="BE84" s="2">
        <f>AVERAGE(AY84:BA84)</f>
        <v>0.47428199041102265</v>
      </c>
      <c r="BF84" s="2">
        <v>31.7</v>
      </c>
      <c r="BG84" s="2">
        <v>7.21</v>
      </c>
      <c r="BH84" s="1">
        <v>6.6E-3</v>
      </c>
    </row>
    <row r="85" spans="1:60" x14ac:dyDescent="0.25">
      <c r="A85" s="1" t="s">
        <v>84</v>
      </c>
      <c r="B85" s="1" t="s">
        <v>201</v>
      </c>
      <c r="C85" s="1" t="s">
        <v>254</v>
      </c>
      <c r="D85" s="1" t="s">
        <v>231</v>
      </c>
      <c r="E85" s="1">
        <v>22</v>
      </c>
      <c r="F85" s="1">
        <v>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2"/>
      <c r="AL85" s="2"/>
      <c r="AM85" s="2"/>
      <c r="AN85" s="2"/>
      <c r="AO85" s="2"/>
      <c r="AP85" s="2">
        <f>40/30-1</f>
        <v>0.33333333333333326</v>
      </c>
      <c r="AQ85" s="2">
        <f>40/35-1</f>
        <v>0.14285714285714279</v>
      </c>
      <c r="AR85" s="2">
        <f>37/29-1</f>
        <v>0.27586206896551735</v>
      </c>
      <c r="AS85" s="2">
        <f>42/31-1</f>
        <v>0.35483870967741926</v>
      </c>
      <c r="AT85" s="2">
        <f>44/28-1</f>
        <v>0.5714285714285714</v>
      </c>
      <c r="AU85" s="2">
        <f>38/27-1</f>
        <v>0.40740740740740744</v>
      </c>
      <c r="AV85" s="2"/>
      <c r="AW85" s="2"/>
      <c r="AX85" s="2"/>
      <c r="AY85" s="2">
        <f>47/34-1</f>
        <v>0.38235294117647056</v>
      </c>
      <c r="AZ85" s="2">
        <f>46/31-1</f>
        <v>0.4838709677419355</v>
      </c>
      <c r="BA85" s="2">
        <f>46/37-1</f>
        <v>0.2432432432432432</v>
      </c>
      <c r="BB85" s="2"/>
      <c r="BC85" s="2"/>
      <c r="BD85" s="2"/>
      <c r="BE85" s="2">
        <f t="shared" ref="BE85:BE95" si="4">AVERAGE(AY85:BA85)</f>
        <v>0.36982238405388307</v>
      </c>
      <c r="BF85" s="2">
        <v>31.2</v>
      </c>
      <c r="BG85" s="2">
        <v>7.15</v>
      </c>
      <c r="BH85" s="1">
        <v>5.4000000000000003E-3</v>
      </c>
    </row>
    <row r="86" spans="1:60" x14ac:dyDescent="0.25">
      <c r="A86" s="1" t="s">
        <v>85</v>
      </c>
      <c r="B86" s="1" t="s">
        <v>201</v>
      </c>
      <c r="C86" s="1" t="s">
        <v>254</v>
      </c>
      <c r="D86" s="1" t="s">
        <v>231</v>
      </c>
      <c r="E86" s="1">
        <v>22</v>
      </c>
      <c r="F86" s="1">
        <v>800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2"/>
      <c r="AL86" s="2"/>
      <c r="AM86" s="2"/>
      <c r="AN86" s="2"/>
      <c r="AO86" s="2"/>
      <c r="AP86" s="2">
        <f>36/20-1</f>
        <v>0.8</v>
      </c>
      <c r="AQ86" s="2">
        <f>34/28-1</f>
        <v>0.21428571428571419</v>
      </c>
      <c r="AR86" s="2">
        <f>42/25-1</f>
        <v>0.67999999999999994</v>
      </c>
      <c r="AS86" s="2">
        <f>37/22-1</f>
        <v>0.68181818181818188</v>
      </c>
      <c r="AT86" s="2">
        <f>37/27-1</f>
        <v>0.37037037037037046</v>
      </c>
      <c r="AU86" s="2">
        <f>39/24-1</f>
        <v>0.625</v>
      </c>
      <c r="AV86" s="2"/>
      <c r="AW86" s="2"/>
      <c r="AX86" s="2"/>
      <c r="AY86" s="2">
        <f>40/25-1</f>
        <v>0.60000000000000009</v>
      </c>
      <c r="AZ86" s="2">
        <f>37/27-1</f>
        <v>0.37037037037037046</v>
      </c>
      <c r="BA86" s="2">
        <f>40/23-1</f>
        <v>0.73913043478260865</v>
      </c>
      <c r="BB86" s="2"/>
      <c r="BC86" s="2"/>
      <c r="BD86" s="2"/>
      <c r="BE86" s="2">
        <f t="shared" si="4"/>
        <v>0.56983360171765973</v>
      </c>
      <c r="BF86" s="2">
        <v>22.3</v>
      </c>
      <c r="BG86" s="2">
        <v>5.62</v>
      </c>
      <c r="BH86" s="1">
        <v>5.4999999999999997E-3</v>
      </c>
    </row>
    <row r="87" spans="1:60" x14ac:dyDescent="0.25">
      <c r="A87" s="1" t="s">
        <v>86</v>
      </c>
      <c r="B87" s="1" t="s">
        <v>201</v>
      </c>
      <c r="C87" s="1" t="s">
        <v>255</v>
      </c>
      <c r="D87" s="1" t="s">
        <v>230</v>
      </c>
      <c r="E87" s="1">
        <v>28</v>
      </c>
      <c r="F87" s="1">
        <v>400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2"/>
      <c r="AL87" s="2"/>
      <c r="AM87" s="2"/>
      <c r="AN87" s="2"/>
      <c r="AO87" s="2"/>
      <c r="AP87" s="2">
        <f>38/30-1</f>
        <v>0.26666666666666661</v>
      </c>
      <c r="AQ87" s="2">
        <f>40/35-1</f>
        <v>0.14285714285714279</v>
      </c>
      <c r="AR87" s="2">
        <f>39/27-1</f>
        <v>0.44444444444444442</v>
      </c>
      <c r="AS87" s="2">
        <f>38/30-1</f>
        <v>0.26666666666666661</v>
      </c>
      <c r="AT87" s="2">
        <f>38/31-1</f>
        <v>0.22580645161290325</v>
      </c>
      <c r="AU87" s="2">
        <f>38/31-1</f>
        <v>0.22580645161290325</v>
      </c>
      <c r="AV87" s="2"/>
      <c r="AW87" s="2"/>
      <c r="AX87" s="2"/>
      <c r="AY87" s="2">
        <f>40/33-1</f>
        <v>0.21212121212121215</v>
      </c>
      <c r="AZ87" s="2">
        <f>39/30-1</f>
        <v>0.30000000000000004</v>
      </c>
      <c r="BA87" s="2">
        <f>39/32-1</f>
        <v>0.21875</v>
      </c>
      <c r="BB87" s="2"/>
      <c r="BC87" s="2"/>
      <c r="BD87" s="2"/>
      <c r="BE87" s="2">
        <f t="shared" si="4"/>
        <v>0.24362373737373741</v>
      </c>
      <c r="BF87" s="2">
        <v>18.5</v>
      </c>
      <c r="BG87" s="2">
        <v>4.3</v>
      </c>
      <c r="BH87" s="1">
        <v>5.0000000000000001E-3</v>
      </c>
    </row>
    <row r="88" spans="1:60" x14ac:dyDescent="0.25">
      <c r="A88" s="1" t="s">
        <v>87</v>
      </c>
      <c r="B88" s="1" t="s">
        <v>201</v>
      </c>
      <c r="C88" s="1" t="s">
        <v>255</v>
      </c>
      <c r="D88" s="1" t="s">
        <v>230</v>
      </c>
      <c r="E88" s="1">
        <v>28</v>
      </c>
      <c r="F88" s="1">
        <v>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"/>
      <c r="AL88" s="2"/>
      <c r="AM88" s="2"/>
      <c r="AN88" s="2"/>
      <c r="AO88" s="2"/>
      <c r="AP88" s="2">
        <f>44/34-1</f>
        <v>0.29411764705882359</v>
      </c>
      <c r="AQ88" s="2">
        <f>45/36-1</f>
        <v>0.25</v>
      </c>
      <c r="AR88" s="2">
        <f>42/31-1</f>
        <v>0.35483870967741926</v>
      </c>
      <c r="AS88" s="2">
        <f>39/35-1</f>
        <v>0.11428571428571432</v>
      </c>
      <c r="AT88" s="2">
        <f>43/37-1</f>
        <v>0.16216216216216206</v>
      </c>
      <c r="AU88" s="2">
        <f>42/35-1</f>
        <v>0.19999999999999996</v>
      </c>
      <c r="AV88" s="2"/>
      <c r="AW88" s="2"/>
      <c r="AX88" s="2"/>
      <c r="AY88" s="2">
        <f>41/30-1</f>
        <v>0.3666666666666667</v>
      </c>
      <c r="AZ88" s="2">
        <f>46/39-1</f>
        <v>0.17948717948717952</v>
      </c>
      <c r="BA88" s="2">
        <f>38/30-1</f>
        <v>0.26666666666666661</v>
      </c>
      <c r="BB88" s="2"/>
      <c r="BC88" s="2"/>
      <c r="BD88" s="2"/>
      <c r="BE88" s="2">
        <f t="shared" si="4"/>
        <v>0.27094017094017092</v>
      </c>
      <c r="BF88" s="2">
        <v>26.4</v>
      </c>
      <c r="BG88" s="2">
        <v>6.06</v>
      </c>
      <c r="BH88" s="1">
        <v>5.3E-3</v>
      </c>
    </row>
    <row r="89" spans="1:60" x14ac:dyDescent="0.25">
      <c r="A89" s="1" t="s">
        <v>88</v>
      </c>
      <c r="B89" s="1" t="s">
        <v>201</v>
      </c>
      <c r="C89" s="1" t="s">
        <v>255</v>
      </c>
      <c r="D89" s="1" t="s">
        <v>230</v>
      </c>
      <c r="E89" s="1">
        <v>28</v>
      </c>
      <c r="F89" s="1">
        <v>400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"/>
      <c r="AL89" s="2"/>
      <c r="AM89" s="2"/>
      <c r="AN89" s="2"/>
      <c r="AO89" s="2"/>
      <c r="AP89" s="2">
        <f>44/37-1</f>
        <v>0.18918918918918926</v>
      </c>
      <c r="AQ89" s="2">
        <f>32/29-1</f>
        <v>0.10344827586206895</v>
      </c>
      <c r="AR89" s="2">
        <f>38/31-1</f>
        <v>0.22580645161290325</v>
      </c>
      <c r="AS89" s="2">
        <f>42/39-1</f>
        <v>7.6923076923076872E-2</v>
      </c>
      <c r="AT89" s="2">
        <f>39/36-1</f>
        <v>8.3333333333333259E-2</v>
      </c>
      <c r="AU89" s="2">
        <f>41/39-1</f>
        <v>5.1282051282051322E-2</v>
      </c>
      <c r="AV89" s="2"/>
      <c r="AW89" s="2"/>
      <c r="AX89" s="2"/>
      <c r="AY89" s="2">
        <f>41/32-1</f>
        <v>0.28125</v>
      </c>
      <c r="AZ89" s="2">
        <f>41/37-1</f>
        <v>0.10810810810810811</v>
      </c>
      <c r="BA89" s="2">
        <f>47/35-1</f>
        <v>0.34285714285714275</v>
      </c>
      <c r="BB89" s="2"/>
      <c r="BC89" s="2"/>
      <c r="BD89" s="2"/>
      <c r="BE89" s="2">
        <f t="shared" si="4"/>
        <v>0.2440717503217503</v>
      </c>
      <c r="BF89" s="2">
        <v>28.4</v>
      </c>
      <c r="BG89" s="2">
        <v>5.88</v>
      </c>
      <c r="BH89" s="1">
        <v>4.1000000000000003E-3</v>
      </c>
    </row>
    <row r="90" spans="1:60" x14ac:dyDescent="0.25">
      <c r="A90" s="1" t="s">
        <v>89</v>
      </c>
      <c r="B90" s="1" t="s">
        <v>201</v>
      </c>
      <c r="C90" s="1" t="s">
        <v>256</v>
      </c>
      <c r="D90" s="1" t="s">
        <v>229</v>
      </c>
      <c r="E90" s="1">
        <v>22</v>
      </c>
      <c r="F90" s="1">
        <v>400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"/>
      <c r="AL90" s="2"/>
      <c r="AM90" s="2"/>
      <c r="AN90" s="2"/>
      <c r="AO90" s="2"/>
      <c r="AP90" s="2">
        <f>39/27-1</f>
        <v>0.44444444444444442</v>
      </c>
      <c r="AQ90" s="2">
        <f>30/15-1</f>
        <v>1</v>
      </c>
      <c r="AR90" s="2">
        <f>49/30-1</f>
        <v>0.6333333333333333</v>
      </c>
      <c r="AS90" s="2">
        <f>35/19-1</f>
        <v>0.84210526315789469</v>
      </c>
      <c r="AT90" s="2">
        <f>34/8-1</f>
        <v>3.25</v>
      </c>
      <c r="AU90" s="2">
        <f>36/8-1</f>
        <v>3.5</v>
      </c>
      <c r="AV90" s="2"/>
      <c r="AW90" s="2"/>
      <c r="AX90" s="2"/>
      <c r="AY90" s="2">
        <f>28/7-1</f>
        <v>3</v>
      </c>
      <c r="AZ90" s="2">
        <f>38/15-1</f>
        <v>1.5333333333333332</v>
      </c>
      <c r="BA90" s="2">
        <f>32/10-1</f>
        <v>2.2000000000000002</v>
      </c>
      <c r="BB90" s="2"/>
      <c r="BC90" s="2"/>
      <c r="BD90" s="2"/>
      <c r="BE90" s="2">
        <f t="shared" si="4"/>
        <v>2.2444444444444445</v>
      </c>
      <c r="BF90" s="2">
        <v>20.8</v>
      </c>
      <c r="BG90" s="2">
        <v>5.78</v>
      </c>
      <c r="BH90" s="1">
        <v>6.3E-3</v>
      </c>
    </row>
    <row r="91" spans="1:60" x14ac:dyDescent="0.25">
      <c r="A91" s="1" t="s">
        <v>90</v>
      </c>
      <c r="B91" s="1" t="s">
        <v>201</v>
      </c>
      <c r="C91" s="1" t="s">
        <v>256</v>
      </c>
      <c r="D91" s="1" t="s">
        <v>229</v>
      </c>
      <c r="E91" s="1">
        <v>22</v>
      </c>
      <c r="F91" s="1">
        <v>400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2"/>
      <c r="AM91" s="2"/>
      <c r="AN91" s="2"/>
      <c r="AO91" s="2"/>
      <c r="AP91" s="2">
        <f>56/25-1</f>
        <v>1.2400000000000002</v>
      </c>
      <c r="AQ91" s="2">
        <f>57/13-1</f>
        <v>3.384615384615385</v>
      </c>
      <c r="AR91" s="2">
        <f>45/27-1</f>
        <v>0.66666666666666674</v>
      </c>
      <c r="AS91" s="2">
        <f>40/24-1</f>
        <v>0.66666666666666674</v>
      </c>
      <c r="AT91" s="2">
        <f>39/21-1</f>
        <v>0.85714285714285721</v>
      </c>
      <c r="AU91" s="2">
        <f>42/15-1</f>
        <v>1.7999999999999998</v>
      </c>
      <c r="AV91" s="2"/>
      <c r="AW91" s="2"/>
      <c r="AX91" s="2"/>
      <c r="AY91" s="2">
        <f>42/18-1</f>
        <v>1.3333333333333335</v>
      </c>
      <c r="AZ91" s="2">
        <f>41/20-1</f>
        <v>1.0499999999999998</v>
      </c>
      <c r="BA91" s="2">
        <f>48/21-1</f>
        <v>1.2857142857142856</v>
      </c>
      <c r="BB91" s="2"/>
      <c r="BC91" s="2"/>
      <c r="BD91" s="2"/>
      <c r="BE91" s="2">
        <f t="shared" si="4"/>
        <v>1.2230158730158729</v>
      </c>
      <c r="BF91" s="2">
        <v>27.8</v>
      </c>
      <c r="BG91" s="2">
        <v>7.9</v>
      </c>
      <c r="BH91" s="1">
        <v>8.3000000000000001E-3</v>
      </c>
    </row>
    <row r="92" spans="1:60" x14ac:dyDescent="0.25">
      <c r="A92" s="1" t="s">
        <v>91</v>
      </c>
      <c r="B92" s="1" t="s">
        <v>201</v>
      </c>
      <c r="C92" s="1" t="s">
        <v>256</v>
      </c>
      <c r="D92" s="1" t="s">
        <v>229</v>
      </c>
      <c r="E92" s="1">
        <v>22</v>
      </c>
      <c r="F92" s="1">
        <v>400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2"/>
      <c r="AM92" s="2"/>
      <c r="AN92" s="2"/>
      <c r="AO92" s="2"/>
      <c r="AP92" s="2">
        <f>37/24-1</f>
        <v>0.54166666666666674</v>
      </c>
      <c r="AQ92" s="2">
        <f>41/14-1</f>
        <v>1.9285714285714284</v>
      </c>
      <c r="AR92" s="2">
        <f>45/28-1</f>
        <v>0.60714285714285721</v>
      </c>
      <c r="AS92" s="2">
        <f>42/39-1</f>
        <v>7.6923076923076872E-2</v>
      </c>
      <c r="AT92" s="2">
        <f>39/36-1</f>
        <v>8.3333333333333259E-2</v>
      </c>
      <c r="AU92" s="2">
        <f>41/39-1</f>
        <v>5.1282051282051322E-2</v>
      </c>
      <c r="AV92" s="2"/>
      <c r="AW92" s="2"/>
      <c r="AX92" s="2"/>
      <c r="AY92" s="2">
        <f>40/17-1</f>
        <v>1.3529411764705883</v>
      </c>
      <c r="AZ92" s="2">
        <f>39/21-1</f>
        <v>0.85714285714285721</v>
      </c>
      <c r="BA92" s="2">
        <f>40/25-1</f>
        <v>0.60000000000000009</v>
      </c>
      <c r="BB92" s="2"/>
      <c r="BC92" s="2"/>
      <c r="BD92" s="2"/>
      <c r="BE92" s="2">
        <f t="shared" si="4"/>
        <v>0.93669467787114857</v>
      </c>
      <c r="BF92" s="2">
        <v>28.8</v>
      </c>
      <c r="BG92" s="2">
        <v>7.69</v>
      </c>
      <c r="BH92" s="1">
        <v>8.2000000000000007E-3</v>
      </c>
    </row>
    <row r="93" spans="1:60" x14ac:dyDescent="0.25">
      <c r="A93" s="1" t="s">
        <v>92</v>
      </c>
      <c r="B93" s="1" t="s">
        <v>201</v>
      </c>
      <c r="C93" s="1" t="s">
        <v>257</v>
      </c>
      <c r="D93" s="1" t="s">
        <v>232</v>
      </c>
      <c r="E93" s="1">
        <v>28</v>
      </c>
      <c r="F93" s="1">
        <v>800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"/>
      <c r="AL93" s="2"/>
      <c r="AM93" s="2"/>
      <c r="AN93" s="2"/>
      <c r="AO93" s="2"/>
      <c r="AP93" s="2">
        <f>41/25-1</f>
        <v>0.6399999999999999</v>
      </c>
      <c r="AQ93" s="2">
        <f>45/30-1</f>
        <v>0.5</v>
      </c>
      <c r="AR93" s="2">
        <f>45/34-1</f>
        <v>0.32352941176470584</v>
      </c>
      <c r="AS93" s="2">
        <f>35/29-1</f>
        <v>0.2068965517241379</v>
      </c>
      <c r="AT93" s="2">
        <f>34/24-1</f>
        <v>0.41666666666666674</v>
      </c>
      <c r="AU93" s="2">
        <f>41/25-1</f>
        <v>0.6399999999999999</v>
      </c>
      <c r="AV93" s="2"/>
      <c r="AW93" s="2"/>
      <c r="AX93" s="2"/>
      <c r="AY93" s="2">
        <f>36/24-1</f>
        <v>0.5</v>
      </c>
      <c r="AZ93" s="2">
        <f>35/16-1</f>
        <v>1.1875</v>
      </c>
      <c r="BA93" s="2">
        <f>32/16-1</f>
        <v>1</v>
      </c>
      <c r="BB93" s="2"/>
      <c r="BC93" s="2"/>
      <c r="BD93" s="2"/>
      <c r="BE93" s="2">
        <f t="shared" si="4"/>
        <v>0.89583333333333337</v>
      </c>
      <c r="BF93" s="2">
        <v>36.6</v>
      </c>
      <c r="BG93" s="2">
        <v>10.18</v>
      </c>
      <c r="BH93" s="1">
        <v>9.5999999999999992E-3</v>
      </c>
    </row>
    <row r="94" spans="1:60" x14ac:dyDescent="0.25">
      <c r="A94" s="1" t="s">
        <v>93</v>
      </c>
      <c r="B94" s="1" t="s">
        <v>201</v>
      </c>
      <c r="C94" s="1" t="s">
        <v>257</v>
      </c>
      <c r="D94" s="1" t="s">
        <v>232</v>
      </c>
      <c r="E94" s="1">
        <v>28</v>
      </c>
      <c r="F94" s="1">
        <v>800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  <c r="AL94" s="2"/>
      <c r="AM94" s="2"/>
      <c r="AN94" s="2"/>
      <c r="AO94" s="2"/>
      <c r="AP94" s="2">
        <f>46/25-1</f>
        <v>0.84000000000000008</v>
      </c>
      <c r="AQ94" s="2">
        <f>40/20-1</f>
        <v>1</v>
      </c>
      <c r="AR94" s="2">
        <f>49/37-1</f>
        <v>0.32432432432432434</v>
      </c>
      <c r="AS94" s="2">
        <f>44/32-1</f>
        <v>0.375</v>
      </c>
      <c r="AT94" s="2">
        <f>44/35-1</f>
        <v>0.25714285714285712</v>
      </c>
      <c r="AU94" s="2">
        <f>43/23-1</f>
        <v>0.86956521739130443</v>
      </c>
      <c r="AV94" s="2"/>
      <c r="AW94" s="2"/>
      <c r="AX94" s="2"/>
      <c r="AY94" s="2">
        <f>47/29-1</f>
        <v>0.6206896551724137</v>
      </c>
      <c r="AZ94" s="2">
        <f>45/25-1</f>
        <v>0.8</v>
      </c>
      <c r="BA94" s="2">
        <f>39/23-1</f>
        <v>0.69565217391304346</v>
      </c>
      <c r="BB94" s="2"/>
      <c r="BC94" s="2"/>
      <c r="BD94" s="2"/>
      <c r="BE94" s="2">
        <f t="shared" si="4"/>
        <v>0.70544727636181914</v>
      </c>
      <c r="BF94" s="2">
        <v>36</v>
      </c>
      <c r="BG94" s="2">
        <v>9.76</v>
      </c>
      <c r="BH94" s="1">
        <v>8.8999999999999999E-3</v>
      </c>
    </row>
    <row r="95" spans="1:60" x14ac:dyDescent="0.25">
      <c r="A95" s="1" t="s">
        <v>94</v>
      </c>
      <c r="B95" s="1" t="s">
        <v>201</v>
      </c>
      <c r="C95" s="1" t="s">
        <v>257</v>
      </c>
      <c r="D95" s="1" t="s">
        <v>232</v>
      </c>
      <c r="E95" s="1">
        <v>28</v>
      </c>
      <c r="F95" s="1">
        <v>800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"/>
      <c r="AL95" s="2"/>
      <c r="AM95" s="2"/>
      <c r="AN95" s="2"/>
      <c r="AO95" s="2"/>
      <c r="AP95" s="2">
        <f>37/23-1</f>
        <v>0.60869565217391308</v>
      </c>
      <c r="AQ95" s="2">
        <f>40/33-1</f>
        <v>0.21212121212121215</v>
      </c>
      <c r="AR95" s="2">
        <f>46/37-1</f>
        <v>0.2432432432432432</v>
      </c>
      <c r="AS95" s="2">
        <f>40/27-1</f>
        <v>0.4814814814814814</v>
      </c>
      <c r="AT95" s="2">
        <f>41/33-1</f>
        <v>0.24242424242424243</v>
      </c>
      <c r="AU95" s="2">
        <f>43/37-1</f>
        <v>0.16216216216216206</v>
      </c>
      <c r="AV95" s="2"/>
      <c r="AW95" s="2"/>
      <c r="AX95" s="2"/>
      <c r="AY95" s="2">
        <f>43/27-1</f>
        <v>0.59259259259259256</v>
      </c>
      <c r="AZ95" s="2">
        <f>43/28-1</f>
        <v>0.53571428571428581</v>
      </c>
      <c r="BA95" s="2">
        <f>45/23-1</f>
        <v>0.95652173913043481</v>
      </c>
      <c r="BB95" s="2"/>
      <c r="BC95" s="2"/>
      <c r="BD95" s="2"/>
      <c r="BE95" s="2">
        <f t="shared" si="4"/>
        <v>0.69494287247910436</v>
      </c>
      <c r="BF95" s="2">
        <v>38.5</v>
      </c>
      <c r="BG95" s="2">
        <v>10.9</v>
      </c>
      <c r="BH95" s="1">
        <v>9.1000000000000004E-3</v>
      </c>
    </row>
    <row r="96" spans="1:60" x14ac:dyDescent="0.25">
      <c r="A96" s="1" t="s">
        <v>95</v>
      </c>
      <c r="B96" s="1" t="s">
        <v>202</v>
      </c>
      <c r="C96" s="1" t="s">
        <v>258</v>
      </c>
      <c r="D96" s="1" t="s">
        <v>231</v>
      </c>
      <c r="E96" s="1">
        <v>22</v>
      </c>
      <c r="F96" s="1">
        <v>800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42</v>
      </c>
      <c r="W96" s="1">
        <v>55</v>
      </c>
      <c r="X96" s="1">
        <v>72</v>
      </c>
      <c r="Y96" s="1">
        <v>49</v>
      </c>
      <c r="Z96" s="1">
        <v>45</v>
      </c>
      <c r="AA96" s="1">
        <v>65</v>
      </c>
      <c r="AB96" s="1"/>
      <c r="AC96" s="1"/>
      <c r="AD96" s="1"/>
      <c r="AE96" s="1"/>
      <c r="AF96" s="1"/>
      <c r="AG96" s="1"/>
      <c r="AH96" s="1">
        <v>36</v>
      </c>
      <c r="AI96" s="1">
        <v>53</v>
      </c>
      <c r="AJ96" s="1">
        <v>54</v>
      </c>
      <c r="AK96" s="2">
        <f t="shared" ref="AK96:AK107" si="5">AVERAGE(AH96:AJ96)</f>
        <v>47.666666666666664</v>
      </c>
      <c r="AL96" s="2">
        <v>47.666666666666664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>
        <v>11.8</v>
      </c>
      <c r="BG96" s="2">
        <v>1.44</v>
      </c>
      <c r="BH96" s="1">
        <v>5.1000000000000004E-3</v>
      </c>
    </row>
    <row r="97" spans="1:60" x14ac:dyDescent="0.25">
      <c r="A97" s="1" t="s">
        <v>96</v>
      </c>
      <c r="B97" s="1" t="s">
        <v>202</v>
      </c>
      <c r="C97" s="1" t="s">
        <v>258</v>
      </c>
      <c r="D97" s="1" t="s">
        <v>231</v>
      </c>
      <c r="E97" s="1">
        <v>22</v>
      </c>
      <c r="F97" s="1">
        <v>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>
        <v>34</v>
      </c>
      <c r="W97" s="1">
        <v>15</v>
      </c>
      <c r="X97" s="1">
        <v>49</v>
      </c>
      <c r="Y97" s="1">
        <v>47</v>
      </c>
      <c r="Z97" s="1">
        <v>45</v>
      </c>
      <c r="AA97" s="1">
        <v>32</v>
      </c>
      <c r="AB97" s="1"/>
      <c r="AC97" s="1"/>
      <c r="AD97" s="1"/>
      <c r="AE97" s="1"/>
      <c r="AF97" s="1"/>
      <c r="AG97" s="1"/>
      <c r="AH97" s="1">
        <v>6</v>
      </c>
      <c r="AI97" s="1">
        <v>46</v>
      </c>
      <c r="AJ97" s="1">
        <v>34</v>
      </c>
      <c r="AK97" s="2">
        <f t="shared" si="5"/>
        <v>28.666666666666668</v>
      </c>
      <c r="AL97" s="2">
        <v>28.666666666666668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>
        <v>20.5</v>
      </c>
      <c r="BG97" s="2">
        <v>4.82</v>
      </c>
      <c r="BH97" s="1">
        <v>6.4000000000000003E-3</v>
      </c>
    </row>
    <row r="98" spans="1:60" x14ac:dyDescent="0.25">
      <c r="A98" s="1" t="s">
        <v>97</v>
      </c>
      <c r="B98" s="1" t="s">
        <v>202</v>
      </c>
      <c r="C98" s="1" t="s">
        <v>258</v>
      </c>
      <c r="D98" s="1" t="s">
        <v>231</v>
      </c>
      <c r="E98" s="1">
        <v>22</v>
      </c>
      <c r="F98" s="1">
        <v>800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52</v>
      </c>
      <c r="W98" s="1">
        <v>25</v>
      </c>
      <c r="X98" s="1">
        <v>44</v>
      </c>
      <c r="Y98" s="1">
        <v>51</v>
      </c>
      <c r="Z98" s="1">
        <v>44</v>
      </c>
      <c r="AA98" s="1">
        <v>45</v>
      </c>
      <c r="AB98" s="1"/>
      <c r="AC98" s="1"/>
      <c r="AD98" s="1"/>
      <c r="AE98" s="1"/>
      <c r="AF98" s="1"/>
      <c r="AG98" s="1"/>
      <c r="AH98" s="1">
        <v>12</v>
      </c>
      <c r="AI98" s="1">
        <v>45</v>
      </c>
      <c r="AJ98" s="1">
        <v>24</v>
      </c>
      <c r="AK98" s="2">
        <f t="shared" si="5"/>
        <v>27</v>
      </c>
      <c r="AL98" s="2">
        <v>27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>
        <v>15.8</v>
      </c>
      <c r="BG98" s="2">
        <v>3.23</v>
      </c>
      <c r="BH98" s="1">
        <v>5.7999999999999996E-3</v>
      </c>
    </row>
    <row r="99" spans="1:60" x14ac:dyDescent="0.25">
      <c r="A99" s="1" t="s">
        <v>98</v>
      </c>
      <c r="B99" s="1" t="s">
        <v>202</v>
      </c>
      <c r="C99" s="1" t="s">
        <v>259</v>
      </c>
      <c r="D99" s="1" t="s">
        <v>230</v>
      </c>
      <c r="E99" s="1">
        <v>28</v>
      </c>
      <c r="F99" s="1">
        <v>400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>
        <v>21</v>
      </c>
      <c r="W99" s="1">
        <v>28</v>
      </c>
      <c r="X99" s="1">
        <v>47</v>
      </c>
      <c r="Y99" s="1">
        <v>24</v>
      </c>
      <c r="Z99" s="1">
        <v>20</v>
      </c>
      <c r="AA99" s="1">
        <v>23</v>
      </c>
      <c r="AB99" s="1"/>
      <c r="AC99" s="1"/>
      <c r="AD99" s="1"/>
      <c r="AE99" s="1"/>
      <c r="AF99" s="1"/>
      <c r="AG99" s="1"/>
      <c r="AH99" s="1">
        <v>9</v>
      </c>
      <c r="AI99" s="1">
        <v>48</v>
      </c>
      <c r="AJ99" s="1">
        <v>8</v>
      </c>
      <c r="AK99" s="2">
        <f t="shared" si="5"/>
        <v>21.666666666666668</v>
      </c>
      <c r="AL99" s="2">
        <v>21.666666666666668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>
        <v>20.399999999999999</v>
      </c>
      <c r="BG99" s="2">
        <v>2.19</v>
      </c>
      <c r="BH99" s="1">
        <v>3.0000000000000001E-3</v>
      </c>
    </row>
    <row r="100" spans="1:60" x14ac:dyDescent="0.25">
      <c r="A100" s="1" t="s">
        <v>99</v>
      </c>
      <c r="B100" s="1" t="s">
        <v>202</v>
      </c>
      <c r="C100" s="1" t="s">
        <v>259</v>
      </c>
      <c r="D100" s="1" t="s">
        <v>230</v>
      </c>
      <c r="E100" s="1">
        <v>28</v>
      </c>
      <c r="F100" s="1">
        <v>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>
        <v>8</v>
      </c>
      <c r="W100" s="1">
        <v>22</v>
      </c>
      <c r="X100" s="1">
        <v>40</v>
      </c>
      <c r="Y100" s="1">
        <v>27</v>
      </c>
      <c r="Z100" s="1">
        <v>24</v>
      </c>
      <c r="AA100" s="1">
        <v>44</v>
      </c>
      <c r="AB100" s="1"/>
      <c r="AC100" s="1"/>
      <c r="AD100" s="1"/>
      <c r="AE100" s="1"/>
      <c r="AF100" s="1"/>
      <c r="AG100" s="1"/>
      <c r="AH100" s="1">
        <v>19</v>
      </c>
      <c r="AI100" s="1">
        <v>38</v>
      </c>
      <c r="AJ100" s="1">
        <v>45</v>
      </c>
      <c r="AK100" s="2">
        <f t="shared" si="5"/>
        <v>34</v>
      </c>
      <c r="AL100" s="2">
        <v>34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>
        <v>9.6999999999999993</v>
      </c>
      <c r="BG100" s="2">
        <v>0.93</v>
      </c>
      <c r="BH100" s="1">
        <v>4.0000000000000001E-3</v>
      </c>
    </row>
    <row r="101" spans="1:60" x14ac:dyDescent="0.25">
      <c r="A101" s="1" t="s">
        <v>100</v>
      </c>
      <c r="B101" s="1" t="s">
        <v>202</v>
      </c>
      <c r="C101" s="1" t="s">
        <v>259</v>
      </c>
      <c r="D101" s="1" t="s">
        <v>230</v>
      </c>
      <c r="E101" s="1">
        <v>28</v>
      </c>
      <c r="F101" s="1">
        <v>400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>
        <v>57</v>
      </c>
      <c r="W101" s="1">
        <v>32</v>
      </c>
      <c r="X101" s="1">
        <v>34</v>
      </c>
      <c r="Y101" s="1">
        <v>23</v>
      </c>
      <c r="Z101" s="1">
        <v>59</v>
      </c>
      <c r="AA101" s="1">
        <v>25</v>
      </c>
      <c r="AB101" s="1"/>
      <c r="AC101" s="1"/>
      <c r="AD101" s="1"/>
      <c r="AE101" s="1"/>
      <c r="AF101" s="1"/>
      <c r="AG101" s="1"/>
      <c r="AH101" s="1">
        <v>48</v>
      </c>
      <c r="AI101" s="1">
        <v>59</v>
      </c>
      <c r="AJ101" s="1">
        <v>23</v>
      </c>
      <c r="AK101" s="2">
        <f t="shared" si="5"/>
        <v>43.333333333333336</v>
      </c>
      <c r="AL101" s="2">
        <v>43.333333333333336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>
        <v>24.1</v>
      </c>
      <c r="BG101" s="2">
        <v>3.06</v>
      </c>
      <c r="BH101" s="1">
        <v>2.5999999999999999E-3</v>
      </c>
    </row>
    <row r="102" spans="1:60" x14ac:dyDescent="0.25">
      <c r="A102" s="1" t="s">
        <v>101</v>
      </c>
      <c r="B102" s="1" t="s">
        <v>202</v>
      </c>
      <c r="C102" s="1" t="s">
        <v>260</v>
      </c>
      <c r="D102" s="1" t="s">
        <v>229</v>
      </c>
      <c r="E102" s="1">
        <v>22</v>
      </c>
      <c r="F102" s="1">
        <v>400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>
        <v>47</v>
      </c>
      <c r="W102" s="1">
        <v>48</v>
      </c>
      <c r="X102" s="1">
        <v>72</v>
      </c>
      <c r="Y102" s="1">
        <v>24</v>
      </c>
      <c r="Z102" s="1">
        <v>20</v>
      </c>
      <c r="AA102" s="1">
        <v>23</v>
      </c>
      <c r="AB102" s="1"/>
      <c r="AC102" s="1"/>
      <c r="AD102" s="1"/>
      <c r="AE102" s="1"/>
      <c r="AF102" s="1"/>
      <c r="AG102" s="1"/>
      <c r="AH102" s="1">
        <v>24</v>
      </c>
      <c r="AI102" s="1">
        <v>45</v>
      </c>
      <c r="AJ102" s="1">
        <v>29</v>
      </c>
      <c r="AK102" s="2">
        <f t="shared" si="5"/>
        <v>32.666666666666664</v>
      </c>
      <c r="AL102" s="2">
        <v>32.666666666666664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>
        <v>34.799999999999997</v>
      </c>
      <c r="BG102" s="2">
        <v>7.42</v>
      </c>
      <c r="BH102" s="1">
        <v>1.4500000000000001E-2</v>
      </c>
    </row>
    <row r="103" spans="1:60" x14ac:dyDescent="0.25">
      <c r="A103" s="1" t="s">
        <v>102</v>
      </c>
      <c r="B103" s="1" t="s">
        <v>202</v>
      </c>
      <c r="C103" s="1" t="s">
        <v>260</v>
      </c>
      <c r="D103" s="1" t="s">
        <v>229</v>
      </c>
      <c r="E103" s="1">
        <v>22</v>
      </c>
      <c r="F103" s="1">
        <v>400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>
        <v>36</v>
      </c>
      <c r="W103" s="1">
        <v>40</v>
      </c>
      <c r="X103" s="1">
        <v>42</v>
      </c>
      <c r="Y103" s="1">
        <v>27</v>
      </c>
      <c r="Z103" s="1">
        <v>24</v>
      </c>
      <c r="AA103" s="1">
        <v>44</v>
      </c>
      <c r="AB103" s="1"/>
      <c r="AC103" s="1"/>
      <c r="AD103" s="1"/>
      <c r="AE103" s="1"/>
      <c r="AF103" s="1"/>
      <c r="AG103" s="1"/>
      <c r="AH103" s="1">
        <v>25</v>
      </c>
      <c r="AI103" s="1">
        <v>44</v>
      </c>
      <c r="AJ103" s="1">
        <v>39</v>
      </c>
      <c r="AK103" s="2">
        <f t="shared" si="5"/>
        <v>36</v>
      </c>
      <c r="AL103" s="2">
        <v>36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>
        <v>29.3</v>
      </c>
      <c r="BG103" s="2">
        <v>1.94</v>
      </c>
      <c r="BH103" s="1">
        <v>8.8000000000000005E-3</v>
      </c>
    </row>
    <row r="104" spans="1:60" x14ac:dyDescent="0.25">
      <c r="A104" s="1" t="s">
        <v>103</v>
      </c>
      <c r="B104" s="1" t="s">
        <v>202</v>
      </c>
      <c r="C104" s="1" t="s">
        <v>260</v>
      </c>
      <c r="D104" s="1" t="s">
        <v>229</v>
      </c>
      <c r="E104" s="1">
        <v>22</v>
      </c>
      <c r="F104" s="1">
        <v>400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>
        <v>63</v>
      </c>
      <c r="W104" s="1">
        <v>56</v>
      </c>
      <c r="X104" s="1">
        <v>60</v>
      </c>
      <c r="Y104" s="1">
        <v>23</v>
      </c>
      <c r="Z104" s="1">
        <v>59</v>
      </c>
      <c r="AA104" s="1">
        <v>25</v>
      </c>
      <c r="AB104" s="1"/>
      <c r="AC104" s="1"/>
      <c r="AD104" s="1"/>
      <c r="AE104" s="1"/>
      <c r="AF104" s="1"/>
      <c r="AG104" s="1"/>
      <c r="AH104" s="1">
        <v>60</v>
      </c>
      <c r="AI104" s="1">
        <v>58</v>
      </c>
      <c r="AJ104" s="1">
        <v>57</v>
      </c>
      <c r="AK104" s="2">
        <f t="shared" si="5"/>
        <v>58.333333333333336</v>
      </c>
      <c r="AL104" s="2">
        <v>58.333333333333336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>
        <v>29.6</v>
      </c>
      <c r="BG104" s="2">
        <v>4.76</v>
      </c>
      <c r="BH104" s="1">
        <v>1.01E-2</v>
      </c>
    </row>
    <row r="105" spans="1:60" x14ac:dyDescent="0.25">
      <c r="A105" s="1" t="s">
        <v>104</v>
      </c>
      <c r="B105" s="1" t="s">
        <v>202</v>
      </c>
      <c r="C105" s="1" t="s">
        <v>261</v>
      </c>
      <c r="D105" s="1" t="s">
        <v>232</v>
      </c>
      <c r="E105" s="1">
        <v>28</v>
      </c>
      <c r="F105" s="1">
        <v>800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>
        <v>56</v>
      </c>
      <c r="W105" s="1">
        <v>56</v>
      </c>
      <c r="X105" s="1">
        <v>62</v>
      </c>
      <c r="Y105" s="1">
        <v>54</v>
      </c>
      <c r="Z105" s="1">
        <v>72</v>
      </c>
      <c r="AA105" s="1">
        <v>50</v>
      </c>
      <c r="AB105" s="1"/>
      <c r="AC105" s="1"/>
      <c r="AD105" s="1"/>
      <c r="AE105" s="1"/>
      <c r="AF105" s="1"/>
      <c r="AG105" s="1"/>
      <c r="AH105" s="1">
        <v>99</v>
      </c>
      <c r="AI105" s="1">
        <v>68</v>
      </c>
      <c r="AJ105" s="1">
        <v>71</v>
      </c>
      <c r="AK105" s="2">
        <f t="shared" si="5"/>
        <v>79.333333333333329</v>
      </c>
      <c r="AL105" s="2">
        <v>79.333333333333329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>
        <v>24.4</v>
      </c>
      <c r="BG105" s="2">
        <v>3.08</v>
      </c>
      <c r="BH105" s="1">
        <v>8.3000000000000001E-3</v>
      </c>
    </row>
    <row r="106" spans="1:60" x14ac:dyDescent="0.25">
      <c r="A106" s="1" t="s">
        <v>105</v>
      </c>
      <c r="B106" s="1" t="s">
        <v>202</v>
      </c>
      <c r="C106" s="1" t="s">
        <v>261</v>
      </c>
      <c r="D106" s="1" t="s">
        <v>232</v>
      </c>
      <c r="E106" s="1">
        <v>28</v>
      </c>
      <c r="F106" s="1">
        <v>800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55</v>
      </c>
      <c r="W106" s="1">
        <v>68</v>
      </c>
      <c r="X106" s="1">
        <v>66</v>
      </c>
      <c r="Y106" s="1">
        <v>67</v>
      </c>
      <c r="Z106" s="1">
        <v>51</v>
      </c>
      <c r="AA106" s="1">
        <v>83</v>
      </c>
      <c r="AB106" s="1"/>
      <c r="AC106" s="1"/>
      <c r="AD106" s="1"/>
      <c r="AE106" s="1"/>
      <c r="AF106" s="1"/>
      <c r="AG106" s="1"/>
      <c r="AH106" s="1">
        <v>65</v>
      </c>
      <c r="AI106" s="1">
        <v>85</v>
      </c>
      <c r="AJ106" s="1">
        <v>71</v>
      </c>
      <c r="AK106" s="2">
        <f t="shared" si="5"/>
        <v>73.666666666666671</v>
      </c>
      <c r="AL106" s="2">
        <v>73.666666666666671</v>
      </c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>
        <v>21.4</v>
      </c>
      <c r="BG106" s="2">
        <v>2.74</v>
      </c>
      <c r="BH106" s="1">
        <v>8.3999999999999995E-3</v>
      </c>
    </row>
    <row r="107" spans="1:60" x14ac:dyDescent="0.25">
      <c r="A107" s="1" t="s">
        <v>106</v>
      </c>
      <c r="B107" s="1" t="s">
        <v>202</v>
      </c>
      <c r="C107" s="1" t="s">
        <v>261</v>
      </c>
      <c r="D107" s="1" t="s">
        <v>232</v>
      </c>
      <c r="E107" s="1">
        <v>28</v>
      </c>
      <c r="F107" s="1">
        <v>800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>
        <v>61</v>
      </c>
      <c r="W107" s="1">
        <v>44</v>
      </c>
      <c r="X107" s="1">
        <v>51</v>
      </c>
      <c r="Y107" s="1">
        <v>83</v>
      </c>
      <c r="Z107" s="1">
        <v>79</v>
      </c>
      <c r="AA107" s="1">
        <v>62</v>
      </c>
      <c r="AB107" s="1"/>
      <c r="AC107" s="1"/>
      <c r="AD107" s="1"/>
      <c r="AE107" s="1"/>
      <c r="AF107" s="1"/>
      <c r="AG107" s="1"/>
      <c r="AH107" s="1">
        <v>102</v>
      </c>
      <c r="AI107" s="1">
        <v>77</v>
      </c>
      <c r="AJ107" s="1">
        <v>86</v>
      </c>
      <c r="AK107" s="2">
        <f t="shared" si="5"/>
        <v>88.333333333333329</v>
      </c>
      <c r="AL107" s="2">
        <v>88.333333333333329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>
        <v>24.9</v>
      </c>
      <c r="BG107" s="2">
        <v>3.56</v>
      </c>
      <c r="BH107" s="1">
        <v>7.7999999999999996E-3</v>
      </c>
    </row>
    <row r="108" spans="1:60" x14ac:dyDescent="0.25">
      <c r="A108" s="1" t="s">
        <v>107</v>
      </c>
      <c r="B108" s="1" t="s">
        <v>203</v>
      </c>
      <c r="C108" s="1" t="s">
        <v>262</v>
      </c>
      <c r="D108" s="1" t="s">
        <v>229</v>
      </c>
      <c r="E108" s="1">
        <v>28</v>
      </c>
      <c r="F108" s="1">
        <v>400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47</v>
      </c>
      <c r="T108" s="1">
        <v>34</v>
      </c>
      <c r="U108" s="1">
        <v>31</v>
      </c>
      <c r="V108" s="1"/>
      <c r="W108" s="1"/>
      <c r="X108" s="1"/>
      <c r="Y108" s="1"/>
      <c r="Z108" s="1"/>
      <c r="AA108" s="1"/>
      <c r="AB108" s="1">
        <v>59</v>
      </c>
      <c r="AC108" s="1">
        <v>49</v>
      </c>
      <c r="AD108" s="1">
        <v>29</v>
      </c>
      <c r="AE108" s="1"/>
      <c r="AF108" s="1"/>
      <c r="AG108" s="1"/>
      <c r="AH108" s="1"/>
      <c r="AI108" s="1"/>
      <c r="AJ108" s="1"/>
      <c r="AK108" s="2">
        <v>45.67</v>
      </c>
      <c r="AL108" s="2">
        <v>44.33</v>
      </c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>
        <v>9.7200000000000006</v>
      </c>
      <c r="BG108" s="2">
        <v>1.54</v>
      </c>
      <c r="BH108" s="1">
        <v>5.3E-3</v>
      </c>
    </row>
    <row r="109" spans="1:60" x14ac:dyDescent="0.25">
      <c r="A109" s="1" t="s">
        <v>108</v>
      </c>
      <c r="B109" s="1" t="s">
        <v>203</v>
      </c>
      <c r="C109" s="1" t="s">
        <v>262</v>
      </c>
      <c r="D109" s="1" t="s">
        <v>229</v>
      </c>
      <c r="E109" s="1">
        <v>28</v>
      </c>
      <c r="F109" s="1">
        <v>400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53</v>
      </c>
      <c r="T109" s="1">
        <v>38</v>
      </c>
      <c r="U109" s="1">
        <v>32</v>
      </c>
      <c r="V109" s="1"/>
      <c r="W109" s="1"/>
      <c r="X109" s="1"/>
      <c r="Y109" s="1"/>
      <c r="Z109" s="1"/>
      <c r="AA109" s="1"/>
      <c r="AB109" s="1">
        <v>49</v>
      </c>
      <c r="AC109" s="1">
        <v>39</v>
      </c>
      <c r="AD109" s="1">
        <v>38</v>
      </c>
      <c r="AE109" s="1"/>
      <c r="AF109" s="1"/>
      <c r="AG109" s="1"/>
      <c r="AH109" s="1"/>
      <c r="AI109" s="1"/>
      <c r="AJ109" s="1"/>
      <c r="AK109" s="2">
        <v>42</v>
      </c>
      <c r="AL109" s="2">
        <v>48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>
        <v>4.8499999999999996</v>
      </c>
      <c r="BG109" s="2">
        <v>0.75</v>
      </c>
      <c r="BH109" s="1">
        <v>6.1999999999999998E-3</v>
      </c>
    </row>
    <row r="110" spans="1:60" x14ac:dyDescent="0.25">
      <c r="A110" s="1" t="s">
        <v>109</v>
      </c>
      <c r="B110" s="1" t="s">
        <v>203</v>
      </c>
      <c r="C110" s="1" t="s">
        <v>262</v>
      </c>
      <c r="D110" s="1" t="s">
        <v>229</v>
      </c>
      <c r="E110" s="1">
        <v>28</v>
      </c>
      <c r="F110" s="1">
        <v>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55</v>
      </c>
      <c r="T110" s="1">
        <v>39</v>
      </c>
      <c r="U110" s="1">
        <v>32</v>
      </c>
      <c r="V110" s="1"/>
      <c r="W110" s="1"/>
      <c r="X110" s="1"/>
      <c r="Y110" s="1"/>
      <c r="Z110" s="1"/>
      <c r="AA110" s="1"/>
      <c r="AB110" s="1">
        <v>36</v>
      </c>
      <c r="AC110" s="1">
        <v>42</v>
      </c>
      <c r="AD110" s="1">
        <v>39</v>
      </c>
      <c r="AE110" s="1"/>
      <c r="AF110" s="1"/>
      <c r="AG110" s="1"/>
      <c r="AH110" s="1"/>
      <c r="AI110" s="1"/>
      <c r="AJ110" s="1"/>
      <c r="AK110" s="2">
        <v>39</v>
      </c>
      <c r="AL110" s="2">
        <v>51</v>
      </c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>
        <v>4.57</v>
      </c>
      <c r="BG110" s="2">
        <v>0.81</v>
      </c>
      <c r="BH110" s="1">
        <v>6.7999999999999996E-3</v>
      </c>
    </row>
    <row r="111" spans="1:60" x14ac:dyDescent="0.25">
      <c r="A111" s="1" t="s">
        <v>110</v>
      </c>
      <c r="B111" s="1" t="s">
        <v>203</v>
      </c>
      <c r="C111" s="1" t="s">
        <v>262</v>
      </c>
      <c r="D111" s="1" t="s">
        <v>229</v>
      </c>
      <c r="E111" s="1">
        <v>28</v>
      </c>
      <c r="F111" s="1">
        <v>400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55</v>
      </c>
      <c r="T111" s="1">
        <v>34</v>
      </c>
      <c r="U111" s="1">
        <v>31</v>
      </c>
      <c r="V111" s="1"/>
      <c r="W111" s="1"/>
      <c r="X111" s="1"/>
      <c r="Y111" s="1"/>
      <c r="Z111" s="1"/>
      <c r="AA111" s="1"/>
      <c r="AB111" s="1">
        <v>68</v>
      </c>
      <c r="AC111" s="1">
        <v>46</v>
      </c>
      <c r="AD111" s="1">
        <v>42</v>
      </c>
      <c r="AE111" s="1"/>
      <c r="AF111" s="1"/>
      <c r="AG111" s="1"/>
      <c r="AH111" s="1"/>
      <c r="AI111" s="1"/>
      <c r="AJ111" s="1"/>
      <c r="AK111" s="2">
        <v>52</v>
      </c>
      <c r="AL111" s="2">
        <v>38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>
        <v>7</v>
      </c>
      <c r="BG111" s="2">
        <v>1.01</v>
      </c>
      <c r="BH111" s="1">
        <v>4.8999999999999998E-3</v>
      </c>
    </row>
    <row r="112" spans="1:60" x14ac:dyDescent="0.25">
      <c r="A112" s="1" t="s">
        <v>111</v>
      </c>
      <c r="B112" s="1" t="s">
        <v>203</v>
      </c>
      <c r="C112" s="1" t="s">
        <v>262</v>
      </c>
      <c r="D112" s="1" t="s">
        <v>229</v>
      </c>
      <c r="E112" s="1">
        <v>28</v>
      </c>
      <c r="F112" s="1">
        <v>400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43</v>
      </c>
      <c r="T112" s="1">
        <v>33</v>
      </c>
      <c r="U112" s="1">
        <v>32</v>
      </c>
      <c r="V112" s="1"/>
      <c r="W112" s="1"/>
      <c r="X112" s="1"/>
      <c r="Y112" s="1"/>
      <c r="Z112" s="1"/>
      <c r="AA112" s="1"/>
      <c r="AB112" s="1">
        <v>51</v>
      </c>
      <c r="AC112" s="1">
        <v>51</v>
      </c>
      <c r="AD112" s="1">
        <v>43</v>
      </c>
      <c r="AE112" s="1"/>
      <c r="AF112" s="1"/>
      <c r="AG112" s="1"/>
      <c r="AH112" s="1"/>
      <c r="AI112" s="1"/>
      <c r="AJ112" s="1"/>
      <c r="AK112" s="2">
        <v>48.33</v>
      </c>
      <c r="AL112" s="2">
        <v>41.67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>
        <v>5.07</v>
      </c>
      <c r="BG112" s="2">
        <v>0.78</v>
      </c>
      <c r="BH112" s="1">
        <v>6.4000000000000003E-3</v>
      </c>
    </row>
    <row r="113" spans="1:60" x14ac:dyDescent="0.25">
      <c r="A113" s="1" t="s">
        <v>112</v>
      </c>
      <c r="B113" s="1" t="s">
        <v>203</v>
      </c>
      <c r="C113" s="1" t="s">
        <v>263</v>
      </c>
      <c r="D113" s="1" t="s">
        <v>232</v>
      </c>
      <c r="E113" s="1">
        <v>36</v>
      </c>
      <c r="F113" s="1">
        <v>800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59</v>
      </c>
      <c r="AC113" s="1">
        <v>49</v>
      </c>
      <c r="AD113" s="1">
        <v>49</v>
      </c>
      <c r="AE113" s="1"/>
      <c r="AF113" s="1"/>
      <c r="AG113" s="1"/>
      <c r="AH113" s="1"/>
      <c r="AI113" s="1"/>
      <c r="AJ113" s="1"/>
      <c r="AK113" s="2">
        <v>52.33</v>
      </c>
      <c r="AL113" s="2">
        <v>37.67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>
        <v>2.1800000000000002</v>
      </c>
      <c r="BG113" s="2">
        <v>0.55000000000000004</v>
      </c>
      <c r="BH113" s="1">
        <v>1.26E-2</v>
      </c>
    </row>
    <row r="114" spans="1:60" x14ac:dyDescent="0.25">
      <c r="A114" s="1" t="s">
        <v>113</v>
      </c>
      <c r="B114" s="1" t="s">
        <v>203</v>
      </c>
      <c r="C114" s="1" t="s">
        <v>263</v>
      </c>
      <c r="D114" s="1" t="s">
        <v>232</v>
      </c>
      <c r="E114" s="1">
        <v>36</v>
      </c>
      <c r="F114" s="1">
        <v>800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69</v>
      </c>
      <c r="AC114" s="1">
        <v>69</v>
      </c>
      <c r="AD114" s="1">
        <v>32</v>
      </c>
      <c r="AE114" s="1"/>
      <c r="AF114" s="1"/>
      <c r="AG114" s="1"/>
      <c r="AH114" s="1"/>
      <c r="AI114" s="1"/>
      <c r="AJ114" s="1"/>
      <c r="AK114" s="2">
        <v>56.67</v>
      </c>
      <c r="AL114" s="2">
        <v>33.33</v>
      </c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>
        <v>1.22</v>
      </c>
      <c r="BG114" s="2">
        <v>0.3</v>
      </c>
      <c r="BH114" s="1">
        <v>1.04E-2</v>
      </c>
    </row>
    <row r="115" spans="1:60" x14ac:dyDescent="0.25">
      <c r="A115" s="1" t="s">
        <v>114</v>
      </c>
      <c r="B115" s="1" t="s">
        <v>203</v>
      </c>
      <c r="C115" s="1" t="s">
        <v>263</v>
      </c>
      <c r="D115" s="1" t="s">
        <v>232</v>
      </c>
      <c r="E115" s="1">
        <v>36</v>
      </c>
      <c r="F115" s="1">
        <v>800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>
        <v>56</v>
      </c>
      <c r="AC115" s="1">
        <v>39</v>
      </c>
      <c r="AD115" s="1">
        <v>31</v>
      </c>
      <c r="AE115" s="1"/>
      <c r="AF115" s="1"/>
      <c r="AG115" s="1"/>
      <c r="AH115" s="1"/>
      <c r="AI115" s="1"/>
      <c r="AJ115" s="1"/>
      <c r="AK115" s="2">
        <v>42</v>
      </c>
      <c r="AL115" s="2">
        <v>48</v>
      </c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>
        <v>1.63</v>
      </c>
      <c r="BG115" s="2">
        <v>0.35</v>
      </c>
      <c r="BH115" s="1">
        <v>8.3000000000000001E-3</v>
      </c>
    </row>
    <row r="116" spans="1:60" x14ac:dyDescent="0.25">
      <c r="A116" s="1" t="s">
        <v>115</v>
      </c>
      <c r="B116" s="1" t="s">
        <v>203</v>
      </c>
      <c r="C116" s="1" t="s">
        <v>263</v>
      </c>
      <c r="D116" s="1" t="s">
        <v>232</v>
      </c>
      <c r="E116" s="1">
        <v>36</v>
      </c>
      <c r="F116" s="1">
        <v>800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>
        <v>54</v>
      </c>
      <c r="AC116" s="1">
        <v>49</v>
      </c>
      <c r="AD116" s="1">
        <v>26</v>
      </c>
      <c r="AE116" s="1"/>
      <c r="AF116" s="1"/>
      <c r="AG116" s="1"/>
      <c r="AH116" s="1"/>
      <c r="AI116" s="1"/>
      <c r="AJ116" s="1"/>
      <c r="AK116" s="2">
        <v>43</v>
      </c>
      <c r="AL116" s="2">
        <v>47</v>
      </c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>
        <v>2.5099999999999998</v>
      </c>
      <c r="BG116" s="2">
        <v>0.55000000000000004</v>
      </c>
      <c r="BH116" s="1">
        <v>9.1000000000000004E-3</v>
      </c>
    </row>
    <row r="117" spans="1:60" x14ac:dyDescent="0.25">
      <c r="A117" s="1" t="s">
        <v>116</v>
      </c>
      <c r="B117" s="1" t="s">
        <v>203</v>
      </c>
      <c r="C117" s="1" t="s">
        <v>263</v>
      </c>
      <c r="D117" s="1" t="s">
        <v>232</v>
      </c>
      <c r="E117" s="1">
        <v>36</v>
      </c>
      <c r="F117" s="1">
        <v>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1"/>
    </row>
    <row r="118" spans="1:60" x14ac:dyDescent="0.25">
      <c r="A118" s="1" t="s">
        <v>117</v>
      </c>
      <c r="B118" s="1" t="s">
        <v>203</v>
      </c>
      <c r="C118" s="1" t="s">
        <v>264</v>
      </c>
      <c r="D118" s="1" t="s">
        <v>231</v>
      </c>
      <c r="E118" s="1">
        <v>28</v>
      </c>
      <c r="F118" s="1">
        <v>800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34</v>
      </c>
      <c r="T118" s="1">
        <v>28</v>
      </c>
      <c r="U118" s="1">
        <v>26</v>
      </c>
      <c r="V118" s="1"/>
      <c r="W118" s="1"/>
      <c r="X118" s="1"/>
      <c r="Y118" s="1"/>
      <c r="Z118" s="1"/>
      <c r="AA118" s="1"/>
      <c r="AB118" s="1">
        <v>49</v>
      </c>
      <c r="AC118" s="1">
        <v>42</v>
      </c>
      <c r="AD118" s="1">
        <v>28</v>
      </c>
      <c r="AE118" s="1"/>
      <c r="AF118" s="1"/>
      <c r="AG118" s="1"/>
      <c r="AH118" s="1"/>
      <c r="AI118" s="1"/>
      <c r="AJ118" s="1"/>
      <c r="AK118" s="2">
        <v>39.67</v>
      </c>
      <c r="AL118" s="2">
        <v>50.33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>
        <v>15.28</v>
      </c>
      <c r="BG118" s="2">
        <v>0.98</v>
      </c>
      <c r="BH118" s="1">
        <v>1.23E-2</v>
      </c>
    </row>
    <row r="119" spans="1:60" x14ac:dyDescent="0.25">
      <c r="A119" s="1" t="s">
        <v>118</v>
      </c>
      <c r="B119" s="1" t="s">
        <v>203</v>
      </c>
      <c r="C119" s="1" t="s">
        <v>264</v>
      </c>
      <c r="D119" s="1" t="s">
        <v>231</v>
      </c>
      <c r="E119" s="1">
        <v>28</v>
      </c>
      <c r="F119" s="1">
        <v>800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33</v>
      </c>
      <c r="T119" s="1">
        <v>28</v>
      </c>
      <c r="U119" s="1">
        <v>26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1"/>
    </row>
    <row r="120" spans="1:60" x14ac:dyDescent="0.25">
      <c r="A120" s="1" t="s">
        <v>119</v>
      </c>
      <c r="B120" s="1" t="s">
        <v>203</v>
      </c>
      <c r="C120" s="1" t="s">
        <v>264</v>
      </c>
      <c r="D120" s="1" t="s">
        <v>231</v>
      </c>
      <c r="E120" s="1">
        <v>28</v>
      </c>
      <c r="F120" s="1">
        <v>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41</v>
      </c>
      <c r="T120" s="1">
        <v>28</v>
      </c>
      <c r="U120" s="1">
        <v>26</v>
      </c>
      <c r="V120" s="1"/>
      <c r="W120" s="1"/>
      <c r="X120" s="1"/>
      <c r="Y120" s="1"/>
      <c r="Z120" s="1"/>
      <c r="AA120" s="1"/>
      <c r="AB120" s="1">
        <v>40</v>
      </c>
      <c r="AC120" s="1">
        <v>34</v>
      </c>
      <c r="AD120" s="1">
        <v>26</v>
      </c>
      <c r="AE120" s="1"/>
      <c r="AF120" s="1"/>
      <c r="AG120" s="1"/>
      <c r="AH120" s="1"/>
      <c r="AI120" s="1"/>
      <c r="AJ120" s="1"/>
      <c r="AK120" s="2">
        <v>33.33</v>
      </c>
      <c r="AL120" s="2">
        <v>56.67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>
        <v>11.09</v>
      </c>
      <c r="BG120" s="2">
        <v>1.01</v>
      </c>
      <c r="BH120" s="1">
        <v>1.15E-2</v>
      </c>
    </row>
    <row r="121" spans="1:60" x14ac:dyDescent="0.25">
      <c r="A121" s="1" t="s">
        <v>120</v>
      </c>
      <c r="B121" s="1" t="s">
        <v>203</v>
      </c>
      <c r="C121" s="1" t="s">
        <v>264</v>
      </c>
      <c r="D121" s="1" t="s">
        <v>231</v>
      </c>
      <c r="E121" s="1">
        <v>28</v>
      </c>
      <c r="F121" s="1">
        <v>800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46</v>
      </c>
      <c r="T121" s="1">
        <v>29</v>
      </c>
      <c r="U121" s="1">
        <v>27</v>
      </c>
      <c r="V121" s="1"/>
      <c r="W121" s="1"/>
      <c r="X121" s="1"/>
      <c r="Y121" s="1"/>
      <c r="Z121" s="1"/>
      <c r="AA121" s="1"/>
      <c r="AB121" s="1">
        <v>38</v>
      </c>
      <c r="AC121" s="1">
        <v>32</v>
      </c>
      <c r="AD121" s="1">
        <v>26</v>
      </c>
      <c r="AE121" s="1"/>
      <c r="AF121" s="1"/>
      <c r="AG121" s="1"/>
      <c r="AH121" s="1"/>
      <c r="AI121" s="1"/>
      <c r="AJ121" s="1"/>
      <c r="AK121" s="2">
        <v>32</v>
      </c>
      <c r="AL121" s="2">
        <v>58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>
        <v>2.35</v>
      </c>
      <c r="BG121" s="2">
        <v>0.52</v>
      </c>
      <c r="BH121" s="1">
        <v>1.1900000000000001E-2</v>
      </c>
    </row>
    <row r="122" spans="1:60" x14ac:dyDescent="0.25">
      <c r="A122" s="1" t="s">
        <v>121</v>
      </c>
      <c r="B122" s="1" t="s">
        <v>203</v>
      </c>
      <c r="C122" s="1" t="s">
        <v>264</v>
      </c>
      <c r="D122" s="1" t="s">
        <v>231</v>
      </c>
      <c r="E122" s="1">
        <v>28</v>
      </c>
      <c r="F122" s="1">
        <v>800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35</v>
      </c>
      <c r="T122" s="1">
        <v>25</v>
      </c>
      <c r="U122" s="1">
        <v>24</v>
      </c>
      <c r="V122" s="1"/>
      <c r="W122" s="1"/>
      <c r="X122" s="1"/>
      <c r="Y122" s="1"/>
      <c r="Z122" s="1"/>
      <c r="AA122" s="1"/>
      <c r="AB122" s="1">
        <v>35</v>
      </c>
      <c r="AC122" s="1">
        <v>30</v>
      </c>
      <c r="AD122" s="1">
        <v>25</v>
      </c>
      <c r="AE122" s="1"/>
      <c r="AF122" s="1"/>
      <c r="AG122" s="1"/>
      <c r="AH122" s="1"/>
      <c r="AI122" s="1"/>
      <c r="AJ122" s="1"/>
      <c r="AK122" s="2">
        <v>30</v>
      </c>
      <c r="AL122" s="2">
        <v>60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>
        <v>4.2699999999999996</v>
      </c>
      <c r="BG122" s="2">
        <v>0.84</v>
      </c>
      <c r="BH122" s="1">
        <v>1.21E-2</v>
      </c>
    </row>
    <row r="123" spans="1:60" x14ac:dyDescent="0.25">
      <c r="A123" s="1" t="s">
        <v>122</v>
      </c>
      <c r="B123" s="1" t="s">
        <v>203</v>
      </c>
      <c r="C123" s="1" t="s">
        <v>265</v>
      </c>
      <c r="D123" s="1" t="s">
        <v>230</v>
      </c>
      <c r="E123" s="1">
        <v>36</v>
      </c>
      <c r="F123" s="1">
        <v>400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>
        <v>41</v>
      </c>
      <c r="T123" s="1">
        <v>35</v>
      </c>
      <c r="U123" s="1">
        <v>26</v>
      </c>
      <c r="V123" s="1"/>
      <c r="W123" s="1"/>
      <c r="X123" s="1"/>
      <c r="Y123" s="1"/>
      <c r="Z123" s="1"/>
      <c r="AA123" s="1"/>
      <c r="AB123" s="1">
        <v>47</v>
      </c>
      <c r="AC123" s="1">
        <v>37</v>
      </c>
      <c r="AD123" s="1">
        <v>25</v>
      </c>
      <c r="AE123" s="1"/>
      <c r="AF123" s="1"/>
      <c r="AG123" s="1"/>
      <c r="AH123" s="1"/>
      <c r="AI123" s="1"/>
      <c r="AJ123" s="1"/>
      <c r="AK123" s="2">
        <v>36.33</v>
      </c>
      <c r="AL123" s="2">
        <v>53.67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>
        <v>2.0699999999999998</v>
      </c>
      <c r="BG123" s="2">
        <v>0.4</v>
      </c>
      <c r="BH123" s="1">
        <v>7.0000000000000001E-3</v>
      </c>
    </row>
    <row r="124" spans="1:60" x14ac:dyDescent="0.25">
      <c r="A124" s="1" t="s">
        <v>123</v>
      </c>
      <c r="B124" s="1" t="s">
        <v>203</v>
      </c>
      <c r="C124" s="1" t="s">
        <v>265</v>
      </c>
      <c r="D124" s="1" t="s">
        <v>230</v>
      </c>
      <c r="E124" s="1">
        <v>36</v>
      </c>
      <c r="F124" s="1">
        <v>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46</v>
      </c>
      <c r="T124" s="1">
        <v>33</v>
      </c>
      <c r="U124" s="1">
        <v>28</v>
      </c>
      <c r="V124" s="1"/>
      <c r="W124" s="1"/>
      <c r="X124" s="1"/>
      <c r="Y124" s="1"/>
      <c r="Z124" s="1"/>
      <c r="AA124" s="1"/>
      <c r="AB124" s="1">
        <v>39</v>
      </c>
      <c r="AC124" s="1">
        <v>30</v>
      </c>
      <c r="AD124" s="1">
        <v>21</v>
      </c>
      <c r="AE124" s="1"/>
      <c r="AF124" s="1"/>
      <c r="AG124" s="1"/>
      <c r="AH124" s="1"/>
      <c r="AI124" s="1"/>
      <c r="AJ124" s="1"/>
      <c r="AK124" s="2">
        <v>30</v>
      </c>
      <c r="AL124" s="2">
        <v>60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>
        <v>1.72</v>
      </c>
      <c r="BG124" s="2">
        <v>0.34</v>
      </c>
      <c r="BH124" s="1">
        <v>8.3000000000000001E-3</v>
      </c>
    </row>
    <row r="125" spans="1:60" x14ac:dyDescent="0.25">
      <c r="A125" s="1" t="s">
        <v>124</v>
      </c>
      <c r="B125" s="1" t="s">
        <v>203</v>
      </c>
      <c r="C125" s="1" t="s">
        <v>265</v>
      </c>
      <c r="D125" s="1" t="s">
        <v>230</v>
      </c>
      <c r="E125" s="1">
        <v>36</v>
      </c>
      <c r="F125" s="1">
        <v>400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58</v>
      </c>
      <c r="T125" s="1">
        <v>43</v>
      </c>
      <c r="U125" s="1">
        <v>30</v>
      </c>
      <c r="V125" s="1"/>
      <c r="W125" s="1"/>
      <c r="X125" s="1"/>
      <c r="Y125" s="1"/>
      <c r="Z125" s="1"/>
      <c r="AA125" s="1"/>
      <c r="AB125" s="1">
        <v>35</v>
      </c>
      <c r="AC125" s="1">
        <v>31</v>
      </c>
      <c r="AD125" s="1">
        <v>25</v>
      </c>
      <c r="AE125" s="1"/>
      <c r="AF125" s="1"/>
      <c r="AG125" s="1"/>
      <c r="AH125" s="1"/>
      <c r="AI125" s="1"/>
      <c r="AJ125" s="1"/>
      <c r="AK125" s="2">
        <v>30.33</v>
      </c>
      <c r="AL125" s="2">
        <v>59.67</v>
      </c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>
        <v>1.95</v>
      </c>
      <c r="BG125" s="2">
        <v>0.36</v>
      </c>
      <c r="BH125" s="1">
        <v>6.4999999999999997E-3</v>
      </c>
    </row>
    <row r="126" spans="1:60" x14ac:dyDescent="0.25">
      <c r="A126" s="1" t="s">
        <v>125</v>
      </c>
      <c r="B126" s="1" t="s">
        <v>203</v>
      </c>
      <c r="C126" s="1" t="s">
        <v>265</v>
      </c>
      <c r="D126" s="1" t="s">
        <v>230</v>
      </c>
      <c r="E126" s="1">
        <v>36</v>
      </c>
      <c r="F126" s="1">
        <v>400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51</v>
      </c>
      <c r="T126" s="1">
        <v>34</v>
      </c>
      <c r="U126" s="1">
        <v>34</v>
      </c>
      <c r="V126" s="1"/>
      <c r="W126" s="1"/>
      <c r="X126" s="1"/>
      <c r="Y126" s="1"/>
      <c r="Z126" s="1"/>
      <c r="AA126" s="1"/>
      <c r="AB126" s="1">
        <v>42</v>
      </c>
      <c r="AC126" s="1">
        <v>39</v>
      </c>
      <c r="AD126" s="1">
        <v>33</v>
      </c>
      <c r="AE126" s="1"/>
      <c r="AF126" s="1"/>
      <c r="AG126" s="1"/>
      <c r="AH126" s="1"/>
      <c r="AI126" s="1"/>
      <c r="AJ126" s="1"/>
      <c r="AK126" s="2">
        <v>38</v>
      </c>
      <c r="AL126" s="2">
        <v>52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>
        <v>3.79</v>
      </c>
      <c r="BG126" s="2">
        <v>0.76</v>
      </c>
      <c r="BH126" s="1">
        <v>7.3000000000000001E-3</v>
      </c>
    </row>
    <row r="127" spans="1:60" x14ac:dyDescent="0.25">
      <c r="A127" s="1" t="s">
        <v>126</v>
      </c>
      <c r="B127" s="1" t="s">
        <v>203</v>
      </c>
      <c r="C127" s="1" t="s">
        <v>265</v>
      </c>
      <c r="D127" s="1" t="s">
        <v>230</v>
      </c>
      <c r="E127" s="1">
        <v>36</v>
      </c>
      <c r="F127" s="1">
        <v>400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53</v>
      </c>
      <c r="T127" s="1">
        <v>33</v>
      </c>
      <c r="U127" s="1">
        <v>31</v>
      </c>
      <c r="V127" s="1"/>
      <c r="W127" s="1"/>
      <c r="X127" s="1"/>
      <c r="Y127" s="1"/>
      <c r="Z127" s="1"/>
      <c r="AA127" s="1"/>
      <c r="AB127" s="1">
        <v>38</v>
      </c>
      <c r="AC127" s="1">
        <v>36</v>
      </c>
      <c r="AD127" s="1">
        <v>31</v>
      </c>
      <c r="AE127" s="1"/>
      <c r="AF127" s="1"/>
      <c r="AG127" s="1"/>
      <c r="AH127" s="1"/>
      <c r="AI127" s="1"/>
      <c r="AJ127" s="1"/>
      <c r="AK127" s="2">
        <v>35</v>
      </c>
      <c r="AL127" s="2">
        <v>55</v>
      </c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>
        <v>3.4</v>
      </c>
      <c r="BG127" s="2">
        <v>0.67</v>
      </c>
      <c r="BH127" s="1">
        <v>6.7999999999999996E-3</v>
      </c>
    </row>
    <row r="128" spans="1:60" x14ac:dyDescent="0.25">
      <c r="A128" s="1" t="s">
        <v>127</v>
      </c>
      <c r="B128" s="1" t="s">
        <v>204</v>
      </c>
      <c r="C128" s="1" t="s">
        <v>266</v>
      </c>
      <c r="D128" s="1" t="s">
        <v>229</v>
      </c>
      <c r="E128" s="1">
        <v>24</v>
      </c>
      <c r="F128" s="1">
        <v>400</v>
      </c>
      <c r="G128" s="1">
        <v>46</v>
      </c>
      <c r="H128" s="1">
        <v>43</v>
      </c>
      <c r="I128" s="1">
        <v>37</v>
      </c>
      <c r="J128" s="1">
        <v>54</v>
      </c>
      <c r="K128" s="1">
        <v>47</v>
      </c>
      <c r="L128" s="1">
        <v>40</v>
      </c>
      <c r="M128" s="1"/>
      <c r="N128" s="1"/>
      <c r="O128" s="1"/>
      <c r="P128" s="1">
        <v>54</v>
      </c>
      <c r="Q128" s="1">
        <v>40</v>
      </c>
      <c r="R128" s="1">
        <v>44</v>
      </c>
      <c r="S128" s="1"/>
      <c r="T128" s="1"/>
      <c r="U128" s="1"/>
      <c r="V128" s="1">
        <v>44</v>
      </c>
      <c r="W128" s="1">
        <v>46</v>
      </c>
      <c r="X128" s="1">
        <v>447</v>
      </c>
      <c r="Y128" s="1"/>
      <c r="Z128" s="1"/>
      <c r="AA128" s="1"/>
      <c r="AB128" s="1">
        <v>61</v>
      </c>
      <c r="AC128" s="1">
        <v>50</v>
      </c>
      <c r="AD128" s="1">
        <v>44</v>
      </c>
      <c r="AE128" s="1"/>
      <c r="AF128" s="1"/>
      <c r="AG128" s="1"/>
      <c r="AH128" s="1">
        <v>62</v>
      </c>
      <c r="AI128" s="1">
        <v>45</v>
      </c>
      <c r="AJ128" s="1">
        <v>47</v>
      </c>
      <c r="AK128" s="2">
        <f>AVERAGE(AH128:AJ128)</f>
        <v>51.333333333333336</v>
      </c>
      <c r="AL128" s="2">
        <f>90-AK128</f>
        <v>38.666666666666664</v>
      </c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>
        <v>62.3</v>
      </c>
      <c r="BG128" s="2">
        <v>9.86</v>
      </c>
      <c r="BH128" s="1">
        <v>5.8999999999999999E-3</v>
      </c>
    </row>
    <row r="129" spans="1:60" x14ac:dyDescent="0.25">
      <c r="A129" s="1" t="s">
        <v>128</v>
      </c>
      <c r="B129" s="1" t="s">
        <v>204</v>
      </c>
      <c r="C129" s="1" t="s">
        <v>266</v>
      </c>
      <c r="D129" s="1" t="s">
        <v>229</v>
      </c>
      <c r="E129" s="1">
        <v>24</v>
      </c>
      <c r="F129" s="1">
        <v>400</v>
      </c>
      <c r="G129" s="1">
        <v>55</v>
      </c>
      <c r="H129" s="1">
        <v>42</v>
      </c>
      <c r="I129" s="1">
        <v>34</v>
      </c>
      <c r="J129" s="1">
        <v>44</v>
      </c>
      <c r="K129" s="1">
        <v>35</v>
      </c>
      <c r="L129" s="1">
        <v>42</v>
      </c>
      <c r="M129" s="1"/>
      <c r="N129" s="1"/>
      <c r="O129" s="1"/>
      <c r="P129" s="1">
        <v>49</v>
      </c>
      <c r="Q129" s="1">
        <v>46</v>
      </c>
      <c r="R129" s="1">
        <v>55</v>
      </c>
      <c r="S129" s="1"/>
      <c r="T129" s="1"/>
      <c r="U129" s="1"/>
      <c r="V129" s="1">
        <v>55</v>
      </c>
      <c r="W129" s="1">
        <v>51</v>
      </c>
      <c r="X129" s="1">
        <v>53</v>
      </c>
      <c r="Y129" s="1"/>
      <c r="Z129" s="1"/>
      <c r="AA129" s="1"/>
      <c r="AB129" s="1">
        <v>68</v>
      </c>
      <c r="AC129" s="1">
        <v>54</v>
      </c>
      <c r="AD129" s="1">
        <v>62</v>
      </c>
      <c r="AE129" s="1"/>
      <c r="AF129" s="1"/>
      <c r="AG129" s="1"/>
      <c r="AH129" s="1">
        <v>71</v>
      </c>
      <c r="AI129" s="1">
        <v>61</v>
      </c>
      <c r="AJ129" s="1">
        <v>46</v>
      </c>
      <c r="AK129" s="2">
        <f t="shared" ref="AK129:AK151" si="6">AVERAGE(AH129:AJ129)</f>
        <v>59.333333333333336</v>
      </c>
      <c r="AL129" s="2">
        <f t="shared" ref="AL129:AL151" si="7">90-AK129</f>
        <v>30.666666666666664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>
        <v>36.700000000000003</v>
      </c>
      <c r="BG129" s="2">
        <v>6.85</v>
      </c>
      <c r="BH129" s="1">
        <v>7.7000000000000002E-3</v>
      </c>
    </row>
    <row r="130" spans="1:60" x14ac:dyDescent="0.25">
      <c r="A130" s="1" t="s">
        <v>129</v>
      </c>
      <c r="B130" s="1" t="s">
        <v>204</v>
      </c>
      <c r="C130" s="1" t="s">
        <v>266</v>
      </c>
      <c r="D130" s="1" t="s">
        <v>229</v>
      </c>
      <c r="E130" s="1">
        <v>24</v>
      </c>
      <c r="F130" s="1">
        <v>400</v>
      </c>
      <c r="G130" s="1">
        <v>51</v>
      </c>
      <c r="H130" s="1">
        <v>64</v>
      </c>
      <c r="I130" s="1">
        <v>59</v>
      </c>
      <c r="J130" s="1">
        <v>46</v>
      </c>
      <c r="K130" s="1">
        <v>57</v>
      </c>
      <c r="L130" s="1">
        <v>55</v>
      </c>
      <c r="M130" s="1"/>
      <c r="N130" s="1"/>
      <c r="O130" s="1"/>
      <c r="P130" s="1">
        <v>58</v>
      </c>
      <c r="Q130" s="1">
        <v>65</v>
      </c>
      <c r="R130" s="1">
        <v>67</v>
      </c>
      <c r="S130" s="1"/>
      <c r="T130" s="1"/>
      <c r="U130" s="1"/>
      <c r="V130" s="1">
        <v>67</v>
      </c>
      <c r="W130" s="1">
        <v>73</v>
      </c>
      <c r="X130" s="1">
        <v>54</v>
      </c>
      <c r="Y130" s="1"/>
      <c r="Z130" s="1"/>
      <c r="AA130" s="1"/>
      <c r="AB130" s="1">
        <v>66</v>
      </c>
      <c r="AC130" s="1">
        <v>62</v>
      </c>
      <c r="AD130" s="1">
        <v>58</v>
      </c>
      <c r="AE130" s="1"/>
      <c r="AF130" s="1"/>
      <c r="AG130" s="1"/>
      <c r="AH130" s="1">
        <v>58</v>
      </c>
      <c r="AI130" s="1">
        <v>56</v>
      </c>
      <c r="AJ130" s="1">
        <v>65</v>
      </c>
      <c r="AK130" s="2">
        <f t="shared" si="6"/>
        <v>59.666666666666664</v>
      </c>
      <c r="AL130" s="2">
        <f t="shared" si="7"/>
        <v>30.333333333333336</v>
      </c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>
        <v>40.299999999999997</v>
      </c>
      <c r="BG130" s="2">
        <v>3.86</v>
      </c>
      <c r="BH130" s="1">
        <v>5.3E-3</v>
      </c>
    </row>
    <row r="131" spans="1:60" x14ac:dyDescent="0.25">
      <c r="A131" s="1" t="s">
        <v>130</v>
      </c>
      <c r="B131" s="1" t="s">
        <v>204</v>
      </c>
      <c r="C131" s="1" t="s">
        <v>266</v>
      </c>
      <c r="D131" s="1" t="s">
        <v>229</v>
      </c>
      <c r="E131" s="1">
        <v>24</v>
      </c>
      <c r="F131" s="1">
        <v>400</v>
      </c>
      <c r="G131" s="1">
        <v>48</v>
      </c>
      <c r="H131" s="1">
        <v>51</v>
      </c>
      <c r="I131" s="1">
        <v>41</v>
      </c>
      <c r="J131" s="1">
        <v>43</v>
      </c>
      <c r="K131" s="1">
        <v>51</v>
      </c>
      <c r="L131" s="1">
        <v>49</v>
      </c>
      <c r="M131" s="1"/>
      <c r="N131" s="1"/>
      <c r="O131" s="1"/>
      <c r="P131" s="1">
        <v>55</v>
      </c>
      <c r="Q131" s="1">
        <v>48</v>
      </c>
      <c r="R131" s="1">
        <v>45</v>
      </c>
      <c r="S131" s="1"/>
      <c r="T131" s="1"/>
      <c r="U131" s="1"/>
      <c r="V131" s="1">
        <v>45</v>
      </c>
      <c r="W131" s="1">
        <v>57</v>
      </c>
      <c r="X131" s="1">
        <v>52</v>
      </c>
      <c r="Y131" s="1"/>
      <c r="Z131" s="1"/>
      <c r="AA131" s="1"/>
      <c r="AB131" s="1">
        <v>47</v>
      </c>
      <c r="AC131" s="1">
        <v>56</v>
      </c>
      <c r="AD131" s="1">
        <v>57</v>
      </c>
      <c r="AE131" s="1"/>
      <c r="AF131" s="1"/>
      <c r="AG131" s="1"/>
      <c r="AH131" s="1">
        <v>52</v>
      </c>
      <c r="AI131" s="1">
        <v>64</v>
      </c>
      <c r="AJ131" s="1">
        <v>61</v>
      </c>
      <c r="AK131" s="2">
        <f t="shared" si="6"/>
        <v>59</v>
      </c>
      <c r="AL131" s="2">
        <f t="shared" si="7"/>
        <v>31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>
        <v>47.5</v>
      </c>
      <c r="BG131" s="2">
        <v>5.01</v>
      </c>
      <c r="BH131" s="1">
        <v>4.4999999999999997E-3</v>
      </c>
    </row>
    <row r="132" spans="1:60" x14ac:dyDescent="0.25">
      <c r="A132" s="1" t="s">
        <v>131</v>
      </c>
      <c r="B132" s="1" t="s">
        <v>204</v>
      </c>
      <c r="C132" s="1" t="s">
        <v>266</v>
      </c>
      <c r="D132" s="1" t="s">
        <v>229</v>
      </c>
      <c r="E132" s="1">
        <v>24</v>
      </c>
      <c r="F132" s="1">
        <v>400</v>
      </c>
      <c r="G132" s="1">
        <v>48</v>
      </c>
      <c r="H132" s="1">
        <v>42</v>
      </c>
      <c r="I132" s="1">
        <v>46</v>
      </c>
      <c r="J132" s="1">
        <v>55</v>
      </c>
      <c r="K132" s="1">
        <v>47</v>
      </c>
      <c r="L132" s="1">
        <v>37</v>
      </c>
      <c r="M132" s="1"/>
      <c r="N132" s="1"/>
      <c r="O132" s="1"/>
      <c r="P132" s="1">
        <v>44</v>
      </c>
      <c r="Q132" s="1">
        <v>37</v>
      </c>
      <c r="R132" s="1">
        <v>67</v>
      </c>
      <c r="S132" s="1"/>
      <c r="T132" s="1"/>
      <c r="U132" s="1"/>
      <c r="V132" s="1">
        <v>67</v>
      </c>
      <c r="W132" s="1">
        <v>50</v>
      </c>
      <c r="X132" s="1">
        <v>42</v>
      </c>
      <c r="Y132" s="1"/>
      <c r="Z132" s="1"/>
      <c r="AA132" s="1"/>
      <c r="AB132" s="1">
        <v>66</v>
      </c>
      <c r="AC132" s="1">
        <v>55</v>
      </c>
      <c r="AD132" s="1">
        <v>43</v>
      </c>
      <c r="AE132" s="1"/>
      <c r="AF132" s="1"/>
      <c r="AG132" s="1"/>
      <c r="AH132" s="1">
        <v>68</v>
      </c>
      <c r="AI132" s="1">
        <v>69</v>
      </c>
      <c r="AJ132" s="1">
        <v>50</v>
      </c>
      <c r="AK132" s="2">
        <f t="shared" si="6"/>
        <v>62.333333333333336</v>
      </c>
      <c r="AL132" s="2">
        <f t="shared" si="7"/>
        <v>27.666666666666664</v>
      </c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>
        <v>59.8</v>
      </c>
      <c r="BG132" s="2">
        <v>9.2799999999999994</v>
      </c>
      <c r="BH132" s="1">
        <v>6.3E-3</v>
      </c>
    </row>
    <row r="133" spans="1:60" x14ac:dyDescent="0.25">
      <c r="A133" s="1" t="s">
        <v>132</v>
      </c>
      <c r="B133" s="1" t="s">
        <v>204</v>
      </c>
      <c r="C133" s="1" t="s">
        <v>266</v>
      </c>
      <c r="D133" s="1" t="s">
        <v>229</v>
      </c>
      <c r="E133" s="1">
        <v>24</v>
      </c>
      <c r="F133" s="1">
        <v>400</v>
      </c>
      <c r="G133" s="1">
        <v>65</v>
      </c>
      <c r="H133" s="1">
        <v>43</v>
      </c>
      <c r="I133" s="1">
        <v>40</v>
      </c>
      <c r="J133" s="1">
        <v>59</v>
      </c>
      <c r="K133" s="1">
        <v>50</v>
      </c>
      <c r="L133" s="1">
        <v>49</v>
      </c>
      <c r="M133" s="1"/>
      <c r="N133" s="1"/>
      <c r="O133" s="1"/>
      <c r="P133" s="1">
        <v>59</v>
      </c>
      <c r="Q133" s="1">
        <v>49</v>
      </c>
      <c r="R133" s="1">
        <v>61</v>
      </c>
      <c r="S133" s="1"/>
      <c r="T133" s="1"/>
      <c r="U133" s="1"/>
      <c r="V133" s="1">
        <v>61</v>
      </c>
      <c r="W133" s="1">
        <v>55</v>
      </c>
      <c r="X133" s="1">
        <v>70</v>
      </c>
      <c r="Y133" s="1"/>
      <c r="Z133" s="1"/>
      <c r="AA133" s="1"/>
      <c r="AB133" s="1">
        <v>55</v>
      </c>
      <c r="AC133" s="1">
        <v>65</v>
      </c>
      <c r="AD133" s="1">
        <v>59</v>
      </c>
      <c r="AE133" s="1"/>
      <c r="AF133" s="1"/>
      <c r="AG133" s="1"/>
      <c r="AH133" s="1">
        <v>52</v>
      </c>
      <c r="AI133" s="1">
        <v>54</v>
      </c>
      <c r="AJ133" s="1">
        <v>57</v>
      </c>
      <c r="AK133" s="2">
        <f t="shared" si="6"/>
        <v>54.333333333333336</v>
      </c>
      <c r="AL133" s="2">
        <f t="shared" si="7"/>
        <v>35.666666666666664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>
        <v>29.4</v>
      </c>
      <c r="BG133" s="2">
        <v>3.22</v>
      </c>
      <c r="BH133" s="1">
        <v>5.1000000000000004E-3</v>
      </c>
    </row>
    <row r="134" spans="1:60" x14ac:dyDescent="0.25">
      <c r="A134" s="1" t="s">
        <v>133</v>
      </c>
      <c r="B134" s="1" t="s">
        <v>204</v>
      </c>
      <c r="C134" s="1" t="s">
        <v>267</v>
      </c>
      <c r="D134" s="1" t="s">
        <v>231</v>
      </c>
      <c r="E134" s="1">
        <v>24</v>
      </c>
      <c r="F134" s="1">
        <v>800</v>
      </c>
      <c r="G134" s="1">
        <v>50</v>
      </c>
      <c r="H134" s="1">
        <v>56</v>
      </c>
      <c r="I134" s="1">
        <v>49</v>
      </c>
      <c r="J134" s="1">
        <v>49</v>
      </c>
      <c r="K134" s="1">
        <v>50</v>
      </c>
      <c r="L134" s="1">
        <v>49</v>
      </c>
      <c r="M134" s="1"/>
      <c r="N134" s="1"/>
      <c r="O134" s="1"/>
      <c r="P134" s="1">
        <v>60</v>
      </c>
      <c r="Q134" s="1">
        <v>52</v>
      </c>
      <c r="R134" s="1">
        <v>59</v>
      </c>
      <c r="S134" s="1"/>
      <c r="T134" s="1"/>
      <c r="U134" s="1"/>
      <c r="V134" s="1">
        <v>59</v>
      </c>
      <c r="W134" s="1">
        <v>54</v>
      </c>
      <c r="X134" s="1">
        <v>46</v>
      </c>
      <c r="Y134" s="1"/>
      <c r="Z134" s="1"/>
      <c r="AA134" s="1"/>
      <c r="AB134" s="1">
        <v>56</v>
      </c>
      <c r="AC134" s="1">
        <v>57</v>
      </c>
      <c r="AD134" s="1">
        <v>42</v>
      </c>
      <c r="AE134" s="1"/>
      <c r="AF134" s="1"/>
      <c r="AG134" s="1"/>
      <c r="AH134" s="1">
        <v>47</v>
      </c>
      <c r="AI134" s="1">
        <v>42</v>
      </c>
      <c r="AJ134" s="1">
        <v>54</v>
      </c>
      <c r="AK134" s="2">
        <f t="shared" si="6"/>
        <v>47.666666666666664</v>
      </c>
      <c r="AL134" s="2">
        <f t="shared" si="7"/>
        <v>42.333333333333336</v>
      </c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>
        <v>38</v>
      </c>
      <c r="BG134" s="2">
        <v>4.4800000000000004</v>
      </c>
      <c r="BH134" s="1">
        <v>7.4999999999999997E-3</v>
      </c>
    </row>
    <row r="135" spans="1:60" x14ac:dyDescent="0.25">
      <c r="A135" s="1" t="s">
        <v>134</v>
      </c>
      <c r="B135" s="1" t="s">
        <v>204</v>
      </c>
      <c r="C135" s="1" t="s">
        <v>267</v>
      </c>
      <c r="D135" s="1" t="s">
        <v>231</v>
      </c>
      <c r="E135" s="1">
        <v>24</v>
      </c>
      <c r="F135" s="1">
        <v>800</v>
      </c>
      <c r="G135" s="1">
        <v>55</v>
      </c>
      <c r="H135" s="1">
        <v>48</v>
      </c>
      <c r="I135" s="1">
        <v>49</v>
      </c>
      <c r="J135" s="1">
        <v>44</v>
      </c>
      <c r="K135" s="1">
        <v>44</v>
      </c>
      <c r="L135" s="1">
        <v>49</v>
      </c>
      <c r="M135" s="1"/>
      <c r="N135" s="1"/>
      <c r="O135" s="1"/>
      <c r="P135" s="1">
        <v>52</v>
      </c>
      <c r="Q135" s="1">
        <v>58</v>
      </c>
      <c r="R135" s="1">
        <v>52</v>
      </c>
      <c r="S135" s="1"/>
      <c r="T135" s="1"/>
      <c r="U135" s="1"/>
      <c r="V135" s="1">
        <v>52</v>
      </c>
      <c r="W135" s="1">
        <v>51</v>
      </c>
      <c r="X135" s="1">
        <v>51</v>
      </c>
      <c r="Y135" s="1"/>
      <c r="Z135" s="1"/>
      <c r="AA135" s="1"/>
      <c r="AB135" s="1">
        <v>46</v>
      </c>
      <c r="AC135" s="1">
        <v>62</v>
      </c>
      <c r="AD135" s="1">
        <v>52</v>
      </c>
      <c r="AE135" s="1"/>
      <c r="AF135" s="1"/>
      <c r="AG135" s="1"/>
      <c r="AH135" s="1">
        <v>67</v>
      </c>
      <c r="AI135" s="1">
        <v>53</v>
      </c>
      <c r="AJ135" s="1">
        <v>45</v>
      </c>
      <c r="AK135" s="2">
        <f t="shared" si="6"/>
        <v>55</v>
      </c>
      <c r="AL135" s="2">
        <f t="shared" si="7"/>
        <v>35</v>
      </c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>
        <v>42.1</v>
      </c>
      <c r="BG135" s="2">
        <v>4.92</v>
      </c>
      <c r="BH135" s="1">
        <v>5.3E-3</v>
      </c>
    </row>
    <row r="136" spans="1:60" x14ac:dyDescent="0.25">
      <c r="A136" s="1" t="s">
        <v>135</v>
      </c>
      <c r="B136" s="1" t="s">
        <v>204</v>
      </c>
      <c r="C136" s="1" t="s">
        <v>267</v>
      </c>
      <c r="D136" s="1" t="s">
        <v>231</v>
      </c>
      <c r="E136" s="1">
        <v>24</v>
      </c>
      <c r="F136" s="1">
        <v>800</v>
      </c>
      <c r="G136" s="1">
        <v>46</v>
      </c>
      <c r="H136" s="1">
        <v>54</v>
      </c>
      <c r="I136" s="1">
        <v>46</v>
      </c>
      <c r="J136" s="1">
        <v>44</v>
      </c>
      <c r="K136" s="1">
        <v>45</v>
      </c>
      <c r="L136" s="1">
        <v>26</v>
      </c>
      <c r="M136" s="1"/>
      <c r="N136" s="1"/>
      <c r="O136" s="1"/>
      <c r="P136" s="1">
        <v>51</v>
      </c>
      <c r="Q136" s="1">
        <v>40</v>
      </c>
      <c r="R136" s="1">
        <v>62</v>
      </c>
      <c r="S136" s="1"/>
      <c r="T136" s="1"/>
      <c r="U136" s="1"/>
      <c r="V136" s="1">
        <v>62</v>
      </c>
      <c r="W136" s="1">
        <v>51</v>
      </c>
      <c r="X136" s="1">
        <v>49</v>
      </c>
      <c r="Y136" s="1"/>
      <c r="Z136" s="1"/>
      <c r="AA136" s="1"/>
      <c r="AB136" s="1">
        <v>62</v>
      </c>
      <c r="AC136" s="1">
        <v>57</v>
      </c>
      <c r="AD136" s="1">
        <v>48</v>
      </c>
      <c r="AE136" s="1"/>
      <c r="AF136" s="1"/>
      <c r="AG136" s="1"/>
      <c r="AH136" s="1">
        <v>58</v>
      </c>
      <c r="AI136" s="1">
        <v>53</v>
      </c>
      <c r="AJ136" s="1">
        <v>50</v>
      </c>
      <c r="AK136" s="2">
        <f t="shared" si="6"/>
        <v>53.666666666666664</v>
      </c>
      <c r="AL136" s="2">
        <f t="shared" si="7"/>
        <v>36.333333333333336</v>
      </c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>
        <v>39.9</v>
      </c>
      <c r="BG136" s="2">
        <v>6.08</v>
      </c>
      <c r="BH136" s="1">
        <v>5.4999999999999997E-3</v>
      </c>
    </row>
    <row r="137" spans="1:60" x14ac:dyDescent="0.25">
      <c r="A137" s="1" t="s">
        <v>136</v>
      </c>
      <c r="B137" s="1" t="s">
        <v>204</v>
      </c>
      <c r="C137" s="1" t="s">
        <v>267</v>
      </c>
      <c r="D137" s="1" t="s">
        <v>231</v>
      </c>
      <c r="E137" s="1">
        <v>24</v>
      </c>
      <c r="F137" s="1">
        <v>800</v>
      </c>
      <c r="G137" s="1">
        <v>49</v>
      </c>
      <c r="H137" s="1">
        <v>39</v>
      </c>
      <c r="I137" s="1">
        <v>40</v>
      </c>
      <c r="J137" s="1">
        <v>56</v>
      </c>
      <c r="K137" s="1">
        <v>52</v>
      </c>
      <c r="L137" s="1">
        <v>39</v>
      </c>
      <c r="M137" s="1"/>
      <c r="N137" s="1"/>
      <c r="O137" s="1"/>
      <c r="P137" s="1">
        <v>55</v>
      </c>
      <c r="Q137" s="1">
        <v>58</v>
      </c>
      <c r="R137" s="1">
        <v>62</v>
      </c>
      <c r="S137" s="1"/>
      <c r="T137" s="1"/>
      <c r="U137" s="1"/>
      <c r="V137" s="1">
        <v>62</v>
      </c>
      <c r="W137" s="1">
        <v>57</v>
      </c>
      <c r="X137" s="1">
        <v>42</v>
      </c>
      <c r="Y137" s="1"/>
      <c r="Z137" s="1"/>
      <c r="AA137" s="1"/>
      <c r="AB137" s="1">
        <v>56</v>
      </c>
      <c r="AC137" s="1">
        <v>47</v>
      </c>
      <c r="AD137" s="1">
        <v>53</v>
      </c>
      <c r="AE137" s="1"/>
      <c r="AF137" s="1"/>
      <c r="AG137" s="1"/>
      <c r="AH137" s="1">
        <v>55</v>
      </c>
      <c r="AI137" s="1">
        <v>46</v>
      </c>
      <c r="AJ137" s="1">
        <v>52</v>
      </c>
      <c r="AK137" s="2">
        <f t="shared" si="6"/>
        <v>51</v>
      </c>
      <c r="AL137" s="2">
        <f t="shared" si="7"/>
        <v>39</v>
      </c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>
        <v>38.4</v>
      </c>
      <c r="BG137" s="2">
        <v>4.75</v>
      </c>
      <c r="BH137" s="1">
        <v>7.1000000000000004E-3</v>
      </c>
    </row>
    <row r="138" spans="1:60" x14ac:dyDescent="0.25">
      <c r="A138" s="1" t="s">
        <v>137</v>
      </c>
      <c r="B138" s="1" t="s">
        <v>204</v>
      </c>
      <c r="C138" s="1" t="s">
        <v>267</v>
      </c>
      <c r="D138" s="1" t="s">
        <v>231</v>
      </c>
      <c r="E138" s="1">
        <v>24</v>
      </c>
      <c r="F138" s="1">
        <v>800</v>
      </c>
      <c r="G138" s="1">
        <v>48</v>
      </c>
      <c r="H138" s="1">
        <v>52</v>
      </c>
      <c r="I138" s="1">
        <v>45</v>
      </c>
      <c r="J138" s="1">
        <v>45</v>
      </c>
      <c r="K138" s="1">
        <v>40</v>
      </c>
      <c r="L138" s="1">
        <v>49</v>
      </c>
      <c r="M138" s="1"/>
      <c r="N138" s="1"/>
      <c r="O138" s="1"/>
      <c r="P138" s="1">
        <v>52</v>
      </c>
      <c r="Q138" s="1">
        <v>49</v>
      </c>
      <c r="R138" s="1">
        <v>61</v>
      </c>
      <c r="S138" s="1"/>
      <c r="T138" s="1"/>
      <c r="U138" s="1"/>
      <c r="V138" s="1">
        <v>61</v>
      </c>
      <c r="W138" s="1">
        <v>43</v>
      </c>
      <c r="X138" s="1">
        <v>49</v>
      </c>
      <c r="Y138" s="1"/>
      <c r="Z138" s="1"/>
      <c r="AA138" s="1"/>
      <c r="AB138" s="1">
        <v>66</v>
      </c>
      <c r="AC138" s="1">
        <v>52</v>
      </c>
      <c r="AD138" s="1">
        <v>53</v>
      </c>
      <c r="AE138" s="1"/>
      <c r="AF138" s="1"/>
      <c r="AG138" s="1"/>
      <c r="AH138" s="1">
        <v>53</v>
      </c>
      <c r="AI138" s="1">
        <v>62</v>
      </c>
      <c r="AJ138" s="1">
        <v>48</v>
      </c>
      <c r="AK138" s="2">
        <f t="shared" si="6"/>
        <v>54.333333333333336</v>
      </c>
      <c r="AL138" s="2">
        <f t="shared" si="7"/>
        <v>35.666666666666664</v>
      </c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>
        <v>42</v>
      </c>
      <c r="BG138" s="2">
        <v>5.29</v>
      </c>
      <c r="BH138" s="1">
        <v>7.4999999999999997E-3</v>
      </c>
    </row>
    <row r="139" spans="1:60" x14ac:dyDescent="0.25">
      <c r="A139" s="1" t="s">
        <v>138</v>
      </c>
      <c r="B139" s="1" t="s">
        <v>204</v>
      </c>
      <c r="C139" s="1" t="s">
        <v>267</v>
      </c>
      <c r="D139" s="1" t="s">
        <v>231</v>
      </c>
      <c r="E139" s="1">
        <v>24</v>
      </c>
      <c r="F139" s="1">
        <v>800</v>
      </c>
      <c r="G139" s="1">
        <v>47</v>
      </c>
      <c r="H139" s="1">
        <v>45</v>
      </c>
      <c r="I139" s="1">
        <v>38</v>
      </c>
      <c r="J139" s="1">
        <v>55</v>
      </c>
      <c r="K139" s="1">
        <v>55</v>
      </c>
      <c r="L139" s="1">
        <v>43</v>
      </c>
      <c r="M139" s="1"/>
      <c r="N139" s="1"/>
      <c r="O139" s="1"/>
      <c r="P139" s="1">
        <v>51</v>
      </c>
      <c r="Q139" s="1">
        <v>45</v>
      </c>
      <c r="R139" s="1">
        <v>56</v>
      </c>
      <c r="S139" s="1"/>
      <c r="T139" s="1"/>
      <c r="U139" s="1"/>
      <c r="V139" s="1">
        <v>56</v>
      </c>
      <c r="W139" s="1">
        <v>50</v>
      </c>
      <c r="X139" s="1">
        <v>54</v>
      </c>
      <c r="Y139" s="1"/>
      <c r="Z139" s="1"/>
      <c r="AA139" s="1"/>
      <c r="AB139" s="1">
        <v>60</v>
      </c>
      <c r="AC139" s="1">
        <v>56</v>
      </c>
      <c r="AD139" s="1">
        <v>52</v>
      </c>
      <c r="AE139" s="1"/>
      <c r="AF139" s="1"/>
      <c r="AG139" s="1"/>
      <c r="AH139" s="1">
        <v>62</v>
      </c>
      <c r="AI139" s="1">
        <v>52</v>
      </c>
      <c r="AJ139" s="1">
        <v>54</v>
      </c>
      <c r="AK139" s="2">
        <f t="shared" si="6"/>
        <v>56</v>
      </c>
      <c r="AL139" s="2">
        <f t="shared" si="7"/>
        <v>34</v>
      </c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>
        <v>38.9</v>
      </c>
      <c r="BG139" s="2">
        <v>5.37</v>
      </c>
      <c r="BH139" s="1">
        <v>5.7000000000000002E-3</v>
      </c>
    </row>
    <row r="140" spans="1:60" x14ac:dyDescent="0.25">
      <c r="A140" s="1" t="s">
        <v>139</v>
      </c>
      <c r="B140" s="1" t="s">
        <v>204</v>
      </c>
      <c r="C140" s="1" t="s">
        <v>268</v>
      </c>
      <c r="D140" s="1" t="s">
        <v>230</v>
      </c>
      <c r="E140" s="1">
        <v>32</v>
      </c>
      <c r="F140" s="1">
        <v>400</v>
      </c>
      <c r="G140" s="1">
        <v>46</v>
      </c>
      <c r="H140" s="1">
        <v>38</v>
      </c>
      <c r="I140" s="1">
        <v>45</v>
      </c>
      <c r="J140" s="1">
        <v>57</v>
      </c>
      <c r="K140" s="1">
        <v>41</v>
      </c>
      <c r="L140" s="1">
        <v>37</v>
      </c>
      <c r="M140" s="1"/>
      <c r="N140" s="1"/>
      <c r="O140" s="1"/>
      <c r="P140" s="1">
        <v>43</v>
      </c>
      <c r="Q140" s="1">
        <v>29</v>
      </c>
      <c r="R140" s="1">
        <v>47</v>
      </c>
      <c r="S140" s="1"/>
      <c r="T140" s="1"/>
      <c r="U140" s="1"/>
      <c r="V140" s="1">
        <v>47</v>
      </c>
      <c r="W140" s="1">
        <v>48</v>
      </c>
      <c r="X140" s="1">
        <v>39</v>
      </c>
      <c r="Y140" s="1"/>
      <c r="Z140" s="1"/>
      <c r="AA140" s="1"/>
      <c r="AB140" s="1">
        <v>52</v>
      </c>
      <c r="AC140" s="1">
        <v>52</v>
      </c>
      <c r="AD140" s="1">
        <v>35</v>
      </c>
      <c r="AE140" s="1"/>
      <c r="AF140" s="1"/>
      <c r="AG140" s="1"/>
      <c r="AH140" s="1">
        <v>53</v>
      </c>
      <c r="AI140" s="1">
        <v>57</v>
      </c>
      <c r="AJ140" s="1">
        <v>38</v>
      </c>
      <c r="AK140" s="2">
        <f t="shared" si="6"/>
        <v>49.333333333333336</v>
      </c>
      <c r="AL140" s="2">
        <f t="shared" si="7"/>
        <v>40.666666666666664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>
        <v>37.6</v>
      </c>
      <c r="BG140" s="2">
        <v>5.73</v>
      </c>
      <c r="BH140" s="1">
        <v>6.0000000000000001E-3</v>
      </c>
    </row>
    <row r="141" spans="1:60" x14ac:dyDescent="0.25">
      <c r="A141" s="1" t="s">
        <v>140</v>
      </c>
      <c r="B141" s="1" t="s">
        <v>204</v>
      </c>
      <c r="C141" s="1" t="s">
        <v>268</v>
      </c>
      <c r="D141" s="1" t="s">
        <v>230</v>
      </c>
      <c r="E141" s="1">
        <v>32</v>
      </c>
      <c r="F141" s="1">
        <v>400</v>
      </c>
      <c r="G141" s="1">
        <v>41</v>
      </c>
      <c r="H141" s="1">
        <v>36</v>
      </c>
      <c r="I141" s="1">
        <v>40</v>
      </c>
      <c r="J141" s="1">
        <v>52</v>
      </c>
      <c r="K141" s="1">
        <v>45</v>
      </c>
      <c r="L141" s="1">
        <v>43</v>
      </c>
      <c r="M141" s="1"/>
      <c r="N141" s="1"/>
      <c r="O141" s="1"/>
      <c r="P141" s="1">
        <v>45</v>
      </c>
      <c r="Q141" s="1">
        <v>38</v>
      </c>
      <c r="R141" s="1">
        <v>62</v>
      </c>
      <c r="S141" s="1"/>
      <c r="T141" s="1"/>
      <c r="U141" s="1"/>
      <c r="V141" s="1">
        <v>62</v>
      </c>
      <c r="W141" s="1">
        <v>44</v>
      </c>
      <c r="X141" s="1">
        <v>38</v>
      </c>
      <c r="Y141" s="1"/>
      <c r="Z141" s="1"/>
      <c r="AA141" s="1"/>
      <c r="AB141" s="1">
        <v>63</v>
      </c>
      <c r="AC141" s="1">
        <v>42</v>
      </c>
      <c r="AD141" s="1">
        <v>31</v>
      </c>
      <c r="AE141" s="1"/>
      <c r="AF141" s="1"/>
      <c r="AG141" s="1"/>
      <c r="AH141" s="1">
        <v>67</v>
      </c>
      <c r="AI141" s="1">
        <v>49</v>
      </c>
      <c r="AJ141" s="1">
        <v>32</v>
      </c>
      <c r="AK141" s="2">
        <f t="shared" si="6"/>
        <v>49.333333333333336</v>
      </c>
      <c r="AL141" s="2">
        <f t="shared" si="7"/>
        <v>40.666666666666664</v>
      </c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>
        <v>29.4</v>
      </c>
      <c r="BG141" s="2">
        <v>4.51</v>
      </c>
      <c r="BH141" s="1">
        <v>4.4000000000000003E-3</v>
      </c>
    </row>
    <row r="142" spans="1:60" x14ac:dyDescent="0.25">
      <c r="A142" s="1" t="s">
        <v>141</v>
      </c>
      <c r="B142" s="1" t="s">
        <v>204</v>
      </c>
      <c r="C142" s="1" t="s">
        <v>268</v>
      </c>
      <c r="D142" s="1" t="s">
        <v>230</v>
      </c>
      <c r="E142" s="1">
        <v>32</v>
      </c>
      <c r="F142" s="1">
        <v>400</v>
      </c>
      <c r="G142" s="1">
        <v>49</v>
      </c>
      <c r="H142" s="1">
        <v>44</v>
      </c>
      <c r="I142" s="1">
        <v>50</v>
      </c>
      <c r="J142" s="1">
        <v>53</v>
      </c>
      <c r="K142" s="1">
        <v>46</v>
      </c>
      <c r="L142" s="1">
        <v>43</v>
      </c>
      <c r="M142" s="1"/>
      <c r="N142" s="1"/>
      <c r="O142" s="1"/>
      <c r="P142" s="1">
        <v>41</v>
      </c>
      <c r="Q142" s="1">
        <v>39</v>
      </c>
      <c r="R142" s="1">
        <v>52</v>
      </c>
      <c r="S142" s="1"/>
      <c r="T142" s="1"/>
      <c r="U142" s="1"/>
      <c r="V142" s="1">
        <v>52</v>
      </c>
      <c r="W142" s="1">
        <v>35</v>
      </c>
      <c r="X142" s="1">
        <v>43</v>
      </c>
      <c r="Y142" s="1"/>
      <c r="Z142" s="1"/>
      <c r="AA142" s="1"/>
      <c r="AB142" s="1">
        <v>39</v>
      </c>
      <c r="AC142" s="1">
        <v>42</v>
      </c>
      <c r="AD142" s="1">
        <v>37</v>
      </c>
      <c r="AE142" s="1"/>
      <c r="AF142" s="1"/>
      <c r="AG142" s="1"/>
      <c r="AH142" s="1">
        <v>37</v>
      </c>
      <c r="AI142" s="1">
        <v>42</v>
      </c>
      <c r="AJ142" s="1">
        <v>40</v>
      </c>
      <c r="AK142" s="2">
        <f t="shared" si="6"/>
        <v>39.666666666666664</v>
      </c>
      <c r="AL142" s="2">
        <f t="shared" si="7"/>
        <v>50.333333333333336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>
        <v>30.2</v>
      </c>
      <c r="BG142" s="2">
        <v>4.72</v>
      </c>
      <c r="BH142" s="1">
        <v>4.7999999999999996E-3</v>
      </c>
    </row>
    <row r="143" spans="1:60" x14ac:dyDescent="0.25">
      <c r="A143" s="1" t="s">
        <v>142</v>
      </c>
      <c r="B143" s="1" t="s">
        <v>204</v>
      </c>
      <c r="C143" s="1" t="s">
        <v>268</v>
      </c>
      <c r="D143" s="1" t="s">
        <v>230</v>
      </c>
      <c r="E143" s="1">
        <v>32</v>
      </c>
      <c r="F143" s="1">
        <v>400</v>
      </c>
      <c r="G143" s="1">
        <v>55</v>
      </c>
      <c r="H143" s="1">
        <v>39</v>
      </c>
      <c r="I143" s="1">
        <v>2</v>
      </c>
      <c r="J143" s="1">
        <v>58</v>
      </c>
      <c r="K143" s="1">
        <v>40</v>
      </c>
      <c r="L143" s="1">
        <v>39</v>
      </c>
      <c r="M143" s="1"/>
      <c r="N143" s="1"/>
      <c r="O143" s="1"/>
      <c r="P143" s="1">
        <v>36</v>
      </c>
      <c r="Q143" s="1">
        <v>37</v>
      </c>
      <c r="R143" s="1">
        <v>54</v>
      </c>
      <c r="S143" s="1"/>
      <c r="T143" s="1"/>
      <c r="U143" s="1"/>
      <c r="V143" s="1">
        <v>54</v>
      </c>
      <c r="W143" s="1">
        <v>35</v>
      </c>
      <c r="X143" s="1">
        <v>32</v>
      </c>
      <c r="Y143" s="1"/>
      <c r="Z143" s="1"/>
      <c r="AA143" s="1"/>
      <c r="AB143" s="1">
        <v>57</v>
      </c>
      <c r="AC143" s="1">
        <v>34</v>
      </c>
      <c r="AD143" s="1">
        <v>35</v>
      </c>
      <c r="AE143" s="1"/>
      <c r="AF143" s="1"/>
      <c r="AG143" s="1"/>
      <c r="AH143" s="1">
        <v>63</v>
      </c>
      <c r="AI143" s="1">
        <v>36</v>
      </c>
      <c r="AJ143" s="1">
        <v>40</v>
      </c>
      <c r="AK143" s="2">
        <f t="shared" si="6"/>
        <v>46.333333333333336</v>
      </c>
      <c r="AL143" s="2">
        <f t="shared" si="7"/>
        <v>43.666666666666664</v>
      </c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>
        <v>31</v>
      </c>
      <c r="BG143" s="2">
        <v>3.62</v>
      </c>
      <c r="BH143" s="1">
        <v>4.7999999999999996E-3</v>
      </c>
    </row>
    <row r="144" spans="1:60" x14ac:dyDescent="0.25">
      <c r="A144" s="1" t="s">
        <v>143</v>
      </c>
      <c r="B144" s="1" t="s">
        <v>204</v>
      </c>
      <c r="C144" s="1" t="s">
        <v>268</v>
      </c>
      <c r="D144" s="1" t="s">
        <v>230</v>
      </c>
      <c r="E144" s="1">
        <v>32</v>
      </c>
      <c r="F144" s="1">
        <v>400</v>
      </c>
      <c r="G144" s="1">
        <v>55</v>
      </c>
      <c r="H144" s="1">
        <v>52</v>
      </c>
      <c r="I144" s="1">
        <v>43</v>
      </c>
      <c r="J144" s="1">
        <v>57</v>
      </c>
      <c r="K144" s="1">
        <v>48</v>
      </c>
      <c r="L144" s="1">
        <v>56</v>
      </c>
      <c r="M144" s="1"/>
      <c r="N144" s="1"/>
      <c r="O144" s="1"/>
      <c r="P144" s="1">
        <v>56</v>
      </c>
      <c r="Q144" s="1">
        <v>45</v>
      </c>
      <c r="R144" s="1">
        <v>55</v>
      </c>
      <c r="S144" s="1"/>
      <c r="T144" s="1"/>
      <c r="U144" s="1"/>
      <c r="V144" s="1">
        <v>55</v>
      </c>
      <c r="W144" s="1">
        <v>53</v>
      </c>
      <c r="X144" s="1">
        <v>54</v>
      </c>
      <c r="Y144" s="1"/>
      <c r="Z144" s="1"/>
      <c r="AA144" s="1"/>
      <c r="AB144" s="1">
        <v>54</v>
      </c>
      <c r="AC144" s="1">
        <v>54</v>
      </c>
      <c r="AD144" s="1">
        <v>52</v>
      </c>
      <c r="AE144" s="1"/>
      <c r="AF144" s="1"/>
      <c r="AG144" s="1"/>
      <c r="AH144" s="1">
        <v>55</v>
      </c>
      <c r="AI144" s="1">
        <v>60</v>
      </c>
      <c r="AJ144" s="1">
        <v>53</v>
      </c>
      <c r="AK144" s="2">
        <f t="shared" si="6"/>
        <v>56</v>
      </c>
      <c r="AL144" s="2">
        <f t="shared" si="7"/>
        <v>34</v>
      </c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>
        <v>41.8</v>
      </c>
      <c r="BG144" s="2">
        <v>5.7</v>
      </c>
      <c r="BH144" s="1">
        <v>5.8999999999999999E-3</v>
      </c>
    </row>
    <row r="145" spans="1:60" x14ac:dyDescent="0.25">
      <c r="A145" s="1" t="s">
        <v>144</v>
      </c>
      <c r="B145" s="1" t="s">
        <v>204</v>
      </c>
      <c r="C145" s="1" t="s">
        <v>268</v>
      </c>
      <c r="D145" s="1" t="s">
        <v>230</v>
      </c>
      <c r="E145" s="1">
        <v>32</v>
      </c>
      <c r="F145" s="1">
        <v>400</v>
      </c>
      <c r="G145" s="1">
        <v>45</v>
      </c>
      <c r="H145" s="1">
        <v>50</v>
      </c>
      <c r="I145" s="1">
        <v>44</v>
      </c>
      <c r="J145" s="1">
        <v>52</v>
      </c>
      <c r="K145" s="1">
        <v>54</v>
      </c>
      <c r="L145" s="1">
        <v>48</v>
      </c>
      <c r="M145" s="1"/>
      <c r="N145" s="1"/>
      <c r="O145" s="1"/>
      <c r="P145" s="1">
        <v>55</v>
      </c>
      <c r="Q145" s="1">
        <v>40</v>
      </c>
      <c r="R145" s="1">
        <v>57</v>
      </c>
      <c r="S145" s="1"/>
      <c r="T145" s="1"/>
      <c r="U145" s="1"/>
      <c r="V145" s="1">
        <v>57</v>
      </c>
      <c r="W145" s="1">
        <v>62</v>
      </c>
      <c r="X145" s="1">
        <v>40</v>
      </c>
      <c r="Y145" s="1"/>
      <c r="Z145" s="1"/>
      <c r="AA145" s="1"/>
      <c r="AB145" s="1">
        <v>60</v>
      </c>
      <c r="AC145" s="1">
        <v>65</v>
      </c>
      <c r="AD145" s="1">
        <v>45</v>
      </c>
      <c r="AE145" s="1"/>
      <c r="AF145" s="1"/>
      <c r="AG145" s="1"/>
      <c r="AH145" s="1">
        <v>64</v>
      </c>
      <c r="AI145" s="1">
        <v>50</v>
      </c>
      <c r="AJ145" s="1">
        <v>40</v>
      </c>
      <c r="AK145" s="2">
        <f t="shared" si="6"/>
        <v>51.333333333333336</v>
      </c>
      <c r="AL145" s="2">
        <f t="shared" si="7"/>
        <v>38.666666666666664</v>
      </c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>
        <v>35.9</v>
      </c>
      <c r="BG145" s="2">
        <v>4.0199999999999996</v>
      </c>
      <c r="BH145" s="1">
        <v>4.5999999999999999E-3</v>
      </c>
    </row>
    <row r="146" spans="1:60" x14ac:dyDescent="0.25">
      <c r="A146" s="1" t="s">
        <v>145</v>
      </c>
      <c r="B146" s="1" t="s">
        <v>204</v>
      </c>
      <c r="C146" s="1" t="s">
        <v>269</v>
      </c>
      <c r="D146" s="1" t="s">
        <v>232</v>
      </c>
      <c r="E146" s="1">
        <v>32</v>
      </c>
      <c r="F146" s="1">
        <v>800</v>
      </c>
      <c r="G146" s="1">
        <v>37</v>
      </c>
      <c r="H146" s="1">
        <v>43</v>
      </c>
      <c r="I146" s="1">
        <v>36</v>
      </c>
      <c r="J146" s="1">
        <v>45</v>
      </c>
      <c r="K146" s="1">
        <v>45</v>
      </c>
      <c r="L146" s="1">
        <v>38</v>
      </c>
      <c r="M146" s="1"/>
      <c r="N146" s="1"/>
      <c r="O146" s="1"/>
      <c r="P146" s="1">
        <v>46</v>
      </c>
      <c r="Q146" s="1">
        <v>37</v>
      </c>
      <c r="R146" s="1">
        <v>44</v>
      </c>
      <c r="S146" s="1"/>
      <c r="T146" s="1"/>
      <c r="U146" s="1"/>
      <c r="V146" s="1">
        <v>44</v>
      </c>
      <c r="W146" s="1">
        <v>47</v>
      </c>
      <c r="X146" s="1">
        <v>38</v>
      </c>
      <c r="Y146" s="1"/>
      <c r="Z146" s="1"/>
      <c r="AA146" s="1"/>
      <c r="AB146" s="1">
        <v>43</v>
      </c>
      <c r="AC146" s="1">
        <v>44</v>
      </c>
      <c r="AD146" s="1">
        <v>47</v>
      </c>
      <c r="AE146" s="1"/>
      <c r="AF146" s="1"/>
      <c r="AG146" s="1"/>
      <c r="AH146" s="1">
        <v>38</v>
      </c>
      <c r="AI146" s="1">
        <v>42</v>
      </c>
      <c r="AJ146" s="1">
        <v>38</v>
      </c>
      <c r="AK146" s="2">
        <f t="shared" si="6"/>
        <v>39.333333333333336</v>
      </c>
      <c r="AL146" s="2">
        <f t="shared" si="7"/>
        <v>50.666666666666664</v>
      </c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>
        <v>44.3</v>
      </c>
      <c r="BG146" s="2">
        <v>6.12</v>
      </c>
      <c r="BH146" s="1">
        <v>6.4000000000000003E-3</v>
      </c>
    </row>
    <row r="147" spans="1:60" x14ac:dyDescent="0.25">
      <c r="A147" s="1" t="s">
        <v>146</v>
      </c>
      <c r="B147" s="1" t="s">
        <v>204</v>
      </c>
      <c r="C147" s="1" t="s">
        <v>269</v>
      </c>
      <c r="D147" s="1" t="s">
        <v>232</v>
      </c>
      <c r="E147" s="1">
        <v>32</v>
      </c>
      <c r="F147" s="1">
        <v>800</v>
      </c>
      <c r="G147" s="1">
        <v>53</v>
      </c>
      <c r="H147" s="1">
        <v>51</v>
      </c>
      <c r="I147" s="1">
        <v>52</v>
      </c>
      <c r="J147" s="1">
        <v>51</v>
      </c>
      <c r="K147" s="1">
        <v>54</v>
      </c>
      <c r="L147" s="1">
        <v>43</v>
      </c>
      <c r="M147" s="1"/>
      <c r="N147" s="1"/>
      <c r="O147" s="1"/>
      <c r="P147" s="1">
        <v>64</v>
      </c>
      <c r="Q147" s="1">
        <v>62</v>
      </c>
      <c r="R147" s="1">
        <v>68</v>
      </c>
      <c r="S147" s="1"/>
      <c r="T147" s="1"/>
      <c r="U147" s="1"/>
      <c r="V147" s="1">
        <v>68</v>
      </c>
      <c r="W147" s="1">
        <v>64</v>
      </c>
      <c r="X147" s="1">
        <v>61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1"/>
    </row>
    <row r="148" spans="1:60" x14ac:dyDescent="0.25">
      <c r="A148" s="1" t="s">
        <v>147</v>
      </c>
      <c r="B148" s="1" t="s">
        <v>204</v>
      </c>
      <c r="C148" s="1" t="s">
        <v>269</v>
      </c>
      <c r="D148" s="1" t="s">
        <v>232</v>
      </c>
      <c r="E148" s="1">
        <v>32</v>
      </c>
      <c r="F148" s="1">
        <v>800</v>
      </c>
      <c r="G148" s="1">
        <v>41</v>
      </c>
      <c r="H148" s="1">
        <v>38</v>
      </c>
      <c r="I148" s="1">
        <v>41</v>
      </c>
      <c r="J148" s="1">
        <v>41</v>
      </c>
      <c r="K148" s="1">
        <v>35</v>
      </c>
      <c r="L148" s="1">
        <v>44</v>
      </c>
      <c r="M148" s="1"/>
      <c r="N148" s="1"/>
      <c r="O148" s="1"/>
      <c r="P148" s="1">
        <v>45</v>
      </c>
      <c r="Q148" s="1">
        <v>35</v>
      </c>
      <c r="R148" s="1">
        <v>47</v>
      </c>
      <c r="S148" s="1"/>
      <c r="T148" s="1"/>
      <c r="U148" s="1"/>
      <c r="V148" s="1">
        <v>47</v>
      </c>
      <c r="W148" s="1">
        <v>38</v>
      </c>
      <c r="X148" s="1">
        <v>42</v>
      </c>
      <c r="Y148" s="1"/>
      <c r="Z148" s="1"/>
      <c r="AA148" s="1"/>
      <c r="AB148" s="1">
        <v>46</v>
      </c>
      <c r="AC148" s="1">
        <v>30</v>
      </c>
      <c r="AD148" s="1">
        <v>32</v>
      </c>
      <c r="AE148" s="1"/>
      <c r="AF148" s="1"/>
      <c r="AG148" s="1"/>
      <c r="AH148" s="1">
        <v>35</v>
      </c>
      <c r="AI148" s="1">
        <v>41</v>
      </c>
      <c r="AJ148" s="1">
        <v>32</v>
      </c>
      <c r="AK148" s="2">
        <f t="shared" si="6"/>
        <v>36</v>
      </c>
      <c r="AL148" s="2">
        <f t="shared" si="7"/>
        <v>54</v>
      </c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>
        <v>52.3</v>
      </c>
      <c r="BG148" s="2">
        <v>7.15</v>
      </c>
      <c r="BH148" s="1">
        <v>5.8999999999999999E-3</v>
      </c>
    </row>
    <row r="149" spans="1:60" x14ac:dyDescent="0.25">
      <c r="A149" s="1" t="s">
        <v>148</v>
      </c>
      <c r="B149" s="1" t="s">
        <v>204</v>
      </c>
      <c r="C149" s="1" t="s">
        <v>269</v>
      </c>
      <c r="D149" s="1" t="s">
        <v>232</v>
      </c>
      <c r="E149" s="1">
        <v>32</v>
      </c>
      <c r="F149" s="1">
        <v>800</v>
      </c>
      <c r="G149" s="1">
        <v>999</v>
      </c>
      <c r="H149" s="1">
        <v>999</v>
      </c>
      <c r="I149" s="1">
        <v>999</v>
      </c>
      <c r="J149" s="1">
        <v>999</v>
      </c>
      <c r="K149" s="1">
        <v>999</v>
      </c>
      <c r="L149" s="1">
        <v>999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999</v>
      </c>
      <c r="AI149" s="1">
        <v>999</v>
      </c>
      <c r="AJ149" s="1">
        <v>999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1"/>
    </row>
    <row r="150" spans="1:60" x14ac:dyDescent="0.25">
      <c r="A150" s="1" t="s">
        <v>149</v>
      </c>
      <c r="B150" s="1" t="s">
        <v>204</v>
      </c>
      <c r="C150" s="1" t="s">
        <v>269</v>
      </c>
      <c r="D150" s="1" t="s">
        <v>232</v>
      </c>
      <c r="E150" s="1">
        <v>32</v>
      </c>
      <c r="F150" s="1">
        <v>800</v>
      </c>
      <c r="G150" s="1">
        <v>47</v>
      </c>
      <c r="H150" s="1">
        <v>34</v>
      </c>
      <c r="I150" s="1">
        <v>41</v>
      </c>
      <c r="J150" s="1">
        <v>34</v>
      </c>
      <c r="K150" s="1">
        <v>43</v>
      </c>
      <c r="L150" s="1">
        <v>36</v>
      </c>
      <c r="M150" s="1"/>
      <c r="N150" s="1"/>
      <c r="O150" s="1"/>
      <c r="P150" s="1">
        <v>44</v>
      </c>
      <c r="Q150" s="1">
        <v>31</v>
      </c>
      <c r="R150" s="1">
        <v>39</v>
      </c>
      <c r="S150" s="1"/>
      <c r="T150" s="1"/>
      <c r="U150" s="1"/>
      <c r="V150" s="1">
        <v>39</v>
      </c>
      <c r="W150" s="1">
        <v>29</v>
      </c>
      <c r="X150" s="1">
        <v>30</v>
      </c>
      <c r="Y150" s="1"/>
      <c r="Z150" s="1"/>
      <c r="AA150" s="1"/>
      <c r="AB150" s="1">
        <v>38</v>
      </c>
      <c r="AC150" s="1">
        <v>42</v>
      </c>
      <c r="AD150" s="1">
        <v>36</v>
      </c>
      <c r="AE150" s="1"/>
      <c r="AF150" s="1"/>
      <c r="AG150" s="1"/>
      <c r="AH150" s="1">
        <v>30</v>
      </c>
      <c r="AI150" s="1">
        <v>30</v>
      </c>
      <c r="AJ150" s="1">
        <v>33</v>
      </c>
      <c r="AK150" s="2">
        <f t="shared" si="6"/>
        <v>31</v>
      </c>
      <c r="AL150" s="2">
        <f t="shared" si="7"/>
        <v>59</v>
      </c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>
        <v>32.9</v>
      </c>
      <c r="BG150" s="2">
        <v>5.05</v>
      </c>
      <c r="BH150" s="1">
        <v>6.8999999999999999E-3</v>
      </c>
    </row>
    <row r="151" spans="1:60" x14ac:dyDescent="0.25">
      <c r="A151" s="1" t="s">
        <v>150</v>
      </c>
      <c r="B151" s="1" t="s">
        <v>204</v>
      </c>
      <c r="C151" s="1" t="s">
        <v>269</v>
      </c>
      <c r="D151" s="1" t="s">
        <v>232</v>
      </c>
      <c r="E151" s="1">
        <v>32</v>
      </c>
      <c r="F151" s="1">
        <v>800</v>
      </c>
      <c r="G151" s="1">
        <v>54</v>
      </c>
      <c r="H151" s="1">
        <v>39</v>
      </c>
      <c r="I151" s="1">
        <v>43</v>
      </c>
      <c r="J151" s="1">
        <v>50</v>
      </c>
      <c r="K151" s="1">
        <v>41</v>
      </c>
      <c r="L151" s="1">
        <v>43</v>
      </c>
      <c r="M151" s="1"/>
      <c r="N151" s="1"/>
      <c r="O151" s="1"/>
      <c r="P151" s="1">
        <v>43</v>
      </c>
      <c r="Q151" s="1">
        <v>47</v>
      </c>
      <c r="R151" s="1">
        <v>39</v>
      </c>
      <c r="S151" s="1"/>
      <c r="T151" s="1"/>
      <c r="U151" s="1"/>
      <c r="V151" s="1">
        <v>39</v>
      </c>
      <c r="W151" s="1">
        <v>32</v>
      </c>
      <c r="X151" s="1">
        <v>32</v>
      </c>
      <c r="Y151" s="1"/>
      <c r="Z151" s="1"/>
      <c r="AA151" s="1"/>
      <c r="AB151" s="1">
        <v>42</v>
      </c>
      <c r="AC151" s="1">
        <v>40</v>
      </c>
      <c r="AD151" s="1">
        <v>16</v>
      </c>
      <c r="AE151" s="1"/>
      <c r="AF151" s="1"/>
      <c r="AG151" s="1"/>
      <c r="AH151" s="1">
        <v>36</v>
      </c>
      <c r="AI151" s="1">
        <v>34</v>
      </c>
      <c r="AJ151" s="1">
        <v>15</v>
      </c>
      <c r="AK151" s="2">
        <f t="shared" si="6"/>
        <v>28.333333333333332</v>
      </c>
      <c r="AL151" s="2">
        <f t="shared" si="7"/>
        <v>61.666666666666671</v>
      </c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>
        <v>39.200000000000003</v>
      </c>
      <c r="BG151" s="2">
        <v>6.69</v>
      </c>
      <c r="BH151" s="1">
        <v>5.1999999999999998E-3</v>
      </c>
    </row>
    <row r="152" spans="1:60" x14ac:dyDescent="0.25">
      <c r="A152" s="1" t="s">
        <v>151</v>
      </c>
      <c r="B152" s="1" t="s">
        <v>205</v>
      </c>
      <c r="C152" s="1" t="s">
        <v>270</v>
      </c>
      <c r="D152" s="1" t="s">
        <v>231</v>
      </c>
      <c r="E152" s="1">
        <v>29</v>
      </c>
      <c r="F152" s="1">
        <v>800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65</v>
      </c>
      <c r="T152" s="1">
        <v>58</v>
      </c>
      <c r="U152" s="1">
        <v>55</v>
      </c>
      <c r="V152" s="1"/>
      <c r="W152" s="1"/>
      <c r="X152" s="1"/>
      <c r="Y152" s="1"/>
      <c r="Z152" s="1"/>
      <c r="AA152" s="1"/>
      <c r="AB152" s="1">
        <v>72</v>
      </c>
      <c r="AC152" s="1">
        <v>71</v>
      </c>
      <c r="AD152" s="1">
        <v>69</v>
      </c>
      <c r="AE152" s="1"/>
      <c r="AF152" s="1"/>
      <c r="AG152" s="1"/>
      <c r="AH152" s="1"/>
      <c r="AI152" s="1"/>
      <c r="AJ152" s="1"/>
      <c r="AK152" s="2">
        <v>70.666666666666671</v>
      </c>
      <c r="AL152" s="2">
        <v>19.333333333333329</v>
      </c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>
        <v>16.5</v>
      </c>
      <c r="BG152" s="2">
        <v>4.1399999999999997</v>
      </c>
      <c r="BH152" s="1"/>
    </row>
    <row r="153" spans="1:60" x14ac:dyDescent="0.25">
      <c r="A153" s="1" t="s">
        <v>152</v>
      </c>
      <c r="B153" s="1" t="s">
        <v>205</v>
      </c>
      <c r="C153" s="1" t="s">
        <v>270</v>
      </c>
      <c r="D153" s="1" t="s">
        <v>231</v>
      </c>
      <c r="E153" s="1">
        <v>29</v>
      </c>
      <c r="F153" s="1">
        <v>800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59</v>
      </c>
      <c r="T153" s="1">
        <v>47</v>
      </c>
      <c r="U153" s="1">
        <v>36</v>
      </c>
      <c r="V153" s="1"/>
      <c r="W153" s="1"/>
      <c r="X153" s="1"/>
      <c r="Y153" s="1"/>
      <c r="Z153" s="1"/>
      <c r="AA153" s="1"/>
      <c r="AB153" s="1">
        <v>55</v>
      </c>
      <c r="AC153" s="1">
        <v>45</v>
      </c>
      <c r="AD153" s="1">
        <v>37</v>
      </c>
      <c r="AE153" s="1"/>
      <c r="AF153" s="1"/>
      <c r="AG153" s="1"/>
      <c r="AH153" s="1"/>
      <c r="AI153" s="1"/>
      <c r="AJ153" s="1"/>
      <c r="AK153" s="2">
        <v>45.666666666666664</v>
      </c>
      <c r="AL153" s="2">
        <v>44.333333333333336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>
        <v>12.24</v>
      </c>
      <c r="BG153" s="2">
        <v>2.98</v>
      </c>
      <c r="BH153" s="1"/>
    </row>
    <row r="154" spans="1:60" x14ac:dyDescent="0.25">
      <c r="A154" s="1" t="s">
        <v>153</v>
      </c>
      <c r="B154" s="1" t="s">
        <v>205</v>
      </c>
      <c r="C154" s="1" t="s">
        <v>270</v>
      </c>
      <c r="D154" s="1" t="s">
        <v>231</v>
      </c>
      <c r="E154" s="1">
        <v>29</v>
      </c>
      <c r="F154" s="1">
        <v>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61</v>
      </c>
      <c r="T154" s="1">
        <v>45</v>
      </c>
      <c r="U154" s="1">
        <v>35</v>
      </c>
      <c r="V154" s="1"/>
      <c r="W154" s="1"/>
      <c r="X154" s="1"/>
      <c r="Y154" s="1"/>
      <c r="Z154" s="1"/>
      <c r="AA154" s="1"/>
      <c r="AB154" s="1">
        <v>56</v>
      </c>
      <c r="AC154" s="1">
        <v>45</v>
      </c>
      <c r="AD154" s="1">
        <v>38</v>
      </c>
      <c r="AE154" s="1"/>
      <c r="AF154" s="1"/>
      <c r="AG154" s="1"/>
      <c r="AH154" s="1"/>
      <c r="AI154" s="1"/>
      <c r="AJ154" s="1"/>
      <c r="AK154" s="2">
        <v>46.333333333333336</v>
      </c>
      <c r="AL154" s="2">
        <v>43.666666666666664</v>
      </c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>
        <v>14.17</v>
      </c>
      <c r="BG154" s="2">
        <v>3.69</v>
      </c>
      <c r="BH154" s="1"/>
    </row>
    <row r="155" spans="1:60" x14ac:dyDescent="0.25">
      <c r="A155" s="1" t="s">
        <v>154</v>
      </c>
      <c r="B155" s="1" t="s">
        <v>205</v>
      </c>
      <c r="C155" s="1" t="s">
        <v>270</v>
      </c>
      <c r="D155" s="1" t="s">
        <v>231</v>
      </c>
      <c r="E155" s="1">
        <v>29</v>
      </c>
      <c r="F155" s="1">
        <v>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52</v>
      </c>
      <c r="T155" s="1">
        <v>43</v>
      </c>
      <c r="U155" s="1">
        <v>36</v>
      </c>
      <c r="V155" s="1"/>
      <c r="W155" s="1"/>
      <c r="X155" s="1"/>
      <c r="Y155" s="1"/>
      <c r="Z155" s="1"/>
      <c r="AA155" s="1"/>
      <c r="AB155" s="1">
        <v>49</v>
      </c>
      <c r="AC155" s="1">
        <v>45</v>
      </c>
      <c r="AD155" s="1">
        <v>36</v>
      </c>
      <c r="AE155" s="1"/>
      <c r="AF155" s="1"/>
      <c r="AG155" s="1"/>
      <c r="AH155" s="1"/>
      <c r="AI155" s="1"/>
      <c r="AJ155" s="1"/>
      <c r="AK155" s="2">
        <v>43.333333333333336</v>
      </c>
      <c r="AL155" s="2">
        <v>46.666666666666664</v>
      </c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>
        <v>10.210000000000001</v>
      </c>
      <c r="BG155" s="2">
        <v>2.2599999999999998</v>
      </c>
      <c r="BH155" s="1"/>
    </row>
    <row r="156" spans="1:60" x14ac:dyDescent="0.25">
      <c r="A156" s="1" t="s">
        <v>155</v>
      </c>
      <c r="B156" s="1" t="s">
        <v>205</v>
      </c>
      <c r="C156" s="1" t="s">
        <v>270</v>
      </c>
      <c r="D156" s="1" t="s">
        <v>231</v>
      </c>
      <c r="E156" s="1">
        <v>29</v>
      </c>
      <c r="F156" s="1">
        <v>800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60</v>
      </c>
      <c r="T156" s="1">
        <v>49</v>
      </c>
      <c r="U156" s="1">
        <v>39</v>
      </c>
      <c r="V156" s="1"/>
      <c r="W156" s="1"/>
      <c r="X156" s="1"/>
      <c r="Y156" s="1"/>
      <c r="Z156" s="1"/>
      <c r="AA156" s="1"/>
      <c r="AB156" s="1">
        <v>67</v>
      </c>
      <c r="AC156" s="1">
        <v>49</v>
      </c>
      <c r="AD156" s="1">
        <v>39</v>
      </c>
      <c r="AE156" s="1"/>
      <c r="AF156" s="1"/>
      <c r="AG156" s="1"/>
      <c r="AH156" s="1"/>
      <c r="AI156" s="1"/>
      <c r="AJ156" s="1"/>
      <c r="AK156" s="2">
        <v>51.666666666666664</v>
      </c>
      <c r="AL156" s="2">
        <v>38.333333333333336</v>
      </c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>
        <v>15.21</v>
      </c>
      <c r="BG156" s="2">
        <v>3.08</v>
      </c>
      <c r="BH156" s="1"/>
    </row>
    <row r="157" spans="1:60" x14ac:dyDescent="0.25">
      <c r="A157" s="1" t="s">
        <v>156</v>
      </c>
      <c r="B157" s="1" t="s">
        <v>205</v>
      </c>
      <c r="C157" s="1" t="s">
        <v>271</v>
      </c>
      <c r="D157" s="1" t="s">
        <v>230</v>
      </c>
      <c r="E157" s="1">
        <v>36</v>
      </c>
      <c r="F157" s="1">
        <v>400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52</v>
      </c>
      <c r="T157" s="1">
        <v>39</v>
      </c>
      <c r="U157" s="1">
        <v>29</v>
      </c>
      <c r="V157" s="1"/>
      <c r="W157" s="1"/>
      <c r="X157" s="1"/>
      <c r="Y157" s="1"/>
      <c r="Z157" s="1"/>
      <c r="AA157" s="1"/>
      <c r="AB157" s="1">
        <v>49</v>
      </c>
      <c r="AC157" s="1">
        <v>37</v>
      </c>
      <c r="AD157" s="1">
        <v>26</v>
      </c>
      <c r="AE157" s="1"/>
      <c r="AF157" s="1"/>
      <c r="AG157" s="1"/>
      <c r="AH157" s="1"/>
      <c r="AI157" s="1"/>
      <c r="AJ157" s="1"/>
      <c r="AK157" s="2">
        <v>37.333333333333336</v>
      </c>
      <c r="AL157" s="2">
        <v>52.666666666666664</v>
      </c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>
        <v>13.07</v>
      </c>
      <c r="BG157" s="2">
        <v>2.78</v>
      </c>
      <c r="BH157" s="1"/>
    </row>
    <row r="158" spans="1:60" x14ac:dyDescent="0.25">
      <c r="A158" s="1" t="s">
        <v>157</v>
      </c>
      <c r="B158" s="1" t="s">
        <v>205</v>
      </c>
      <c r="C158" s="1" t="s">
        <v>271</v>
      </c>
      <c r="D158" s="1" t="s">
        <v>230</v>
      </c>
      <c r="E158" s="1">
        <v>36</v>
      </c>
      <c r="F158" s="1">
        <v>400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63</v>
      </c>
      <c r="T158" s="1">
        <v>60</v>
      </c>
      <c r="U158" s="1">
        <v>62</v>
      </c>
      <c r="V158" s="1"/>
      <c r="W158" s="1"/>
      <c r="X158" s="1"/>
      <c r="Y158" s="1"/>
      <c r="Z158" s="1"/>
      <c r="AA158" s="1"/>
      <c r="AB158" s="1">
        <v>65</v>
      </c>
      <c r="AC158" s="1">
        <v>63</v>
      </c>
      <c r="AD158" s="1">
        <v>59</v>
      </c>
      <c r="AE158" s="1"/>
      <c r="AF158" s="1"/>
      <c r="AG158" s="1"/>
      <c r="AH158" s="1"/>
      <c r="AI158" s="1"/>
      <c r="AJ158" s="1"/>
      <c r="AK158" s="2">
        <v>62.333333333333336</v>
      </c>
      <c r="AL158" s="2">
        <v>27.666666666666664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>
        <v>12</v>
      </c>
      <c r="BG158" s="2">
        <v>2.84</v>
      </c>
      <c r="BH158" s="1"/>
    </row>
    <row r="159" spans="1:60" x14ac:dyDescent="0.25">
      <c r="A159" s="1" t="s">
        <v>158</v>
      </c>
      <c r="B159" s="1" t="s">
        <v>205</v>
      </c>
      <c r="C159" s="1" t="s">
        <v>271</v>
      </c>
      <c r="D159" s="1" t="s">
        <v>230</v>
      </c>
      <c r="E159" s="1">
        <v>36</v>
      </c>
      <c r="F159" s="1">
        <v>400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62</v>
      </c>
      <c r="T159" s="1">
        <v>56</v>
      </c>
      <c r="U159" s="1">
        <v>35</v>
      </c>
      <c r="V159" s="1"/>
      <c r="W159" s="1"/>
      <c r="X159" s="1"/>
      <c r="Y159" s="1"/>
      <c r="Z159" s="1"/>
      <c r="AA159" s="1"/>
      <c r="AB159" s="1">
        <v>68</v>
      </c>
      <c r="AC159" s="1">
        <v>57</v>
      </c>
      <c r="AD159" s="1">
        <v>25</v>
      </c>
      <c r="AE159" s="1"/>
      <c r="AF159" s="1"/>
      <c r="AG159" s="1"/>
      <c r="AH159" s="1"/>
      <c r="AI159" s="1"/>
      <c r="AJ159" s="1"/>
      <c r="AK159" s="2">
        <v>50</v>
      </c>
      <c r="AL159" s="2">
        <v>40</v>
      </c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>
        <v>11.95</v>
      </c>
      <c r="BG159" s="2">
        <v>2.72</v>
      </c>
      <c r="BH159" s="1"/>
    </row>
    <row r="160" spans="1:60" x14ac:dyDescent="0.25">
      <c r="A160" s="1" t="s">
        <v>159</v>
      </c>
      <c r="B160" s="1" t="s">
        <v>205</v>
      </c>
      <c r="C160" s="1" t="s">
        <v>271</v>
      </c>
      <c r="D160" s="1" t="s">
        <v>230</v>
      </c>
      <c r="E160" s="1">
        <v>36</v>
      </c>
      <c r="F160" s="1">
        <v>400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63</v>
      </c>
      <c r="T160" s="1">
        <v>58</v>
      </c>
      <c r="U160" s="1">
        <v>42</v>
      </c>
      <c r="V160" s="1"/>
      <c r="W160" s="1"/>
      <c r="X160" s="1"/>
      <c r="Y160" s="1"/>
      <c r="Z160" s="1"/>
      <c r="AA160" s="1"/>
      <c r="AB160" s="1">
        <v>60</v>
      </c>
      <c r="AC160" s="1">
        <v>57</v>
      </c>
      <c r="AD160" s="1">
        <v>32</v>
      </c>
      <c r="AE160" s="1"/>
      <c r="AF160" s="1"/>
      <c r="AG160" s="1"/>
      <c r="AH160" s="1"/>
      <c r="AI160" s="1"/>
      <c r="AJ160" s="1"/>
      <c r="AK160" s="2">
        <v>49.666666666666664</v>
      </c>
      <c r="AL160" s="2">
        <v>40.333333333333336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>
        <v>8.16</v>
      </c>
      <c r="BG160" s="2">
        <v>2.31</v>
      </c>
      <c r="BH160" s="1"/>
    </row>
    <row r="161" spans="1:60" x14ac:dyDescent="0.25">
      <c r="A161" s="1" t="s">
        <v>160</v>
      </c>
      <c r="B161" s="1" t="s">
        <v>205</v>
      </c>
      <c r="C161" s="1" t="s">
        <v>271</v>
      </c>
      <c r="D161" s="1" t="s">
        <v>230</v>
      </c>
      <c r="E161" s="1">
        <v>36</v>
      </c>
      <c r="F161" s="1">
        <v>400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65</v>
      </c>
      <c r="T161" s="1">
        <v>49</v>
      </c>
      <c r="U161" s="1">
        <v>36</v>
      </c>
      <c r="V161" s="1"/>
      <c r="W161" s="1"/>
      <c r="X161" s="1"/>
      <c r="Y161" s="1"/>
      <c r="Z161" s="1"/>
      <c r="AA161" s="1"/>
      <c r="AB161" s="1">
        <v>66</v>
      </c>
      <c r="AC161" s="1">
        <v>39</v>
      </c>
      <c r="AD161" s="1">
        <v>31</v>
      </c>
      <c r="AE161" s="1"/>
      <c r="AF161" s="1"/>
      <c r="AG161" s="1"/>
      <c r="AH161" s="1"/>
      <c r="AI161" s="1"/>
      <c r="AJ161" s="1"/>
      <c r="AK161" s="2">
        <v>45.333333333333336</v>
      </c>
      <c r="AL161" s="2">
        <v>44.666666666666664</v>
      </c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>
        <v>4.26</v>
      </c>
      <c r="BG161" s="2">
        <v>1.06</v>
      </c>
      <c r="BH161" s="1"/>
    </row>
    <row r="162" spans="1:60" x14ac:dyDescent="0.25">
      <c r="A162" s="1" t="s">
        <v>161</v>
      </c>
      <c r="B162" s="1" t="s">
        <v>205</v>
      </c>
      <c r="C162" s="1" t="s">
        <v>272</v>
      </c>
      <c r="D162" s="1" t="s">
        <v>229</v>
      </c>
      <c r="E162" s="1">
        <v>29</v>
      </c>
      <c r="F162" s="1">
        <v>400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72</v>
      </c>
      <c r="T162" s="1">
        <v>48</v>
      </c>
      <c r="U162" s="1">
        <v>40</v>
      </c>
      <c r="V162" s="1"/>
      <c r="W162" s="1"/>
      <c r="X162" s="1"/>
      <c r="Y162" s="1"/>
      <c r="Z162" s="1"/>
      <c r="AA162" s="1"/>
      <c r="AB162" s="1">
        <v>63</v>
      </c>
      <c r="AC162" s="1">
        <v>44</v>
      </c>
      <c r="AD162" s="1">
        <v>37</v>
      </c>
      <c r="AE162" s="1"/>
      <c r="AF162" s="1"/>
      <c r="AG162" s="1"/>
      <c r="AH162" s="1"/>
      <c r="AI162" s="1"/>
      <c r="AJ162" s="1"/>
      <c r="AK162" s="2">
        <v>48</v>
      </c>
      <c r="AL162" s="2">
        <v>42</v>
      </c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>
        <v>8.35</v>
      </c>
      <c r="BG162" s="2">
        <v>1.87</v>
      </c>
      <c r="BH162" s="1"/>
    </row>
    <row r="163" spans="1:60" x14ac:dyDescent="0.25">
      <c r="A163" s="1" t="s">
        <v>162</v>
      </c>
      <c r="B163" s="1" t="s">
        <v>205</v>
      </c>
      <c r="C163" s="1" t="s">
        <v>272</v>
      </c>
      <c r="D163" s="1" t="s">
        <v>229</v>
      </c>
      <c r="E163" s="1">
        <v>29</v>
      </c>
      <c r="F163" s="1">
        <v>400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65</v>
      </c>
      <c r="T163" s="1">
        <v>45</v>
      </c>
      <c r="U163" s="1">
        <v>36</v>
      </c>
      <c r="V163" s="1"/>
      <c r="W163" s="1"/>
      <c r="X163" s="1"/>
      <c r="Y163" s="1"/>
      <c r="Z163" s="1"/>
      <c r="AA163" s="1"/>
      <c r="AB163" s="1">
        <v>64</v>
      </c>
      <c r="AC163" s="1">
        <v>42</v>
      </c>
      <c r="AD163" s="1">
        <v>37</v>
      </c>
      <c r="AE163" s="1"/>
      <c r="AF163" s="1"/>
      <c r="AG163" s="1"/>
      <c r="AH163" s="1"/>
      <c r="AI163" s="1"/>
      <c r="AJ163" s="1"/>
      <c r="AK163" s="2">
        <v>47.666666666666664</v>
      </c>
      <c r="AL163" s="2">
        <v>42.333333333333336</v>
      </c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>
        <v>10.210000000000001</v>
      </c>
      <c r="BG163" s="2">
        <v>2.36</v>
      </c>
      <c r="BH163" s="1"/>
    </row>
    <row r="164" spans="1:60" x14ac:dyDescent="0.25">
      <c r="A164" s="1" t="s">
        <v>163</v>
      </c>
      <c r="B164" s="1" t="s">
        <v>205</v>
      </c>
      <c r="C164" s="1" t="s">
        <v>272</v>
      </c>
      <c r="D164" s="1" t="s">
        <v>229</v>
      </c>
      <c r="E164" s="1">
        <v>29</v>
      </c>
      <c r="F164" s="1">
        <v>400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48</v>
      </c>
      <c r="T164" s="1">
        <v>40</v>
      </c>
      <c r="U164" s="1">
        <v>38</v>
      </c>
      <c r="V164" s="1"/>
      <c r="W164" s="1"/>
      <c r="X164" s="1"/>
      <c r="Y164" s="1"/>
      <c r="Z164" s="1"/>
      <c r="AA164" s="1"/>
      <c r="AB164" s="1">
        <v>42</v>
      </c>
      <c r="AC164" s="1">
        <v>46</v>
      </c>
      <c r="AD164" s="1">
        <v>29</v>
      </c>
      <c r="AE164" s="1"/>
      <c r="AF164" s="1"/>
      <c r="AG164" s="1"/>
      <c r="AH164" s="1"/>
      <c r="AI164" s="1"/>
      <c r="AJ164" s="1"/>
      <c r="AK164" s="2">
        <v>39</v>
      </c>
      <c r="AL164" s="2">
        <v>51</v>
      </c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>
        <v>6.19</v>
      </c>
      <c r="BG164" s="2">
        <v>1.58</v>
      </c>
      <c r="BH164" s="1"/>
    </row>
    <row r="165" spans="1:60" x14ac:dyDescent="0.25">
      <c r="A165" s="1" t="s">
        <v>164</v>
      </c>
      <c r="B165" s="1" t="s">
        <v>205</v>
      </c>
      <c r="C165" s="1" t="s">
        <v>272</v>
      </c>
      <c r="D165" s="1" t="s">
        <v>229</v>
      </c>
      <c r="E165" s="1">
        <v>29</v>
      </c>
      <c r="F165" s="1">
        <v>400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42</v>
      </c>
      <c r="T165" s="1">
        <v>34</v>
      </c>
      <c r="U165" s="1">
        <v>33</v>
      </c>
      <c r="V165" s="1"/>
      <c r="W165" s="1"/>
      <c r="X165" s="1"/>
      <c r="Y165" s="1"/>
      <c r="Z165" s="1"/>
      <c r="AA165" s="1"/>
      <c r="AB165" s="1">
        <v>42</v>
      </c>
      <c r="AC165" s="1">
        <v>31</v>
      </c>
      <c r="AD165" s="1">
        <v>29</v>
      </c>
      <c r="AE165" s="1"/>
      <c r="AF165" s="1"/>
      <c r="AG165" s="1"/>
      <c r="AH165" s="1"/>
      <c r="AI165" s="1"/>
      <c r="AJ165" s="1"/>
      <c r="AK165" s="2">
        <v>34</v>
      </c>
      <c r="AL165" s="2">
        <v>56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>
        <v>7.12</v>
      </c>
      <c r="BG165" s="2">
        <v>1.78</v>
      </c>
      <c r="BH165" s="1"/>
    </row>
    <row r="166" spans="1:60" x14ac:dyDescent="0.25">
      <c r="A166" s="1" t="s">
        <v>165</v>
      </c>
      <c r="B166" s="1" t="s">
        <v>205</v>
      </c>
      <c r="C166" s="1" t="s">
        <v>272</v>
      </c>
      <c r="D166" s="1" t="s">
        <v>229</v>
      </c>
      <c r="E166" s="1">
        <v>29</v>
      </c>
      <c r="F166" s="1">
        <v>400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80</v>
      </c>
      <c r="T166" s="1">
        <v>48</v>
      </c>
      <c r="U166" s="1">
        <v>25</v>
      </c>
      <c r="V166" s="1"/>
      <c r="W166" s="1"/>
      <c r="X166" s="1"/>
      <c r="Y166" s="1"/>
      <c r="Z166" s="1"/>
      <c r="AA166" s="1"/>
      <c r="AB166" s="1">
        <v>79</v>
      </c>
      <c r="AC166" s="1">
        <v>47</v>
      </c>
      <c r="AD166" s="1">
        <v>30</v>
      </c>
      <c r="AE166" s="1"/>
      <c r="AF166" s="1"/>
      <c r="AG166" s="1"/>
      <c r="AH166" s="1"/>
      <c r="AI166" s="1"/>
      <c r="AJ166" s="1"/>
      <c r="AK166" s="2">
        <v>52</v>
      </c>
      <c r="AL166" s="2">
        <v>38</v>
      </c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>
        <v>7.11</v>
      </c>
      <c r="BG166" s="2">
        <v>1.77</v>
      </c>
      <c r="BH166" s="1"/>
    </row>
    <row r="167" spans="1:60" x14ac:dyDescent="0.25">
      <c r="A167" s="1" t="s">
        <v>166</v>
      </c>
      <c r="B167" s="1" t="s">
        <v>205</v>
      </c>
      <c r="C167" s="1" t="s">
        <v>273</v>
      </c>
      <c r="D167" s="1" t="s">
        <v>232</v>
      </c>
      <c r="E167" s="1">
        <v>36</v>
      </c>
      <c r="F167" s="1">
        <v>800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78</v>
      </c>
      <c r="T167" s="1">
        <v>61</v>
      </c>
      <c r="U167" s="1">
        <v>53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1"/>
    </row>
    <row r="168" spans="1:60" x14ac:dyDescent="0.25">
      <c r="A168" s="1" t="s">
        <v>167</v>
      </c>
      <c r="B168" s="1" t="s">
        <v>205</v>
      </c>
      <c r="C168" s="1" t="s">
        <v>273</v>
      </c>
      <c r="D168" s="1" t="s">
        <v>232</v>
      </c>
      <c r="E168" s="1">
        <v>36</v>
      </c>
      <c r="F168" s="1">
        <v>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73</v>
      </c>
      <c r="T168" s="1">
        <v>59</v>
      </c>
      <c r="U168" s="1">
        <v>30</v>
      </c>
      <c r="V168" s="1"/>
      <c r="W168" s="1"/>
      <c r="X168" s="1"/>
      <c r="Y168" s="1"/>
      <c r="Z168" s="1"/>
      <c r="AA168" s="1"/>
      <c r="AB168" s="1">
        <v>68</v>
      </c>
      <c r="AC168" s="1">
        <v>56</v>
      </c>
      <c r="AD168" s="1">
        <v>31</v>
      </c>
      <c r="AE168" s="1"/>
      <c r="AF168" s="1"/>
      <c r="AG168" s="1"/>
      <c r="AH168" s="1"/>
      <c r="AI168" s="1"/>
      <c r="AJ168" s="1"/>
      <c r="AK168" s="2">
        <v>51.666666666666664</v>
      </c>
      <c r="AL168" s="2">
        <v>38.333333333333336</v>
      </c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>
        <v>11.52</v>
      </c>
      <c r="BG168" s="2">
        <v>3.58</v>
      </c>
      <c r="BH168" s="1"/>
    </row>
    <row r="169" spans="1:60" x14ac:dyDescent="0.25">
      <c r="A169" s="1" t="s">
        <v>168</v>
      </c>
      <c r="B169" s="1" t="s">
        <v>205</v>
      </c>
      <c r="C169" s="1" t="s">
        <v>273</v>
      </c>
      <c r="D169" s="1" t="s">
        <v>232</v>
      </c>
      <c r="E169" s="1">
        <v>36</v>
      </c>
      <c r="F169" s="1">
        <v>800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65</v>
      </c>
      <c r="T169" s="1">
        <v>57</v>
      </c>
      <c r="U169" s="1">
        <v>35</v>
      </c>
      <c r="V169" s="1"/>
      <c r="W169" s="1"/>
      <c r="X169" s="1"/>
      <c r="Y169" s="1"/>
      <c r="Z169" s="1"/>
      <c r="AA169" s="1"/>
      <c r="AB169" s="1">
        <v>74</v>
      </c>
      <c r="AC169" s="1">
        <v>56</v>
      </c>
      <c r="AD169" s="1">
        <v>36</v>
      </c>
      <c r="AE169" s="1"/>
      <c r="AF169" s="1"/>
      <c r="AG169" s="1"/>
      <c r="AH169" s="1"/>
      <c r="AI169" s="1"/>
      <c r="AJ169" s="1"/>
      <c r="AK169" s="2">
        <v>55.333333333333336</v>
      </c>
      <c r="AL169" s="2">
        <v>34.666666666666664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>
        <v>9.52</v>
      </c>
      <c r="BG169" s="2">
        <v>2.72</v>
      </c>
      <c r="BH169" s="1"/>
    </row>
    <row r="170" spans="1:60" x14ac:dyDescent="0.25">
      <c r="A170" s="1" t="s">
        <v>169</v>
      </c>
      <c r="B170" s="1" t="s">
        <v>205</v>
      </c>
      <c r="C170" s="1" t="s">
        <v>273</v>
      </c>
      <c r="D170" s="1" t="s">
        <v>232</v>
      </c>
      <c r="E170" s="1">
        <v>36</v>
      </c>
      <c r="F170" s="1">
        <v>800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69</v>
      </c>
      <c r="T170" s="1">
        <v>49</v>
      </c>
      <c r="U170" s="1">
        <v>30</v>
      </c>
      <c r="V170" s="1"/>
      <c r="W170" s="1"/>
      <c r="X170" s="1"/>
      <c r="Y170" s="1"/>
      <c r="Z170" s="1"/>
      <c r="AA170" s="1"/>
      <c r="AB170" s="1">
        <v>82</v>
      </c>
      <c r="AC170" s="1">
        <v>60</v>
      </c>
      <c r="AD170" s="1">
        <v>35</v>
      </c>
      <c r="AE170" s="1"/>
      <c r="AF170" s="1"/>
      <c r="AG170" s="1"/>
      <c r="AH170" s="1"/>
      <c r="AI170" s="1"/>
      <c r="AJ170" s="1"/>
      <c r="AK170" s="2">
        <v>59</v>
      </c>
      <c r="AL170" s="2">
        <v>31</v>
      </c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>
        <v>10.84</v>
      </c>
      <c r="BG170" s="2">
        <v>2.67</v>
      </c>
      <c r="BH170" s="1"/>
    </row>
    <row r="171" spans="1:60" x14ac:dyDescent="0.25">
      <c r="A171" s="1" t="s">
        <v>170</v>
      </c>
      <c r="B171" s="1" t="s">
        <v>205</v>
      </c>
      <c r="C171" s="1" t="s">
        <v>273</v>
      </c>
      <c r="D171" s="1" t="s">
        <v>232</v>
      </c>
      <c r="E171" s="1">
        <v>36</v>
      </c>
      <c r="F171" s="1">
        <v>800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60</v>
      </c>
      <c r="T171" s="1">
        <v>45</v>
      </c>
      <c r="U171" s="1">
        <v>32</v>
      </c>
      <c r="V171" s="1"/>
      <c r="W171" s="1"/>
      <c r="X171" s="1"/>
      <c r="Y171" s="1"/>
      <c r="Z171" s="1"/>
      <c r="AA171" s="1"/>
      <c r="AB171" s="1">
        <v>56</v>
      </c>
      <c r="AC171" s="1">
        <v>42</v>
      </c>
      <c r="AD171" s="1">
        <v>30</v>
      </c>
      <c r="AE171" s="1"/>
      <c r="AF171" s="1"/>
      <c r="AG171" s="1"/>
      <c r="AH171" s="1"/>
      <c r="AI171" s="1"/>
      <c r="AJ171" s="1"/>
      <c r="AK171" s="2">
        <v>42.666666666666664</v>
      </c>
      <c r="AL171" s="2">
        <v>47.333333333333336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>
        <v>2.82</v>
      </c>
      <c r="BG171" s="2">
        <v>0.7</v>
      </c>
      <c r="BH171" s="1"/>
    </row>
    <row r="172" spans="1:60" x14ac:dyDescent="0.25">
      <c r="A172" s="1" t="s">
        <v>207</v>
      </c>
      <c r="B172" s="1" t="s">
        <v>206</v>
      </c>
      <c r="C172" s="1" t="s">
        <v>274</v>
      </c>
      <c r="D172" s="1" t="s">
        <v>232</v>
      </c>
      <c r="E172" s="1">
        <v>38</v>
      </c>
      <c r="F172" s="1">
        <v>800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2">
        <f>1.15/0.9-1</f>
        <v>0.27777777777777768</v>
      </c>
      <c r="AZ172" s="2">
        <f>1.5/1-1</f>
        <v>0.5</v>
      </c>
      <c r="BA172" s="2">
        <f>1.25/0.8-1</f>
        <v>0.5625</v>
      </c>
      <c r="BB172" s="2">
        <f>1.4/0.8-1</f>
        <v>0.74999999999999978</v>
      </c>
      <c r="BC172" s="2">
        <f>1.1/0.6-1</f>
        <v>0.83333333333333348</v>
      </c>
      <c r="BD172" s="2">
        <f>1.3/0.7-1</f>
        <v>0.85714285714285743</v>
      </c>
      <c r="BE172" s="2">
        <f>AVERAGE(BB172:BD172)</f>
        <v>0.8134920634920636</v>
      </c>
      <c r="BF172" s="1">
        <v>14.75</v>
      </c>
      <c r="BG172" s="1">
        <v>5.09</v>
      </c>
      <c r="BH172" s="1"/>
    </row>
    <row r="173" spans="1:60" x14ac:dyDescent="0.25">
      <c r="A173" s="1" t="s">
        <v>208</v>
      </c>
      <c r="B173" s="1" t="s">
        <v>206</v>
      </c>
      <c r="C173" s="1" t="s">
        <v>274</v>
      </c>
      <c r="D173" s="1" t="s">
        <v>232</v>
      </c>
      <c r="E173" s="1">
        <v>38</v>
      </c>
      <c r="F173" s="1">
        <v>800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2">
        <f>1.6/1.15-1</f>
        <v>0.39130434782608714</v>
      </c>
      <c r="AZ173" s="2">
        <f>1.2/0.7-1</f>
        <v>0.71428571428571441</v>
      </c>
      <c r="BA173" s="2">
        <f>0.65/0.4-1</f>
        <v>0.625</v>
      </c>
      <c r="BB173" s="2">
        <f>1.4/0.8-1</f>
        <v>0.74999999999999978</v>
      </c>
      <c r="BC173" s="2">
        <f>1.2/0.8-1</f>
        <v>0.49999999999999978</v>
      </c>
      <c r="BD173" s="2">
        <f>1.1/0.9-1</f>
        <v>0.22222222222222232</v>
      </c>
      <c r="BE173" s="2">
        <f t="shared" ref="BE173:BE191" si="8">AVERAGE(BB173:BD173)</f>
        <v>0.49074074074074064</v>
      </c>
      <c r="BF173" s="1">
        <v>9.9600000000000009</v>
      </c>
      <c r="BG173" s="1">
        <v>3.28</v>
      </c>
      <c r="BH173" s="1"/>
    </row>
    <row r="174" spans="1:60" x14ac:dyDescent="0.25">
      <c r="A174" s="1" t="s">
        <v>209</v>
      </c>
      <c r="B174" s="1" t="s">
        <v>206</v>
      </c>
      <c r="C174" s="1" t="s">
        <v>274</v>
      </c>
      <c r="D174" s="1" t="s">
        <v>232</v>
      </c>
      <c r="E174" s="1">
        <v>38</v>
      </c>
      <c r="F174" s="1">
        <v>800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2">
        <f>1.5/1.1-1</f>
        <v>0.36363636363636354</v>
      </c>
      <c r="AZ174" s="2">
        <f>1.4/1-1</f>
        <v>0.39999999999999991</v>
      </c>
      <c r="BA174" s="2">
        <f>1.5/0.7-1</f>
        <v>1.1428571428571428</v>
      </c>
      <c r="BB174" s="2">
        <f>1.3/0.6-1</f>
        <v>1.166666666666667</v>
      </c>
      <c r="BC174" s="2">
        <f>1.5/1-1</f>
        <v>0.5</v>
      </c>
      <c r="BD174" s="2">
        <f>1.2/0.7-1</f>
        <v>0.71428571428571441</v>
      </c>
      <c r="BE174" s="2">
        <f t="shared" si="8"/>
        <v>0.79365079365079383</v>
      </c>
      <c r="BF174" s="1">
        <v>13.42</v>
      </c>
      <c r="BG174" s="1">
        <v>4.66</v>
      </c>
      <c r="BH174" s="1"/>
    </row>
    <row r="175" spans="1:60" x14ac:dyDescent="0.25">
      <c r="A175" s="1" t="s">
        <v>210</v>
      </c>
      <c r="B175" s="1" t="s">
        <v>206</v>
      </c>
      <c r="C175" s="1" t="s">
        <v>274</v>
      </c>
      <c r="D175" s="1" t="s">
        <v>232</v>
      </c>
      <c r="E175" s="1">
        <v>38</v>
      </c>
      <c r="F175" s="1">
        <v>800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2">
        <f>2/1.5-1</f>
        <v>0.33333333333333326</v>
      </c>
      <c r="AZ175" s="2">
        <f>1.6/1-1</f>
        <v>0.60000000000000009</v>
      </c>
      <c r="BA175" s="2">
        <f>1.5/1.2-1</f>
        <v>0.25</v>
      </c>
      <c r="BB175" s="2">
        <f>1.6/1.1-1</f>
        <v>0.45454545454545459</v>
      </c>
      <c r="BC175" s="2"/>
      <c r="BD175" s="2"/>
      <c r="BE175" s="2">
        <f t="shared" si="8"/>
        <v>0.45454545454545459</v>
      </c>
      <c r="BF175" s="1">
        <v>4.49</v>
      </c>
      <c r="BG175" s="1">
        <v>2.39</v>
      </c>
      <c r="BH175" s="1"/>
    </row>
    <row r="176" spans="1:60" x14ac:dyDescent="0.25">
      <c r="A176" s="1" t="s">
        <v>211</v>
      </c>
      <c r="B176" s="1" t="s">
        <v>206</v>
      </c>
      <c r="C176" s="1" t="s">
        <v>274</v>
      </c>
      <c r="D176" s="1" t="s">
        <v>232</v>
      </c>
      <c r="E176" s="1">
        <v>38</v>
      </c>
      <c r="F176" s="1">
        <v>800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2">
        <f>1.8/1.4-1</f>
        <v>0.28571428571428581</v>
      </c>
      <c r="AZ176" s="2">
        <f>1.3/1-1</f>
        <v>0.30000000000000004</v>
      </c>
      <c r="BA176" s="2">
        <f>1.25/1-1</f>
        <v>0.25</v>
      </c>
      <c r="BB176" s="2">
        <f>1.1/0.6-1</f>
        <v>0.83333333333333348</v>
      </c>
      <c r="BC176" s="2">
        <f>1.3/0.8-1</f>
        <v>0.625</v>
      </c>
      <c r="BD176" s="2">
        <f>1.3/0.9-1</f>
        <v>0.44444444444444442</v>
      </c>
      <c r="BE176" s="2">
        <f t="shared" si="8"/>
        <v>0.6342592592592593</v>
      </c>
      <c r="BF176" s="1">
        <v>12.21</v>
      </c>
      <c r="BG176" s="1">
        <v>4.33</v>
      </c>
      <c r="BH176" s="1"/>
    </row>
    <row r="177" spans="1:60" x14ac:dyDescent="0.25">
      <c r="A177" s="1" t="s">
        <v>212</v>
      </c>
      <c r="B177" s="1" t="s">
        <v>206</v>
      </c>
      <c r="C177" s="1" t="s">
        <v>275</v>
      </c>
      <c r="D177" s="1" t="s">
        <v>230</v>
      </c>
      <c r="E177" s="1">
        <v>38</v>
      </c>
      <c r="F177" s="1">
        <v>400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2">
        <f>1.35/1.3-1</f>
        <v>3.8461538461538547E-2</v>
      </c>
      <c r="AZ177" s="2">
        <f>1.2/1-1</f>
        <v>0.19999999999999996</v>
      </c>
      <c r="BA177" s="2">
        <f>1.15/1-1</f>
        <v>0.14999999999999991</v>
      </c>
      <c r="BB177" s="2">
        <f>1.5/1.4-1</f>
        <v>7.1428571428571397E-2</v>
      </c>
      <c r="BC177" s="2">
        <f>1.3/1.2-1</f>
        <v>8.3333333333333481E-2</v>
      </c>
      <c r="BD177" s="2">
        <f>1.6/1.6-1</f>
        <v>0</v>
      </c>
      <c r="BE177" s="2">
        <f t="shared" si="8"/>
        <v>5.1587301587301626E-2</v>
      </c>
      <c r="BF177" s="1">
        <v>6.2</v>
      </c>
      <c r="BG177" s="1">
        <v>1.72</v>
      </c>
      <c r="BH177" s="1"/>
    </row>
    <row r="178" spans="1:60" x14ac:dyDescent="0.25">
      <c r="A178" s="1" t="s">
        <v>213</v>
      </c>
      <c r="B178" s="1" t="s">
        <v>206</v>
      </c>
      <c r="C178" s="1" t="s">
        <v>275</v>
      </c>
      <c r="D178" s="1" t="s">
        <v>230</v>
      </c>
      <c r="E178" s="1">
        <v>38</v>
      </c>
      <c r="F178" s="1">
        <v>400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2">
        <f>1.5/1.4-1</f>
        <v>7.1428571428571397E-2</v>
      </c>
      <c r="AZ178" s="2">
        <f>1.5/1.5-1</f>
        <v>0</v>
      </c>
      <c r="BA178" s="2">
        <f>2.1/2.05-1</f>
        <v>2.4390243902439046E-2</v>
      </c>
      <c r="BB178" s="2">
        <f>1.7/1.6-1</f>
        <v>6.25E-2</v>
      </c>
      <c r="BC178" s="2">
        <f>1.2/1-1</f>
        <v>0.19999999999999996</v>
      </c>
      <c r="BD178" s="2">
        <f>1.6/1.6-1</f>
        <v>0</v>
      </c>
      <c r="BE178" s="2">
        <f t="shared" si="8"/>
        <v>8.7499999999999981E-2</v>
      </c>
      <c r="BF178" s="1">
        <v>5.71</v>
      </c>
      <c r="BG178" s="1">
        <v>1.78</v>
      </c>
      <c r="BH178" s="1"/>
    </row>
    <row r="179" spans="1:60" x14ac:dyDescent="0.25">
      <c r="A179" s="1" t="s">
        <v>214</v>
      </c>
      <c r="B179" s="1" t="s">
        <v>206</v>
      </c>
      <c r="C179" s="1" t="s">
        <v>275</v>
      </c>
      <c r="D179" s="1" t="s">
        <v>230</v>
      </c>
      <c r="E179" s="1">
        <v>38</v>
      </c>
      <c r="F179" s="1">
        <v>400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2">
        <f>2.3/2.1-1</f>
        <v>9.5238095238095122E-2</v>
      </c>
      <c r="AZ179" s="2">
        <f>1.3/1.2-1</f>
        <v>8.3333333333333481E-2</v>
      </c>
      <c r="BA179" s="2">
        <f>1.1/1.1-1</f>
        <v>0</v>
      </c>
      <c r="BB179" s="2">
        <f>1.2/1.1-1</f>
        <v>9.0909090909090828E-2</v>
      </c>
      <c r="BC179" s="2">
        <f>1.4/1.4-1</f>
        <v>0</v>
      </c>
      <c r="BD179" s="2">
        <f>0.8/0.8-1</f>
        <v>0</v>
      </c>
      <c r="BE179" s="2">
        <f t="shared" si="8"/>
        <v>3.0303030303030276E-2</v>
      </c>
      <c r="BF179" s="1">
        <v>4.01</v>
      </c>
      <c r="BG179" s="1">
        <v>1.24</v>
      </c>
      <c r="BH179" s="1"/>
    </row>
    <row r="180" spans="1:60" x14ac:dyDescent="0.25">
      <c r="A180" s="1" t="s">
        <v>215</v>
      </c>
      <c r="B180" s="1" t="s">
        <v>206</v>
      </c>
      <c r="C180" s="1" t="s">
        <v>275</v>
      </c>
      <c r="D180" s="1" t="s">
        <v>230</v>
      </c>
      <c r="E180" s="1">
        <v>38</v>
      </c>
      <c r="F180" s="1">
        <v>400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2">
        <f>1.7/1.7-1</f>
        <v>0</v>
      </c>
      <c r="AZ180" s="2">
        <f>1/1-1</f>
        <v>0</v>
      </c>
      <c r="BA180" s="2">
        <f>2.05/2-1</f>
        <v>2.4999999999999911E-2</v>
      </c>
      <c r="BB180" s="2">
        <f>1.3/1.3-1</f>
        <v>0</v>
      </c>
      <c r="BC180" s="2">
        <f>1.1/1.1-1</f>
        <v>0</v>
      </c>
      <c r="BD180" s="2">
        <f>1.1/1.1-1</f>
        <v>0</v>
      </c>
      <c r="BE180" s="2">
        <f t="shared" si="8"/>
        <v>0</v>
      </c>
      <c r="BF180" s="1">
        <v>3.37</v>
      </c>
      <c r="BG180" s="1">
        <v>1.02</v>
      </c>
      <c r="BH180" s="1"/>
    </row>
    <row r="181" spans="1:60" x14ac:dyDescent="0.25">
      <c r="A181" s="1" t="s">
        <v>216</v>
      </c>
      <c r="B181" s="1" t="s">
        <v>206</v>
      </c>
      <c r="C181" s="1" t="s">
        <v>275</v>
      </c>
      <c r="D181" s="1" t="s">
        <v>230</v>
      </c>
      <c r="E181" s="1">
        <v>38</v>
      </c>
      <c r="F181" s="1">
        <v>400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2">
        <f>1.1/1-1</f>
        <v>0.10000000000000009</v>
      </c>
      <c r="AZ181" s="2">
        <f>1.3/1.3-1</f>
        <v>0</v>
      </c>
      <c r="BA181" s="2">
        <f>1.1/1-1</f>
        <v>0.10000000000000009</v>
      </c>
      <c r="BB181" s="2">
        <f>1.2/1.2-1</f>
        <v>0</v>
      </c>
      <c r="BC181" s="2">
        <f>1.4/1.3-1</f>
        <v>7.6923076923076872E-2</v>
      </c>
      <c r="BD181" s="2">
        <f>1.3/1.3-1</f>
        <v>0</v>
      </c>
      <c r="BE181" s="2">
        <f t="shared" si="8"/>
        <v>2.5641025641025623E-2</v>
      </c>
      <c r="BF181" s="1">
        <v>4.43</v>
      </c>
      <c r="BG181" s="1">
        <v>1.1599999999999999</v>
      </c>
      <c r="BH181" s="1"/>
    </row>
    <row r="182" spans="1:60" x14ac:dyDescent="0.25">
      <c r="A182" s="1" t="s">
        <v>217</v>
      </c>
      <c r="B182" s="1" t="s">
        <v>206</v>
      </c>
      <c r="C182" s="1" t="s">
        <v>276</v>
      </c>
      <c r="D182" s="1" t="s">
        <v>229</v>
      </c>
      <c r="E182" s="1">
        <v>30</v>
      </c>
      <c r="F182" s="1">
        <v>400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2">
        <f>1.3/1.3-1</f>
        <v>0</v>
      </c>
      <c r="AZ182" s="2">
        <f>1.3/1.25-1</f>
        <v>4.0000000000000036E-2</v>
      </c>
      <c r="BA182" s="2">
        <f>1.3/1.2-1</f>
        <v>8.3333333333333481E-2</v>
      </c>
      <c r="BB182" s="2">
        <f>1.3/1.3-1</f>
        <v>0</v>
      </c>
      <c r="BC182" s="2">
        <f>1.4/1.4-1</f>
        <v>0</v>
      </c>
      <c r="BD182" s="2">
        <f>1.6/1.6-1</f>
        <v>0</v>
      </c>
      <c r="BE182" s="2">
        <f t="shared" si="8"/>
        <v>0</v>
      </c>
      <c r="BF182" s="1">
        <v>11.03</v>
      </c>
      <c r="BG182" s="1">
        <v>3.51</v>
      </c>
      <c r="BH182" s="1"/>
    </row>
    <row r="183" spans="1:60" x14ac:dyDescent="0.25">
      <c r="A183" s="1" t="s">
        <v>218</v>
      </c>
      <c r="B183" s="1" t="s">
        <v>206</v>
      </c>
      <c r="C183" s="1" t="s">
        <v>276</v>
      </c>
      <c r="D183" s="1" t="s">
        <v>229</v>
      </c>
      <c r="E183" s="1">
        <v>30</v>
      </c>
      <c r="F183" s="1">
        <v>400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2">
        <f>1.2/1.2-1</f>
        <v>0</v>
      </c>
      <c r="AZ183" s="2">
        <f>1.3/1.3-1</f>
        <v>0</v>
      </c>
      <c r="BA183" s="2">
        <f>1.25/1.15-1</f>
        <v>8.6956521739130599E-2</v>
      </c>
      <c r="BB183" s="2">
        <f>1.6/1.6-1</f>
        <v>0</v>
      </c>
      <c r="BC183" s="2">
        <f>1.6/1.5-1</f>
        <v>6.6666666666666652E-2</v>
      </c>
      <c r="BD183" s="2">
        <f>1.6/1.5-1</f>
        <v>6.6666666666666652E-2</v>
      </c>
      <c r="BE183" s="2">
        <f t="shared" si="8"/>
        <v>4.4444444444444432E-2</v>
      </c>
      <c r="BF183" s="1">
        <v>10.35</v>
      </c>
      <c r="BG183" s="1">
        <v>3.35</v>
      </c>
      <c r="BH183" s="1"/>
    </row>
    <row r="184" spans="1:60" x14ac:dyDescent="0.25">
      <c r="A184" s="1" t="s">
        <v>219</v>
      </c>
      <c r="B184" s="1" t="s">
        <v>206</v>
      </c>
      <c r="C184" s="1" t="s">
        <v>276</v>
      </c>
      <c r="D184" s="1" t="s">
        <v>229</v>
      </c>
      <c r="E184" s="1">
        <v>30</v>
      </c>
      <c r="F184" s="1">
        <v>400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2">
        <f>1.05/1-1</f>
        <v>5.0000000000000044E-2</v>
      </c>
      <c r="AZ184" s="2">
        <f>1.5/1.4-1</f>
        <v>7.1428571428571397E-2</v>
      </c>
      <c r="BA184" s="2">
        <f>1.6/1.5-1</f>
        <v>6.6666666666666652E-2</v>
      </c>
      <c r="BB184" s="2">
        <f>1.5/1.4-1</f>
        <v>7.1428571428571397E-2</v>
      </c>
      <c r="BC184" s="2">
        <f>1.2/1.1-1</f>
        <v>9.0909090909090828E-2</v>
      </c>
      <c r="BD184" s="2">
        <f>1.5/1.4-1</f>
        <v>7.1428571428571397E-2</v>
      </c>
      <c r="BE184" s="2">
        <f t="shared" si="8"/>
        <v>7.7922077922077879E-2</v>
      </c>
      <c r="BF184" s="1">
        <v>8.0299999999999994</v>
      </c>
      <c r="BG184" s="1">
        <v>2.59</v>
      </c>
      <c r="BH184" s="1"/>
    </row>
    <row r="185" spans="1:60" x14ac:dyDescent="0.25">
      <c r="A185" s="1" t="s">
        <v>220</v>
      </c>
      <c r="B185" s="1" t="s">
        <v>206</v>
      </c>
      <c r="C185" s="1" t="s">
        <v>276</v>
      </c>
      <c r="D185" s="1" t="s">
        <v>229</v>
      </c>
      <c r="E185" s="1">
        <v>30</v>
      </c>
      <c r="F185" s="1">
        <v>400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2">
        <f>1.1/1-1</f>
        <v>0.10000000000000009</v>
      </c>
      <c r="AZ185" s="2">
        <f>1.25/1.1-1</f>
        <v>0.13636363636363624</v>
      </c>
      <c r="BA185" s="2">
        <f>1.7/1.6-1</f>
        <v>6.25E-2</v>
      </c>
      <c r="BB185" s="2">
        <f>1.3/1.2-1</f>
        <v>8.3333333333333481E-2</v>
      </c>
      <c r="BC185" s="2">
        <f>1.5/1.5-1</f>
        <v>0</v>
      </c>
      <c r="BD185" s="2">
        <f>0.9/0.8-1</f>
        <v>0.125</v>
      </c>
      <c r="BE185" s="2">
        <f t="shared" si="8"/>
        <v>6.9444444444444489E-2</v>
      </c>
      <c r="BF185" s="1">
        <v>7.33</v>
      </c>
      <c r="BG185" s="1">
        <v>2.06</v>
      </c>
      <c r="BH185" s="1"/>
    </row>
    <row r="186" spans="1:60" x14ac:dyDescent="0.25">
      <c r="A186" s="1" t="s">
        <v>221</v>
      </c>
      <c r="B186" s="1" t="s">
        <v>206</v>
      </c>
      <c r="C186" s="1" t="s">
        <v>276</v>
      </c>
      <c r="D186" s="1" t="s">
        <v>229</v>
      </c>
      <c r="E186" s="1">
        <v>30</v>
      </c>
      <c r="F186" s="1">
        <v>400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2">
        <f>1.7/1.6-1</f>
        <v>6.25E-2</v>
      </c>
      <c r="AZ186" s="2">
        <f>2.2/2.1-1</f>
        <v>4.7619047619047672E-2</v>
      </c>
      <c r="BA186" s="2">
        <f>1.9/1.9-1</f>
        <v>0</v>
      </c>
      <c r="BB186" s="2">
        <f>1.7/1.7-1</f>
        <v>0</v>
      </c>
      <c r="BC186" s="2">
        <f>1.8/1.7-1</f>
        <v>5.8823529411764719E-2</v>
      </c>
      <c r="BD186" s="2">
        <f>1.7/1.7-1</f>
        <v>0</v>
      </c>
      <c r="BE186" s="2">
        <f t="shared" si="8"/>
        <v>1.9607843137254905E-2</v>
      </c>
      <c r="BF186" s="1">
        <v>7.85</v>
      </c>
      <c r="BG186" s="1">
        <v>2.3199999999999998</v>
      </c>
      <c r="BH186" s="1"/>
    </row>
    <row r="187" spans="1:60" x14ac:dyDescent="0.25">
      <c r="A187" s="1" t="s">
        <v>222</v>
      </c>
      <c r="B187" s="1" t="s">
        <v>206</v>
      </c>
      <c r="C187" s="1" t="s">
        <v>277</v>
      </c>
      <c r="D187" s="1" t="s">
        <v>231</v>
      </c>
      <c r="E187" s="1">
        <v>30</v>
      </c>
      <c r="F187" s="1">
        <v>800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2">
        <f>1.5/1.3-1</f>
        <v>0.15384615384615374</v>
      </c>
      <c r="AZ187" s="2">
        <f>1.6/1.5-1</f>
        <v>6.6666666666666652E-2</v>
      </c>
      <c r="BA187" s="2">
        <f>1.8/1.6-1</f>
        <v>0.125</v>
      </c>
      <c r="BB187" s="2">
        <f>1.6/1.5-1</f>
        <v>6.6666666666666652E-2</v>
      </c>
      <c r="BC187" s="2">
        <f>1.7/1.5-1</f>
        <v>0.1333333333333333</v>
      </c>
      <c r="BD187" s="2">
        <f>1.6/1.6-1</f>
        <v>0</v>
      </c>
      <c r="BE187" s="2">
        <f t="shared" si="8"/>
        <v>6.6666666666666652E-2</v>
      </c>
      <c r="BF187" s="1">
        <v>14.92</v>
      </c>
      <c r="BG187" s="1">
        <v>4.05</v>
      </c>
      <c r="BH187" s="1"/>
    </row>
    <row r="188" spans="1:60" x14ac:dyDescent="0.25">
      <c r="A188" s="1" t="s">
        <v>223</v>
      </c>
      <c r="B188" s="1" t="s">
        <v>206</v>
      </c>
      <c r="C188" s="1" t="s">
        <v>277</v>
      </c>
      <c r="D188" s="1" t="s">
        <v>231</v>
      </c>
      <c r="E188" s="1">
        <v>30</v>
      </c>
      <c r="F188" s="1">
        <v>800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2">
        <f>1.7/1.3-1</f>
        <v>0.30769230769230771</v>
      </c>
      <c r="AZ188" s="2">
        <f>1.6/1.4-1</f>
        <v>0.14285714285714302</v>
      </c>
      <c r="BA188" s="2">
        <f>1.3/1.1-1</f>
        <v>0.18181818181818166</v>
      </c>
      <c r="BB188" s="2">
        <f>1.4/1.3-1</f>
        <v>7.6923076923076872E-2</v>
      </c>
      <c r="BC188" s="2">
        <f>1.4/1.3-1</f>
        <v>7.6923076923076872E-2</v>
      </c>
      <c r="BD188" s="2">
        <f>1.8/1.8-1</f>
        <v>0</v>
      </c>
      <c r="BE188" s="2">
        <f t="shared" si="8"/>
        <v>5.1282051282051246E-2</v>
      </c>
      <c r="BF188" s="1">
        <v>15.87</v>
      </c>
      <c r="BG188" s="1">
        <v>5.17</v>
      </c>
      <c r="BH188" s="1"/>
    </row>
    <row r="189" spans="1:60" x14ac:dyDescent="0.25">
      <c r="A189" s="1" t="s">
        <v>224</v>
      </c>
      <c r="B189" s="1" t="s">
        <v>206</v>
      </c>
      <c r="C189" s="1" t="s">
        <v>277</v>
      </c>
      <c r="D189" s="1" t="s">
        <v>231</v>
      </c>
      <c r="E189" s="1">
        <v>30</v>
      </c>
      <c r="F189" s="1">
        <v>800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2">
        <f>1.6/1.5-1</f>
        <v>6.6666666666666652E-2</v>
      </c>
      <c r="AZ189" s="2">
        <f>1.6/1.5-1</f>
        <v>6.6666666666666652E-2</v>
      </c>
      <c r="BA189" s="2">
        <f>1.4/1.2-1</f>
        <v>0.16666666666666674</v>
      </c>
      <c r="BB189" s="2">
        <f>1.5/1.4-1</f>
        <v>7.1428571428571397E-2</v>
      </c>
      <c r="BC189" s="2">
        <f>1.6/1.5-1</f>
        <v>6.6666666666666652E-2</v>
      </c>
      <c r="BD189" s="2">
        <f>1.8/1.7-1</f>
        <v>5.8823529411764719E-2</v>
      </c>
      <c r="BE189" s="2">
        <f t="shared" si="8"/>
        <v>6.5639589169000923E-2</v>
      </c>
      <c r="BF189" s="1">
        <v>16.97</v>
      </c>
      <c r="BG189" s="1">
        <v>5.75</v>
      </c>
      <c r="BH189" s="1"/>
    </row>
    <row r="190" spans="1:60" x14ac:dyDescent="0.25">
      <c r="A190" s="1" t="s">
        <v>225</v>
      </c>
      <c r="B190" s="1" t="s">
        <v>206</v>
      </c>
      <c r="C190" s="1" t="s">
        <v>277</v>
      </c>
      <c r="D190" s="1" t="s">
        <v>231</v>
      </c>
      <c r="E190" s="1">
        <v>30</v>
      </c>
      <c r="F190" s="1">
        <v>800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2">
        <f>1.4/1.2-1</f>
        <v>0.16666666666666674</v>
      </c>
      <c r="AZ190" s="2">
        <f>1.35/1.2-1</f>
        <v>0.12500000000000022</v>
      </c>
      <c r="BA190" s="2">
        <f>1.6/1.5-1</f>
        <v>6.6666666666666652E-2</v>
      </c>
      <c r="BB190" s="2">
        <f>1.4/1.35-1</f>
        <v>3.7037037037036979E-2</v>
      </c>
      <c r="BC190" s="2">
        <f>1.4/1.3-1</f>
        <v>7.6923076923076872E-2</v>
      </c>
      <c r="BD190" s="2">
        <f>1.2/1.1-1</f>
        <v>9.0909090909090828E-2</v>
      </c>
      <c r="BE190" s="2">
        <f t="shared" si="8"/>
        <v>6.828973495640156E-2</v>
      </c>
      <c r="BF190" s="1">
        <v>13.03</v>
      </c>
      <c r="BG190" s="1">
        <v>3.17</v>
      </c>
      <c r="BH190" s="1"/>
    </row>
    <row r="191" spans="1:60" x14ac:dyDescent="0.25">
      <c r="A191" s="1" t="s">
        <v>226</v>
      </c>
      <c r="B191" s="1" t="s">
        <v>206</v>
      </c>
      <c r="C191" s="1" t="s">
        <v>277</v>
      </c>
      <c r="D191" s="1" t="s">
        <v>231</v>
      </c>
      <c r="E191" s="1">
        <v>30</v>
      </c>
      <c r="F191" s="1">
        <v>800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2">
        <f>1.45/1.3-1</f>
        <v>0.11538461538461542</v>
      </c>
      <c r="AZ191" s="2">
        <f>1.3/1.2-1</f>
        <v>8.3333333333333481E-2</v>
      </c>
      <c r="BA191" s="2">
        <f>1.5/1.5-1</f>
        <v>0</v>
      </c>
      <c r="BB191" s="2">
        <f>1.9/1.8-1</f>
        <v>5.555555555555558E-2</v>
      </c>
      <c r="BC191" s="2">
        <f>1.75/1.7-1</f>
        <v>2.941176470588247E-2</v>
      </c>
      <c r="BD191" s="2">
        <f>1.9/1.8-1</f>
        <v>5.555555555555558E-2</v>
      </c>
      <c r="BE191" s="2">
        <f t="shared" si="8"/>
        <v>4.6840958605664541E-2</v>
      </c>
      <c r="BF191" s="1">
        <v>18.399999999999999</v>
      </c>
      <c r="BG191" s="1">
        <v>4.9800000000000004</v>
      </c>
      <c r="BH191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BE2C-21AE-4B42-A116-8D23A4F8AA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Michael D</dc:creator>
  <cp:lastModifiedBy>Thomas, Michael D</cp:lastModifiedBy>
  <dcterms:created xsi:type="dcterms:W3CDTF">2022-07-21T16:45:27Z</dcterms:created>
  <dcterms:modified xsi:type="dcterms:W3CDTF">2023-11-02T14:30:06Z</dcterms:modified>
</cp:coreProperties>
</file>