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povich\WORK\Project\Tank\15-6855\РКД\Отчеты\"/>
    </mc:Choice>
  </mc:AlternateContent>
  <bookViews>
    <workbookView xWindow="0" yWindow="0" windowWidth="28800" windowHeight="11535" firstSheet="2" activeTab="7"/>
  </bookViews>
  <sheets>
    <sheet name="Титульный лист" sheetId="5" r:id="rId1"/>
    <sheet name="Исходные данные" sheetId="1" r:id="rId2"/>
    <sheet name="Нормируемые параметры" sheetId="2" r:id="rId3"/>
    <sheet name="Нагрузки и толщины" sheetId="3" r:id="rId4"/>
    <sheet name="ГОСТ 14249-89 и ГОСТ 24755-89" sheetId="4" r:id="rId5"/>
    <sheet name="Результаты" sheetId="8" r:id="rId6"/>
    <sheet name="Durability" sheetId="10" r:id="rId7"/>
    <sheet name="Таблицы результатов" sheetId="9" r:id="rId8"/>
    <sheet name="Лист1" sheetId="6" r:id="rId9"/>
    <sheet name="Хомут" sheetId="7" r:id="rId10"/>
  </sheets>
  <definedNames>
    <definedName name="Верно">'Нормируемые параметры'!$L$7:$L$8</definedName>
    <definedName name="Габарит">'Нормируемые параметры'!$L$3:$L$5</definedName>
    <definedName name="Разработчики">'Нормируемые параметры'!$Q$4:$Q$16</definedName>
    <definedName name="Стали">'Нормируемые параметры'!$A$30:$A$33</definedName>
    <definedName name="Тележка">'Нормируемые параметры'!$B$3:$B$8</definedName>
    <definedName name="Тип_днища">'Нормируемые параметры'!$M$3:$M$5</definedName>
    <definedName name="Тип_торосферического_днища">'Нормируемые параметры'!$K$3:$K$5</definedName>
    <definedName name="Торосферическое">'Нормируемые параметры'!$M$8:$M$9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8" i="9" l="1"/>
  <c r="AU7" i="9"/>
  <c r="AU6" i="9"/>
  <c r="AU4" i="9"/>
  <c r="S4" i="10" l="1"/>
  <c r="P76" i="10"/>
  <c r="S5" i="10" l="1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8" i="10"/>
  <c r="R69" i="10"/>
  <c r="R70" i="10"/>
  <c r="R71" i="10"/>
  <c r="R72" i="10"/>
  <c r="R73" i="10"/>
  <c r="R78" i="10"/>
  <c r="R79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8" i="10"/>
  <c r="Q69" i="10"/>
  <c r="Q70" i="10"/>
  <c r="Q71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8" i="10"/>
  <c r="P69" i="10"/>
  <c r="P70" i="10"/>
  <c r="P71" i="10"/>
  <c r="P77" i="10"/>
  <c r="P78" i="10"/>
  <c r="P79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8" i="10"/>
  <c r="O69" i="10"/>
  <c r="O70" i="10"/>
  <c r="O71" i="10"/>
  <c r="O72" i="10"/>
  <c r="O73" i="10"/>
  <c r="O76" i="10"/>
  <c r="O77" i="10"/>
  <c r="O78" i="10"/>
  <c r="O79" i="10"/>
  <c r="R4" i="10"/>
  <c r="Q4" i="10"/>
  <c r="P4" i="10"/>
  <c r="O4" i="10"/>
  <c r="AV4" i="9" l="1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2" i="9"/>
  <c r="AQ97" i="9"/>
  <c r="AQ98" i="9"/>
  <c r="AQ99" i="9"/>
  <c r="AQ100" i="9"/>
  <c r="AQ101" i="9"/>
  <c r="AQ102" i="9"/>
  <c r="AQ103" i="9"/>
  <c r="AQ104" i="9"/>
  <c r="AL97" i="9"/>
  <c r="AL98" i="9"/>
  <c r="AL99" i="9"/>
  <c r="AL100" i="9"/>
  <c r="AL101" i="9"/>
  <c r="AL102" i="9"/>
  <c r="AL103" i="9"/>
  <c r="AL104" i="9"/>
  <c r="AG97" i="9"/>
  <c r="AG98" i="9"/>
  <c r="AG99" i="9"/>
  <c r="AG100" i="9"/>
  <c r="AG101" i="9"/>
  <c r="AG102" i="9"/>
  <c r="AG103" i="9"/>
  <c r="AG104" i="9"/>
  <c r="AB97" i="9"/>
  <c r="AB98" i="9"/>
  <c r="AB99" i="9"/>
  <c r="AB100" i="9"/>
  <c r="AB101" i="9"/>
  <c r="AB102" i="9"/>
  <c r="AB103" i="9"/>
  <c r="AB104" i="9"/>
  <c r="W97" i="9"/>
  <c r="W98" i="9"/>
  <c r="W99" i="9"/>
  <c r="W100" i="9"/>
  <c r="W101" i="9"/>
  <c r="W102" i="9"/>
  <c r="W103" i="9"/>
  <c r="W104" i="9"/>
  <c r="R97" i="9"/>
  <c r="R98" i="9"/>
  <c r="R99" i="9"/>
  <c r="R100" i="9"/>
  <c r="R101" i="9"/>
  <c r="R102" i="9"/>
  <c r="R103" i="9"/>
  <c r="R104" i="9"/>
  <c r="M97" i="9"/>
  <c r="M98" i="9"/>
  <c r="M99" i="9"/>
  <c r="M100" i="9"/>
  <c r="M101" i="9"/>
  <c r="M102" i="9"/>
  <c r="M103" i="9"/>
  <c r="M104" i="9"/>
  <c r="H97" i="9"/>
  <c r="H98" i="9"/>
  <c r="H99" i="9"/>
  <c r="H100" i="9"/>
  <c r="H101" i="9"/>
  <c r="H102" i="9"/>
  <c r="H103" i="9"/>
  <c r="H104" i="9"/>
  <c r="C41" i="1" l="1"/>
  <c r="C42" i="1"/>
  <c r="C23" i="4" s="1"/>
  <c r="C43" i="1"/>
  <c r="C44" i="1"/>
  <c r="C46" i="1" s="1"/>
  <c r="J30" i="2"/>
  <c r="F30" i="2" s="1"/>
  <c r="C25" i="4" s="1"/>
  <c r="C47" i="1" l="1"/>
  <c r="C22" i="4" s="1"/>
  <c r="C26" i="4"/>
  <c r="C27" i="4"/>
  <c r="H30" i="2"/>
  <c r="E30" i="2" l="1"/>
  <c r="AQ96" i="9" l="1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Q6" i="9"/>
  <c r="AQ5" i="9"/>
  <c r="AQ4" i="9"/>
  <c r="AQ3" i="9"/>
  <c r="AL96" i="9"/>
  <c r="AL95" i="9"/>
  <c r="AL94" i="9"/>
  <c r="AL93" i="9"/>
  <c r="AL92" i="9"/>
  <c r="AL91" i="9"/>
  <c r="AL90" i="9"/>
  <c r="AL89" i="9"/>
  <c r="AL88" i="9"/>
  <c r="AL87" i="9"/>
  <c r="AL86" i="9"/>
  <c r="AL85" i="9"/>
  <c r="AL84" i="9"/>
  <c r="AL83" i="9"/>
  <c r="AL82" i="9"/>
  <c r="AL81" i="9"/>
  <c r="AL80" i="9"/>
  <c r="AL79" i="9"/>
  <c r="AL78" i="9"/>
  <c r="AL77" i="9"/>
  <c r="AL76" i="9"/>
  <c r="AL75" i="9"/>
  <c r="AL74" i="9"/>
  <c r="AL73" i="9"/>
  <c r="AL72" i="9"/>
  <c r="AL71" i="9"/>
  <c r="AL70" i="9"/>
  <c r="AL69" i="9"/>
  <c r="AL68" i="9"/>
  <c r="AL67" i="9"/>
  <c r="AL66" i="9"/>
  <c r="AL65" i="9"/>
  <c r="AL64" i="9"/>
  <c r="AL63" i="9"/>
  <c r="AL62" i="9"/>
  <c r="AL61" i="9"/>
  <c r="AL60" i="9"/>
  <c r="AL59" i="9"/>
  <c r="AL58" i="9"/>
  <c r="AL57" i="9"/>
  <c r="AL56" i="9"/>
  <c r="AL55" i="9"/>
  <c r="AL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G3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3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3" i="9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A5" i="8"/>
  <c r="AW4" i="9" s="1"/>
  <c r="AA6" i="8"/>
  <c r="AA7" i="8"/>
  <c r="AW6" i="9" s="1"/>
  <c r="AA8" i="8"/>
  <c r="AW7" i="9" s="1"/>
  <c r="AA9" i="8"/>
  <c r="AW8" i="9" s="1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Z5" i="8"/>
  <c r="AP4" i="9" s="1"/>
  <c r="Z6" i="8"/>
  <c r="AP5" i="9" s="1"/>
  <c r="AR5" i="9" s="1"/>
  <c r="Z7" i="8"/>
  <c r="AP6" i="9" s="1"/>
  <c r="Z8" i="8"/>
  <c r="AP7" i="9" s="1"/>
  <c r="Z9" i="8"/>
  <c r="AP8" i="9" s="1"/>
  <c r="Z10" i="8"/>
  <c r="AP9" i="9" s="1"/>
  <c r="Z11" i="8"/>
  <c r="AP10" i="9" s="1"/>
  <c r="Z12" i="8"/>
  <c r="AP11" i="9" s="1"/>
  <c r="Z13" i="8"/>
  <c r="AP12" i="9" s="1"/>
  <c r="Z14" i="8"/>
  <c r="AP13" i="9" s="1"/>
  <c r="AR13" i="9" s="1"/>
  <c r="Z15" i="8"/>
  <c r="AP14" i="9" s="1"/>
  <c r="Z16" i="8"/>
  <c r="AP15" i="9" s="1"/>
  <c r="Z17" i="8"/>
  <c r="AP16" i="9" s="1"/>
  <c r="Z18" i="8"/>
  <c r="AP17" i="9" s="1"/>
  <c r="Z19" i="8"/>
  <c r="AP18" i="9" s="1"/>
  <c r="Z20" i="8"/>
  <c r="AP19" i="9" s="1"/>
  <c r="Z21" i="8"/>
  <c r="AP20" i="9" s="1"/>
  <c r="Z22" i="8"/>
  <c r="AP21" i="9" s="1"/>
  <c r="AR21" i="9" s="1"/>
  <c r="Z23" i="8"/>
  <c r="AP22" i="9" s="1"/>
  <c r="Z24" i="8"/>
  <c r="AP23" i="9" s="1"/>
  <c r="Z25" i="8"/>
  <c r="AP24" i="9" s="1"/>
  <c r="Z26" i="8"/>
  <c r="AP25" i="9" s="1"/>
  <c r="Z27" i="8"/>
  <c r="AP26" i="9" s="1"/>
  <c r="Z28" i="8"/>
  <c r="AP27" i="9" s="1"/>
  <c r="Z29" i="8"/>
  <c r="AP28" i="9" s="1"/>
  <c r="Z30" i="8"/>
  <c r="AP29" i="9" s="1"/>
  <c r="AR29" i="9" s="1"/>
  <c r="Z31" i="8"/>
  <c r="AP30" i="9" s="1"/>
  <c r="Z32" i="8"/>
  <c r="AP31" i="9" s="1"/>
  <c r="Z33" i="8"/>
  <c r="AP32" i="9" s="1"/>
  <c r="Z34" i="8"/>
  <c r="AP33" i="9" s="1"/>
  <c r="Z35" i="8"/>
  <c r="AP34" i="9" s="1"/>
  <c r="Z36" i="8"/>
  <c r="AP35" i="9" s="1"/>
  <c r="Z37" i="8"/>
  <c r="AP36" i="9" s="1"/>
  <c r="Z38" i="8"/>
  <c r="AP37" i="9" s="1"/>
  <c r="AR37" i="9" s="1"/>
  <c r="Z39" i="8"/>
  <c r="AP38" i="9" s="1"/>
  <c r="Z40" i="8"/>
  <c r="AP39" i="9" s="1"/>
  <c r="Z41" i="8"/>
  <c r="AP40" i="9" s="1"/>
  <c r="Z42" i="8"/>
  <c r="AP41" i="9" s="1"/>
  <c r="Z43" i="8"/>
  <c r="AP42" i="9" s="1"/>
  <c r="Z44" i="8"/>
  <c r="AP43" i="9" s="1"/>
  <c r="Z45" i="8"/>
  <c r="AP44" i="9" s="1"/>
  <c r="Z46" i="8"/>
  <c r="AP45" i="9" s="1"/>
  <c r="AR45" i="9" s="1"/>
  <c r="Z47" i="8"/>
  <c r="AP46" i="9" s="1"/>
  <c r="Z48" i="8"/>
  <c r="AP47" i="9" s="1"/>
  <c r="Z49" i="8"/>
  <c r="AP48" i="9" s="1"/>
  <c r="Z50" i="8"/>
  <c r="AP49" i="9" s="1"/>
  <c r="Z51" i="8"/>
  <c r="AP50" i="9" s="1"/>
  <c r="Z52" i="8"/>
  <c r="AP51" i="9" s="1"/>
  <c r="Z53" i="8"/>
  <c r="AP52" i="9" s="1"/>
  <c r="Z54" i="8"/>
  <c r="AP53" i="9" s="1"/>
  <c r="AR53" i="9" s="1"/>
  <c r="Z55" i="8"/>
  <c r="AP54" i="9" s="1"/>
  <c r="Z56" i="8"/>
  <c r="AP55" i="9" s="1"/>
  <c r="Z57" i="8"/>
  <c r="AP56" i="9" s="1"/>
  <c r="Z58" i="8"/>
  <c r="AP57" i="9" s="1"/>
  <c r="Z59" i="8"/>
  <c r="AP58" i="9" s="1"/>
  <c r="Z60" i="8"/>
  <c r="AP59" i="9" s="1"/>
  <c r="Z61" i="8"/>
  <c r="AP60" i="9" s="1"/>
  <c r="Z62" i="8"/>
  <c r="AP61" i="9" s="1"/>
  <c r="AR61" i="9" s="1"/>
  <c r="Z63" i="8"/>
  <c r="AP62" i="9" s="1"/>
  <c r="Z64" i="8"/>
  <c r="AP63" i="9" s="1"/>
  <c r="Z65" i="8"/>
  <c r="AP64" i="9" s="1"/>
  <c r="Z66" i="8"/>
  <c r="AP65" i="9" s="1"/>
  <c r="Z67" i="8"/>
  <c r="AP66" i="9" s="1"/>
  <c r="Z68" i="8"/>
  <c r="AP67" i="9" s="1"/>
  <c r="Z69" i="8"/>
  <c r="AP68" i="9" s="1"/>
  <c r="Z70" i="8"/>
  <c r="AP69" i="9" s="1"/>
  <c r="AR69" i="9" s="1"/>
  <c r="Z71" i="8"/>
  <c r="AP70" i="9" s="1"/>
  <c r="Z72" i="8"/>
  <c r="AP71" i="9" s="1"/>
  <c r="Z73" i="8"/>
  <c r="AP72" i="9" s="1"/>
  <c r="Z74" i="8"/>
  <c r="AP73" i="9" s="1"/>
  <c r="Z75" i="8"/>
  <c r="AP74" i="9" s="1"/>
  <c r="Z76" i="8"/>
  <c r="AP75" i="9" s="1"/>
  <c r="Z77" i="8"/>
  <c r="AP76" i="9" s="1"/>
  <c r="Z78" i="8"/>
  <c r="AP77" i="9" s="1"/>
  <c r="AR77" i="9" s="1"/>
  <c r="Z79" i="8"/>
  <c r="AP78" i="9" s="1"/>
  <c r="Z80" i="8"/>
  <c r="AP79" i="9" s="1"/>
  <c r="Z81" i="8"/>
  <c r="AP80" i="9" s="1"/>
  <c r="Z82" i="8"/>
  <c r="AP81" i="9" s="1"/>
  <c r="Z83" i="8"/>
  <c r="AP82" i="9" s="1"/>
  <c r="Z84" i="8"/>
  <c r="AP83" i="9" s="1"/>
  <c r="Z85" i="8"/>
  <c r="AP84" i="9" s="1"/>
  <c r="Z86" i="8"/>
  <c r="AP85" i="9" s="1"/>
  <c r="AR85" i="9" s="1"/>
  <c r="Z87" i="8"/>
  <c r="AP86" i="9" s="1"/>
  <c r="Z88" i="8"/>
  <c r="AP87" i="9" s="1"/>
  <c r="Z89" i="8"/>
  <c r="AP88" i="9" s="1"/>
  <c r="Z90" i="8"/>
  <c r="AP89" i="9" s="1"/>
  <c r="Z91" i="8"/>
  <c r="AP90" i="9" s="1"/>
  <c r="Z92" i="8"/>
  <c r="AP91" i="9" s="1"/>
  <c r="Z93" i="8"/>
  <c r="AP92" i="9" s="1"/>
  <c r="Z94" i="8"/>
  <c r="AP93" i="9" s="1"/>
  <c r="AR93" i="9" s="1"/>
  <c r="Z95" i="8"/>
  <c r="AP94" i="9" s="1"/>
  <c r="Z96" i="8"/>
  <c r="AP95" i="9" s="1"/>
  <c r="Z97" i="8"/>
  <c r="AP96" i="9" s="1"/>
  <c r="Z98" i="8"/>
  <c r="AP97" i="9" s="1"/>
  <c r="AR97" i="9" s="1"/>
  <c r="Z99" i="8"/>
  <c r="AP98" i="9" s="1"/>
  <c r="AR98" i="9" s="1"/>
  <c r="Z100" i="8"/>
  <c r="AP99" i="9" s="1"/>
  <c r="AR99" i="9" s="1"/>
  <c r="Z101" i="8"/>
  <c r="AP100" i="9" s="1"/>
  <c r="AR100" i="9" s="1"/>
  <c r="Z102" i="8"/>
  <c r="AP101" i="9" s="1"/>
  <c r="AR101" i="9" s="1"/>
  <c r="Z103" i="8"/>
  <c r="AP102" i="9" s="1"/>
  <c r="AR102" i="9" s="1"/>
  <c r="Z104" i="8"/>
  <c r="AP103" i="9" s="1"/>
  <c r="AR103" i="9" s="1"/>
  <c r="Z105" i="8"/>
  <c r="AP104" i="9" s="1"/>
  <c r="AR104" i="9" s="1"/>
  <c r="Z106" i="8"/>
  <c r="Z107" i="8"/>
  <c r="Z108" i="8"/>
  <c r="Z109" i="8"/>
  <c r="Z110" i="8"/>
  <c r="Z111" i="8"/>
  <c r="Z112" i="8"/>
  <c r="Z113" i="8"/>
  <c r="Z114" i="8"/>
  <c r="Z115" i="8"/>
  <c r="Z116" i="8"/>
  <c r="Z117" i="8"/>
  <c r="Y5" i="8"/>
  <c r="Y6" i="8"/>
  <c r="AK5" i="9" s="1"/>
  <c r="Y7" i="8"/>
  <c r="Y8" i="8"/>
  <c r="Y9" i="8"/>
  <c r="Y10" i="8"/>
  <c r="AK9" i="9" s="1"/>
  <c r="Y11" i="8"/>
  <c r="AK10" i="9" s="1"/>
  <c r="Y12" i="8"/>
  <c r="AK11" i="9" s="1"/>
  <c r="Y13" i="8"/>
  <c r="AK12" i="9" s="1"/>
  <c r="Y14" i="8"/>
  <c r="AK13" i="9" s="1"/>
  <c r="Y15" i="8"/>
  <c r="AK14" i="9" s="1"/>
  <c r="Y16" i="8"/>
  <c r="AK15" i="9" s="1"/>
  <c r="Y17" i="8"/>
  <c r="AK16" i="9" s="1"/>
  <c r="Y18" i="8"/>
  <c r="AK17" i="9" s="1"/>
  <c r="Y19" i="8"/>
  <c r="AK18" i="9" s="1"/>
  <c r="Y20" i="8"/>
  <c r="AK19" i="9" s="1"/>
  <c r="Y21" i="8"/>
  <c r="AK20" i="9" s="1"/>
  <c r="Y22" i="8"/>
  <c r="AK21" i="9" s="1"/>
  <c r="Y23" i="8"/>
  <c r="AK22" i="9" s="1"/>
  <c r="Y24" i="8"/>
  <c r="AK23" i="9" s="1"/>
  <c r="Y25" i="8"/>
  <c r="AK24" i="9" s="1"/>
  <c r="Y26" i="8"/>
  <c r="AK25" i="9" s="1"/>
  <c r="Y27" i="8"/>
  <c r="AK26" i="9" s="1"/>
  <c r="Y28" i="8"/>
  <c r="AK27" i="9" s="1"/>
  <c r="Y29" i="8"/>
  <c r="AK28" i="9" s="1"/>
  <c r="Y30" i="8"/>
  <c r="AK29" i="9" s="1"/>
  <c r="Y31" i="8"/>
  <c r="AK30" i="9" s="1"/>
  <c r="Y32" i="8"/>
  <c r="AK31" i="9" s="1"/>
  <c r="Y33" i="8"/>
  <c r="AK32" i="9" s="1"/>
  <c r="Y34" i="8"/>
  <c r="AK33" i="9" s="1"/>
  <c r="Y35" i="8"/>
  <c r="AK34" i="9" s="1"/>
  <c r="Y36" i="8"/>
  <c r="AK35" i="9" s="1"/>
  <c r="Y37" i="8"/>
  <c r="AK36" i="9" s="1"/>
  <c r="Y38" i="8"/>
  <c r="AK37" i="9" s="1"/>
  <c r="Y39" i="8"/>
  <c r="AK38" i="9" s="1"/>
  <c r="Y40" i="8"/>
  <c r="AK39" i="9" s="1"/>
  <c r="Y41" i="8"/>
  <c r="AK40" i="9" s="1"/>
  <c r="Y42" i="8"/>
  <c r="AK41" i="9" s="1"/>
  <c r="Y43" i="8"/>
  <c r="AK42" i="9" s="1"/>
  <c r="Y44" i="8"/>
  <c r="AK43" i="9" s="1"/>
  <c r="Y45" i="8"/>
  <c r="AK44" i="9" s="1"/>
  <c r="Y46" i="8"/>
  <c r="AK45" i="9" s="1"/>
  <c r="Y47" i="8"/>
  <c r="AK46" i="9" s="1"/>
  <c r="Y48" i="8"/>
  <c r="AK47" i="9" s="1"/>
  <c r="Y49" i="8"/>
  <c r="AK48" i="9" s="1"/>
  <c r="Y50" i="8"/>
  <c r="AK49" i="9" s="1"/>
  <c r="Y51" i="8"/>
  <c r="AK50" i="9" s="1"/>
  <c r="Y52" i="8"/>
  <c r="AK51" i="9" s="1"/>
  <c r="Y53" i="8"/>
  <c r="AK52" i="9" s="1"/>
  <c r="Y54" i="8"/>
  <c r="AK53" i="9" s="1"/>
  <c r="Y55" i="8"/>
  <c r="AK54" i="9" s="1"/>
  <c r="Y56" i="8"/>
  <c r="AK55" i="9" s="1"/>
  <c r="Y57" i="8"/>
  <c r="AK56" i="9" s="1"/>
  <c r="Y58" i="8"/>
  <c r="AK57" i="9" s="1"/>
  <c r="Y59" i="8"/>
  <c r="AK58" i="9" s="1"/>
  <c r="Y60" i="8"/>
  <c r="AK59" i="9" s="1"/>
  <c r="Y61" i="8"/>
  <c r="AK60" i="9" s="1"/>
  <c r="Y62" i="8"/>
  <c r="AK61" i="9" s="1"/>
  <c r="Y63" i="8"/>
  <c r="AK62" i="9" s="1"/>
  <c r="Y64" i="8"/>
  <c r="AK63" i="9" s="1"/>
  <c r="Y65" i="8"/>
  <c r="AK64" i="9" s="1"/>
  <c r="Y66" i="8"/>
  <c r="AK65" i="9" s="1"/>
  <c r="Y67" i="8"/>
  <c r="AK66" i="9" s="1"/>
  <c r="Y68" i="8"/>
  <c r="AK67" i="9" s="1"/>
  <c r="Y69" i="8"/>
  <c r="AK68" i="9" s="1"/>
  <c r="Y70" i="8"/>
  <c r="AK69" i="9" s="1"/>
  <c r="Y71" i="8"/>
  <c r="AK70" i="9" s="1"/>
  <c r="Y72" i="8"/>
  <c r="AK71" i="9" s="1"/>
  <c r="Y73" i="8"/>
  <c r="AK72" i="9" s="1"/>
  <c r="Y74" i="8"/>
  <c r="AK73" i="9" s="1"/>
  <c r="Y75" i="8"/>
  <c r="AK74" i="9" s="1"/>
  <c r="Y76" i="8"/>
  <c r="AK75" i="9" s="1"/>
  <c r="Y77" i="8"/>
  <c r="AK76" i="9" s="1"/>
  <c r="Y78" i="8"/>
  <c r="AK77" i="9" s="1"/>
  <c r="Y79" i="8"/>
  <c r="AK78" i="9" s="1"/>
  <c r="Y80" i="8"/>
  <c r="AK79" i="9" s="1"/>
  <c r="Y81" i="8"/>
  <c r="AK80" i="9" s="1"/>
  <c r="Y82" i="8"/>
  <c r="AK81" i="9" s="1"/>
  <c r="Y83" i="8"/>
  <c r="AK82" i="9" s="1"/>
  <c r="Y84" i="8"/>
  <c r="AK83" i="9" s="1"/>
  <c r="Y85" i="8"/>
  <c r="AK84" i="9" s="1"/>
  <c r="Y86" i="8"/>
  <c r="AK85" i="9" s="1"/>
  <c r="Y87" i="8"/>
  <c r="AK86" i="9" s="1"/>
  <c r="Y88" i="8"/>
  <c r="AK87" i="9" s="1"/>
  <c r="Y89" i="8"/>
  <c r="AK88" i="9" s="1"/>
  <c r="Y90" i="8"/>
  <c r="AK89" i="9" s="1"/>
  <c r="Y91" i="8"/>
  <c r="AK90" i="9" s="1"/>
  <c r="Y92" i="8"/>
  <c r="AK91" i="9" s="1"/>
  <c r="Y93" i="8"/>
  <c r="AK92" i="9" s="1"/>
  <c r="Y94" i="8"/>
  <c r="AK93" i="9" s="1"/>
  <c r="Y95" i="8"/>
  <c r="AK94" i="9" s="1"/>
  <c r="Y96" i="8"/>
  <c r="AK95" i="9" s="1"/>
  <c r="Y97" i="8"/>
  <c r="AK96" i="9" s="1"/>
  <c r="Y98" i="8"/>
  <c r="AK97" i="9" s="1"/>
  <c r="AM97" i="9" s="1"/>
  <c r="Y99" i="8"/>
  <c r="AK98" i="9" s="1"/>
  <c r="AM98" i="9" s="1"/>
  <c r="Y100" i="8"/>
  <c r="AK99" i="9" s="1"/>
  <c r="AM99" i="9" s="1"/>
  <c r="Y101" i="8"/>
  <c r="AK100" i="9" s="1"/>
  <c r="AM100" i="9" s="1"/>
  <c r="Y102" i="8"/>
  <c r="AK101" i="9" s="1"/>
  <c r="AM101" i="9" s="1"/>
  <c r="Y103" i="8"/>
  <c r="AK102" i="9" s="1"/>
  <c r="AM102" i="9" s="1"/>
  <c r="Y104" i="8"/>
  <c r="AK103" i="9" s="1"/>
  <c r="AM103" i="9" s="1"/>
  <c r="Y105" i="8"/>
  <c r="AK104" i="9" s="1"/>
  <c r="AM104" i="9" s="1"/>
  <c r="Y106" i="8"/>
  <c r="Y107" i="8"/>
  <c r="Y108" i="8"/>
  <c r="Y109" i="8"/>
  <c r="Y110" i="8"/>
  <c r="Y111" i="8"/>
  <c r="Y112" i="8"/>
  <c r="Y113" i="8"/>
  <c r="Y114" i="8"/>
  <c r="Y115" i="8"/>
  <c r="Y116" i="8"/>
  <c r="Y117" i="8"/>
  <c r="X5" i="8"/>
  <c r="X6" i="8"/>
  <c r="AF5" i="9" s="1"/>
  <c r="X7" i="8"/>
  <c r="AH6" i="9" s="1"/>
  <c r="X8" i="8"/>
  <c r="X9" i="8"/>
  <c r="X10" i="8"/>
  <c r="AF9" i="9" s="1"/>
  <c r="X11" i="8"/>
  <c r="AF10" i="9" s="1"/>
  <c r="X12" i="8"/>
  <c r="AF11" i="9" s="1"/>
  <c r="X13" i="8"/>
  <c r="AF12" i="9" s="1"/>
  <c r="X14" i="8"/>
  <c r="AF13" i="9" s="1"/>
  <c r="X15" i="8"/>
  <c r="AF14" i="9" s="1"/>
  <c r="AH14" i="9" s="1"/>
  <c r="X16" i="8"/>
  <c r="AF15" i="9" s="1"/>
  <c r="X17" i="8"/>
  <c r="AF16" i="9" s="1"/>
  <c r="X18" i="8"/>
  <c r="AF17" i="9" s="1"/>
  <c r="X19" i="8"/>
  <c r="AF18" i="9" s="1"/>
  <c r="X20" i="8"/>
  <c r="AF19" i="9" s="1"/>
  <c r="X21" i="8"/>
  <c r="AF20" i="9" s="1"/>
  <c r="X22" i="8"/>
  <c r="AF21" i="9" s="1"/>
  <c r="X23" i="8"/>
  <c r="AF22" i="9" s="1"/>
  <c r="AH22" i="9" s="1"/>
  <c r="X24" i="8"/>
  <c r="AF23" i="9" s="1"/>
  <c r="X25" i="8"/>
  <c r="AF24" i="9" s="1"/>
  <c r="X26" i="8"/>
  <c r="AF25" i="9" s="1"/>
  <c r="X27" i="8"/>
  <c r="AF26" i="9" s="1"/>
  <c r="X28" i="8"/>
  <c r="AF27" i="9" s="1"/>
  <c r="X29" i="8"/>
  <c r="AF28" i="9" s="1"/>
  <c r="X30" i="8"/>
  <c r="AF29" i="9" s="1"/>
  <c r="X31" i="8"/>
  <c r="AF30" i="9" s="1"/>
  <c r="AH30" i="9" s="1"/>
  <c r="X32" i="8"/>
  <c r="AF31" i="9" s="1"/>
  <c r="X33" i="8"/>
  <c r="AF32" i="9" s="1"/>
  <c r="X34" i="8"/>
  <c r="AF33" i="9" s="1"/>
  <c r="X35" i="8"/>
  <c r="AF34" i="9" s="1"/>
  <c r="X36" i="8"/>
  <c r="AF35" i="9" s="1"/>
  <c r="X37" i="8"/>
  <c r="AF36" i="9" s="1"/>
  <c r="X38" i="8"/>
  <c r="AF37" i="9" s="1"/>
  <c r="X39" i="8"/>
  <c r="AF38" i="9" s="1"/>
  <c r="AH38" i="9" s="1"/>
  <c r="X40" i="8"/>
  <c r="AF39" i="9" s="1"/>
  <c r="X41" i="8"/>
  <c r="AF40" i="9" s="1"/>
  <c r="X42" i="8"/>
  <c r="AF41" i="9" s="1"/>
  <c r="X43" i="8"/>
  <c r="AF42" i="9" s="1"/>
  <c r="X44" i="8"/>
  <c r="AF43" i="9" s="1"/>
  <c r="X45" i="8"/>
  <c r="AF44" i="9" s="1"/>
  <c r="X46" i="8"/>
  <c r="AF45" i="9" s="1"/>
  <c r="X47" i="8"/>
  <c r="AF46" i="9" s="1"/>
  <c r="AH46" i="9" s="1"/>
  <c r="X48" i="8"/>
  <c r="AF47" i="9" s="1"/>
  <c r="X49" i="8"/>
  <c r="AF48" i="9" s="1"/>
  <c r="X50" i="8"/>
  <c r="AF49" i="9" s="1"/>
  <c r="X51" i="8"/>
  <c r="AF50" i="9" s="1"/>
  <c r="X52" i="8"/>
  <c r="AF51" i="9" s="1"/>
  <c r="X53" i="8"/>
  <c r="AF52" i="9" s="1"/>
  <c r="X54" i="8"/>
  <c r="AF53" i="9" s="1"/>
  <c r="X55" i="8"/>
  <c r="AF54" i="9" s="1"/>
  <c r="AH54" i="9" s="1"/>
  <c r="X56" i="8"/>
  <c r="AF55" i="9" s="1"/>
  <c r="X57" i="8"/>
  <c r="AF56" i="9" s="1"/>
  <c r="X58" i="8"/>
  <c r="AF57" i="9" s="1"/>
  <c r="X59" i="8"/>
  <c r="AF58" i="9" s="1"/>
  <c r="X60" i="8"/>
  <c r="AF59" i="9" s="1"/>
  <c r="X61" i="8"/>
  <c r="AF60" i="9" s="1"/>
  <c r="X62" i="8"/>
  <c r="AF61" i="9" s="1"/>
  <c r="X63" i="8"/>
  <c r="AF62" i="9" s="1"/>
  <c r="AH62" i="9" s="1"/>
  <c r="X64" i="8"/>
  <c r="AF63" i="9" s="1"/>
  <c r="X65" i="8"/>
  <c r="AF64" i="9" s="1"/>
  <c r="X66" i="8"/>
  <c r="AF65" i="9" s="1"/>
  <c r="X67" i="8"/>
  <c r="AF66" i="9" s="1"/>
  <c r="X68" i="8"/>
  <c r="AF67" i="9" s="1"/>
  <c r="X69" i="8"/>
  <c r="AF68" i="9" s="1"/>
  <c r="X70" i="8"/>
  <c r="AF69" i="9" s="1"/>
  <c r="X71" i="8"/>
  <c r="AF70" i="9" s="1"/>
  <c r="AH70" i="9" s="1"/>
  <c r="X72" i="8"/>
  <c r="AF71" i="9" s="1"/>
  <c r="X73" i="8"/>
  <c r="AF72" i="9" s="1"/>
  <c r="X74" i="8"/>
  <c r="AF73" i="9" s="1"/>
  <c r="X75" i="8"/>
  <c r="AF74" i="9" s="1"/>
  <c r="X76" i="8"/>
  <c r="AF75" i="9" s="1"/>
  <c r="X77" i="8"/>
  <c r="AF76" i="9" s="1"/>
  <c r="X78" i="8"/>
  <c r="AF77" i="9" s="1"/>
  <c r="X79" i="8"/>
  <c r="AF78" i="9" s="1"/>
  <c r="AH78" i="9" s="1"/>
  <c r="X80" i="8"/>
  <c r="AF79" i="9" s="1"/>
  <c r="X81" i="8"/>
  <c r="AF80" i="9" s="1"/>
  <c r="X82" i="8"/>
  <c r="AF81" i="9" s="1"/>
  <c r="X83" i="8"/>
  <c r="AF82" i="9" s="1"/>
  <c r="X84" i="8"/>
  <c r="AF83" i="9" s="1"/>
  <c r="X85" i="8"/>
  <c r="AF84" i="9" s="1"/>
  <c r="X86" i="8"/>
  <c r="AF85" i="9" s="1"/>
  <c r="X87" i="8"/>
  <c r="AF86" i="9" s="1"/>
  <c r="AH86" i="9" s="1"/>
  <c r="X88" i="8"/>
  <c r="AF87" i="9" s="1"/>
  <c r="X89" i="8"/>
  <c r="AF88" i="9" s="1"/>
  <c r="X90" i="8"/>
  <c r="AF89" i="9" s="1"/>
  <c r="X91" i="8"/>
  <c r="AF90" i="9" s="1"/>
  <c r="X92" i="8"/>
  <c r="AF91" i="9" s="1"/>
  <c r="X93" i="8"/>
  <c r="AF92" i="9" s="1"/>
  <c r="X94" i="8"/>
  <c r="AF93" i="9" s="1"/>
  <c r="X95" i="8"/>
  <c r="AF94" i="9" s="1"/>
  <c r="AH94" i="9" s="1"/>
  <c r="X96" i="8"/>
  <c r="AF95" i="9" s="1"/>
  <c r="X97" i="8"/>
  <c r="AF96" i="9" s="1"/>
  <c r="X98" i="8"/>
  <c r="AF97" i="9" s="1"/>
  <c r="AH97" i="9" s="1"/>
  <c r="X99" i="8"/>
  <c r="AF98" i="9" s="1"/>
  <c r="AH98" i="9" s="1"/>
  <c r="X100" i="8"/>
  <c r="AF99" i="9" s="1"/>
  <c r="AH99" i="9" s="1"/>
  <c r="X101" i="8"/>
  <c r="AF100" i="9" s="1"/>
  <c r="AH100" i="9" s="1"/>
  <c r="X102" i="8"/>
  <c r="AF101" i="9" s="1"/>
  <c r="AH101" i="9" s="1"/>
  <c r="X103" i="8"/>
  <c r="AF102" i="9" s="1"/>
  <c r="AH102" i="9" s="1"/>
  <c r="X104" i="8"/>
  <c r="AF103" i="9" s="1"/>
  <c r="AH103" i="9" s="1"/>
  <c r="X105" i="8"/>
  <c r="AF104" i="9" s="1"/>
  <c r="AH104" i="9" s="1"/>
  <c r="X106" i="8"/>
  <c r="X107" i="8"/>
  <c r="X108" i="8"/>
  <c r="X109" i="8"/>
  <c r="X110" i="8"/>
  <c r="X111" i="8"/>
  <c r="X112" i="8"/>
  <c r="X113" i="8"/>
  <c r="X114" i="8"/>
  <c r="X115" i="8"/>
  <c r="X116" i="8"/>
  <c r="X117" i="8"/>
  <c r="W5" i="8"/>
  <c r="W6" i="8"/>
  <c r="AA5" i="9" s="1"/>
  <c r="W7" i="8"/>
  <c r="AC6" i="9" s="1"/>
  <c r="W8" i="8"/>
  <c r="W9" i="8"/>
  <c r="W10" i="8"/>
  <c r="AA9" i="9" s="1"/>
  <c r="W11" i="8"/>
  <c r="AA10" i="9" s="1"/>
  <c r="W12" i="8"/>
  <c r="AA11" i="9" s="1"/>
  <c r="W13" i="8"/>
  <c r="AA12" i="9" s="1"/>
  <c r="W14" i="8"/>
  <c r="AA13" i="9" s="1"/>
  <c r="W15" i="8"/>
  <c r="AA14" i="9" s="1"/>
  <c r="AC14" i="9" s="1"/>
  <c r="W16" i="8"/>
  <c r="AA15" i="9" s="1"/>
  <c r="W17" i="8"/>
  <c r="AA16" i="9" s="1"/>
  <c r="W18" i="8"/>
  <c r="AA17" i="9" s="1"/>
  <c r="W19" i="8"/>
  <c r="AA18" i="9" s="1"/>
  <c r="W20" i="8"/>
  <c r="AA19" i="9" s="1"/>
  <c r="W21" i="8"/>
  <c r="AA20" i="9" s="1"/>
  <c r="W22" i="8"/>
  <c r="AA21" i="9" s="1"/>
  <c r="W23" i="8"/>
  <c r="AA22" i="9" s="1"/>
  <c r="AC22" i="9" s="1"/>
  <c r="W24" i="8"/>
  <c r="AA23" i="9" s="1"/>
  <c r="W25" i="8"/>
  <c r="AA24" i="9" s="1"/>
  <c r="W26" i="8"/>
  <c r="AA25" i="9" s="1"/>
  <c r="W27" i="8"/>
  <c r="AA26" i="9" s="1"/>
  <c r="W28" i="8"/>
  <c r="AA27" i="9" s="1"/>
  <c r="W29" i="8"/>
  <c r="AA28" i="9" s="1"/>
  <c r="W30" i="8"/>
  <c r="AA29" i="9" s="1"/>
  <c r="W31" i="8"/>
  <c r="AA30" i="9" s="1"/>
  <c r="AC30" i="9" s="1"/>
  <c r="W32" i="8"/>
  <c r="AA31" i="9" s="1"/>
  <c r="W33" i="8"/>
  <c r="AA32" i="9" s="1"/>
  <c r="W34" i="8"/>
  <c r="AA33" i="9" s="1"/>
  <c r="W35" i="8"/>
  <c r="AA34" i="9" s="1"/>
  <c r="W36" i="8"/>
  <c r="AA35" i="9" s="1"/>
  <c r="W37" i="8"/>
  <c r="AA36" i="9" s="1"/>
  <c r="W38" i="8"/>
  <c r="AA37" i="9" s="1"/>
  <c r="W39" i="8"/>
  <c r="AA38" i="9" s="1"/>
  <c r="AC38" i="9" s="1"/>
  <c r="W40" i="8"/>
  <c r="AA39" i="9" s="1"/>
  <c r="W41" i="8"/>
  <c r="AA40" i="9" s="1"/>
  <c r="W42" i="8"/>
  <c r="AA41" i="9" s="1"/>
  <c r="W43" i="8"/>
  <c r="AA42" i="9" s="1"/>
  <c r="W44" i="8"/>
  <c r="AA43" i="9" s="1"/>
  <c r="W45" i="8"/>
  <c r="AA44" i="9" s="1"/>
  <c r="W46" i="8"/>
  <c r="AA45" i="9" s="1"/>
  <c r="W47" i="8"/>
  <c r="AA46" i="9" s="1"/>
  <c r="AC46" i="9" s="1"/>
  <c r="W48" i="8"/>
  <c r="AA47" i="9" s="1"/>
  <c r="W49" i="8"/>
  <c r="AA48" i="9" s="1"/>
  <c r="W50" i="8"/>
  <c r="AA49" i="9" s="1"/>
  <c r="W51" i="8"/>
  <c r="AA50" i="9" s="1"/>
  <c r="W52" i="8"/>
  <c r="AA51" i="9" s="1"/>
  <c r="W53" i="8"/>
  <c r="AA52" i="9" s="1"/>
  <c r="W54" i="8"/>
  <c r="AA53" i="9" s="1"/>
  <c r="W55" i="8"/>
  <c r="AA54" i="9" s="1"/>
  <c r="AC54" i="9" s="1"/>
  <c r="W56" i="8"/>
  <c r="AA55" i="9" s="1"/>
  <c r="W57" i="8"/>
  <c r="AA56" i="9" s="1"/>
  <c r="W58" i="8"/>
  <c r="AA57" i="9" s="1"/>
  <c r="W59" i="8"/>
  <c r="AA58" i="9" s="1"/>
  <c r="W60" i="8"/>
  <c r="AA59" i="9" s="1"/>
  <c r="W61" i="8"/>
  <c r="AA60" i="9" s="1"/>
  <c r="W62" i="8"/>
  <c r="AA61" i="9" s="1"/>
  <c r="W63" i="8"/>
  <c r="AA62" i="9" s="1"/>
  <c r="AC62" i="9" s="1"/>
  <c r="W64" i="8"/>
  <c r="AA63" i="9" s="1"/>
  <c r="W65" i="8"/>
  <c r="AA64" i="9" s="1"/>
  <c r="W66" i="8"/>
  <c r="AA65" i="9" s="1"/>
  <c r="W67" i="8"/>
  <c r="AA66" i="9" s="1"/>
  <c r="W68" i="8"/>
  <c r="AA67" i="9" s="1"/>
  <c r="W69" i="8"/>
  <c r="AA68" i="9" s="1"/>
  <c r="W70" i="8"/>
  <c r="AA69" i="9" s="1"/>
  <c r="W71" i="8"/>
  <c r="AA70" i="9" s="1"/>
  <c r="AC70" i="9" s="1"/>
  <c r="W72" i="8"/>
  <c r="AA71" i="9" s="1"/>
  <c r="W73" i="8"/>
  <c r="AA72" i="9" s="1"/>
  <c r="W74" i="8"/>
  <c r="AA73" i="9" s="1"/>
  <c r="W75" i="8"/>
  <c r="AA74" i="9" s="1"/>
  <c r="W76" i="8"/>
  <c r="AA75" i="9" s="1"/>
  <c r="W77" i="8"/>
  <c r="AA76" i="9" s="1"/>
  <c r="W78" i="8"/>
  <c r="AA77" i="9" s="1"/>
  <c r="W79" i="8"/>
  <c r="AA78" i="9" s="1"/>
  <c r="AC78" i="9" s="1"/>
  <c r="W80" i="8"/>
  <c r="AA79" i="9" s="1"/>
  <c r="W81" i="8"/>
  <c r="AA80" i="9" s="1"/>
  <c r="W82" i="8"/>
  <c r="AA81" i="9" s="1"/>
  <c r="W83" i="8"/>
  <c r="AA82" i="9" s="1"/>
  <c r="W84" i="8"/>
  <c r="AA83" i="9" s="1"/>
  <c r="W85" i="8"/>
  <c r="AA84" i="9" s="1"/>
  <c r="W86" i="8"/>
  <c r="AA85" i="9" s="1"/>
  <c r="W87" i="8"/>
  <c r="AA86" i="9" s="1"/>
  <c r="AC86" i="9" s="1"/>
  <c r="W88" i="8"/>
  <c r="AA87" i="9" s="1"/>
  <c r="W89" i="8"/>
  <c r="AA88" i="9" s="1"/>
  <c r="W90" i="8"/>
  <c r="AA89" i="9" s="1"/>
  <c r="W91" i="8"/>
  <c r="AA90" i="9" s="1"/>
  <c r="W92" i="8"/>
  <c r="AA91" i="9" s="1"/>
  <c r="W93" i="8"/>
  <c r="AA92" i="9" s="1"/>
  <c r="W94" i="8"/>
  <c r="AA93" i="9" s="1"/>
  <c r="W95" i="8"/>
  <c r="AA94" i="9" s="1"/>
  <c r="AC94" i="9" s="1"/>
  <c r="W96" i="8"/>
  <c r="AA95" i="9" s="1"/>
  <c r="W97" i="8"/>
  <c r="AA96" i="9" s="1"/>
  <c r="W98" i="8"/>
  <c r="AA97" i="9" s="1"/>
  <c r="AC97" i="9" s="1"/>
  <c r="W99" i="8"/>
  <c r="AA98" i="9" s="1"/>
  <c r="AC98" i="9" s="1"/>
  <c r="W100" i="8"/>
  <c r="AA99" i="9" s="1"/>
  <c r="AC99" i="9" s="1"/>
  <c r="W101" i="8"/>
  <c r="AA100" i="9" s="1"/>
  <c r="AC100" i="9" s="1"/>
  <c r="W102" i="8"/>
  <c r="AA101" i="9" s="1"/>
  <c r="AC101" i="9" s="1"/>
  <c r="W103" i="8"/>
  <c r="AA102" i="9" s="1"/>
  <c r="AC102" i="9" s="1"/>
  <c r="W104" i="8"/>
  <c r="AA103" i="9" s="1"/>
  <c r="AC103" i="9" s="1"/>
  <c r="W105" i="8"/>
  <c r="AA104" i="9" s="1"/>
  <c r="AC104" i="9" s="1"/>
  <c r="W106" i="8"/>
  <c r="W107" i="8"/>
  <c r="W108" i="8"/>
  <c r="W109" i="8"/>
  <c r="W110" i="8"/>
  <c r="W111" i="8"/>
  <c r="W112" i="8"/>
  <c r="W113" i="8"/>
  <c r="W114" i="8"/>
  <c r="W115" i="8"/>
  <c r="W116" i="8"/>
  <c r="W117" i="8"/>
  <c r="V5" i="8"/>
  <c r="L4" i="9" s="1"/>
  <c r="V6" i="8"/>
  <c r="L5" i="9" s="1"/>
  <c r="N5" i="9" s="1"/>
  <c r="V7" i="8"/>
  <c r="L6" i="9" s="1"/>
  <c r="V8" i="8"/>
  <c r="L7" i="9" s="1"/>
  <c r="V9" i="8"/>
  <c r="L8" i="9" s="1"/>
  <c r="V10" i="8"/>
  <c r="L9" i="9" s="1"/>
  <c r="V11" i="8"/>
  <c r="L10" i="9" s="1"/>
  <c r="V12" i="8"/>
  <c r="L11" i="9" s="1"/>
  <c r="V13" i="8"/>
  <c r="L12" i="9" s="1"/>
  <c r="V14" i="8"/>
  <c r="L13" i="9" s="1"/>
  <c r="N13" i="9" s="1"/>
  <c r="V15" i="8"/>
  <c r="L14" i="9" s="1"/>
  <c r="V16" i="8"/>
  <c r="L15" i="9" s="1"/>
  <c r="V17" i="8"/>
  <c r="L16" i="9" s="1"/>
  <c r="V18" i="8"/>
  <c r="L17" i="9" s="1"/>
  <c r="V19" i="8"/>
  <c r="L18" i="9" s="1"/>
  <c r="V20" i="8"/>
  <c r="L19" i="9" s="1"/>
  <c r="V21" i="8"/>
  <c r="L20" i="9" s="1"/>
  <c r="V22" i="8"/>
  <c r="L21" i="9" s="1"/>
  <c r="N21" i="9" s="1"/>
  <c r="V23" i="8"/>
  <c r="L22" i="9" s="1"/>
  <c r="V24" i="8"/>
  <c r="L23" i="9" s="1"/>
  <c r="V25" i="8"/>
  <c r="L24" i="9" s="1"/>
  <c r="V26" i="8"/>
  <c r="L25" i="9" s="1"/>
  <c r="V27" i="8"/>
  <c r="L26" i="9" s="1"/>
  <c r="V28" i="8"/>
  <c r="L27" i="9" s="1"/>
  <c r="V29" i="8"/>
  <c r="L28" i="9" s="1"/>
  <c r="V30" i="8"/>
  <c r="L29" i="9" s="1"/>
  <c r="N29" i="9" s="1"/>
  <c r="V31" i="8"/>
  <c r="L30" i="9" s="1"/>
  <c r="V32" i="8"/>
  <c r="L31" i="9" s="1"/>
  <c r="V33" i="8"/>
  <c r="L32" i="9" s="1"/>
  <c r="V34" i="8"/>
  <c r="L33" i="9" s="1"/>
  <c r="V35" i="8"/>
  <c r="L34" i="9" s="1"/>
  <c r="V36" i="8"/>
  <c r="L35" i="9" s="1"/>
  <c r="V37" i="8"/>
  <c r="L36" i="9" s="1"/>
  <c r="V38" i="8"/>
  <c r="L37" i="9" s="1"/>
  <c r="N37" i="9" s="1"/>
  <c r="V39" i="8"/>
  <c r="L38" i="9" s="1"/>
  <c r="V40" i="8"/>
  <c r="L39" i="9" s="1"/>
  <c r="V41" i="8"/>
  <c r="L40" i="9" s="1"/>
  <c r="V42" i="8"/>
  <c r="L41" i="9" s="1"/>
  <c r="V43" i="8"/>
  <c r="L42" i="9" s="1"/>
  <c r="V44" i="8"/>
  <c r="L43" i="9" s="1"/>
  <c r="V45" i="8"/>
  <c r="L44" i="9" s="1"/>
  <c r="V46" i="8"/>
  <c r="L45" i="9" s="1"/>
  <c r="N45" i="9" s="1"/>
  <c r="V47" i="8"/>
  <c r="L46" i="9" s="1"/>
  <c r="V48" i="8"/>
  <c r="L47" i="9" s="1"/>
  <c r="V49" i="8"/>
  <c r="L48" i="9" s="1"/>
  <c r="V50" i="8"/>
  <c r="L49" i="9" s="1"/>
  <c r="V51" i="8"/>
  <c r="L50" i="9" s="1"/>
  <c r="V52" i="8"/>
  <c r="L51" i="9" s="1"/>
  <c r="V53" i="8"/>
  <c r="L52" i="9" s="1"/>
  <c r="V54" i="8"/>
  <c r="L53" i="9" s="1"/>
  <c r="N53" i="9" s="1"/>
  <c r="V55" i="8"/>
  <c r="L54" i="9" s="1"/>
  <c r="V56" i="8"/>
  <c r="L55" i="9" s="1"/>
  <c r="V57" i="8"/>
  <c r="L56" i="9" s="1"/>
  <c r="V58" i="8"/>
  <c r="L57" i="9" s="1"/>
  <c r="V59" i="8"/>
  <c r="L58" i="9" s="1"/>
  <c r="V60" i="8"/>
  <c r="L59" i="9" s="1"/>
  <c r="V61" i="8"/>
  <c r="L60" i="9" s="1"/>
  <c r="V62" i="8"/>
  <c r="L61" i="9" s="1"/>
  <c r="N61" i="9" s="1"/>
  <c r="V63" i="8"/>
  <c r="L62" i="9" s="1"/>
  <c r="V64" i="8"/>
  <c r="L63" i="9" s="1"/>
  <c r="V65" i="8"/>
  <c r="L64" i="9" s="1"/>
  <c r="V66" i="8"/>
  <c r="L65" i="9" s="1"/>
  <c r="V67" i="8"/>
  <c r="L66" i="9" s="1"/>
  <c r="V68" i="8"/>
  <c r="L67" i="9" s="1"/>
  <c r="V69" i="8"/>
  <c r="L68" i="9" s="1"/>
  <c r="V70" i="8"/>
  <c r="L69" i="9" s="1"/>
  <c r="N69" i="9" s="1"/>
  <c r="V71" i="8"/>
  <c r="L70" i="9" s="1"/>
  <c r="V72" i="8"/>
  <c r="L71" i="9" s="1"/>
  <c r="V73" i="8"/>
  <c r="L72" i="9" s="1"/>
  <c r="V74" i="8"/>
  <c r="L73" i="9" s="1"/>
  <c r="V75" i="8"/>
  <c r="L74" i="9" s="1"/>
  <c r="V76" i="8"/>
  <c r="L75" i="9" s="1"/>
  <c r="V77" i="8"/>
  <c r="L76" i="9" s="1"/>
  <c r="V78" i="8"/>
  <c r="L77" i="9" s="1"/>
  <c r="N77" i="9" s="1"/>
  <c r="V79" i="8"/>
  <c r="L78" i="9" s="1"/>
  <c r="V80" i="8"/>
  <c r="L79" i="9" s="1"/>
  <c r="V81" i="8"/>
  <c r="L80" i="9" s="1"/>
  <c r="V82" i="8"/>
  <c r="L81" i="9" s="1"/>
  <c r="V83" i="8"/>
  <c r="L82" i="9" s="1"/>
  <c r="V84" i="8"/>
  <c r="L83" i="9" s="1"/>
  <c r="V85" i="8"/>
  <c r="L84" i="9" s="1"/>
  <c r="V86" i="8"/>
  <c r="L85" i="9" s="1"/>
  <c r="N85" i="9" s="1"/>
  <c r="V87" i="8"/>
  <c r="L86" i="9" s="1"/>
  <c r="V88" i="8"/>
  <c r="L87" i="9" s="1"/>
  <c r="V89" i="8"/>
  <c r="L88" i="9" s="1"/>
  <c r="V90" i="8"/>
  <c r="L89" i="9" s="1"/>
  <c r="V91" i="8"/>
  <c r="L90" i="9" s="1"/>
  <c r="V92" i="8"/>
  <c r="L91" i="9" s="1"/>
  <c r="V93" i="8"/>
  <c r="L92" i="9" s="1"/>
  <c r="V94" i="8"/>
  <c r="L93" i="9" s="1"/>
  <c r="N93" i="9" s="1"/>
  <c r="V95" i="8"/>
  <c r="L94" i="9" s="1"/>
  <c r="V96" i="8"/>
  <c r="L95" i="9" s="1"/>
  <c r="V97" i="8"/>
  <c r="L96" i="9" s="1"/>
  <c r="V98" i="8"/>
  <c r="L97" i="9" s="1"/>
  <c r="N97" i="9" s="1"/>
  <c r="V99" i="8"/>
  <c r="L98" i="9" s="1"/>
  <c r="N98" i="9" s="1"/>
  <c r="V100" i="8"/>
  <c r="L99" i="9" s="1"/>
  <c r="N99" i="9" s="1"/>
  <c r="V101" i="8"/>
  <c r="L100" i="9" s="1"/>
  <c r="N100" i="9" s="1"/>
  <c r="V102" i="8"/>
  <c r="L101" i="9" s="1"/>
  <c r="N101" i="9" s="1"/>
  <c r="V103" i="8"/>
  <c r="L102" i="9" s="1"/>
  <c r="N102" i="9" s="1"/>
  <c r="V104" i="8"/>
  <c r="L103" i="9" s="1"/>
  <c r="N103" i="9" s="1"/>
  <c r="V105" i="8"/>
  <c r="L104" i="9" s="1"/>
  <c r="N104" i="9" s="1"/>
  <c r="V106" i="8"/>
  <c r="V107" i="8"/>
  <c r="V108" i="8"/>
  <c r="V109" i="8"/>
  <c r="V110" i="8"/>
  <c r="V111" i="8"/>
  <c r="V112" i="8"/>
  <c r="V113" i="8"/>
  <c r="V114" i="8"/>
  <c r="V115" i="8"/>
  <c r="V116" i="8"/>
  <c r="V117" i="8"/>
  <c r="U5" i="8"/>
  <c r="U6" i="8"/>
  <c r="G5" i="9" s="1"/>
  <c r="U7" i="8"/>
  <c r="G6" i="9" s="1"/>
  <c r="U8" i="8"/>
  <c r="G7" i="9" s="1"/>
  <c r="U9" i="8"/>
  <c r="G8" i="9" s="1"/>
  <c r="U10" i="8"/>
  <c r="G9" i="9" s="1"/>
  <c r="U11" i="8"/>
  <c r="G10" i="9" s="1"/>
  <c r="U12" i="8"/>
  <c r="G11" i="9" s="1"/>
  <c r="U13" i="8"/>
  <c r="G12" i="9" s="1"/>
  <c r="U14" i="8"/>
  <c r="G13" i="9" s="1"/>
  <c r="U15" i="8"/>
  <c r="G14" i="9" s="1"/>
  <c r="U16" i="8"/>
  <c r="G15" i="9" s="1"/>
  <c r="U17" i="8"/>
  <c r="G16" i="9" s="1"/>
  <c r="U18" i="8"/>
  <c r="G17" i="9" s="1"/>
  <c r="U19" i="8"/>
  <c r="G18" i="9" s="1"/>
  <c r="U20" i="8"/>
  <c r="G19" i="9" s="1"/>
  <c r="U21" i="8"/>
  <c r="G20" i="9" s="1"/>
  <c r="U22" i="8"/>
  <c r="G21" i="9" s="1"/>
  <c r="U23" i="8"/>
  <c r="G22" i="9" s="1"/>
  <c r="U24" i="8"/>
  <c r="G23" i="9" s="1"/>
  <c r="U25" i="8"/>
  <c r="G24" i="9" s="1"/>
  <c r="U26" i="8"/>
  <c r="G25" i="9" s="1"/>
  <c r="U27" i="8"/>
  <c r="G26" i="9" s="1"/>
  <c r="U28" i="8"/>
  <c r="G27" i="9" s="1"/>
  <c r="U29" i="8"/>
  <c r="G28" i="9" s="1"/>
  <c r="U30" i="8"/>
  <c r="G29" i="9" s="1"/>
  <c r="U31" i="8"/>
  <c r="G30" i="9" s="1"/>
  <c r="U32" i="8"/>
  <c r="G31" i="9" s="1"/>
  <c r="U33" i="8"/>
  <c r="G32" i="9" s="1"/>
  <c r="U34" i="8"/>
  <c r="G33" i="9" s="1"/>
  <c r="U35" i="8"/>
  <c r="G34" i="9" s="1"/>
  <c r="U36" i="8"/>
  <c r="G35" i="9" s="1"/>
  <c r="U37" i="8"/>
  <c r="G36" i="9" s="1"/>
  <c r="U38" i="8"/>
  <c r="G37" i="9" s="1"/>
  <c r="U39" i="8"/>
  <c r="G38" i="9" s="1"/>
  <c r="U40" i="8"/>
  <c r="G39" i="9" s="1"/>
  <c r="U41" i="8"/>
  <c r="G40" i="9" s="1"/>
  <c r="U42" i="8"/>
  <c r="G41" i="9" s="1"/>
  <c r="U43" i="8"/>
  <c r="G42" i="9" s="1"/>
  <c r="U44" i="8"/>
  <c r="G43" i="9" s="1"/>
  <c r="U45" i="8"/>
  <c r="G44" i="9" s="1"/>
  <c r="U46" i="8"/>
  <c r="G45" i="9" s="1"/>
  <c r="U47" i="8"/>
  <c r="G46" i="9" s="1"/>
  <c r="U48" i="8"/>
  <c r="G47" i="9" s="1"/>
  <c r="U49" i="8"/>
  <c r="G48" i="9" s="1"/>
  <c r="U50" i="8"/>
  <c r="G49" i="9" s="1"/>
  <c r="U51" i="8"/>
  <c r="G50" i="9" s="1"/>
  <c r="U52" i="8"/>
  <c r="G51" i="9" s="1"/>
  <c r="U53" i="8"/>
  <c r="G52" i="9" s="1"/>
  <c r="U54" i="8"/>
  <c r="G53" i="9" s="1"/>
  <c r="U55" i="8"/>
  <c r="G54" i="9" s="1"/>
  <c r="U56" i="8"/>
  <c r="G55" i="9" s="1"/>
  <c r="U57" i="8"/>
  <c r="G56" i="9" s="1"/>
  <c r="U58" i="8"/>
  <c r="G57" i="9" s="1"/>
  <c r="U59" i="8"/>
  <c r="G58" i="9" s="1"/>
  <c r="U60" i="8"/>
  <c r="G59" i="9" s="1"/>
  <c r="U61" i="8"/>
  <c r="G60" i="9" s="1"/>
  <c r="U62" i="8"/>
  <c r="G61" i="9" s="1"/>
  <c r="U63" i="8"/>
  <c r="G62" i="9" s="1"/>
  <c r="U64" i="8"/>
  <c r="G63" i="9" s="1"/>
  <c r="U65" i="8"/>
  <c r="G64" i="9" s="1"/>
  <c r="U66" i="8"/>
  <c r="G65" i="9" s="1"/>
  <c r="U67" i="8"/>
  <c r="G66" i="9" s="1"/>
  <c r="U68" i="8"/>
  <c r="G67" i="9" s="1"/>
  <c r="U69" i="8"/>
  <c r="G68" i="9" s="1"/>
  <c r="U70" i="8"/>
  <c r="G69" i="9" s="1"/>
  <c r="U71" i="8"/>
  <c r="G70" i="9" s="1"/>
  <c r="U72" i="8"/>
  <c r="G71" i="9" s="1"/>
  <c r="U73" i="8"/>
  <c r="G72" i="9" s="1"/>
  <c r="U74" i="8"/>
  <c r="G73" i="9" s="1"/>
  <c r="U75" i="8"/>
  <c r="G74" i="9" s="1"/>
  <c r="U76" i="8"/>
  <c r="G75" i="9" s="1"/>
  <c r="U77" i="8"/>
  <c r="G76" i="9" s="1"/>
  <c r="U78" i="8"/>
  <c r="G77" i="9" s="1"/>
  <c r="U79" i="8"/>
  <c r="G78" i="9" s="1"/>
  <c r="U80" i="8"/>
  <c r="G79" i="9" s="1"/>
  <c r="U81" i="8"/>
  <c r="G80" i="9" s="1"/>
  <c r="U82" i="8"/>
  <c r="G81" i="9" s="1"/>
  <c r="U83" i="8"/>
  <c r="G82" i="9" s="1"/>
  <c r="U84" i="8"/>
  <c r="G83" i="9" s="1"/>
  <c r="U85" i="8"/>
  <c r="G84" i="9" s="1"/>
  <c r="U86" i="8"/>
  <c r="G85" i="9" s="1"/>
  <c r="U87" i="8"/>
  <c r="G86" i="9" s="1"/>
  <c r="U88" i="8"/>
  <c r="G87" i="9" s="1"/>
  <c r="U89" i="8"/>
  <c r="G88" i="9" s="1"/>
  <c r="U90" i="8"/>
  <c r="G89" i="9" s="1"/>
  <c r="U91" i="8"/>
  <c r="G90" i="9" s="1"/>
  <c r="U92" i="8"/>
  <c r="G91" i="9" s="1"/>
  <c r="U93" i="8"/>
  <c r="G92" i="9" s="1"/>
  <c r="U94" i="8"/>
  <c r="G93" i="9" s="1"/>
  <c r="U95" i="8"/>
  <c r="G94" i="9" s="1"/>
  <c r="U96" i="8"/>
  <c r="G95" i="9" s="1"/>
  <c r="U97" i="8"/>
  <c r="G96" i="9" s="1"/>
  <c r="U98" i="8"/>
  <c r="G97" i="9" s="1"/>
  <c r="I97" i="9" s="1"/>
  <c r="U99" i="8"/>
  <c r="G98" i="9" s="1"/>
  <c r="I98" i="9" s="1"/>
  <c r="U100" i="8"/>
  <c r="G99" i="9" s="1"/>
  <c r="I99" i="9" s="1"/>
  <c r="U101" i="8"/>
  <c r="G100" i="9" s="1"/>
  <c r="I100" i="9" s="1"/>
  <c r="U102" i="8"/>
  <c r="G101" i="9" s="1"/>
  <c r="I101" i="9" s="1"/>
  <c r="U103" i="8"/>
  <c r="G102" i="9" s="1"/>
  <c r="I102" i="9" s="1"/>
  <c r="U104" i="8"/>
  <c r="G103" i="9" s="1"/>
  <c r="I103" i="9" s="1"/>
  <c r="U105" i="8"/>
  <c r="G104" i="9" s="1"/>
  <c r="I104" i="9" s="1"/>
  <c r="U106" i="8"/>
  <c r="U107" i="8"/>
  <c r="U108" i="8"/>
  <c r="U109" i="8"/>
  <c r="U110" i="8"/>
  <c r="U111" i="8"/>
  <c r="U112" i="8"/>
  <c r="U113" i="8"/>
  <c r="U114" i="8"/>
  <c r="U115" i="8"/>
  <c r="U116" i="8"/>
  <c r="U117" i="8"/>
  <c r="AB4" i="8"/>
  <c r="AA4" i="8"/>
  <c r="AU3" i="9" s="1"/>
  <c r="Z4" i="8"/>
  <c r="AP3" i="9" s="1"/>
  <c r="Y4" i="8"/>
  <c r="AK3" i="9" s="1"/>
  <c r="X4" i="8"/>
  <c r="AF3" i="9" s="1"/>
  <c r="W4" i="8"/>
  <c r="AA3" i="9" s="1"/>
  <c r="V4" i="8"/>
  <c r="L3" i="9" s="1"/>
  <c r="U4" i="8"/>
  <c r="T5" i="8"/>
  <c r="V4" i="9" s="1"/>
  <c r="T6" i="8"/>
  <c r="V5" i="9" s="1"/>
  <c r="T7" i="8"/>
  <c r="V6" i="9" s="1"/>
  <c r="X6" i="9" s="1"/>
  <c r="T8" i="8"/>
  <c r="V7" i="9" s="1"/>
  <c r="T9" i="8"/>
  <c r="V8" i="9" s="1"/>
  <c r="T10" i="8"/>
  <c r="V9" i="9" s="1"/>
  <c r="T11" i="8"/>
  <c r="V10" i="9" s="1"/>
  <c r="T12" i="8"/>
  <c r="V11" i="9" s="1"/>
  <c r="T13" i="8"/>
  <c r="V12" i="9" s="1"/>
  <c r="T14" i="8"/>
  <c r="V13" i="9" s="1"/>
  <c r="T15" i="8"/>
  <c r="V14" i="9" s="1"/>
  <c r="X14" i="9" s="1"/>
  <c r="T16" i="8"/>
  <c r="V15" i="9" s="1"/>
  <c r="T17" i="8"/>
  <c r="V16" i="9" s="1"/>
  <c r="T18" i="8"/>
  <c r="V17" i="9" s="1"/>
  <c r="T19" i="8"/>
  <c r="V18" i="9" s="1"/>
  <c r="T20" i="8"/>
  <c r="V19" i="9" s="1"/>
  <c r="T21" i="8"/>
  <c r="V20" i="9" s="1"/>
  <c r="T22" i="8"/>
  <c r="V21" i="9" s="1"/>
  <c r="T23" i="8"/>
  <c r="V22" i="9" s="1"/>
  <c r="X22" i="9" s="1"/>
  <c r="T24" i="8"/>
  <c r="V23" i="9" s="1"/>
  <c r="T25" i="8"/>
  <c r="V24" i="9" s="1"/>
  <c r="T26" i="8"/>
  <c r="V25" i="9" s="1"/>
  <c r="T27" i="8"/>
  <c r="V26" i="9" s="1"/>
  <c r="T28" i="8"/>
  <c r="V27" i="9" s="1"/>
  <c r="T29" i="8"/>
  <c r="V28" i="9" s="1"/>
  <c r="T30" i="8"/>
  <c r="V29" i="9" s="1"/>
  <c r="T31" i="8"/>
  <c r="V30" i="9" s="1"/>
  <c r="X30" i="9" s="1"/>
  <c r="T32" i="8"/>
  <c r="V31" i="9" s="1"/>
  <c r="T33" i="8"/>
  <c r="V32" i="9" s="1"/>
  <c r="T34" i="8"/>
  <c r="V33" i="9" s="1"/>
  <c r="T35" i="8"/>
  <c r="V34" i="9" s="1"/>
  <c r="T36" i="8"/>
  <c r="V35" i="9" s="1"/>
  <c r="T37" i="8"/>
  <c r="V36" i="9" s="1"/>
  <c r="T38" i="8"/>
  <c r="V37" i="9" s="1"/>
  <c r="T39" i="8"/>
  <c r="V38" i="9" s="1"/>
  <c r="X38" i="9" s="1"/>
  <c r="T40" i="8"/>
  <c r="V39" i="9" s="1"/>
  <c r="T41" i="8"/>
  <c r="V40" i="9" s="1"/>
  <c r="T42" i="8"/>
  <c r="V41" i="9" s="1"/>
  <c r="T43" i="8"/>
  <c r="V42" i="9" s="1"/>
  <c r="T44" i="8"/>
  <c r="V43" i="9" s="1"/>
  <c r="T45" i="8"/>
  <c r="V44" i="9" s="1"/>
  <c r="T46" i="8"/>
  <c r="V45" i="9" s="1"/>
  <c r="T47" i="8"/>
  <c r="V46" i="9" s="1"/>
  <c r="X46" i="9" s="1"/>
  <c r="T48" i="8"/>
  <c r="V47" i="9" s="1"/>
  <c r="T49" i="8"/>
  <c r="V48" i="9" s="1"/>
  <c r="T50" i="8"/>
  <c r="V49" i="9" s="1"/>
  <c r="T51" i="8"/>
  <c r="V50" i="9" s="1"/>
  <c r="T52" i="8"/>
  <c r="V51" i="9" s="1"/>
  <c r="T53" i="8"/>
  <c r="V52" i="9" s="1"/>
  <c r="T54" i="8"/>
  <c r="V53" i="9" s="1"/>
  <c r="T55" i="8"/>
  <c r="V54" i="9" s="1"/>
  <c r="X54" i="9" s="1"/>
  <c r="T56" i="8"/>
  <c r="V55" i="9" s="1"/>
  <c r="T57" i="8"/>
  <c r="V56" i="9" s="1"/>
  <c r="T58" i="8"/>
  <c r="V57" i="9" s="1"/>
  <c r="T59" i="8"/>
  <c r="V58" i="9" s="1"/>
  <c r="T60" i="8"/>
  <c r="V59" i="9" s="1"/>
  <c r="T61" i="8"/>
  <c r="V60" i="9" s="1"/>
  <c r="T62" i="8"/>
  <c r="V61" i="9" s="1"/>
  <c r="T63" i="8"/>
  <c r="V62" i="9" s="1"/>
  <c r="X62" i="9" s="1"/>
  <c r="T64" i="8"/>
  <c r="V63" i="9" s="1"/>
  <c r="T65" i="8"/>
  <c r="V64" i="9" s="1"/>
  <c r="T66" i="8"/>
  <c r="V65" i="9" s="1"/>
  <c r="T67" i="8"/>
  <c r="V66" i="9" s="1"/>
  <c r="T68" i="8"/>
  <c r="V67" i="9" s="1"/>
  <c r="T69" i="8"/>
  <c r="V68" i="9" s="1"/>
  <c r="T70" i="8"/>
  <c r="V69" i="9" s="1"/>
  <c r="T71" i="8"/>
  <c r="V70" i="9" s="1"/>
  <c r="X70" i="9" s="1"/>
  <c r="T72" i="8"/>
  <c r="V71" i="9" s="1"/>
  <c r="T73" i="8"/>
  <c r="V72" i="9" s="1"/>
  <c r="T74" i="8"/>
  <c r="V73" i="9" s="1"/>
  <c r="T75" i="8"/>
  <c r="V74" i="9" s="1"/>
  <c r="T76" i="8"/>
  <c r="T77" i="8"/>
  <c r="V76" i="9" s="1"/>
  <c r="T78" i="8"/>
  <c r="V77" i="9" s="1"/>
  <c r="T79" i="8"/>
  <c r="V78" i="9" s="1"/>
  <c r="X78" i="9" s="1"/>
  <c r="T80" i="8"/>
  <c r="V79" i="9" s="1"/>
  <c r="T81" i="8"/>
  <c r="V80" i="9" s="1"/>
  <c r="T82" i="8"/>
  <c r="V81" i="9" s="1"/>
  <c r="T83" i="8"/>
  <c r="V82" i="9" s="1"/>
  <c r="T84" i="8"/>
  <c r="V83" i="9" s="1"/>
  <c r="T85" i="8"/>
  <c r="V84" i="9" s="1"/>
  <c r="T86" i="8"/>
  <c r="V85" i="9" s="1"/>
  <c r="T87" i="8"/>
  <c r="V86" i="9" s="1"/>
  <c r="X86" i="9" s="1"/>
  <c r="T88" i="8"/>
  <c r="V87" i="9" s="1"/>
  <c r="T89" i="8"/>
  <c r="V88" i="9" s="1"/>
  <c r="T90" i="8"/>
  <c r="V89" i="9" s="1"/>
  <c r="T91" i="8"/>
  <c r="V90" i="9" s="1"/>
  <c r="T92" i="8"/>
  <c r="V91" i="9" s="1"/>
  <c r="T93" i="8"/>
  <c r="V92" i="9" s="1"/>
  <c r="T94" i="8"/>
  <c r="V93" i="9" s="1"/>
  <c r="T95" i="8"/>
  <c r="V94" i="9" s="1"/>
  <c r="X94" i="9" s="1"/>
  <c r="T96" i="8"/>
  <c r="V95" i="9" s="1"/>
  <c r="T97" i="8"/>
  <c r="V96" i="9" s="1"/>
  <c r="T98" i="8"/>
  <c r="V97" i="9" s="1"/>
  <c r="X97" i="9" s="1"/>
  <c r="T99" i="8"/>
  <c r="V98" i="9" s="1"/>
  <c r="X98" i="9" s="1"/>
  <c r="T100" i="8"/>
  <c r="V99" i="9" s="1"/>
  <c r="X99" i="9" s="1"/>
  <c r="T101" i="8"/>
  <c r="V100" i="9" s="1"/>
  <c r="X100" i="9" s="1"/>
  <c r="T102" i="8"/>
  <c r="V101" i="9" s="1"/>
  <c r="X101" i="9" s="1"/>
  <c r="T103" i="8"/>
  <c r="V102" i="9" s="1"/>
  <c r="X102" i="9" s="1"/>
  <c r="T104" i="8"/>
  <c r="V103" i="9" s="1"/>
  <c r="X103" i="9" s="1"/>
  <c r="T105" i="8"/>
  <c r="V104" i="9" s="1"/>
  <c r="X104" i="9" s="1"/>
  <c r="T106" i="8"/>
  <c r="T107" i="8"/>
  <c r="T108" i="8"/>
  <c r="T109" i="8"/>
  <c r="T110" i="8"/>
  <c r="T111" i="8"/>
  <c r="T112" i="8"/>
  <c r="T113" i="8"/>
  <c r="T114" i="8"/>
  <c r="T115" i="8"/>
  <c r="T116" i="8"/>
  <c r="T117" i="8"/>
  <c r="T4" i="8"/>
  <c r="V3" i="9" s="1"/>
  <c r="S5" i="8"/>
  <c r="Q4" i="9" s="1"/>
  <c r="S6" i="8"/>
  <c r="Q5" i="9" s="1"/>
  <c r="S7" i="8"/>
  <c r="Q6" i="9" s="1"/>
  <c r="S8" i="8"/>
  <c r="Q7" i="9" s="1"/>
  <c r="S9" i="8"/>
  <c r="Q8" i="9" s="1"/>
  <c r="S10" i="8"/>
  <c r="Q9" i="9" s="1"/>
  <c r="S11" i="8"/>
  <c r="Q10" i="9" s="1"/>
  <c r="S12" i="8"/>
  <c r="Q11" i="9" s="1"/>
  <c r="S13" i="8"/>
  <c r="Q12" i="9" s="1"/>
  <c r="S14" i="8"/>
  <c r="Q13" i="9" s="1"/>
  <c r="S15" i="8"/>
  <c r="Q14" i="9" s="1"/>
  <c r="S16" i="8"/>
  <c r="Q15" i="9" s="1"/>
  <c r="S17" i="8"/>
  <c r="Q16" i="9" s="1"/>
  <c r="S18" i="8"/>
  <c r="Q17" i="9" s="1"/>
  <c r="S19" i="8"/>
  <c r="Q18" i="9" s="1"/>
  <c r="S20" i="8"/>
  <c r="Q19" i="9" s="1"/>
  <c r="S21" i="8"/>
  <c r="Q20" i="9" s="1"/>
  <c r="S22" i="8"/>
  <c r="Q21" i="9" s="1"/>
  <c r="S23" i="8"/>
  <c r="Q22" i="9" s="1"/>
  <c r="S24" i="8"/>
  <c r="Q23" i="9" s="1"/>
  <c r="S25" i="8"/>
  <c r="Q24" i="9" s="1"/>
  <c r="S26" i="8"/>
  <c r="Q25" i="9" s="1"/>
  <c r="S27" i="8"/>
  <c r="Q26" i="9" s="1"/>
  <c r="S28" i="8"/>
  <c r="Q27" i="9" s="1"/>
  <c r="S29" i="8"/>
  <c r="Q28" i="9" s="1"/>
  <c r="S30" i="8"/>
  <c r="Q29" i="9" s="1"/>
  <c r="S31" i="8"/>
  <c r="Q30" i="9" s="1"/>
  <c r="S32" i="8"/>
  <c r="Q31" i="9" s="1"/>
  <c r="S33" i="8"/>
  <c r="Q32" i="9" s="1"/>
  <c r="S34" i="8"/>
  <c r="Q33" i="9" s="1"/>
  <c r="S35" i="8"/>
  <c r="Q34" i="9" s="1"/>
  <c r="S36" i="8"/>
  <c r="Q35" i="9" s="1"/>
  <c r="S37" i="8"/>
  <c r="Q36" i="9" s="1"/>
  <c r="S38" i="8"/>
  <c r="Q37" i="9" s="1"/>
  <c r="S39" i="8"/>
  <c r="Q38" i="9" s="1"/>
  <c r="S40" i="8"/>
  <c r="Q39" i="9" s="1"/>
  <c r="S41" i="8"/>
  <c r="Q40" i="9" s="1"/>
  <c r="S42" i="8"/>
  <c r="Q41" i="9" s="1"/>
  <c r="S43" i="8"/>
  <c r="Q42" i="9" s="1"/>
  <c r="S44" i="8"/>
  <c r="Q43" i="9" s="1"/>
  <c r="S45" i="8"/>
  <c r="Q44" i="9" s="1"/>
  <c r="S46" i="8"/>
  <c r="Q45" i="9" s="1"/>
  <c r="S47" i="8"/>
  <c r="Q46" i="9" s="1"/>
  <c r="S48" i="8"/>
  <c r="Q47" i="9" s="1"/>
  <c r="S49" i="8"/>
  <c r="Q48" i="9" s="1"/>
  <c r="S50" i="8"/>
  <c r="Q49" i="9" s="1"/>
  <c r="S51" i="8"/>
  <c r="Q50" i="9" s="1"/>
  <c r="S52" i="8"/>
  <c r="Q51" i="9" s="1"/>
  <c r="S53" i="8"/>
  <c r="Q52" i="9" s="1"/>
  <c r="S54" i="8"/>
  <c r="Q53" i="9" s="1"/>
  <c r="S55" i="8"/>
  <c r="Q54" i="9" s="1"/>
  <c r="S56" i="8"/>
  <c r="Q55" i="9" s="1"/>
  <c r="S57" i="8"/>
  <c r="Q56" i="9" s="1"/>
  <c r="S58" i="8"/>
  <c r="Q57" i="9" s="1"/>
  <c r="S59" i="8"/>
  <c r="Q58" i="9" s="1"/>
  <c r="S60" i="8"/>
  <c r="Q59" i="9" s="1"/>
  <c r="S61" i="8"/>
  <c r="Q60" i="9" s="1"/>
  <c r="S62" i="8"/>
  <c r="Q61" i="9" s="1"/>
  <c r="S63" i="8"/>
  <c r="Q62" i="9" s="1"/>
  <c r="S64" i="8"/>
  <c r="Q63" i="9" s="1"/>
  <c r="S65" i="8"/>
  <c r="Q64" i="9" s="1"/>
  <c r="S66" i="8"/>
  <c r="Q65" i="9" s="1"/>
  <c r="S67" i="8"/>
  <c r="Q66" i="9" s="1"/>
  <c r="S68" i="8"/>
  <c r="Q67" i="9" s="1"/>
  <c r="S69" i="8"/>
  <c r="Q68" i="9" s="1"/>
  <c r="S70" i="8"/>
  <c r="Q69" i="9" s="1"/>
  <c r="S71" i="8"/>
  <c r="Q70" i="9" s="1"/>
  <c r="S72" i="8"/>
  <c r="Q71" i="9" s="1"/>
  <c r="S73" i="8"/>
  <c r="Q72" i="9" s="1"/>
  <c r="S74" i="8"/>
  <c r="Q73" i="9" s="1"/>
  <c r="S75" i="8"/>
  <c r="Q74" i="9" s="1"/>
  <c r="S76" i="8"/>
  <c r="Q75" i="9" s="1"/>
  <c r="S77" i="8"/>
  <c r="Q76" i="9" s="1"/>
  <c r="S78" i="8"/>
  <c r="Q77" i="9" s="1"/>
  <c r="S79" i="8"/>
  <c r="Q78" i="9" s="1"/>
  <c r="S80" i="8"/>
  <c r="Q79" i="9" s="1"/>
  <c r="S81" i="8"/>
  <c r="Q80" i="9" s="1"/>
  <c r="S82" i="8"/>
  <c r="Q81" i="9" s="1"/>
  <c r="S83" i="8"/>
  <c r="Q82" i="9" s="1"/>
  <c r="S84" i="8"/>
  <c r="Q83" i="9" s="1"/>
  <c r="S85" i="8"/>
  <c r="Q84" i="9" s="1"/>
  <c r="S86" i="8"/>
  <c r="Q85" i="9" s="1"/>
  <c r="S87" i="8"/>
  <c r="Q86" i="9" s="1"/>
  <c r="S88" i="8"/>
  <c r="Q87" i="9" s="1"/>
  <c r="S89" i="8"/>
  <c r="Q88" i="9" s="1"/>
  <c r="S90" i="8"/>
  <c r="Q89" i="9" s="1"/>
  <c r="S91" i="8"/>
  <c r="Q90" i="9" s="1"/>
  <c r="S92" i="8"/>
  <c r="Q91" i="9" s="1"/>
  <c r="S93" i="8"/>
  <c r="Q92" i="9" s="1"/>
  <c r="S94" i="8"/>
  <c r="Q93" i="9" s="1"/>
  <c r="S95" i="8"/>
  <c r="Q94" i="9" s="1"/>
  <c r="S96" i="8"/>
  <c r="Q95" i="9" s="1"/>
  <c r="S97" i="8"/>
  <c r="Q96" i="9" s="1"/>
  <c r="S98" i="8"/>
  <c r="Q97" i="9" s="1"/>
  <c r="S97" i="9" s="1"/>
  <c r="S99" i="8"/>
  <c r="Q98" i="9" s="1"/>
  <c r="S98" i="9" s="1"/>
  <c r="S100" i="8"/>
  <c r="Q99" i="9" s="1"/>
  <c r="S99" i="9" s="1"/>
  <c r="S101" i="8"/>
  <c r="Q100" i="9" s="1"/>
  <c r="S100" i="9" s="1"/>
  <c r="S102" i="8"/>
  <c r="Q101" i="9" s="1"/>
  <c r="S101" i="9" s="1"/>
  <c r="S103" i="8"/>
  <c r="Q102" i="9" s="1"/>
  <c r="S102" i="9" s="1"/>
  <c r="S104" i="8"/>
  <c r="Q103" i="9" s="1"/>
  <c r="S103" i="9" s="1"/>
  <c r="S105" i="8"/>
  <c r="Q104" i="9" s="1"/>
  <c r="S104" i="9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4" i="8"/>
  <c r="M6" i="3"/>
  <c r="AU90" i="9" l="1"/>
  <c r="AW90" i="9" s="1"/>
  <c r="AU17" i="9"/>
  <c r="AW17" i="9" s="1"/>
  <c r="AU74" i="9"/>
  <c r="AW74" i="9" s="1"/>
  <c r="AU97" i="9"/>
  <c r="AW97" i="9" s="1"/>
  <c r="AU85" i="9"/>
  <c r="AW85" i="9" s="1"/>
  <c r="AU73" i="9"/>
  <c r="AW73" i="9" s="1"/>
  <c r="AU61" i="9"/>
  <c r="AW61" i="9" s="1"/>
  <c r="AU49" i="9"/>
  <c r="AW49" i="9" s="1"/>
  <c r="AU37" i="9"/>
  <c r="AW37" i="9" s="1"/>
  <c r="AU25" i="9"/>
  <c r="AW25" i="9" s="1"/>
  <c r="AU13" i="9"/>
  <c r="AW13" i="9" s="1"/>
  <c r="AU96" i="9"/>
  <c r="AW96" i="9" s="1"/>
  <c r="AU84" i="9"/>
  <c r="AW84" i="9" s="1"/>
  <c r="AU72" i="9"/>
  <c r="AW72" i="9" s="1"/>
  <c r="AU60" i="9"/>
  <c r="AW60" i="9" s="1"/>
  <c r="AU48" i="9"/>
  <c r="AW48" i="9" s="1"/>
  <c r="AU36" i="9"/>
  <c r="AW36" i="9" s="1"/>
  <c r="AU24" i="9"/>
  <c r="AW24" i="9" s="1"/>
  <c r="AU12" i="9"/>
  <c r="AW12" i="9" s="1"/>
  <c r="AU78" i="9"/>
  <c r="AW78" i="9" s="1"/>
  <c r="AU54" i="9"/>
  <c r="AW54" i="9" s="1"/>
  <c r="AU18" i="9"/>
  <c r="AW18" i="9" s="1"/>
  <c r="AU101" i="9"/>
  <c r="AW101" i="9" s="1"/>
  <c r="AU77" i="9"/>
  <c r="AW77" i="9" s="1"/>
  <c r="AU65" i="9"/>
  <c r="AW65" i="9" s="1"/>
  <c r="AU29" i="9"/>
  <c r="AW29" i="9" s="1"/>
  <c r="AU98" i="9"/>
  <c r="AW98" i="9" s="1"/>
  <c r="AU62" i="9"/>
  <c r="AW62" i="9" s="1"/>
  <c r="AU38" i="9"/>
  <c r="AW38" i="9" s="1"/>
  <c r="AU14" i="9"/>
  <c r="AW14" i="9" s="1"/>
  <c r="AU95" i="9"/>
  <c r="AW95" i="9" s="1"/>
  <c r="AU83" i="9"/>
  <c r="AW83" i="9" s="1"/>
  <c r="AU71" i="9"/>
  <c r="AW71" i="9" s="1"/>
  <c r="AU59" i="9"/>
  <c r="AW59" i="9" s="1"/>
  <c r="AU47" i="9"/>
  <c r="AW47" i="9" s="1"/>
  <c r="AU35" i="9"/>
  <c r="AW35" i="9" s="1"/>
  <c r="AU23" i="9"/>
  <c r="AW23" i="9" s="1"/>
  <c r="AU11" i="9"/>
  <c r="AW11" i="9" s="1"/>
  <c r="Q3" i="9"/>
  <c r="S3" i="9" s="1"/>
  <c r="AU94" i="9"/>
  <c r="AW94" i="9" s="1"/>
  <c r="AU82" i="9"/>
  <c r="AW82" i="9" s="1"/>
  <c r="AU70" i="9"/>
  <c r="AW70" i="9" s="1"/>
  <c r="AU58" i="9"/>
  <c r="AW58" i="9" s="1"/>
  <c r="AU46" i="9"/>
  <c r="AW46" i="9" s="1"/>
  <c r="AU34" i="9"/>
  <c r="AW34" i="9" s="1"/>
  <c r="AU22" i="9"/>
  <c r="AW22" i="9" s="1"/>
  <c r="AU10" i="9"/>
  <c r="AW10" i="9" s="1"/>
  <c r="AU93" i="9"/>
  <c r="AW93" i="9" s="1"/>
  <c r="AU81" i="9"/>
  <c r="AW81" i="9" s="1"/>
  <c r="AU69" i="9"/>
  <c r="AW69" i="9" s="1"/>
  <c r="AU57" i="9"/>
  <c r="AW57" i="9" s="1"/>
  <c r="AU45" i="9"/>
  <c r="AW45" i="9" s="1"/>
  <c r="AU33" i="9"/>
  <c r="AW33" i="9" s="1"/>
  <c r="AU21" i="9"/>
  <c r="AW21" i="9" s="1"/>
  <c r="AU9" i="9"/>
  <c r="AW9" i="9" s="1"/>
  <c r="AU102" i="9"/>
  <c r="AW102" i="9" s="1"/>
  <c r="AU66" i="9"/>
  <c r="AW66" i="9" s="1"/>
  <c r="AU42" i="9"/>
  <c r="AW42" i="9" s="1"/>
  <c r="AU30" i="9"/>
  <c r="AW30" i="9" s="1"/>
  <c r="AU89" i="9"/>
  <c r="AW89" i="9" s="1"/>
  <c r="AU53" i="9"/>
  <c r="AW53" i="9" s="1"/>
  <c r="AU41" i="9"/>
  <c r="AW41" i="9" s="1"/>
  <c r="AU5" i="9"/>
  <c r="AW5" i="9" s="1"/>
  <c r="AU86" i="9"/>
  <c r="AW86" i="9" s="1"/>
  <c r="AU50" i="9"/>
  <c r="AW50" i="9" s="1"/>
  <c r="AU26" i="9"/>
  <c r="AW26" i="9" s="1"/>
  <c r="AU104" i="9"/>
  <c r="AW104" i="9" s="1"/>
  <c r="AU92" i="9"/>
  <c r="AW92" i="9" s="1"/>
  <c r="AU80" i="9"/>
  <c r="AW80" i="9" s="1"/>
  <c r="AU68" i="9"/>
  <c r="AW68" i="9" s="1"/>
  <c r="AU56" i="9"/>
  <c r="AW56" i="9" s="1"/>
  <c r="AU44" i="9"/>
  <c r="AW44" i="9" s="1"/>
  <c r="AU32" i="9"/>
  <c r="AW32" i="9" s="1"/>
  <c r="AU20" i="9"/>
  <c r="AW20" i="9" s="1"/>
  <c r="AU103" i="9"/>
  <c r="AW103" i="9" s="1"/>
  <c r="AU91" i="9"/>
  <c r="AW91" i="9" s="1"/>
  <c r="AU79" i="9"/>
  <c r="AW79" i="9" s="1"/>
  <c r="AU67" i="9"/>
  <c r="AW67" i="9" s="1"/>
  <c r="AU55" i="9"/>
  <c r="AW55" i="9" s="1"/>
  <c r="AU43" i="9"/>
  <c r="AW43" i="9" s="1"/>
  <c r="AU31" i="9"/>
  <c r="AW31" i="9" s="1"/>
  <c r="AU19" i="9"/>
  <c r="AW19" i="9" s="1"/>
  <c r="AU100" i="9"/>
  <c r="AW100" i="9" s="1"/>
  <c r="AU88" i="9"/>
  <c r="AW88" i="9" s="1"/>
  <c r="AU76" i="9"/>
  <c r="AW76" i="9" s="1"/>
  <c r="AU64" i="9"/>
  <c r="AW64" i="9" s="1"/>
  <c r="AU52" i="9"/>
  <c r="AW52" i="9" s="1"/>
  <c r="AU40" i="9"/>
  <c r="AW40" i="9" s="1"/>
  <c r="AU28" i="9"/>
  <c r="AW28" i="9" s="1"/>
  <c r="AU16" i="9"/>
  <c r="AW16" i="9" s="1"/>
  <c r="AU99" i="9"/>
  <c r="AW99" i="9" s="1"/>
  <c r="AU87" i="9"/>
  <c r="AW87" i="9" s="1"/>
  <c r="AU75" i="9"/>
  <c r="AW75" i="9" s="1"/>
  <c r="AU63" i="9"/>
  <c r="AW63" i="9" s="1"/>
  <c r="AU51" i="9"/>
  <c r="AW51" i="9" s="1"/>
  <c r="AU39" i="9"/>
  <c r="AW39" i="9" s="1"/>
  <c r="AU27" i="9"/>
  <c r="AW27" i="9" s="1"/>
  <c r="AU15" i="9"/>
  <c r="AW15" i="9" s="1"/>
  <c r="AH95" i="9"/>
  <c r="AH87" i="9"/>
  <c r="AH79" i="9"/>
  <c r="AH71" i="9"/>
  <c r="AH63" i="9"/>
  <c r="AH55" i="9"/>
  <c r="AH47" i="9"/>
  <c r="AH39" i="9"/>
  <c r="AH31" i="9"/>
  <c r="AH23" i="9"/>
  <c r="AH15" i="9"/>
  <c r="AH7" i="9"/>
  <c r="S83" i="9"/>
  <c r="S67" i="9"/>
  <c r="S43" i="9"/>
  <c r="S27" i="9"/>
  <c r="S19" i="9"/>
  <c r="X93" i="9"/>
  <c r="X77" i="9"/>
  <c r="X69" i="9"/>
  <c r="X61" i="9"/>
  <c r="X53" i="9"/>
  <c r="X45" i="9"/>
  <c r="X37" i="9"/>
  <c r="X29" i="9"/>
  <c r="X21" i="9"/>
  <c r="X13" i="9"/>
  <c r="X5" i="9"/>
  <c r="I94" i="9"/>
  <c r="I86" i="9"/>
  <c r="I78" i="9"/>
  <c r="I70" i="9"/>
  <c r="I62" i="9"/>
  <c r="I54" i="9"/>
  <c r="I46" i="9"/>
  <c r="I38" i="9"/>
  <c r="I30" i="9"/>
  <c r="I22" i="9"/>
  <c r="I14" i="9"/>
  <c r="I6" i="9"/>
  <c r="AH89" i="9"/>
  <c r="AH81" i="9"/>
  <c r="AH73" i="9"/>
  <c r="AH65" i="9"/>
  <c r="AH57" i="9"/>
  <c r="AH49" i="9"/>
  <c r="AH41" i="9"/>
  <c r="AH33" i="9"/>
  <c r="AH25" i="9"/>
  <c r="AH17" i="9"/>
  <c r="AH9" i="9"/>
  <c r="AM90" i="9"/>
  <c r="AM82" i="9"/>
  <c r="AM74" i="9"/>
  <c r="AM66" i="9"/>
  <c r="AM58" i="9"/>
  <c r="AM50" i="9"/>
  <c r="AM42" i="9"/>
  <c r="AM34" i="9"/>
  <c r="AM26" i="9"/>
  <c r="AM18" i="9"/>
  <c r="AM10" i="9"/>
  <c r="S91" i="9"/>
  <c r="S75" i="9"/>
  <c r="S59" i="9"/>
  <c r="S51" i="9"/>
  <c r="S35" i="9"/>
  <c r="S11" i="9"/>
  <c r="X85" i="9"/>
  <c r="I93" i="9"/>
  <c r="I85" i="9"/>
  <c r="I77" i="9"/>
  <c r="I69" i="9"/>
  <c r="I61" i="9"/>
  <c r="I53" i="9"/>
  <c r="I45" i="9"/>
  <c r="I37" i="9"/>
  <c r="I29" i="9"/>
  <c r="I21" i="9"/>
  <c r="I13" i="9"/>
  <c r="I5" i="9"/>
  <c r="AC95" i="9"/>
  <c r="AC87" i="9"/>
  <c r="AC79" i="9"/>
  <c r="AC71" i="9"/>
  <c r="AC63" i="9"/>
  <c r="AC55" i="9"/>
  <c r="AC47" i="9"/>
  <c r="AC39" i="9"/>
  <c r="AC31" i="9"/>
  <c r="AC23" i="9"/>
  <c r="AC15" i="9"/>
  <c r="AC7" i="9"/>
  <c r="AM89" i="9"/>
  <c r="AM81" i="9"/>
  <c r="AM73" i="9"/>
  <c r="AM65" i="9"/>
  <c r="AM57" i="9"/>
  <c r="AM49" i="9"/>
  <c r="AM41" i="9"/>
  <c r="AM33" i="9"/>
  <c r="AM25" i="9"/>
  <c r="AM17" i="9"/>
  <c r="AM9" i="9"/>
  <c r="AH96" i="9"/>
  <c r="AH88" i="9"/>
  <c r="AH80" i="9"/>
  <c r="AH72" i="9"/>
  <c r="AH64" i="9"/>
  <c r="AH56" i="9"/>
  <c r="AH48" i="9"/>
  <c r="AH40" i="9"/>
  <c r="AH32" i="9"/>
  <c r="AH24" i="9"/>
  <c r="AH16" i="9"/>
  <c r="AH8" i="9"/>
  <c r="N94" i="9"/>
  <c r="N86" i="9"/>
  <c r="N78" i="9"/>
  <c r="N70" i="9"/>
  <c r="N62" i="9"/>
  <c r="N54" i="9"/>
  <c r="N46" i="9"/>
  <c r="N38" i="9"/>
  <c r="N30" i="9"/>
  <c r="N22" i="9"/>
  <c r="N14" i="9"/>
  <c r="I92" i="9"/>
  <c r="I84" i="9"/>
  <c r="I28" i="9"/>
  <c r="I76" i="9"/>
  <c r="I60" i="9"/>
  <c r="I44" i="9"/>
  <c r="I20" i="9"/>
  <c r="N66" i="9"/>
  <c r="AR14" i="9"/>
  <c r="I68" i="9"/>
  <c r="I52" i="9"/>
  <c r="I36" i="9"/>
  <c r="I12" i="9"/>
  <c r="N90" i="9"/>
  <c r="N82" i="9"/>
  <c r="N74" i="9"/>
  <c r="N58" i="9"/>
  <c r="N50" i="9"/>
  <c r="N42" i="9"/>
  <c r="N34" i="9"/>
  <c r="N26" i="9"/>
  <c r="N18" i="9"/>
  <c r="N10" i="9"/>
  <c r="AR94" i="9"/>
  <c r="AR86" i="9"/>
  <c r="AR78" i="9"/>
  <c r="AR70" i="9"/>
  <c r="AR62" i="9"/>
  <c r="AR54" i="9"/>
  <c r="AR46" i="9"/>
  <c r="AR38" i="9"/>
  <c r="AR30" i="9"/>
  <c r="AR22" i="9"/>
  <c r="AR6" i="9"/>
  <c r="AM92" i="9"/>
  <c r="AM84" i="9"/>
  <c r="AM76" i="9"/>
  <c r="AM68" i="9"/>
  <c r="AM60" i="9"/>
  <c r="AM52" i="9"/>
  <c r="AM44" i="9"/>
  <c r="AM36" i="9"/>
  <c r="AM28" i="9"/>
  <c r="AM20" i="9"/>
  <c r="AM12" i="9"/>
  <c r="AM4" i="9"/>
  <c r="AR95" i="9"/>
  <c r="AR79" i="9"/>
  <c r="AR63" i="9"/>
  <c r="AR55" i="9"/>
  <c r="AR39" i="9"/>
  <c r="AR23" i="9"/>
  <c r="AR7" i="9"/>
  <c r="AR87" i="9"/>
  <c r="AR71" i="9"/>
  <c r="AR47" i="9"/>
  <c r="AR31" i="9"/>
  <c r="AR15" i="9"/>
  <c r="I83" i="9"/>
  <c r="N3" i="9"/>
  <c r="I91" i="9"/>
  <c r="I67" i="9"/>
  <c r="I51" i="9"/>
  <c r="I19" i="9"/>
  <c r="N84" i="9"/>
  <c r="N60" i="9"/>
  <c r="N28" i="9"/>
  <c r="AM79" i="9"/>
  <c r="AM55" i="9"/>
  <c r="AM39" i="9"/>
  <c r="AM15" i="9"/>
  <c r="X89" i="9"/>
  <c r="X25" i="9"/>
  <c r="I42" i="9"/>
  <c r="N35" i="9"/>
  <c r="AC60" i="9"/>
  <c r="AC28" i="9"/>
  <c r="AC4" i="9"/>
  <c r="AH93" i="9"/>
  <c r="AH85" i="9"/>
  <c r="AH77" i="9"/>
  <c r="AH61" i="9"/>
  <c r="AH53" i="9"/>
  <c r="AH29" i="9"/>
  <c r="AH21" i="9"/>
  <c r="AH13" i="9"/>
  <c r="AH5" i="9"/>
  <c r="I59" i="9"/>
  <c r="I35" i="9"/>
  <c r="N76" i="9"/>
  <c r="N36" i="9"/>
  <c r="N12" i="9"/>
  <c r="AM95" i="9"/>
  <c r="AM71" i="9"/>
  <c r="AM47" i="9"/>
  <c r="AM7" i="9"/>
  <c r="X73" i="9"/>
  <c r="X49" i="9"/>
  <c r="X17" i="9"/>
  <c r="I74" i="9"/>
  <c r="I50" i="9"/>
  <c r="I10" i="9"/>
  <c r="N75" i="9"/>
  <c r="N27" i="9"/>
  <c r="AH69" i="9"/>
  <c r="S78" i="9"/>
  <c r="S22" i="9"/>
  <c r="X64" i="9"/>
  <c r="X16" i="9"/>
  <c r="I73" i="9"/>
  <c r="I33" i="9"/>
  <c r="I9" i="9"/>
  <c r="AC91" i="9"/>
  <c r="AC83" i="9"/>
  <c r="AC75" i="9"/>
  <c r="AC67" i="9"/>
  <c r="AC59" i="9"/>
  <c r="AC51" i="9"/>
  <c r="AC43" i="9"/>
  <c r="AC35" i="9"/>
  <c r="AC27" i="9"/>
  <c r="AC19" i="9"/>
  <c r="AC11" i="9"/>
  <c r="AM93" i="9"/>
  <c r="AM85" i="9"/>
  <c r="AM77" i="9"/>
  <c r="AM69" i="9"/>
  <c r="AM61" i="9"/>
  <c r="AM53" i="9"/>
  <c r="AM45" i="9"/>
  <c r="AM37" i="9"/>
  <c r="AM29" i="9"/>
  <c r="AM21" i="9"/>
  <c r="AM13" i="9"/>
  <c r="AM5" i="9"/>
  <c r="I75" i="9"/>
  <c r="I43" i="9"/>
  <c r="I11" i="9"/>
  <c r="N68" i="9"/>
  <c r="N44" i="9"/>
  <c r="N20" i="9"/>
  <c r="AM87" i="9"/>
  <c r="AM63" i="9"/>
  <c r="AM23" i="9"/>
  <c r="X65" i="9"/>
  <c r="X41" i="9"/>
  <c r="X9" i="9"/>
  <c r="I82" i="9"/>
  <c r="I58" i="9"/>
  <c r="I18" i="9"/>
  <c r="N91" i="9"/>
  <c r="N67" i="9"/>
  <c r="N43" i="9"/>
  <c r="N11" i="9"/>
  <c r="AC92" i="9"/>
  <c r="AC76" i="9"/>
  <c r="AC52" i="9"/>
  <c r="AC20" i="9"/>
  <c r="AH45" i="9"/>
  <c r="S94" i="9"/>
  <c r="S70" i="9"/>
  <c r="S46" i="9"/>
  <c r="S30" i="9"/>
  <c r="S6" i="9"/>
  <c r="X88" i="9"/>
  <c r="X72" i="9"/>
  <c r="X48" i="9"/>
  <c r="X32" i="9"/>
  <c r="AH3" i="9"/>
  <c r="I89" i="9"/>
  <c r="I57" i="9"/>
  <c r="X79" i="9"/>
  <c r="X63" i="9"/>
  <c r="X47" i="9"/>
  <c r="X31" i="9"/>
  <c r="X15" i="9"/>
  <c r="I80" i="9"/>
  <c r="I48" i="9"/>
  <c r="I8" i="9"/>
  <c r="AH91" i="9"/>
  <c r="AH67" i="9"/>
  <c r="AH43" i="9"/>
  <c r="AH19" i="9"/>
  <c r="I27" i="9"/>
  <c r="N92" i="9"/>
  <c r="N52" i="9"/>
  <c r="N4" i="9"/>
  <c r="AM31" i="9"/>
  <c r="X81" i="9"/>
  <c r="X57" i="9"/>
  <c r="X33" i="9"/>
  <c r="AC3" i="9"/>
  <c r="I90" i="9"/>
  <c r="I66" i="9"/>
  <c r="I34" i="9"/>
  <c r="I26" i="9"/>
  <c r="N83" i="9"/>
  <c r="N59" i="9"/>
  <c r="N51" i="9"/>
  <c r="N19" i="9"/>
  <c r="AC84" i="9"/>
  <c r="AC68" i="9"/>
  <c r="AC44" i="9"/>
  <c r="AC36" i="9"/>
  <c r="AC12" i="9"/>
  <c r="AH37" i="9"/>
  <c r="S86" i="9"/>
  <c r="S62" i="9"/>
  <c r="S54" i="9"/>
  <c r="S38" i="9"/>
  <c r="S14" i="9"/>
  <c r="X96" i="9"/>
  <c r="X80" i="9"/>
  <c r="X56" i="9"/>
  <c r="X40" i="9"/>
  <c r="X24" i="9"/>
  <c r="X8" i="9"/>
  <c r="I81" i="9"/>
  <c r="I65" i="9"/>
  <c r="I49" i="9"/>
  <c r="I41" i="9"/>
  <c r="I17" i="9"/>
  <c r="X95" i="9"/>
  <c r="X87" i="9"/>
  <c r="X71" i="9"/>
  <c r="X55" i="9"/>
  <c r="X39" i="9"/>
  <c r="X23" i="9"/>
  <c r="X7" i="9"/>
  <c r="I96" i="9"/>
  <c r="I88" i="9"/>
  <c r="I72" i="9"/>
  <c r="I64" i="9"/>
  <c r="I56" i="9"/>
  <c r="I40" i="9"/>
  <c r="I32" i="9"/>
  <c r="I24" i="9"/>
  <c r="I16" i="9"/>
  <c r="AH83" i="9"/>
  <c r="AH75" i="9"/>
  <c r="AH59" i="9"/>
  <c r="AH51" i="9"/>
  <c r="AH35" i="9"/>
  <c r="AH27" i="9"/>
  <c r="AH11" i="9"/>
  <c r="I95" i="9"/>
  <c r="I87" i="9"/>
  <c r="I79" i="9"/>
  <c r="I71" i="9"/>
  <c r="I63" i="9"/>
  <c r="I55" i="9"/>
  <c r="I47" i="9"/>
  <c r="I39" i="9"/>
  <c r="I31" i="9"/>
  <c r="I23" i="9"/>
  <c r="I15" i="9"/>
  <c r="I7" i="9"/>
  <c r="AC89" i="9"/>
  <c r="AC81" i="9"/>
  <c r="AC73" i="9"/>
  <c r="AC65" i="9"/>
  <c r="AC57" i="9"/>
  <c r="AC49" i="9"/>
  <c r="AC41" i="9"/>
  <c r="AC33" i="9"/>
  <c r="AC25" i="9"/>
  <c r="AC17" i="9"/>
  <c r="AC9" i="9"/>
  <c r="AK115" i="9"/>
  <c r="AP115" i="9"/>
  <c r="V115" i="9"/>
  <c r="L115" i="9"/>
  <c r="AR8" i="9"/>
  <c r="AR16" i="9"/>
  <c r="AR24" i="9"/>
  <c r="AR32" i="9"/>
  <c r="AR40" i="9"/>
  <c r="AR48" i="9"/>
  <c r="AR56" i="9"/>
  <c r="AR64" i="9"/>
  <c r="AR72" i="9"/>
  <c r="AR80" i="9"/>
  <c r="AR88" i="9"/>
  <c r="AR96" i="9"/>
  <c r="AR9" i="9"/>
  <c r="AR17" i="9"/>
  <c r="AR25" i="9"/>
  <c r="AR33" i="9"/>
  <c r="AR41" i="9"/>
  <c r="AR49" i="9"/>
  <c r="AR57" i="9"/>
  <c r="AR65" i="9"/>
  <c r="AR73" i="9"/>
  <c r="AR81" i="9"/>
  <c r="AR89" i="9"/>
  <c r="AW3" i="9"/>
  <c r="AR10" i="9"/>
  <c r="AR18" i="9"/>
  <c r="AR26" i="9"/>
  <c r="AR34" i="9"/>
  <c r="AR42" i="9"/>
  <c r="AR50" i="9"/>
  <c r="AR58" i="9"/>
  <c r="AR66" i="9"/>
  <c r="AR74" i="9"/>
  <c r="AR82" i="9"/>
  <c r="AR90" i="9"/>
  <c r="AR11" i="9"/>
  <c r="AR19" i="9"/>
  <c r="AR27" i="9"/>
  <c r="AR35" i="9"/>
  <c r="AR43" i="9"/>
  <c r="AR51" i="9"/>
  <c r="AR59" i="9"/>
  <c r="AR67" i="9"/>
  <c r="AR75" i="9"/>
  <c r="AR83" i="9"/>
  <c r="AR91" i="9"/>
  <c r="G3" i="9"/>
  <c r="AA115" i="9"/>
  <c r="AR4" i="9"/>
  <c r="AR12" i="9"/>
  <c r="AR20" i="9"/>
  <c r="AR28" i="9"/>
  <c r="AR36" i="9"/>
  <c r="AR44" i="9"/>
  <c r="AR52" i="9"/>
  <c r="AR60" i="9"/>
  <c r="AR68" i="9"/>
  <c r="AR76" i="9"/>
  <c r="AR84" i="9"/>
  <c r="AR92" i="9"/>
  <c r="G4" i="9"/>
  <c r="I4" i="9" s="1"/>
  <c r="AF115" i="9"/>
  <c r="AR3" i="9"/>
  <c r="AM86" i="9"/>
  <c r="AM78" i="9"/>
  <c r="AM62" i="9"/>
  <c r="AM38" i="9"/>
  <c r="AM22" i="9"/>
  <c r="AM14" i="9"/>
  <c r="AM3" i="9"/>
  <c r="AM91" i="9"/>
  <c r="AM83" i="9"/>
  <c r="AM75" i="9"/>
  <c r="AM67" i="9"/>
  <c r="AM59" i="9"/>
  <c r="AM51" i="9"/>
  <c r="AM43" i="9"/>
  <c r="AM35" i="9"/>
  <c r="AM27" i="9"/>
  <c r="AM19" i="9"/>
  <c r="AM11" i="9"/>
  <c r="AM94" i="9"/>
  <c r="AM70" i="9"/>
  <c r="AM54" i="9"/>
  <c r="AM46" i="9"/>
  <c r="AM30" i="9"/>
  <c r="AM6" i="9"/>
  <c r="AM96" i="9"/>
  <c r="AM88" i="9"/>
  <c r="AM80" i="9"/>
  <c r="AM72" i="9"/>
  <c r="AM64" i="9"/>
  <c r="AM56" i="9"/>
  <c r="AM48" i="9"/>
  <c r="AM40" i="9"/>
  <c r="AM32" i="9"/>
  <c r="AM24" i="9"/>
  <c r="AM16" i="9"/>
  <c r="AM8" i="9"/>
  <c r="AH84" i="9"/>
  <c r="AH68" i="9"/>
  <c r="AH52" i="9"/>
  <c r="AH36" i="9"/>
  <c r="AH28" i="9"/>
  <c r="AH12" i="9"/>
  <c r="AH92" i="9"/>
  <c r="AH76" i="9"/>
  <c r="AH60" i="9"/>
  <c r="AH44" i="9"/>
  <c r="AH20" i="9"/>
  <c r="AH4" i="9"/>
  <c r="AH90" i="9"/>
  <c r="AH82" i="9"/>
  <c r="AH74" i="9"/>
  <c r="AH66" i="9"/>
  <c r="AH58" i="9"/>
  <c r="AH50" i="9"/>
  <c r="AH42" i="9"/>
  <c r="AH34" i="9"/>
  <c r="AH26" i="9"/>
  <c r="AH18" i="9"/>
  <c r="AH10" i="9"/>
  <c r="AC90" i="9"/>
  <c r="AC82" i="9"/>
  <c r="AC74" i="9"/>
  <c r="AC66" i="9"/>
  <c r="AC58" i="9"/>
  <c r="AC50" i="9"/>
  <c r="AC42" i="9"/>
  <c r="AC34" i="9"/>
  <c r="AC26" i="9"/>
  <c r="AC18" i="9"/>
  <c r="AC10" i="9"/>
  <c r="AC96" i="9"/>
  <c r="AC88" i="9"/>
  <c r="AC80" i="9"/>
  <c r="AC72" i="9"/>
  <c r="AC64" i="9"/>
  <c r="AC56" i="9"/>
  <c r="AC48" i="9"/>
  <c r="AC40" i="9"/>
  <c r="AC32" i="9"/>
  <c r="AC24" i="9"/>
  <c r="AC16" i="9"/>
  <c r="AC8" i="9"/>
  <c r="AC93" i="9"/>
  <c r="AC85" i="9"/>
  <c r="AC77" i="9"/>
  <c r="AC69" i="9"/>
  <c r="AC61" i="9"/>
  <c r="AC53" i="9"/>
  <c r="AC45" i="9"/>
  <c r="AC37" i="9"/>
  <c r="AC29" i="9"/>
  <c r="AC21" i="9"/>
  <c r="AC13" i="9"/>
  <c r="AC5" i="9"/>
  <c r="X84" i="9"/>
  <c r="X68" i="9"/>
  <c r="X36" i="9"/>
  <c r="X4" i="9"/>
  <c r="X91" i="9"/>
  <c r="X83" i="9"/>
  <c r="X75" i="9"/>
  <c r="X67" i="9"/>
  <c r="X59" i="9"/>
  <c r="X51" i="9"/>
  <c r="X43" i="9"/>
  <c r="X35" i="9"/>
  <c r="X27" i="9"/>
  <c r="X19" i="9"/>
  <c r="X11" i="9"/>
  <c r="X76" i="9"/>
  <c r="X52" i="9"/>
  <c r="X20" i="9"/>
  <c r="X82" i="9"/>
  <c r="X58" i="9"/>
  <c r="X50" i="9"/>
  <c r="X26" i="9"/>
  <c r="X10" i="9"/>
  <c r="X3" i="9"/>
  <c r="X92" i="9"/>
  <c r="X60" i="9"/>
  <c r="X44" i="9"/>
  <c r="X28" i="9"/>
  <c r="X12" i="9"/>
  <c r="X90" i="9"/>
  <c r="X74" i="9"/>
  <c r="X66" i="9"/>
  <c r="X42" i="9"/>
  <c r="X34" i="9"/>
  <c r="X18" i="9"/>
  <c r="S82" i="9"/>
  <c r="S58" i="9"/>
  <c r="S42" i="9"/>
  <c r="S26" i="9"/>
  <c r="S10" i="9"/>
  <c r="S89" i="9"/>
  <c r="S81" i="9"/>
  <c r="S73" i="9"/>
  <c r="S65" i="9"/>
  <c r="S57" i="9"/>
  <c r="S49" i="9"/>
  <c r="S41" i="9"/>
  <c r="S33" i="9"/>
  <c r="S25" i="9"/>
  <c r="S17" i="9"/>
  <c r="S9" i="9"/>
  <c r="S96" i="9"/>
  <c r="S88" i="9"/>
  <c r="S80" i="9"/>
  <c r="S72" i="9"/>
  <c r="S64" i="9"/>
  <c r="S56" i="9"/>
  <c r="S48" i="9"/>
  <c r="S40" i="9"/>
  <c r="S32" i="9"/>
  <c r="S24" i="9"/>
  <c r="S16" i="9"/>
  <c r="S8" i="9"/>
  <c r="S95" i="9"/>
  <c r="S87" i="9"/>
  <c r="S79" i="9"/>
  <c r="S71" i="9"/>
  <c r="S63" i="9"/>
  <c r="S55" i="9"/>
  <c r="S47" i="9"/>
  <c r="S39" i="9"/>
  <c r="S31" i="9"/>
  <c r="S23" i="9"/>
  <c r="S15" i="9"/>
  <c r="S7" i="9"/>
  <c r="S90" i="9"/>
  <c r="S74" i="9"/>
  <c r="S66" i="9"/>
  <c r="S50" i="9"/>
  <c r="S34" i="9"/>
  <c r="S18" i="9"/>
  <c r="S93" i="9"/>
  <c r="S85" i="9"/>
  <c r="S77" i="9"/>
  <c r="S69" i="9"/>
  <c r="S61" i="9"/>
  <c r="S53" i="9"/>
  <c r="S45" i="9"/>
  <c r="S37" i="9"/>
  <c r="S29" i="9"/>
  <c r="S21" i="9"/>
  <c r="S13" i="9"/>
  <c r="S5" i="9"/>
  <c r="S92" i="9"/>
  <c r="S84" i="9"/>
  <c r="S76" i="9"/>
  <c r="S68" i="9"/>
  <c r="S60" i="9"/>
  <c r="S52" i="9"/>
  <c r="S44" i="9"/>
  <c r="S36" i="9"/>
  <c r="S28" i="9"/>
  <c r="S20" i="9"/>
  <c r="S12" i="9"/>
  <c r="S4" i="9"/>
  <c r="N6" i="9"/>
  <c r="N73" i="9"/>
  <c r="N49" i="9"/>
  <c r="N25" i="9"/>
  <c r="N96" i="9"/>
  <c r="N88" i="9"/>
  <c r="N80" i="9"/>
  <c r="N72" i="9"/>
  <c r="N64" i="9"/>
  <c r="N56" i="9"/>
  <c r="N48" i="9"/>
  <c r="N40" i="9"/>
  <c r="N32" i="9"/>
  <c r="N24" i="9"/>
  <c r="N16" i="9"/>
  <c r="N8" i="9"/>
  <c r="N89" i="9"/>
  <c r="N57" i="9"/>
  <c r="N33" i="9"/>
  <c r="N9" i="9"/>
  <c r="N79" i="9"/>
  <c r="N63" i="9"/>
  <c r="N47" i="9"/>
  <c r="N23" i="9"/>
  <c r="N7" i="9"/>
  <c r="N81" i="9"/>
  <c r="N65" i="9"/>
  <c r="N41" i="9"/>
  <c r="N17" i="9"/>
  <c r="N95" i="9"/>
  <c r="N87" i="9"/>
  <c r="N71" i="9"/>
  <c r="N55" i="9"/>
  <c r="N39" i="9"/>
  <c r="N31" i="9"/>
  <c r="N15" i="9"/>
  <c r="I25" i="9"/>
  <c r="G5" i="7"/>
  <c r="G4" i="7"/>
  <c r="C3" i="7"/>
  <c r="G6" i="7"/>
  <c r="D8" i="3"/>
  <c r="C25" i="1"/>
  <c r="P25" i="2"/>
  <c r="Q115" i="9" l="1"/>
  <c r="AU115" i="9"/>
  <c r="G115" i="9"/>
  <c r="I3" i="9"/>
  <c r="C2" i="7"/>
  <c r="C13" i="7" s="1"/>
  <c r="C11" i="6"/>
  <c r="C12" i="6"/>
  <c r="U3" i="4" l="1"/>
  <c r="C8" i="4" l="1"/>
  <c r="C7" i="4"/>
  <c r="H25" i="4"/>
  <c r="E33" i="2"/>
  <c r="F33" i="2"/>
  <c r="G33" i="2"/>
  <c r="H33" i="2"/>
  <c r="C29" i="4" l="1"/>
  <c r="C24" i="4"/>
  <c r="I24" i="4" s="1"/>
  <c r="G6" i="6"/>
  <c r="G7" i="6" s="1"/>
  <c r="W11" i="4"/>
  <c r="H4" i="3"/>
  <c r="C6" i="6"/>
  <c r="W13" i="4"/>
  <c r="W12" i="4"/>
  <c r="C13" i="6"/>
  <c r="C14" i="6" s="1"/>
  <c r="C16" i="6" s="1"/>
  <c r="C17" i="6" s="1"/>
  <c r="C18" i="6" s="1"/>
  <c r="H2" i="3"/>
  <c r="H3" i="3"/>
  <c r="C7" i="6" l="1"/>
  <c r="D21" i="3"/>
  <c r="J24" i="4" l="1"/>
  <c r="C21" i="4"/>
  <c r="C8" i="6"/>
  <c r="C18" i="4" s="1"/>
  <c r="G8" i="6"/>
  <c r="C17" i="4" s="1"/>
  <c r="D24" i="3"/>
  <c r="R25" i="2"/>
  <c r="G30" i="2"/>
  <c r="Q25" i="2"/>
  <c r="I27" i="4" l="1"/>
  <c r="H24" i="4"/>
  <c r="J25" i="4" s="1"/>
  <c r="G4" i="6"/>
  <c r="G9" i="6" s="1"/>
  <c r="U8" i="4"/>
  <c r="C4" i="6"/>
  <c r="C9" i="6" s="1"/>
  <c r="U7" i="4"/>
  <c r="C12" i="1"/>
  <c r="D44" i="3" l="1"/>
  <c r="D39" i="3"/>
  <c r="D36" i="3"/>
  <c r="D30" i="3"/>
  <c r="D23" i="3"/>
  <c r="D17" i="3"/>
  <c r="M5" i="3" l="1"/>
  <c r="M2" i="3"/>
  <c r="M4" i="3" s="1"/>
  <c r="U13" i="4" l="1"/>
  <c r="U11" i="4"/>
  <c r="C13" i="4"/>
  <c r="U12" i="4"/>
  <c r="U2" i="4"/>
  <c r="M3" i="3"/>
  <c r="H27" i="4" l="1"/>
  <c r="J27" i="4" s="1"/>
  <c r="J28" i="4" s="1"/>
  <c r="C31" i="4"/>
  <c r="C56" i="1"/>
  <c r="U5" i="4" s="1"/>
  <c r="D43" i="3"/>
  <c r="D41" i="3"/>
  <c r="D38" i="3"/>
  <c r="D35" i="3"/>
  <c r="D33" i="3"/>
  <c r="C32" i="4" l="1"/>
  <c r="C35" i="4"/>
  <c r="U6" i="4"/>
  <c r="C10" i="4" s="1"/>
  <c r="C12" i="4" s="1"/>
  <c r="C9" i="4"/>
  <c r="C11" i="4" s="1"/>
  <c r="D29" i="3"/>
  <c r="D22" i="3"/>
  <c r="D28" i="3"/>
  <c r="D32" i="3" s="1"/>
  <c r="D26" i="3"/>
  <c r="D19" i="3"/>
  <c r="D16" i="3"/>
  <c r="D12" i="3"/>
  <c r="D18" i="3" s="1"/>
  <c r="D10" i="3"/>
  <c r="D31" i="3" l="1"/>
  <c r="D25" i="3"/>
  <c r="D7" i="3" l="1"/>
  <c r="C31" i="1"/>
  <c r="D3" i="3"/>
  <c r="D9" i="3" s="1"/>
  <c r="C7" i="1" l="1"/>
  <c r="C14" i="1"/>
  <c r="D13" i="3" l="1"/>
  <c r="D15" i="3"/>
  <c r="C3" i="4" s="1"/>
  <c r="C6" i="4" s="1"/>
  <c r="C15" i="4" s="1"/>
  <c r="D14" i="3"/>
  <c r="D5" i="3"/>
  <c r="D4" i="3"/>
  <c r="D6" i="3"/>
  <c r="D45" i="3" s="1"/>
  <c r="C4" i="4" l="1"/>
  <c r="C2" i="4"/>
  <c r="C5" i="4" s="1"/>
  <c r="C33" i="4" l="1"/>
  <c r="C20" i="4"/>
  <c r="C14" i="4"/>
  <c r="C16" i="4" s="1"/>
  <c r="C34" i="4" l="1"/>
  <c r="C30" i="4"/>
  <c r="C28" i="4"/>
</calcChain>
</file>

<file path=xl/sharedStrings.xml><?xml version="1.0" encoding="utf-8"?>
<sst xmlns="http://schemas.openxmlformats.org/spreadsheetml/2006/main" count="536" uniqueCount="375">
  <si>
    <t>Тележка</t>
  </si>
  <si>
    <t>Грузоподьемность,т</t>
  </si>
  <si>
    <t>Масса,т</t>
  </si>
  <si>
    <t>Масса вагона брутто, т</t>
  </si>
  <si>
    <t>18-9836</t>
  </si>
  <si>
    <t>27т</t>
  </si>
  <si>
    <t>18-9810</t>
  </si>
  <si>
    <t>18-102</t>
  </si>
  <si>
    <t>F, МН</t>
  </si>
  <si>
    <t>Рывок</t>
  </si>
  <si>
    <t xml:space="preserve">Растяжение </t>
  </si>
  <si>
    <t>Сжатие</t>
  </si>
  <si>
    <t>Наименование груза</t>
  </si>
  <si>
    <t>Насыпная плотность γ, т/м3</t>
  </si>
  <si>
    <t>Угол естественного откоса φ, радианы</t>
  </si>
  <si>
    <t>Угол трения по металлу δ, радианы</t>
  </si>
  <si>
    <t>Авиационный бензин</t>
  </si>
  <si>
    <t>Автомобильный бензин</t>
  </si>
  <si>
    <t>Топливо для реактивных двигателей</t>
  </si>
  <si>
    <t>Дизильное топливо</t>
  </si>
  <si>
    <t>Моторное масло</t>
  </si>
  <si>
    <t>Мазут</t>
  </si>
  <si>
    <t>Нефть</t>
  </si>
  <si>
    <t>Жидкость</t>
  </si>
  <si>
    <t>Наименование характеристики</t>
  </si>
  <si>
    <t>Обозначение</t>
  </si>
  <si>
    <t>Значение</t>
  </si>
  <si>
    <t>Q</t>
  </si>
  <si>
    <t>Mтары</t>
  </si>
  <si>
    <t>2l</t>
  </si>
  <si>
    <t>2Lc</t>
  </si>
  <si>
    <t>Масса тележки, т</t>
  </si>
  <si>
    <t>Мбр</t>
  </si>
  <si>
    <t>Масса брутто, т</t>
  </si>
  <si>
    <t>δ</t>
  </si>
  <si>
    <t>Допускаемая нагрузка от колесной пары на рельсы, кН (тс)</t>
  </si>
  <si>
    <t>245,25 (25,0)</t>
  </si>
  <si>
    <t>Нагрузка на ось, кН (т)</t>
  </si>
  <si>
    <t>230,54 (23,5)</t>
  </si>
  <si>
    <t>Мт</t>
  </si>
  <si>
    <t>Конструкционная скорость, км/ч, (м/с)</t>
  </si>
  <si>
    <t>V</t>
  </si>
  <si>
    <t>120 (33,3)</t>
  </si>
  <si>
    <t>Габарит кузова ГОСТ 9238-2013</t>
  </si>
  <si>
    <t>Габарит кузова Гост 9238-2013</t>
  </si>
  <si>
    <t>1-Т</t>
  </si>
  <si>
    <t>Тпр</t>
  </si>
  <si>
    <t>1-ВМ</t>
  </si>
  <si>
    <t>Расстояние между задними опорными поверхностями упоров автосцепных устройств, м</t>
  </si>
  <si>
    <t>2L</t>
  </si>
  <si>
    <t>Длина по осям сцепления автосцепок, м</t>
  </si>
  <si>
    <t>База вагона, м</t>
  </si>
  <si>
    <t>Одностороннее боковое перемещение шкворневого сечения кузова вагона, м</t>
  </si>
  <si>
    <t xml:space="preserve">Удар </t>
  </si>
  <si>
    <t>I Режим</t>
  </si>
  <si>
    <t>Радиус расчетной кривой, м</t>
  </si>
  <si>
    <t>R</t>
  </si>
  <si>
    <t xml:space="preserve">Длина корпуса автосцепки, м </t>
  </si>
  <si>
    <t>a</t>
  </si>
  <si>
    <t xml:space="preserve">Разность уровней осей сцепленных вагонов, м </t>
  </si>
  <si>
    <t>e</t>
  </si>
  <si>
    <t>- при растяжении</t>
  </si>
  <si>
    <t>- при сжатии</t>
  </si>
  <si>
    <t>b</t>
  </si>
  <si>
    <t>Назначенный срок службы вагона, лет</t>
  </si>
  <si>
    <t>-</t>
  </si>
  <si>
    <t>Площадь поперечной проекции внутренней поверхности днища котла, м2</t>
  </si>
  <si>
    <t>Fдн</t>
  </si>
  <si>
    <t>Избыточное внутреннее давление паров жидкости (газа) в котле, МПа</t>
  </si>
  <si>
    <t>Исполнительная толщина обечайки котла, мм</t>
  </si>
  <si>
    <t>Sоб</t>
  </si>
  <si>
    <t>Исполнительная толщина днища котла, мм</t>
  </si>
  <si>
    <t>Sдн</t>
  </si>
  <si>
    <t>Прибавка для компенсации коррозии за срок службы, мм</t>
  </si>
  <si>
    <t>с1</t>
  </si>
  <si>
    <t>Технологическая прибавка для компенсации утонения при изготовлении днищ, мм</t>
  </si>
  <si>
    <t>с3</t>
  </si>
  <si>
    <t>сs</t>
  </si>
  <si>
    <t>Внутренний диаметр котла, мм</t>
  </si>
  <si>
    <t>D1</t>
  </si>
  <si>
    <t>D</t>
  </si>
  <si>
    <t>Наружный диаметр котла, мм</t>
  </si>
  <si>
    <t>Внутренний диаметр фланца люка, мм</t>
  </si>
  <si>
    <t>d</t>
  </si>
  <si>
    <t>Коэффициент формы днища</t>
  </si>
  <si>
    <t>Вводим в ручную</t>
  </si>
  <si>
    <t>Не трогаем</t>
  </si>
  <si>
    <t>Выбираем из списка</t>
  </si>
  <si>
    <t>ТРП</t>
  </si>
  <si>
    <t>c</t>
  </si>
  <si>
    <t>r</t>
  </si>
  <si>
    <t>r1</t>
  </si>
  <si>
    <t>Диаметр тормозного цилиндра, м</t>
  </si>
  <si>
    <t>dц</t>
  </si>
  <si>
    <t>Pцmax</t>
  </si>
  <si>
    <t>Максимальное расчетное давление воздуха в тормозном цилиндре, кПа</t>
  </si>
  <si>
    <t>Mшт</t>
  </si>
  <si>
    <t>Момент на штурвале стояночного тормоза, Нм</t>
  </si>
  <si>
    <t>Передаточное отношение червячной передачи</t>
  </si>
  <si>
    <t>nчп</t>
  </si>
  <si>
    <t>Коэффициент полезного действия стояночного тормоза</t>
  </si>
  <si>
    <t>ɳ</t>
  </si>
  <si>
    <t>Среднее расстояние от точки крепления до оси червячного колеса, м</t>
  </si>
  <si>
    <t>L</t>
  </si>
  <si>
    <t>Рычаг,мм</t>
  </si>
  <si>
    <t>Не подлежит роспуску с сортировочных горок или оборудована поглощающими аппаратами класса Т2 или Т3 (верно-1, неверно-0)</t>
  </si>
  <si>
    <t>Нагрузка</t>
  </si>
  <si>
    <t>Удар по I режиму</t>
  </si>
  <si>
    <t>Удар, МН</t>
  </si>
  <si>
    <t>Продольные нагрузки</t>
  </si>
  <si>
    <t>Инерция двух тележек, МН</t>
  </si>
  <si>
    <t>Давление от гидроудара, МПа</t>
  </si>
  <si>
    <t>Вертикальные нагрузки</t>
  </si>
  <si>
    <t>g</t>
  </si>
  <si>
    <t>Ускорение свободного падения, м/с2</t>
  </si>
  <si>
    <t>Объем котла, м3</t>
  </si>
  <si>
    <t>M</t>
  </si>
  <si>
    <t>Нагрузка от нецентрального взаимодействия автосцепок, МН</t>
  </si>
  <si>
    <t>Самоуравновешенная нагрузка</t>
  </si>
  <si>
    <t>Избыточное внутреннее давление в котле, МПа</t>
  </si>
  <si>
    <t>Рывок по I режиму</t>
  </si>
  <si>
    <t>Степень заполнения, %</t>
  </si>
  <si>
    <t>Сжатие по I режиму</t>
  </si>
  <si>
    <t>Рывок, МН</t>
  </si>
  <si>
    <t>Сжатие, МН</t>
  </si>
  <si>
    <t>Боковая нагрузка</t>
  </si>
  <si>
    <t>Боковая сила, кН</t>
  </si>
  <si>
    <t>Растяжение по I режиму</t>
  </si>
  <si>
    <t>Растяжение, МН</t>
  </si>
  <si>
    <t>1 Ремонтный режим</t>
  </si>
  <si>
    <t>2 Ремонтный режим</t>
  </si>
  <si>
    <t>3 Ремонтный режим</t>
  </si>
  <si>
    <t>Режим гидроиспытания</t>
  </si>
  <si>
    <t>Сталь котла</t>
  </si>
  <si>
    <t>Стали</t>
  </si>
  <si>
    <t>09Г2С</t>
  </si>
  <si>
    <t>10ХСНД</t>
  </si>
  <si>
    <t>10Г2БД</t>
  </si>
  <si>
    <t>удар/рывок</t>
  </si>
  <si>
    <t>растяжение/сжатие</t>
  </si>
  <si>
    <t xml:space="preserve">Допускаемые напряжения по ГОСТ </t>
  </si>
  <si>
    <t>Избыточное испытательное внутреннее давление в котле</t>
  </si>
  <si>
    <t>Расчетные толщины</t>
  </si>
  <si>
    <t>Исполнительная толщина броневого листа котла, мм</t>
  </si>
  <si>
    <t>Sбл</t>
  </si>
  <si>
    <t>Утонение днищ при раскатывании, %</t>
  </si>
  <si>
    <t>Обечайка, мм</t>
  </si>
  <si>
    <t>Броневой лист, мм</t>
  </si>
  <si>
    <t>Днище, мм</t>
  </si>
  <si>
    <t xml:space="preserve">Нагрузки для кронштейнов </t>
  </si>
  <si>
    <t>F1</t>
  </si>
  <si>
    <t>Усилие в серьге мертвой точки горизонтального рычага</t>
  </si>
  <si>
    <t>F2</t>
  </si>
  <si>
    <t>Усилие в кронштейне авторегулятора</t>
  </si>
  <si>
    <t>F3</t>
  </si>
  <si>
    <t>Усилие на тяге стояночного тормоза</t>
  </si>
  <si>
    <t>F4</t>
  </si>
  <si>
    <t>Усилие на выходе из цилиндра, Н</t>
  </si>
  <si>
    <t>Вес жидкости, МПа</t>
  </si>
  <si>
    <t>Разработчики</t>
  </si>
  <si>
    <t>Пасько</t>
  </si>
  <si>
    <t>Кузьмицкий</t>
  </si>
  <si>
    <t>Куклин</t>
  </si>
  <si>
    <t>Иванов</t>
  </si>
  <si>
    <t>Брусенцов</t>
  </si>
  <si>
    <t>Горбатенко</t>
  </si>
  <si>
    <t>Шевченко</t>
  </si>
  <si>
    <t>Мартынова</t>
  </si>
  <si>
    <t>Гусева</t>
  </si>
  <si>
    <t>Савельев</t>
  </si>
  <si>
    <t>Попович</t>
  </si>
  <si>
    <t>Никитченко</t>
  </si>
  <si>
    <t>Смирнов</t>
  </si>
  <si>
    <t>Разраб</t>
  </si>
  <si>
    <t>Пров</t>
  </si>
  <si>
    <t>Н.контр.</t>
  </si>
  <si>
    <t>Утв.</t>
  </si>
  <si>
    <t>pпар</t>
  </si>
  <si>
    <r>
      <t>Ускорение кузова, м/с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</si>
  <si>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Ускорение свободного падения, м/с</t>
    </r>
    <r>
      <rPr>
        <vertAlign val="superscript"/>
        <sz val="14"/>
        <color theme="1"/>
        <rFont val="Times New Roman"/>
        <family val="1"/>
        <charset val="204"/>
      </rPr>
      <t>2</t>
    </r>
  </si>
  <si>
    <t>Название проекта</t>
  </si>
  <si>
    <t>МОДЕЛЬ</t>
  </si>
  <si>
    <t>Номер документа, титульный лист</t>
  </si>
  <si>
    <t>Название проекта в главной надписи</t>
  </si>
  <si>
    <t>Номер документа в главной надписи</t>
  </si>
  <si>
    <t>МОДЕЛЬ в главной надпсиси</t>
  </si>
  <si>
    <t>Масса тары вагона максимальная,т</t>
  </si>
  <si>
    <t>Тип, ГОСТ</t>
  </si>
  <si>
    <t>тип 2, ГОСТ 9246-2013</t>
  </si>
  <si>
    <t>18-100</t>
  </si>
  <si>
    <t>18-9855</t>
  </si>
  <si>
    <t>тип 3, ГОСТ 9246-2013</t>
  </si>
  <si>
    <t>Конструктивная скорость, км/ч</t>
  </si>
  <si>
    <t>Плотность перевозимой жидкости, т/м3</t>
  </si>
  <si>
    <t>γ</t>
  </si>
  <si>
    <t>Характеристика</t>
  </si>
  <si>
    <t>Давление гидроудара при ударе, МПа</t>
  </si>
  <si>
    <t>Давление гидроудара при рывке, МПа</t>
  </si>
  <si>
    <t>Внутреннее избыточное испытательное давление</t>
  </si>
  <si>
    <t>Расчетное внутреннее давление при ударе , МПа</t>
  </si>
  <si>
    <t>Расчетное внутреннее давление при рывке , МПа</t>
  </si>
  <si>
    <t>Минимальное  значение предела текучести при расчетной температуре (50˚С), МПа</t>
  </si>
  <si>
    <t>Допускаемое внутреннее давление для обечайки котла, для рабочих условий, МПа</t>
  </si>
  <si>
    <t>Допускаемое внутреннее давление для обечайки котла, для  условий испытаний, МПа</t>
  </si>
  <si>
    <t>Допускаемое внутреннее давление для днищ котла, для рабочих условий, МПа</t>
  </si>
  <si>
    <t>Допускаемое внутреннее давление для днищ котла, для  условий испытаний, МПа</t>
  </si>
  <si>
    <t>Коэффициент прочности сварных швов</t>
  </si>
  <si>
    <t>φp</t>
  </si>
  <si>
    <t>Радиус кривизны в вершине днищ на внутренней поверхности, мм</t>
  </si>
  <si>
    <t>Rдн</t>
  </si>
  <si>
    <t>Тип днища</t>
  </si>
  <si>
    <t>Эллиптическое</t>
  </si>
  <si>
    <t>Полусферическое</t>
  </si>
  <si>
    <t>Торосферическое</t>
  </si>
  <si>
    <t>Для торосферических днищ</t>
  </si>
  <si>
    <t>Для эллиптических и полусферических днищ</t>
  </si>
  <si>
    <t>Допускаемое внутреннее давление для сварных днищ котла, для рабочих условий, МПа</t>
  </si>
  <si>
    <t>Допускаемое внутреннее давление для сварных днищ котла, для  условий испытаний, МПа</t>
  </si>
  <si>
    <t>β2</t>
  </si>
  <si>
    <t>Для эллиптических,полусферических и сварных торосферических днищ</t>
  </si>
  <si>
    <t>Для не сварного торосферического днища</t>
  </si>
  <si>
    <t>Поправочный коэффициент к допускаемому напряжению</t>
  </si>
  <si>
    <t>η</t>
  </si>
  <si>
    <t>Допустимое значение в котле для рабочих условий</t>
  </si>
  <si>
    <t>Допустимое значение в котле для условий испытаний</t>
  </si>
  <si>
    <t>Удовлетворяет требованиям</t>
  </si>
  <si>
    <t>Не удов.</t>
  </si>
  <si>
    <t>Минимальное  значение предела текучести при расчетной температуре (20˚С), МПа</t>
  </si>
  <si>
    <t>Допускаемые напряжения по ГОСТ для рабочих условий</t>
  </si>
  <si>
    <t>Допускаемые напряжения по ГОСТ для  условий испытаний</t>
  </si>
  <si>
    <t>Коэффициент запаса прочности для рабочих условий</t>
  </si>
  <si>
    <t>Коэффициент запаса прочности для условий испытаний</t>
  </si>
  <si>
    <t>nт</t>
  </si>
  <si>
    <t>Тип торосферического днища</t>
  </si>
  <si>
    <t>А</t>
  </si>
  <si>
    <t>В</t>
  </si>
  <si>
    <t>С</t>
  </si>
  <si>
    <t>Коэф.формы</t>
  </si>
  <si>
    <t>Расчетный диаметр отверстия в стенке обечайки, мм</t>
  </si>
  <si>
    <t>Наибольший расчетный диаметр отверстия, не требующего укрепления, мм</t>
  </si>
  <si>
    <t>Расчетная толщина обечайки в месте расположения штуцера (люка), мм</t>
  </si>
  <si>
    <t>Расчетная прибавка к толщине фланца люка, мм</t>
  </si>
  <si>
    <t>При 20˚С</t>
  </si>
  <si>
    <t>При 50˚С</t>
  </si>
  <si>
    <t>Боковая сила, МН</t>
  </si>
  <si>
    <t>Скорость коррозии листа котла, мм/год</t>
  </si>
  <si>
    <t>Исполнительная толщина внешней части штуцера, мм</t>
  </si>
  <si>
    <t>s1</t>
  </si>
  <si>
    <t>s2</t>
  </si>
  <si>
    <t>s3</t>
  </si>
  <si>
    <t>l1</t>
  </si>
  <si>
    <t>l2</t>
  </si>
  <si>
    <t>l3</t>
  </si>
  <si>
    <t>Исполнительная толщина накладного кольца, мм</t>
  </si>
  <si>
    <t>Исполнительная толщина внутренней части штуцера, мм</t>
  </si>
  <si>
    <t>Исполнительная длина внешней части штуцера, мм</t>
  </si>
  <si>
    <t>Исполнительная длина внутренней части штуцера, мм</t>
  </si>
  <si>
    <t>Исполнительная ширина накладного кольца, мм</t>
  </si>
  <si>
    <t>Pn, МПа</t>
  </si>
  <si>
    <t>Обечайка</t>
  </si>
  <si>
    <t>B1</t>
  </si>
  <si>
    <t>B2</t>
  </si>
  <si>
    <t>Bmin</t>
  </si>
  <si>
    <t>Расчетная длина гладкой обечайки</t>
  </si>
  <si>
    <t>Коэффициент запаса устойчивости, для рабочих условий</t>
  </si>
  <si>
    <t>Коэффициент запаса устойчивости, для условий испытаний</t>
  </si>
  <si>
    <t>Раб условия</t>
  </si>
  <si>
    <t>P</t>
  </si>
  <si>
    <t>Исп</t>
  </si>
  <si>
    <t>Pe, Па</t>
  </si>
  <si>
    <t>Ст3сп</t>
  </si>
  <si>
    <t>ВАГОН-ЦИСТЕРНА ДЛЯ ПЕРЕВОЗКИ НЕФТЕПРОДУКТОВ</t>
  </si>
  <si>
    <t>15-9993</t>
  </si>
  <si>
    <t>ЦДЛР 0113.00.00.000 РР7</t>
  </si>
  <si>
    <t>Вагон-цистерна для перевозки нефтепродуктов</t>
  </si>
  <si>
    <t>Модель 15-9993</t>
  </si>
  <si>
    <t>вагона-цистерны для перевозки нефтепродуктов модели 15-9993</t>
  </si>
  <si>
    <t>Прнибавка для компенсации минусового допуска (днище), мм</t>
  </si>
  <si>
    <t>Прнибавка для компенсации минусового допуска(обечайка), мм</t>
  </si>
  <si>
    <t>Прнибавка для компенсации минусового допуска(броневой лист), мм</t>
  </si>
  <si>
    <t>le</t>
  </si>
  <si>
    <t>De</t>
  </si>
  <si>
    <t>De1</t>
  </si>
  <si>
    <t>De2</t>
  </si>
  <si>
    <t>b1</t>
  </si>
  <si>
    <t>b2</t>
  </si>
  <si>
    <t>ЦДЛР 0113.00.00.000</t>
  </si>
  <si>
    <t>Пункт 2.1.</t>
  </si>
  <si>
    <t>Пункт 2.2.</t>
  </si>
  <si>
    <r>
      <t>с</t>
    </r>
    <r>
      <rPr>
        <i/>
        <vertAlign val="subscript"/>
        <sz val="14"/>
        <color theme="1"/>
        <rFont val="Times New Roman"/>
        <family val="1"/>
        <charset val="204"/>
      </rPr>
      <t>2об</t>
    </r>
  </si>
  <si>
    <r>
      <t>с</t>
    </r>
    <r>
      <rPr>
        <i/>
        <vertAlign val="subscript"/>
        <sz val="14"/>
        <color theme="1"/>
        <rFont val="Times New Roman"/>
        <family val="1"/>
        <charset val="204"/>
      </rPr>
      <t>2бр</t>
    </r>
  </si>
  <si>
    <r>
      <t>с</t>
    </r>
    <r>
      <rPr>
        <i/>
        <vertAlign val="subscript"/>
        <sz val="14"/>
        <color theme="1"/>
        <rFont val="Times New Roman"/>
        <family val="1"/>
        <charset val="204"/>
      </rPr>
      <t>2дн</t>
    </r>
  </si>
  <si>
    <t>Модуль упругости стали котла, Гпа</t>
  </si>
  <si>
    <t>Для отчета</t>
  </si>
  <si>
    <t>Допускаемое давление из условия устойчивости для условий испытаний, кПа</t>
  </si>
  <si>
    <t>Допускаемое давление из условия устойчивости для рабочих условий, кПа</t>
  </si>
  <si>
    <t>Qзат</t>
  </si>
  <si>
    <t>Qрам</t>
  </si>
  <si>
    <t>l</t>
  </si>
  <si>
    <t>F</t>
  </si>
  <si>
    <t>m</t>
  </si>
  <si>
    <t>м2</t>
  </si>
  <si>
    <t>м</t>
  </si>
  <si>
    <t>Н</t>
  </si>
  <si>
    <t>dср</t>
  </si>
  <si>
    <t>s</t>
  </si>
  <si>
    <t>f</t>
  </si>
  <si>
    <t>альфа</t>
  </si>
  <si>
    <t>масса рамы</t>
  </si>
  <si>
    <t>tgф</t>
  </si>
  <si>
    <t>tgр</t>
  </si>
  <si>
    <t>sigma</t>
  </si>
  <si>
    <t>МН/м</t>
  </si>
  <si>
    <t>МН</t>
  </si>
  <si>
    <t>УДАР</t>
  </si>
  <si>
    <t>Ремонт1</t>
  </si>
  <si>
    <t>Ремонт2</t>
  </si>
  <si>
    <t>Ремонт3</t>
  </si>
  <si>
    <t>Ремонт4</t>
  </si>
  <si>
    <t>Гидроиспытания</t>
  </si>
  <si>
    <t>Статика</t>
  </si>
  <si>
    <t>f1</t>
  </si>
  <si>
    <t>f2</t>
  </si>
  <si>
    <t>fk</t>
  </si>
  <si>
    <t>Частота колебания кузова</t>
  </si>
  <si>
    <t>Наибольший статический прогиб несущей конструкции вагона под действием силы тяжести груза</t>
  </si>
  <si>
    <t>Расчетный статический прогиб рессорного подвешивания вагона с максимальной расчетной массой, м</t>
  </si>
  <si>
    <t>Хребтовая балка</t>
  </si>
  <si>
    <t>Котел и др.</t>
  </si>
  <si>
    <t>Растяжение</t>
  </si>
  <si>
    <t>Удар</t>
  </si>
  <si>
    <t>№ точки</t>
  </si>
  <si>
    <r>
      <t>σ</t>
    </r>
    <r>
      <rPr>
        <vertAlign val="subscript"/>
        <sz val="12"/>
        <color theme="1"/>
        <rFont val="Times New Roman"/>
        <family val="1"/>
        <charset val="204"/>
      </rPr>
      <t>экв</t>
    </r>
    <r>
      <rPr>
        <sz val="12"/>
        <color theme="1"/>
        <rFont val="Times New Roman"/>
        <family val="1"/>
        <charset val="204"/>
      </rPr>
      <t>, МПа</t>
    </r>
  </si>
  <si>
    <t>[σ], МПа</t>
  </si>
  <si>
    <r>
      <t>k</t>
    </r>
    <r>
      <rPr>
        <vertAlign val="subscript"/>
        <sz val="12"/>
        <color theme="1"/>
        <rFont val="Times New Roman"/>
        <family val="1"/>
        <charset val="204"/>
      </rPr>
      <t>зап</t>
    </r>
  </si>
  <si>
    <t>Ремонт 1</t>
  </si>
  <si>
    <t>Ремонт 2</t>
  </si>
  <si>
    <t>Ремонт 3</t>
  </si>
  <si>
    <t>Ремонт 4</t>
  </si>
  <si>
    <t>Гидроисп</t>
  </si>
  <si>
    <t>не проходит</t>
  </si>
  <si>
    <t>значение придуманое</t>
  </si>
  <si>
    <t>MAX</t>
  </si>
  <si>
    <t>Расчетная длина внешней части штуцера, мм</t>
  </si>
  <si>
    <t>Расчетная длина внутренней части штуцера, мм</t>
  </si>
  <si>
    <t>Ширина зоны укрепления</t>
  </si>
  <si>
    <t>Расчетная толщина накладного кольца, мм</t>
  </si>
  <si>
    <t>Левая часть неравенства</t>
  </si>
  <si>
    <t>Отношение допускаемых напряжений для внешней части штуцера</t>
  </si>
  <si>
    <t>для накладного кольца</t>
  </si>
  <si>
    <t>внутренняя часть штуцера</t>
  </si>
  <si>
    <t xml:space="preserve">Расчетный диаметр </t>
  </si>
  <si>
    <t>Правая часть</t>
  </si>
  <si>
    <t>φ1</t>
  </si>
  <si>
    <t>Коэффициент прочности сварных швов штуцера</t>
  </si>
  <si>
    <t>s1p</t>
  </si>
  <si>
    <t>l1p</t>
  </si>
  <si>
    <t>l3p</t>
  </si>
  <si>
    <t>lp</t>
  </si>
  <si>
    <t>l2p</t>
  </si>
  <si>
    <t>x1</t>
  </si>
  <si>
    <t>x2</t>
  </si>
  <si>
    <t>x3</t>
  </si>
  <si>
    <t>d0p</t>
  </si>
  <si>
    <t>Коэффициент понижения прочности</t>
  </si>
  <si>
    <t>Расчетная толщина стенки штуцера, мм (рабочие условия)</t>
  </si>
  <si>
    <t>Расчетная толщина стенки штуцера, мм (условия испытаний)</t>
  </si>
  <si>
    <t>Допускаемое внутреннее избыточное испытательное давление</t>
  </si>
  <si>
    <t>Допускаемое внутреннее избыточное рабочее давление</t>
  </si>
  <si>
    <t>Imp</t>
  </si>
  <si>
    <t>Bur</t>
  </si>
  <si>
    <t>Te</t>
  </si>
  <si>
    <t>Comp</t>
  </si>
  <si>
    <t>W</t>
  </si>
  <si>
    <t>Ksigma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</si>
</sst>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0"/>
    <numFmt numFmtId="167" formatCode="##0.000E+0"/>
  </numFmts>
  <fonts count="1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vertAlign val="superscript"/>
      <sz val="14"/>
      <color theme="1"/>
      <name val="Times New Roman"/>
      <family val="1"/>
      <charset val="204"/>
    </font>
    <font>
      <i/>
      <sz val="11"/>
      <color theme="1"/>
      <name val="GOST type A"/>
      <family val="2"/>
    </font>
    <font>
      <b/>
      <sz val="14"/>
      <color theme="1"/>
      <name val="Times New Roman"/>
      <family val="1"/>
      <charset val="204"/>
    </font>
    <font>
      <b/>
      <i/>
      <sz val="24"/>
      <color theme="1"/>
      <name val="GOST type A"/>
      <family val="2"/>
    </font>
    <font>
      <i/>
      <sz val="14"/>
      <color theme="1"/>
      <name val="GOST type A"/>
      <family val="2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12" borderId="0" applyNumberFormat="0" applyBorder="0" applyAlignment="0" applyProtection="0"/>
  </cellStyleXfs>
  <cellXfs count="265">
    <xf numFmtId="0" fontId="0" fillId="0" borderId="0" xfId="0"/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5" borderId="13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/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11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1" fillId="8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12" borderId="13" xfId="1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12" borderId="25" xfId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/>
    </xf>
    <xf numFmtId="0" fontId="1" fillId="12" borderId="4" xfId="1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12" borderId="7" xfId="1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12" borderId="1" xfId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2" borderId="23" xfId="1" applyFont="1" applyBorder="1" applyAlignment="1">
      <alignment horizontal="center" vertical="center" wrapText="1"/>
    </xf>
    <xf numFmtId="0" fontId="1" fillId="0" borderId="0" xfId="0" applyFont="1" applyFill="1"/>
    <xf numFmtId="0" fontId="1" fillId="5" borderId="12" xfId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1" fillId="12" borderId="21" xfId="1" applyFont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/>
    </xf>
    <xf numFmtId="0" fontId="1" fillId="12" borderId="28" xfId="1" applyFont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4" xfId="0" applyFont="1" applyBorder="1"/>
    <xf numFmtId="0" fontId="1" fillId="0" borderId="2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8" xfId="0" applyFont="1" applyFill="1" applyBorder="1"/>
    <xf numFmtId="0" fontId="6" fillId="3" borderId="24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49" fontId="1" fillId="10" borderId="31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9" fillId="10" borderId="32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4" borderId="31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/>
    </xf>
    <xf numFmtId="164" fontId="1" fillId="3" borderId="7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15" borderId="3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164" fontId="1" fillId="11" borderId="7" xfId="0" applyNumberFormat="1" applyFont="1" applyFill="1" applyBorder="1" applyAlignment="1">
      <alignment horizontal="center" vertical="center"/>
    </xf>
    <xf numFmtId="164" fontId="1" fillId="11" borderId="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11" borderId="24" xfId="0" applyNumberFormat="1" applyFont="1" applyFill="1" applyBorder="1" applyAlignment="1">
      <alignment horizontal="center" vertical="center"/>
    </xf>
    <xf numFmtId="165" fontId="1" fillId="11" borderId="7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1" fillId="12" borderId="9" xfId="1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" fontId="1" fillId="0" borderId="0" xfId="0" applyNumberFormat="1" applyFont="1"/>
    <xf numFmtId="2" fontId="1" fillId="11" borderId="7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 wrapText="1"/>
    </xf>
    <xf numFmtId="49" fontId="1" fillId="11" borderId="43" xfId="0" applyNumberFormat="1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 wrapText="1"/>
    </xf>
    <xf numFmtId="0" fontId="1" fillId="9" borderId="45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9" borderId="44" xfId="0" applyFont="1" applyFill="1" applyBorder="1" applyAlignment="1">
      <alignment horizontal="center" vertical="center" wrapText="1"/>
    </xf>
    <xf numFmtId="0" fontId="1" fillId="10" borderId="44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49" fontId="1" fillId="2" borderId="44" xfId="0" applyNumberFormat="1" applyFont="1" applyFill="1" applyBorder="1" applyAlignment="1">
      <alignment horizontal="center" vertical="center"/>
    </xf>
    <xf numFmtId="2" fontId="1" fillId="2" borderId="44" xfId="0" applyNumberFormat="1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/>
    </xf>
    <xf numFmtId="2" fontId="1" fillId="10" borderId="44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164" fontId="1" fillId="11" borderId="17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5" fontId="1" fillId="11" borderId="13" xfId="0" applyNumberFormat="1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164" fontId="1" fillId="11" borderId="47" xfId="0" applyNumberFormat="1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 wrapText="1"/>
    </xf>
    <xf numFmtId="164" fontId="1" fillId="11" borderId="50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17" xfId="0" applyNumberFormat="1" applyFont="1" applyFill="1" applyBorder="1" applyAlignment="1">
      <alignment horizontal="center" vertical="center" wrapText="1"/>
    </xf>
    <xf numFmtId="0" fontId="0" fillId="2" borderId="43" xfId="0" applyFill="1" applyBorder="1"/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0" fillId="0" borderId="0" xfId="0" applyNumberFormat="1"/>
    <xf numFmtId="2" fontId="2" fillId="0" borderId="4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0" fontId="0" fillId="0" borderId="0" xfId="0" applyBorder="1"/>
    <xf numFmtId="0" fontId="2" fillId="0" borderId="0" xfId="0" applyFont="1" applyBorder="1"/>
    <xf numFmtId="0" fontId="2" fillId="18" borderId="10" xfId="0" applyFont="1" applyFill="1" applyBorder="1"/>
    <xf numFmtId="0" fontId="0" fillId="0" borderId="11" xfId="0" applyBorder="1"/>
    <xf numFmtId="0" fontId="2" fillId="17" borderId="10" xfId="0" applyFont="1" applyFill="1" applyBorder="1"/>
    <xf numFmtId="0" fontId="1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9" borderId="0" xfId="0" applyFill="1"/>
    <xf numFmtId="166" fontId="1" fillId="3" borderId="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7" fontId="0" fillId="0" borderId="0" xfId="0" applyNumberFormat="1"/>
    <xf numFmtId="167" fontId="0" fillId="0" borderId="0" xfId="0" applyNumberFormat="1"/>
    <xf numFmtId="167" fontId="0" fillId="0" borderId="0" xfId="0" applyNumberFormat="1"/>
    <xf numFmtId="167" fontId="0" fillId="0" borderId="0" xfId="0" applyNumberFormat="1"/>
    <xf numFmtId="2" fontId="2" fillId="9" borderId="1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0" fillId="20" borderId="0" xfId="0" applyFill="1"/>
    <xf numFmtId="0" fontId="0" fillId="0" borderId="0" xfId="0"/>
    <xf numFmtId="0" fontId="0" fillId="21" borderId="0" xfId="0" applyFill="1"/>
    <xf numFmtId="2" fontId="0" fillId="20" borderId="0" xfId="0" applyNumberFormat="1" applyFill="1"/>
    <xf numFmtId="2" fontId="0" fillId="21" borderId="0" xfId="0" applyNumberFormat="1" applyFill="1"/>
    <xf numFmtId="167" fontId="0" fillId="0" borderId="0" xfId="0" applyNumberFormat="1"/>
    <xf numFmtId="167" fontId="0" fillId="0" borderId="0" xfId="0" applyNumberFormat="1"/>
    <xf numFmtId="167" fontId="0" fillId="0" borderId="0" xfId="0" applyNumberFormat="1"/>
    <xf numFmtId="167" fontId="0" fillId="0" borderId="0" xfId="0" applyNumberFormat="1"/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38" xfId="0" applyFont="1" applyFill="1" applyBorder="1" applyAlignment="1">
      <alignment horizontal="center" vertical="center" wrapText="1"/>
    </xf>
    <xf numFmtId="0" fontId="1" fillId="8" borderId="39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12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2" borderId="0" xfId="0" applyFill="1"/>
    <xf numFmtId="164" fontId="0" fillId="23" borderId="0" xfId="0" applyNumberFormat="1" applyFill="1"/>
    <xf numFmtId="0" fontId="0" fillId="23" borderId="0" xfId="0" applyFill="1"/>
    <xf numFmtId="164" fontId="0" fillId="23" borderId="0" xfId="0" applyNumberFormat="1" applyFill="1" applyAlignment="1">
      <alignment horizontal="left"/>
    </xf>
    <xf numFmtId="167" fontId="0" fillId="23" borderId="0" xfId="0" applyNumberFormat="1" applyFill="1"/>
  </cellXfs>
  <cellStyles count="2">
    <cellStyle name="20% — акцент1" xfId="1" builtinId="30"/>
    <cellStyle name="Обычный" xfId="0" builtinId="0"/>
  </cellStyles>
  <dxfs count="37"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B21" sqref="B21"/>
    </sheetView>
  </sheetViews>
  <sheetFormatPr defaultRowHeight="15" x14ac:dyDescent="0.25"/>
  <cols>
    <col min="1" max="1" width="25" customWidth="1"/>
    <col min="2" max="2" width="77.7109375" customWidth="1"/>
    <col min="4" max="4" width="24.5703125" customWidth="1"/>
    <col min="5" max="5" width="20.140625" customWidth="1"/>
    <col min="8" max="8" width="27.7109375" customWidth="1"/>
    <col min="22" max="22" width="8" customWidth="1"/>
    <col min="23" max="23" width="32.28515625" customWidth="1"/>
  </cols>
  <sheetData>
    <row r="1" spans="1:22" ht="18.75" x14ac:dyDescent="0.3">
      <c r="A1" s="88" t="s">
        <v>173</v>
      </c>
      <c r="B1" s="91" t="s">
        <v>170</v>
      </c>
      <c r="C1" s="58"/>
      <c r="D1" s="58"/>
      <c r="E1" s="58"/>
      <c r="F1" s="58"/>
      <c r="G1" s="44"/>
      <c r="H1" s="45" t="s">
        <v>85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8.75" x14ac:dyDescent="0.3">
      <c r="A2" s="89" t="s">
        <v>174</v>
      </c>
      <c r="B2" s="92" t="s">
        <v>162</v>
      </c>
      <c r="C2" s="58"/>
      <c r="F2" s="95"/>
      <c r="G2" s="224"/>
      <c r="H2" s="226" t="s">
        <v>86</v>
      </c>
      <c r="I2" s="95"/>
      <c r="J2" s="95"/>
      <c r="K2" s="95"/>
      <c r="L2" s="95"/>
      <c r="M2" s="95"/>
      <c r="N2" s="95"/>
      <c r="O2" s="95"/>
      <c r="P2" s="58"/>
      <c r="Q2" s="58"/>
      <c r="R2" s="58"/>
      <c r="S2" s="58"/>
      <c r="T2" s="58"/>
      <c r="U2" s="58"/>
    </row>
    <row r="3" spans="1:22" ht="18.75" x14ac:dyDescent="0.3">
      <c r="A3" s="89" t="s">
        <v>175</v>
      </c>
      <c r="B3" s="92" t="s">
        <v>167</v>
      </c>
      <c r="C3" s="58"/>
      <c r="D3" s="58"/>
      <c r="E3" s="58"/>
      <c r="F3" s="58"/>
      <c r="G3" s="225"/>
      <c r="H3" s="227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2" ht="19.5" thickBot="1" x14ac:dyDescent="0.35">
      <c r="A4" s="90" t="s">
        <v>176</v>
      </c>
      <c r="B4" s="93" t="s">
        <v>166</v>
      </c>
      <c r="C4" s="58"/>
      <c r="D4" s="58"/>
      <c r="E4" s="58"/>
      <c r="F4" s="58"/>
      <c r="G4" s="46"/>
      <c r="H4" s="47" t="s">
        <v>87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2" ht="19.5" thickBot="1" x14ac:dyDescent="0.3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2" ht="19.5" thickBot="1" x14ac:dyDescent="0.35">
      <c r="A6" s="97" t="s">
        <v>180</v>
      </c>
      <c r="B6" s="96" t="s">
        <v>271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</row>
    <row r="7" spans="1:22" ht="19.5" thickBot="1" x14ac:dyDescent="0.35">
      <c r="A7" s="97" t="s">
        <v>181</v>
      </c>
      <c r="B7" s="102" t="s">
        <v>272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2" ht="38.25" thickBot="1" x14ac:dyDescent="0.35">
      <c r="A8" s="100" t="s">
        <v>182</v>
      </c>
      <c r="B8" s="98" t="s">
        <v>273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</row>
    <row r="9" spans="1:22" ht="38.25" thickBot="1" x14ac:dyDescent="0.35">
      <c r="A9" s="101" t="s">
        <v>184</v>
      </c>
      <c r="B9" s="99" t="s">
        <v>273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22" ht="38.25" thickBot="1" x14ac:dyDescent="0.35">
      <c r="A10" s="101" t="s">
        <v>183</v>
      </c>
      <c r="B10" s="103" t="s">
        <v>274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2" ht="38.25" thickBot="1" x14ac:dyDescent="0.35">
      <c r="A11" s="101" t="s">
        <v>185</v>
      </c>
      <c r="B11" s="104" t="s">
        <v>275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</row>
    <row r="12" spans="1:22" ht="19.5" thickBot="1" x14ac:dyDescent="0.35">
      <c r="A12" s="101" t="s">
        <v>287</v>
      </c>
      <c r="B12" s="96" t="s">
        <v>276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22" ht="19.5" thickBot="1" x14ac:dyDescent="0.35">
      <c r="A13" s="101" t="s">
        <v>288</v>
      </c>
      <c r="B13" s="105" t="s">
        <v>286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</row>
    <row r="14" spans="1:22" ht="18.75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ht="18.75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</row>
    <row r="16" spans="1:22" ht="18.75" x14ac:dyDescent="0.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</row>
    <row r="17" spans="1:22" ht="18.75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</row>
    <row r="18" spans="1:22" ht="18.75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</row>
    <row r="19" spans="1:22" ht="18.75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1:22" ht="18.75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 ht="18.75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2" ht="18.75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2" ht="18.75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</row>
    <row r="24" spans="1:22" ht="18.75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</row>
    <row r="25" spans="1:22" ht="18.75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  <row r="26" spans="1:22" ht="18.75" x14ac:dyDescent="0.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</row>
    <row r="27" spans="1:22" ht="18.75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</row>
    <row r="28" spans="1:22" ht="18.75" x14ac:dyDescent="0.3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</row>
    <row r="29" spans="1:22" ht="18.75" x14ac:dyDescent="0.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</row>
    <row r="30" spans="1:22" ht="18.75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</row>
    <row r="31" spans="1:22" ht="18.75" x14ac:dyDescent="0.3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</row>
    <row r="32" spans="1:22" ht="18.75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</row>
    <row r="33" spans="1:22" ht="18.75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</row>
    <row r="34" spans="1:22" ht="18.75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</row>
    <row r="35" spans="1:22" ht="18.75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</row>
    <row r="36" spans="1:22" ht="18.75" x14ac:dyDescent="0.3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</row>
    <row r="37" spans="1:22" ht="18.75" x14ac:dyDescent="0.3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</row>
  </sheetData>
  <mergeCells count="2">
    <mergeCell ref="G2:G3"/>
    <mergeCell ref="H2:H3"/>
  </mergeCells>
  <dataValidations count="1">
    <dataValidation type="list" allowBlank="1" showInputMessage="1" showErrorMessage="1" sqref="B1:B4">
      <formula1>Разработчики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E18" sqref="E18"/>
    </sheetView>
  </sheetViews>
  <sheetFormatPr defaultRowHeight="15" x14ac:dyDescent="0.25"/>
  <cols>
    <col min="2" max="2" width="19" customWidth="1"/>
    <col min="3" max="3" width="11.7109375" customWidth="1"/>
  </cols>
  <sheetData>
    <row r="1" spans="2:8" ht="15.75" thickBot="1" x14ac:dyDescent="0.3"/>
    <row r="2" spans="2:8" ht="16.5" thickTop="1" thickBot="1" x14ac:dyDescent="0.3">
      <c r="B2" s="185" t="s">
        <v>296</v>
      </c>
      <c r="C2" s="185">
        <f>G4/((C7/2)*(G5+G6))</f>
        <v>6.9399426929242836E-2</v>
      </c>
      <c r="D2" t="s">
        <v>313</v>
      </c>
    </row>
    <row r="3" spans="2:8" ht="16.5" thickTop="1" thickBot="1" x14ac:dyDescent="0.3">
      <c r="B3" s="185" t="s">
        <v>297</v>
      </c>
      <c r="C3" s="185">
        <f>(C11*9.81/2)/1000000</f>
        <v>1.5941250000000001E-2</v>
      </c>
      <c r="D3" t="s">
        <v>313</v>
      </c>
    </row>
    <row r="4" spans="2:8" ht="15.75" thickTop="1" x14ac:dyDescent="0.25">
      <c r="B4" t="s">
        <v>267</v>
      </c>
      <c r="C4">
        <v>300</v>
      </c>
      <c r="D4" t="s">
        <v>303</v>
      </c>
      <c r="F4" t="s">
        <v>300</v>
      </c>
      <c r="G4">
        <f>(C4*C5)/1000000</f>
        <v>2.1000000000000001E-4</v>
      </c>
      <c r="H4" t="s">
        <v>312</v>
      </c>
    </row>
    <row r="5" spans="2:8" x14ac:dyDescent="0.25">
      <c r="B5" t="s">
        <v>298</v>
      </c>
      <c r="C5">
        <v>0.7</v>
      </c>
      <c r="D5" t="s">
        <v>302</v>
      </c>
      <c r="F5" t="s">
        <v>309</v>
      </c>
      <c r="G5">
        <f>C8/(3.14*C7)</f>
        <v>3.5828025477706998E-2</v>
      </c>
    </row>
    <row r="6" spans="2:8" x14ac:dyDescent="0.25">
      <c r="B6" t="s">
        <v>299</v>
      </c>
      <c r="C6">
        <v>8.0000000000000004E-4</v>
      </c>
      <c r="D6" t="s">
        <v>301</v>
      </c>
      <c r="F6" t="s">
        <v>310</v>
      </c>
      <c r="G6">
        <f>(C9*2)/((3)^(0.5))</f>
        <v>0.11547005383792516</v>
      </c>
    </row>
    <row r="7" spans="2:8" x14ac:dyDescent="0.25">
      <c r="B7" t="s">
        <v>304</v>
      </c>
      <c r="C7">
        <v>0.04</v>
      </c>
    </row>
    <row r="8" spans="2:8" x14ac:dyDescent="0.25">
      <c r="B8" t="s">
        <v>305</v>
      </c>
      <c r="C8">
        <v>4.4999999999999997E-3</v>
      </c>
    </row>
    <row r="9" spans="2:8" x14ac:dyDescent="0.25">
      <c r="B9" t="s">
        <v>306</v>
      </c>
      <c r="C9">
        <v>0.1</v>
      </c>
    </row>
    <row r="10" spans="2:8" x14ac:dyDescent="0.25">
      <c r="B10" t="s">
        <v>307</v>
      </c>
      <c r="C10">
        <v>60</v>
      </c>
    </row>
    <row r="11" spans="2:8" x14ac:dyDescent="0.25">
      <c r="B11" t="s">
        <v>308</v>
      </c>
      <c r="C11">
        <v>3250</v>
      </c>
    </row>
    <row r="13" spans="2:8" x14ac:dyDescent="0.25">
      <c r="B13" t="s">
        <v>311</v>
      </c>
      <c r="C13">
        <f>((2*C2)+C3)/(2*C6)</f>
        <v>96.712564911553528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opLeftCell="A19" workbookViewId="0">
      <selection activeCell="F37" sqref="F37"/>
    </sheetView>
  </sheetViews>
  <sheetFormatPr defaultRowHeight="15" x14ac:dyDescent="0.25"/>
  <cols>
    <col min="1" max="1" width="62.42578125" customWidth="1"/>
    <col min="2" max="2" width="22.42578125" customWidth="1"/>
    <col min="3" max="3" width="26.85546875" customWidth="1"/>
    <col min="4" max="5" width="13.5703125" customWidth="1"/>
    <col min="6" max="6" width="26" customWidth="1"/>
    <col min="7" max="7" width="11.42578125" customWidth="1"/>
    <col min="8" max="8" width="47.42578125" customWidth="1"/>
    <col min="9" max="9" width="22" customWidth="1"/>
    <col min="10" max="10" width="28.140625" customWidth="1"/>
  </cols>
  <sheetData>
    <row r="1" spans="1:23" ht="18.75" x14ac:dyDescent="0.3">
      <c r="A1" s="59"/>
      <c r="B1" s="59"/>
      <c r="C1" s="59"/>
      <c r="D1" s="59"/>
      <c r="E1" s="59"/>
      <c r="F1" s="59"/>
      <c r="G1" s="59"/>
      <c r="H1" s="59"/>
      <c r="I1" s="59"/>
      <c r="J1" s="59"/>
      <c r="K1" s="36"/>
      <c r="L1" s="36"/>
      <c r="M1" s="36"/>
      <c r="N1" s="36"/>
      <c r="O1" s="36"/>
      <c r="P1" s="36"/>
      <c r="Q1" s="36"/>
    </row>
    <row r="2" spans="1:23" ht="14.25" customHeight="1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</row>
    <row r="3" spans="1:23" ht="18" customHeight="1" thickTop="1" thickBot="1" x14ac:dyDescent="0.3">
      <c r="A3" s="147" t="s">
        <v>24</v>
      </c>
      <c r="B3" s="154" t="s">
        <v>25</v>
      </c>
      <c r="C3" s="163" t="s">
        <v>26</v>
      </c>
      <c r="D3" s="37"/>
      <c r="E3" s="38"/>
      <c r="F3" s="35"/>
      <c r="G3" s="35"/>
      <c r="H3" s="37"/>
      <c r="I3" s="37"/>
      <c r="J3" s="37"/>
      <c r="K3" s="35"/>
      <c r="L3" s="35"/>
      <c r="M3" s="35"/>
      <c r="N3" s="35"/>
      <c r="O3" s="35"/>
      <c r="P3" s="35"/>
      <c r="Q3" s="31"/>
      <c r="R3" s="31"/>
      <c r="S3" s="31"/>
      <c r="T3" s="31"/>
      <c r="U3" s="31"/>
      <c r="V3" s="31"/>
    </row>
    <row r="4" spans="1:23" ht="26.25" customHeight="1" thickTop="1" thickBot="1" x14ac:dyDescent="0.35">
      <c r="A4" s="148" t="s">
        <v>1</v>
      </c>
      <c r="B4" s="155" t="s">
        <v>116</v>
      </c>
      <c r="C4" s="164">
        <v>61</v>
      </c>
      <c r="D4" s="37"/>
      <c r="E4" s="44"/>
      <c r="F4" s="45" t="s">
        <v>85</v>
      </c>
      <c r="G4" s="59"/>
      <c r="H4" s="37" t="s">
        <v>88</v>
      </c>
      <c r="I4" s="37"/>
      <c r="J4" s="37"/>
      <c r="K4" s="35"/>
      <c r="L4" s="35"/>
      <c r="M4" s="35"/>
      <c r="N4" s="35"/>
      <c r="O4" s="35"/>
      <c r="P4" s="35"/>
      <c r="Q4" s="31"/>
      <c r="R4" s="31"/>
      <c r="S4" s="31"/>
      <c r="T4" s="31"/>
      <c r="U4" s="31"/>
      <c r="V4" s="31"/>
    </row>
    <row r="5" spans="1:23" ht="21" customHeight="1" thickTop="1" thickBot="1" x14ac:dyDescent="0.35">
      <c r="A5" s="148" t="s">
        <v>186</v>
      </c>
      <c r="B5" s="155" t="s">
        <v>28</v>
      </c>
      <c r="C5" s="164">
        <v>39</v>
      </c>
      <c r="D5" s="35"/>
      <c r="E5" s="224"/>
      <c r="F5" s="226" t="s">
        <v>86</v>
      </c>
      <c r="G5" s="59"/>
      <c r="H5" s="40" t="s">
        <v>24</v>
      </c>
      <c r="I5" s="41" t="s">
        <v>25</v>
      </c>
      <c r="J5" s="42" t="s">
        <v>26</v>
      </c>
      <c r="K5" s="35"/>
      <c r="L5" s="35"/>
      <c r="M5" s="35"/>
      <c r="N5" s="35"/>
      <c r="O5" s="35"/>
      <c r="P5" s="35"/>
      <c r="Q5" s="31"/>
      <c r="R5" s="31"/>
      <c r="S5" s="31"/>
      <c r="T5" s="31"/>
      <c r="U5" s="31"/>
      <c r="V5" s="31"/>
    </row>
    <row r="6" spans="1:23" ht="21" customHeight="1" thickTop="1" thickBot="1" x14ac:dyDescent="0.35">
      <c r="A6" s="148" t="s">
        <v>115</v>
      </c>
      <c r="B6" s="155" t="s">
        <v>27</v>
      </c>
      <c r="C6" s="164">
        <v>86.7</v>
      </c>
      <c r="D6" s="35"/>
      <c r="E6" s="225"/>
      <c r="F6" s="227"/>
      <c r="G6" s="59"/>
      <c r="H6" s="50" t="s">
        <v>104</v>
      </c>
      <c r="I6" s="55" t="s">
        <v>58</v>
      </c>
      <c r="J6" s="43">
        <v>310</v>
      </c>
      <c r="K6" s="35"/>
      <c r="L6" s="35"/>
      <c r="M6" s="35"/>
      <c r="N6" s="35"/>
      <c r="O6" s="35"/>
      <c r="P6" s="35"/>
      <c r="Q6" s="31"/>
      <c r="R6" s="31"/>
      <c r="S6" s="31"/>
      <c r="T6" s="31"/>
      <c r="U6" s="31"/>
      <c r="V6" s="31"/>
    </row>
    <row r="7" spans="1:23" ht="35.25" customHeight="1" thickTop="1" thickBot="1" x14ac:dyDescent="0.35">
      <c r="A7" s="149" t="s">
        <v>35</v>
      </c>
      <c r="B7" s="155"/>
      <c r="C7" s="165" t="str">
        <f>VLOOKUP(B12,'Нормируемые параметры'!$B$3:$E$8,4,0)</f>
        <v>245,25 (25,0)</v>
      </c>
      <c r="D7" s="35"/>
      <c r="E7" s="46"/>
      <c r="F7" s="47" t="s">
        <v>87</v>
      </c>
      <c r="G7" s="59"/>
      <c r="H7" s="48" t="s">
        <v>104</v>
      </c>
      <c r="I7" s="53" t="s">
        <v>63</v>
      </c>
      <c r="J7" s="43">
        <v>350</v>
      </c>
      <c r="K7" s="35"/>
      <c r="L7" s="35"/>
      <c r="M7" s="35"/>
      <c r="N7" s="35"/>
      <c r="O7" s="35"/>
      <c r="P7" s="35"/>
      <c r="Q7" s="31"/>
      <c r="R7" s="31"/>
      <c r="S7" s="31"/>
      <c r="T7" s="31"/>
      <c r="U7" s="31"/>
      <c r="V7" s="31"/>
    </row>
    <row r="8" spans="1:23" ht="33.75" customHeight="1" thickTop="1" thickBot="1" x14ac:dyDescent="0.35">
      <c r="A8" s="149" t="s">
        <v>50</v>
      </c>
      <c r="B8" s="155" t="s">
        <v>30</v>
      </c>
      <c r="C8" s="164">
        <v>12.02</v>
      </c>
      <c r="D8" s="35"/>
      <c r="E8" s="59"/>
      <c r="F8" s="59"/>
      <c r="G8" s="59"/>
      <c r="H8" s="48" t="s">
        <v>104</v>
      </c>
      <c r="I8" s="53" t="s">
        <v>89</v>
      </c>
      <c r="J8" s="43">
        <v>140</v>
      </c>
      <c r="K8" s="35"/>
      <c r="L8" s="35"/>
      <c r="M8" s="35"/>
      <c r="N8" s="35"/>
      <c r="O8" s="35"/>
      <c r="P8" s="35"/>
      <c r="Q8" s="31"/>
      <c r="R8" s="31"/>
      <c r="S8" s="31"/>
      <c r="T8" s="31"/>
      <c r="U8" s="31"/>
      <c r="V8" s="31"/>
    </row>
    <row r="9" spans="1:23" ht="20.25" thickTop="1" thickBot="1" x14ac:dyDescent="0.35">
      <c r="A9" s="148" t="s">
        <v>51</v>
      </c>
      <c r="B9" s="155" t="s">
        <v>29</v>
      </c>
      <c r="C9" s="164">
        <v>7.8</v>
      </c>
      <c r="D9" s="35"/>
      <c r="E9" s="59"/>
      <c r="F9" s="59"/>
      <c r="G9" s="59"/>
      <c r="H9" s="48" t="s">
        <v>104</v>
      </c>
      <c r="I9" s="53" t="s">
        <v>90</v>
      </c>
      <c r="J9" s="43">
        <v>220</v>
      </c>
      <c r="K9" s="35"/>
      <c r="L9" s="35"/>
      <c r="M9" s="35"/>
      <c r="N9" s="35"/>
      <c r="O9" s="35"/>
      <c r="P9" s="35"/>
      <c r="Q9" s="31"/>
      <c r="R9" s="31"/>
      <c r="S9" s="31"/>
      <c r="T9" s="31"/>
      <c r="U9" s="31"/>
      <c r="V9" s="31"/>
    </row>
    <row r="10" spans="1:23" ht="22.5" customHeight="1" thickTop="1" thickBot="1" x14ac:dyDescent="0.35">
      <c r="A10" s="149" t="s">
        <v>40</v>
      </c>
      <c r="B10" s="155" t="s">
        <v>41</v>
      </c>
      <c r="C10" s="166" t="s">
        <v>42</v>
      </c>
      <c r="D10" s="35"/>
      <c r="E10" s="59"/>
      <c r="F10" s="59"/>
      <c r="G10" s="59"/>
      <c r="H10" s="48" t="s">
        <v>104</v>
      </c>
      <c r="I10" s="53" t="s">
        <v>91</v>
      </c>
      <c r="J10" s="43">
        <v>410</v>
      </c>
      <c r="K10" s="35"/>
      <c r="L10" s="35"/>
      <c r="M10" s="35"/>
      <c r="N10" s="35"/>
      <c r="O10" s="35"/>
      <c r="P10" s="35"/>
      <c r="Q10" s="31"/>
      <c r="R10" s="31"/>
      <c r="S10" s="31"/>
      <c r="T10" s="31"/>
      <c r="U10" s="31"/>
      <c r="V10" s="31"/>
    </row>
    <row r="11" spans="1:23" ht="39" thickTop="1" thickBot="1" x14ac:dyDescent="0.35">
      <c r="A11" s="149" t="s">
        <v>43</v>
      </c>
      <c r="B11" s="156" t="s">
        <v>45</v>
      </c>
      <c r="C11" s="166"/>
      <c r="D11" s="35"/>
      <c r="E11" s="59"/>
      <c r="F11" s="59"/>
      <c r="G11" s="59"/>
      <c r="H11" s="49" t="s">
        <v>95</v>
      </c>
      <c r="I11" s="53" t="s">
        <v>94</v>
      </c>
      <c r="J11" s="43">
        <v>340</v>
      </c>
      <c r="K11" s="35"/>
      <c r="L11" s="35"/>
      <c r="M11" s="35"/>
      <c r="N11" s="35"/>
      <c r="O11" s="35"/>
      <c r="P11" s="35"/>
      <c r="Q11" s="31"/>
      <c r="R11" s="31"/>
      <c r="S11" s="31"/>
      <c r="T11" s="31"/>
      <c r="U11" s="31"/>
      <c r="V11" s="31"/>
    </row>
    <row r="12" spans="1:23" ht="20.25" thickTop="1" thickBot="1" x14ac:dyDescent="0.35">
      <c r="A12" s="148" t="s">
        <v>0</v>
      </c>
      <c r="B12" s="156" t="s">
        <v>190</v>
      </c>
      <c r="C12" s="166" t="str">
        <f>VLOOKUP(B12,'Нормируемые параметры'!$B$3:$F$8,5,0)</f>
        <v>тип 3, ГОСТ 9246-2013</v>
      </c>
      <c r="D12" s="35"/>
      <c r="E12" s="59"/>
      <c r="F12" s="59"/>
      <c r="G12" s="59"/>
      <c r="H12" s="48" t="s">
        <v>92</v>
      </c>
      <c r="I12" s="53" t="s">
        <v>93</v>
      </c>
      <c r="J12" s="43">
        <v>0.254</v>
      </c>
      <c r="K12" s="35"/>
      <c r="L12" s="35"/>
      <c r="M12" s="35"/>
      <c r="N12" s="35"/>
      <c r="O12" s="35"/>
      <c r="P12" s="35"/>
      <c r="Q12" s="31"/>
      <c r="R12" s="31"/>
      <c r="S12" s="31"/>
      <c r="T12" s="31"/>
      <c r="U12" s="31"/>
      <c r="V12" s="31"/>
    </row>
    <row r="13" spans="1:23" ht="57.75" thickTop="1" thickBot="1" x14ac:dyDescent="0.35">
      <c r="A13" s="149" t="s">
        <v>105</v>
      </c>
      <c r="B13" s="155"/>
      <c r="C13" s="164">
        <v>0</v>
      </c>
      <c r="D13" s="35"/>
      <c r="E13" s="59"/>
      <c r="F13" s="59"/>
      <c r="G13" s="59"/>
      <c r="H13" s="49" t="s">
        <v>97</v>
      </c>
      <c r="I13" s="53" t="s">
        <v>96</v>
      </c>
      <c r="J13" s="43">
        <v>100</v>
      </c>
      <c r="K13" s="35"/>
      <c r="L13" s="35"/>
      <c r="M13" s="35"/>
      <c r="N13" s="35"/>
      <c r="O13" s="35"/>
      <c r="P13" s="35"/>
      <c r="Q13" s="31"/>
      <c r="R13" s="31"/>
      <c r="S13" s="31"/>
      <c r="T13" s="31"/>
      <c r="U13" s="31"/>
      <c r="V13" s="31"/>
    </row>
    <row r="14" spans="1:23" ht="39" thickTop="1" thickBot="1" x14ac:dyDescent="0.35">
      <c r="A14" s="148" t="s">
        <v>31</v>
      </c>
      <c r="B14" s="155" t="s">
        <v>39</v>
      </c>
      <c r="C14" s="166">
        <f>VLOOKUP(B12,'Нормируемые параметры'!$B$3:$C$8,2,0)</f>
        <v>4.92</v>
      </c>
      <c r="D14" s="35"/>
      <c r="E14" s="59"/>
      <c r="F14" s="59"/>
      <c r="G14" s="59"/>
      <c r="H14" s="49" t="s">
        <v>98</v>
      </c>
      <c r="I14" s="53" t="s">
        <v>99</v>
      </c>
      <c r="J14" s="43">
        <v>82</v>
      </c>
      <c r="K14" s="35"/>
      <c r="L14" s="35"/>
      <c r="M14" s="35"/>
      <c r="N14" s="35"/>
      <c r="O14" s="35"/>
      <c r="P14" s="35"/>
      <c r="Q14" s="31"/>
      <c r="R14" s="31"/>
      <c r="S14" s="31"/>
      <c r="T14" s="31"/>
      <c r="U14" s="31"/>
      <c r="V14" s="31"/>
    </row>
    <row r="15" spans="1:23" ht="39" thickTop="1" thickBot="1" x14ac:dyDescent="0.35">
      <c r="A15" s="148" t="s">
        <v>33</v>
      </c>
      <c r="B15" s="155" t="s">
        <v>32</v>
      </c>
      <c r="C15" s="164">
        <v>100</v>
      </c>
      <c r="D15" s="35"/>
      <c r="E15" s="59"/>
      <c r="F15" s="59"/>
      <c r="G15" s="59"/>
      <c r="H15" s="49" t="s">
        <v>100</v>
      </c>
      <c r="I15" s="53" t="s">
        <v>101</v>
      </c>
      <c r="J15" s="43">
        <v>0.2</v>
      </c>
      <c r="K15" s="35"/>
      <c r="L15" s="35"/>
      <c r="M15" s="35"/>
      <c r="N15" s="35"/>
      <c r="O15" s="35"/>
      <c r="P15" s="35"/>
      <c r="Q15" s="31"/>
      <c r="R15" s="31"/>
      <c r="S15" s="31"/>
      <c r="T15" s="31"/>
      <c r="U15" s="31"/>
      <c r="V15" s="31"/>
    </row>
    <row r="16" spans="1:23" ht="41.25" customHeight="1" thickTop="1" thickBot="1" x14ac:dyDescent="0.35">
      <c r="A16" s="149" t="s">
        <v>48</v>
      </c>
      <c r="B16" s="155" t="s">
        <v>49</v>
      </c>
      <c r="C16" s="164">
        <v>8.77</v>
      </c>
      <c r="D16" s="35"/>
      <c r="E16" s="59"/>
      <c r="F16" s="59"/>
      <c r="G16" s="59"/>
      <c r="H16" s="49" t="s">
        <v>102</v>
      </c>
      <c r="I16" s="53" t="s">
        <v>103</v>
      </c>
      <c r="J16" s="43">
        <v>8.6999999999999994E-2</v>
      </c>
      <c r="K16" s="35"/>
      <c r="L16" s="35"/>
      <c r="M16" s="35"/>
      <c r="N16" s="35"/>
      <c r="O16" s="35"/>
      <c r="P16" s="35"/>
      <c r="Q16" s="31"/>
      <c r="R16" s="31"/>
      <c r="S16" s="31"/>
      <c r="T16" s="31"/>
      <c r="U16" s="31"/>
      <c r="V16" s="31"/>
    </row>
    <row r="17" spans="1:22" ht="51" customHeight="1" thickTop="1" thickBot="1" x14ac:dyDescent="0.35">
      <c r="A17" s="149" t="s">
        <v>114</v>
      </c>
      <c r="B17" s="155" t="s">
        <v>113</v>
      </c>
      <c r="C17" s="166">
        <v>9.81</v>
      </c>
      <c r="D17" s="35"/>
      <c r="E17" s="59"/>
      <c r="F17" s="59"/>
      <c r="G17" s="59"/>
      <c r="H17" s="49" t="s">
        <v>326</v>
      </c>
      <c r="I17" s="53" t="s">
        <v>321</v>
      </c>
      <c r="J17" s="43">
        <v>5.16E-2</v>
      </c>
      <c r="K17" s="35"/>
      <c r="L17" s="35"/>
      <c r="M17" s="35"/>
      <c r="N17" s="35"/>
      <c r="O17" s="35"/>
      <c r="P17" s="35"/>
      <c r="Q17" s="31"/>
      <c r="R17" s="31"/>
      <c r="S17" s="31"/>
      <c r="T17" s="31"/>
      <c r="U17" s="31"/>
      <c r="V17" s="31"/>
    </row>
    <row r="18" spans="1:22" ht="57.75" thickTop="1" thickBot="1" x14ac:dyDescent="0.35">
      <c r="A18" s="149" t="s">
        <v>52</v>
      </c>
      <c r="B18" s="157" t="s">
        <v>34</v>
      </c>
      <c r="C18" s="166">
        <v>0.04</v>
      </c>
      <c r="D18" s="35"/>
      <c r="E18" s="59"/>
      <c r="F18" s="59"/>
      <c r="G18" s="59"/>
      <c r="H18" s="49" t="s">
        <v>325</v>
      </c>
      <c r="I18" s="53" t="s">
        <v>322</v>
      </c>
      <c r="J18" s="43">
        <v>5.0000000000000001E-3</v>
      </c>
      <c r="K18" s="35"/>
      <c r="L18" s="35"/>
      <c r="M18" s="35"/>
      <c r="N18" s="35"/>
      <c r="O18" s="35"/>
      <c r="P18" s="35"/>
      <c r="Q18" s="31"/>
      <c r="R18" s="31"/>
      <c r="S18" s="31"/>
      <c r="T18" s="31"/>
      <c r="U18" s="31"/>
      <c r="V18" s="31"/>
    </row>
    <row r="19" spans="1:22" ht="17.25" customHeight="1" thickTop="1" thickBot="1" x14ac:dyDescent="0.3">
      <c r="A19" s="148" t="s">
        <v>57</v>
      </c>
      <c r="B19" s="236" t="s">
        <v>58</v>
      </c>
      <c r="C19" s="16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1"/>
      <c r="R19" s="31"/>
      <c r="S19" s="31"/>
      <c r="T19" s="31"/>
      <c r="U19" s="31"/>
      <c r="V19" s="31"/>
    </row>
    <row r="20" spans="1:22" ht="20.25" thickTop="1" thickBot="1" x14ac:dyDescent="0.3">
      <c r="A20" s="150" t="s">
        <v>62</v>
      </c>
      <c r="B20" s="236"/>
      <c r="C20" s="165">
        <v>1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1"/>
      <c r="R20" s="31"/>
      <c r="S20" s="31"/>
      <c r="T20" s="31"/>
      <c r="U20" s="31"/>
      <c r="V20" s="31"/>
    </row>
    <row r="21" spans="1:22" ht="20.25" thickTop="1" thickBot="1" x14ac:dyDescent="0.3">
      <c r="A21" s="150" t="s">
        <v>61</v>
      </c>
      <c r="B21" s="236"/>
      <c r="C21" s="165">
        <v>0.9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1"/>
      <c r="R21" s="31"/>
      <c r="S21" s="31"/>
      <c r="T21" s="31"/>
      <c r="U21" s="31"/>
      <c r="V21" s="31"/>
    </row>
    <row r="22" spans="1:22" ht="20.25" thickTop="1" thickBot="1" x14ac:dyDescent="0.3">
      <c r="A22" s="149" t="s">
        <v>59</v>
      </c>
      <c r="B22" s="157" t="s">
        <v>60</v>
      </c>
      <c r="C22" s="165">
        <v>0.1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1"/>
      <c r="R22" s="31"/>
      <c r="S22" s="31"/>
      <c r="T22" s="31"/>
      <c r="U22" s="31"/>
      <c r="V22" s="31"/>
    </row>
    <row r="23" spans="1:22" ht="20.25" thickTop="1" thickBot="1" x14ac:dyDescent="0.3">
      <c r="A23" s="148" t="s">
        <v>55</v>
      </c>
      <c r="B23" s="157" t="s">
        <v>56</v>
      </c>
      <c r="C23" s="165">
        <v>250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1"/>
      <c r="R23" s="31"/>
      <c r="S23" s="31"/>
      <c r="T23" s="31"/>
      <c r="U23" s="31"/>
      <c r="V23" s="31"/>
    </row>
    <row r="24" spans="1:22" ht="20.25" thickTop="1" thickBot="1" x14ac:dyDescent="0.3">
      <c r="A24" s="149" t="s">
        <v>192</v>
      </c>
      <c r="B24" s="155" t="s">
        <v>41</v>
      </c>
      <c r="C24" s="165">
        <v>120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1"/>
      <c r="R24" s="31"/>
      <c r="S24" s="31"/>
      <c r="T24" s="31"/>
      <c r="U24" s="31"/>
      <c r="V24" s="31"/>
    </row>
    <row r="25" spans="1:22" ht="20.25" thickTop="1" thickBot="1" x14ac:dyDescent="0.3">
      <c r="A25" s="150" t="s">
        <v>193</v>
      </c>
      <c r="B25" s="157" t="s">
        <v>194</v>
      </c>
      <c r="C25" s="167">
        <f>C4/(C6*(C33/100))</f>
        <v>0.82773593866612383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1"/>
      <c r="R25" s="31"/>
      <c r="S25" s="31"/>
      <c r="T25" s="31"/>
      <c r="U25" s="31"/>
      <c r="V25" s="31"/>
    </row>
    <row r="26" spans="1:22" ht="20.25" thickTop="1" thickBot="1" x14ac:dyDescent="0.3">
      <c r="A26" s="150" t="s">
        <v>133</v>
      </c>
      <c r="B26" s="156" t="s">
        <v>135</v>
      </c>
      <c r="C26" s="16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1"/>
      <c r="R26" s="31"/>
      <c r="S26" s="31"/>
      <c r="T26" s="31"/>
      <c r="U26" s="31"/>
      <c r="V26" s="31"/>
    </row>
    <row r="27" spans="1:22" ht="20.25" thickTop="1" thickBot="1" x14ac:dyDescent="0.3">
      <c r="A27" s="149" t="s">
        <v>78</v>
      </c>
      <c r="B27" s="157" t="s">
        <v>80</v>
      </c>
      <c r="C27" s="164">
        <v>3176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1"/>
      <c r="R27" s="31"/>
      <c r="S27" s="31"/>
      <c r="T27" s="31"/>
      <c r="U27" s="31"/>
      <c r="V27" s="31"/>
    </row>
    <row r="28" spans="1:22" ht="20.25" thickTop="1" thickBot="1" x14ac:dyDescent="0.3">
      <c r="A28" s="149" t="s">
        <v>81</v>
      </c>
      <c r="B28" s="157" t="s">
        <v>79</v>
      </c>
      <c r="C28" s="164">
        <v>3230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1"/>
      <c r="R28" s="31"/>
      <c r="S28" s="31"/>
      <c r="T28" s="31"/>
      <c r="U28" s="31"/>
      <c r="V28" s="31"/>
    </row>
    <row r="29" spans="1:22" ht="20.25" thickTop="1" thickBot="1" x14ac:dyDescent="0.3">
      <c r="A29" s="149" t="s">
        <v>82</v>
      </c>
      <c r="B29" s="157" t="s">
        <v>83</v>
      </c>
      <c r="C29" s="164">
        <v>565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1"/>
      <c r="R29" s="31"/>
      <c r="S29" s="31"/>
      <c r="T29" s="31"/>
      <c r="U29" s="31"/>
      <c r="V29" s="31"/>
    </row>
    <row r="30" spans="1:22" ht="20.25" thickTop="1" thickBot="1" x14ac:dyDescent="0.3">
      <c r="A30" s="148" t="s">
        <v>64</v>
      </c>
      <c r="B30" s="158" t="s">
        <v>65</v>
      </c>
      <c r="C30" s="164">
        <v>40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1"/>
      <c r="R30" s="31"/>
      <c r="S30" s="31"/>
      <c r="T30" s="31"/>
      <c r="U30" s="31"/>
      <c r="V30" s="31"/>
    </row>
    <row r="31" spans="1:22" ht="39" thickTop="1" thickBot="1" x14ac:dyDescent="0.3">
      <c r="A31" s="149" t="s">
        <v>66</v>
      </c>
      <c r="B31" s="157" t="s">
        <v>67</v>
      </c>
      <c r="C31" s="172">
        <f>PI()*C27*C27/4/1000000</f>
        <v>7.9222924246341391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1"/>
      <c r="R31" s="31"/>
      <c r="S31" s="31"/>
      <c r="T31" s="31"/>
      <c r="U31" s="31"/>
      <c r="V31" s="31"/>
    </row>
    <row r="32" spans="1:22" ht="39" thickTop="1" thickBot="1" x14ac:dyDescent="0.3">
      <c r="A32" s="149" t="s">
        <v>68</v>
      </c>
      <c r="B32" s="157" t="s">
        <v>177</v>
      </c>
      <c r="C32" s="164">
        <v>1.958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1"/>
      <c r="R32" s="31"/>
      <c r="S32" s="31"/>
      <c r="T32" s="31"/>
      <c r="U32" s="31"/>
      <c r="V32" s="31"/>
    </row>
    <row r="33" spans="1:22" ht="20.25" thickTop="1" thickBot="1" x14ac:dyDescent="0.3">
      <c r="A33" s="148" t="s">
        <v>121</v>
      </c>
      <c r="B33" s="157"/>
      <c r="C33" s="164">
        <v>85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1"/>
      <c r="R33" s="31"/>
      <c r="S33" s="31"/>
      <c r="T33" s="31"/>
      <c r="U33" s="31"/>
      <c r="V33" s="31"/>
    </row>
    <row r="34" spans="1:22" ht="20.25" thickTop="1" thickBot="1" x14ac:dyDescent="0.3">
      <c r="A34" s="148" t="s">
        <v>69</v>
      </c>
      <c r="B34" s="157" t="s">
        <v>70</v>
      </c>
      <c r="C34" s="164">
        <v>20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1"/>
      <c r="R34" s="31"/>
      <c r="S34" s="31"/>
      <c r="T34" s="31"/>
      <c r="U34" s="31"/>
      <c r="V34" s="31"/>
    </row>
    <row r="35" spans="1:22" ht="20.25" thickTop="1" thickBot="1" x14ac:dyDescent="0.3">
      <c r="A35" s="148" t="s">
        <v>143</v>
      </c>
      <c r="B35" s="157" t="s">
        <v>144</v>
      </c>
      <c r="C35" s="164">
        <v>20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1"/>
      <c r="R35" s="31"/>
      <c r="S35" s="31"/>
      <c r="T35" s="31"/>
      <c r="U35" s="31"/>
      <c r="V35" s="31"/>
    </row>
    <row r="36" spans="1:22" ht="20.25" thickTop="1" thickBot="1" x14ac:dyDescent="0.35">
      <c r="A36" s="148" t="s">
        <v>71</v>
      </c>
      <c r="B36" s="157" t="s">
        <v>72</v>
      </c>
      <c r="C36" s="164">
        <v>27</v>
      </c>
      <c r="D36" s="59"/>
      <c r="E36" s="59"/>
      <c r="F36" s="59"/>
      <c r="G36" s="59"/>
      <c r="H36" s="59"/>
      <c r="I36" s="59"/>
      <c r="J36" s="59"/>
      <c r="K36" s="36"/>
      <c r="L36" s="36"/>
      <c r="M36" s="36"/>
      <c r="N36" s="36"/>
      <c r="O36" s="36"/>
      <c r="P36" s="36"/>
    </row>
    <row r="37" spans="1:22" ht="20.25" thickTop="1" thickBot="1" x14ac:dyDescent="0.35">
      <c r="A37" s="148" t="s">
        <v>246</v>
      </c>
      <c r="B37" s="203" t="s">
        <v>247</v>
      </c>
      <c r="C37" s="164">
        <v>22</v>
      </c>
      <c r="D37" s="59"/>
      <c r="E37" s="59"/>
      <c r="F37" s="59"/>
      <c r="G37" s="59"/>
      <c r="H37" s="59"/>
      <c r="I37" s="59"/>
      <c r="J37" s="59"/>
      <c r="K37" s="36"/>
      <c r="L37" s="36"/>
      <c r="M37" s="36"/>
      <c r="N37" s="36"/>
      <c r="O37" s="36"/>
      <c r="P37" s="36"/>
    </row>
    <row r="38" spans="1:22" ht="20.25" thickTop="1" thickBot="1" x14ac:dyDescent="0.35">
      <c r="A38" s="148" t="s">
        <v>253</v>
      </c>
      <c r="B38" s="203" t="s">
        <v>248</v>
      </c>
      <c r="C38" s="164">
        <v>16</v>
      </c>
      <c r="D38" s="59"/>
      <c r="E38" s="59"/>
      <c r="F38" s="59"/>
      <c r="G38" s="59"/>
      <c r="H38" s="59"/>
      <c r="I38" s="59"/>
      <c r="J38" s="59"/>
      <c r="K38" s="36"/>
      <c r="L38" s="36"/>
      <c r="M38" s="36"/>
      <c r="N38" s="36"/>
      <c r="O38" s="36"/>
      <c r="P38" s="36"/>
    </row>
    <row r="39" spans="1:22" ht="20.25" thickTop="1" thickBot="1" x14ac:dyDescent="0.35">
      <c r="A39" s="148" t="s">
        <v>254</v>
      </c>
      <c r="B39" s="203" t="s">
        <v>249</v>
      </c>
      <c r="C39" s="164">
        <v>22</v>
      </c>
      <c r="D39" s="59"/>
      <c r="E39" s="59"/>
      <c r="F39" s="59"/>
      <c r="G39" s="59"/>
      <c r="H39" s="59"/>
      <c r="I39" s="59"/>
      <c r="J39" s="59"/>
      <c r="K39" s="36"/>
      <c r="L39" s="36"/>
      <c r="M39" s="36"/>
      <c r="N39" s="36"/>
      <c r="O39" s="36"/>
      <c r="P39" s="36"/>
    </row>
    <row r="40" spans="1:22" ht="20.25" thickTop="1" thickBot="1" x14ac:dyDescent="0.35">
      <c r="A40" s="148" t="s">
        <v>245</v>
      </c>
      <c r="B40" s="157"/>
      <c r="C40" s="164">
        <v>0.04</v>
      </c>
      <c r="D40" s="59"/>
      <c r="E40" s="59"/>
      <c r="F40" s="59"/>
      <c r="G40" s="59"/>
      <c r="H40" s="59"/>
      <c r="I40" s="59"/>
      <c r="J40" s="59"/>
      <c r="K40" s="36"/>
      <c r="L40" s="36"/>
      <c r="M40" s="36"/>
      <c r="N40" s="36"/>
      <c r="O40" s="36"/>
      <c r="P40" s="36"/>
    </row>
    <row r="41" spans="1:22" ht="39" thickTop="1" thickBot="1" x14ac:dyDescent="0.35">
      <c r="A41" s="149" t="s">
        <v>73</v>
      </c>
      <c r="B41" s="157" t="s">
        <v>74</v>
      </c>
      <c r="C41" s="164">
        <f>C40*C30</f>
        <v>1.6</v>
      </c>
      <c r="D41" s="59"/>
      <c r="E41" s="59"/>
      <c r="F41" s="59"/>
      <c r="G41" s="59"/>
      <c r="H41" s="59"/>
      <c r="I41" s="59"/>
      <c r="J41" s="59"/>
      <c r="K41" s="36"/>
      <c r="L41" s="36"/>
      <c r="M41" s="36"/>
      <c r="N41" s="36"/>
      <c r="O41" s="36"/>
      <c r="P41" s="36"/>
    </row>
    <row r="42" spans="1:22" ht="39" thickTop="1" thickBot="1" x14ac:dyDescent="0.35">
      <c r="A42" s="149" t="s">
        <v>278</v>
      </c>
      <c r="B42" s="159" t="s">
        <v>289</v>
      </c>
      <c r="C42" s="164">
        <f>IF(C34&lt;25.00001,0.8,IF(C34&gt;25.00001,0.9))</f>
        <v>0.8</v>
      </c>
      <c r="D42" s="59"/>
      <c r="E42" s="59"/>
      <c r="F42" s="59"/>
      <c r="G42" s="59"/>
      <c r="H42" s="59"/>
      <c r="I42" s="59"/>
      <c r="J42" s="59"/>
      <c r="K42" s="36"/>
      <c r="L42" s="36"/>
      <c r="M42" s="36"/>
      <c r="N42" s="36"/>
      <c r="O42" s="36"/>
      <c r="P42" s="36"/>
    </row>
    <row r="43" spans="1:22" ht="39" thickTop="1" thickBot="1" x14ac:dyDescent="0.35">
      <c r="A43" s="149" t="s">
        <v>279</v>
      </c>
      <c r="B43" s="159" t="s">
        <v>290</v>
      </c>
      <c r="C43" s="164">
        <f>IF(C35&lt;25.00001,0.8,IF(C35&gt;25.00001,0.9))</f>
        <v>0.8</v>
      </c>
      <c r="D43" s="59"/>
      <c r="E43" s="59"/>
      <c r="F43" s="59"/>
      <c r="G43" s="59"/>
      <c r="H43" s="59"/>
      <c r="I43" s="59"/>
      <c r="J43" s="59"/>
      <c r="K43" s="36"/>
      <c r="L43" s="36"/>
      <c r="M43" s="36"/>
      <c r="N43" s="36"/>
      <c r="O43" s="36"/>
      <c r="P43" s="36"/>
    </row>
    <row r="44" spans="1:22" ht="39" thickTop="1" thickBot="1" x14ac:dyDescent="0.35">
      <c r="A44" s="149" t="s">
        <v>277</v>
      </c>
      <c r="B44" s="159" t="s">
        <v>291</v>
      </c>
      <c r="C44" s="164">
        <f>IF(C36&lt;25.00001,0.8,IF(C36&gt;25.00001,0.9))</f>
        <v>0.9</v>
      </c>
      <c r="D44" s="59"/>
      <c r="E44" s="59"/>
      <c r="F44" s="59"/>
      <c r="G44" s="59"/>
      <c r="H44" s="59"/>
      <c r="I44" s="59"/>
      <c r="J44" s="59"/>
      <c r="K44" s="36"/>
      <c r="L44" s="36"/>
      <c r="M44" s="36"/>
      <c r="N44" s="36"/>
      <c r="O44" s="36"/>
      <c r="P44" s="36"/>
    </row>
    <row r="45" spans="1:22" ht="20.25" thickTop="1" thickBot="1" x14ac:dyDescent="0.35">
      <c r="A45" s="151" t="s">
        <v>145</v>
      </c>
      <c r="B45" s="157"/>
      <c r="C45" s="164">
        <v>15</v>
      </c>
      <c r="D45" s="59"/>
      <c r="E45" s="59"/>
      <c r="F45" s="59"/>
      <c r="G45" s="59"/>
      <c r="H45" s="59"/>
      <c r="I45" s="59"/>
      <c r="J45" s="59"/>
      <c r="K45" s="36"/>
      <c r="L45" s="36"/>
      <c r="M45" s="36"/>
      <c r="N45" s="36"/>
      <c r="O45" s="36"/>
      <c r="P45" s="36"/>
    </row>
    <row r="46" spans="1:22" ht="39" thickTop="1" thickBot="1" x14ac:dyDescent="0.35">
      <c r="A46" s="149" t="s">
        <v>75</v>
      </c>
      <c r="B46" s="157" t="s">
        <v>76</v>
      </c>
      <c r="C46" s="164">
        <f>(C36-C44)-((C36-C44)*(1-C45/100))</f>
        <v>3.9149999999999991</v>
      </c>
      <c r="D46" s="59"/>
      <c r="E46" s="59"/>
      <c r="F46" s="59"/>
      <c r="G46" s="59"/>
      <c r="H46" s="59"/>
      <c r="I46" s="59"/>
      <c r="J46" s="59"/>
      <c r="K46" s="36"/>
      <c r="L46" s="36"/>
      <c r="M46" s="36"/>
      <c r="N46" s="36"/>
      <c r="O46" s="36"/>
      <c r="P46" s="36"/>
    </row>
    <row r="47" spans="1:22" ht="20.25" thickTop="1" thickBot="1" x14ac:dyDescent="0.35">
      <c r="A47" s="149" t="s">
        <v>241</v>
      </c>
      <c r="B47" s="157" t="s">
        <v>77</v>
      </c>
      <c r="C47" s="164">
        <f>C41+C42</f>
        <v>2.4000000000000004</v>
      </c>
      <c r="D47" s="59"/>
      <c r="E47" s="59"/>
      <c r="F47" s="59"/>
      <c r="G47" s="59"/>
      <c r="H47" s="59"/>
      <c r="I47" s="59"/>
      <c r="J47" s="59"/>
      <c r="K47" s="36"/>
      <c r="L47" s="36"/>
      <c r="M47" s="36"/>
      <c r="N47" s="36"/>
      <c r="O47" s="36"/>
      <c r="P47" s="36"/>
    </row>
    <row r="48" spans="1:22" ht="39" thickTop="1" thickBot="1" x14ac:dyDescent="0.35">
      <c r="A48" s="149" t="s">
        <v>255</v>
      </c>
      <c r="B48" s="157" t="s">
        <v>250</v>
      </c>
      <c r="C48" s="164">
        <v>170</v>
      </c>
      <c r="D48" s="228"/>
      <c r="E48" s="228"/>
      <c r="F48" s="228"/>
      <c r="G48" s="229"/>
      <c r="H48" s="59"/>
      <c r="I48" s="59"/>
      <c r="J48" s="59"/>
      <c r="K48" s="36"/>
      <c r="L48" s="36"/>
      <c r="M48" s="36"/>
      <c r="N48" s="36"/>
      <c r="O48" s="36"/>
      <c r="P48" s="36"/>
    </row>
    <row r="49" spans="1:16" ht="20.25" thickTop="1" thickBot="1" x14ac:dyDescent="0.35">
      <c r="A49" s="149" t="s">
        <v>257</v>
      </c>
      <c r="B49" s="157" t="s">
        <v>251</v>
      </c>
      <c r="C49" s="164">
        <v>149</v>
      </c>
      <c r="D49" s="228"/>
      <c r="E49" s="228"/>
      <c r="F49" s="228"/>
      <c r="G49" s="229"/>
      <c r="H49" s="59"/>
      <c r="I49" s="59"/>
      <c r="J49" s="59"/>
      <c r="K49" s="36"/>
      <c r="L49" s="36"/>
      <c r="M49" s="36"/>
      <c r="N49" s="36"/>
      <c r="O49" s="36"/>
      <c r="P49" s="36"/>
    </row>
    <row r="50" spans="1:16" ht="39" thickTop="1" thickBot="1" x14ac:dyDescent="0.35">
      <c r="A50" s="149" t="s">
        <v>256</v>
      </c>
      <c r="B50" s="157" t="s">
        <v>252</v>
      </c>
      <c r="C50" s="164">
        <v>45</v>
      </c>
      <c r="D50" s="230"/>
      <c r="E50" s="230"/>
      <c r="F50" s="230"/>
      <c r="G50" s="231"/>
      <c r="H50" s="59"/>
      <c r="I50" s="59"/>
      <c r="J50" s="59"/>
      <c r="K50" s="36"/>
      <c r="L50" s="36"/>
      <c r="M50" s="36"/>
      <c r="N50" s="36"/>
      <c r="O50" s="36"/>
      <c r="P50" s="36"/>
    </row>
    <row r="51" spans="1:16" ht="20.25" thickTop="1" thickBot="1" x14ac:dyDescent="0.35">
      <c r="A51" s="149" t="s">
        <v>210</v>
      </c>
      <c r="B51" s="156" t="s">
        <v>213</v>
      </c>
      <c r="C51" s="168"/>
      <c r="D51" s="59"/>
      <c r="E51" s="59"/>
      <c r="F51" s="59"/>
      <c r="G51" s="59"/>
      <c r="H51" s="59"/>
      <c r="I51" s="59"/>
      <c r="J51" s="59"/>
      <c r="K51" s="36"/>
      <c r="L51" s="36"/>
      <c r="M51" s="36"/>
      <c r="N51" s="36"/>
      <c r="O51" s="36"/>
      <c r="P51" s="36"/>
    </row>
    <row r="52" spans="1:16" ht="20.25" thickTop="1" thickBot="1" x14ac:dyDescent="0.35">
      <c r="A52" s="152" t="s">
        <v>206</v>
      </c>
      <c r="B52" s="160" t="s">
        <v>207</v>
      </c>
      <c r="C52" s="164">
        <v>1</v>
      </c>
      <c r="D52" s="59"/>
      <c r="E52" s="59"/>
      <c r="F52" s="59"/>
      <c r="G52" s="59"/>
      <c r="H52" s="59"/>
      <c r="I52" s="59"/>
      <c r="J52" s="59"/>
      <c r="K52" s="36"/>
      <c r="L52" s="36"/>
      <c r="M52" s="36"/>
      <c r="N52" s="36"/>
      <c r="O52" s="36"/>
      <c r="P52" s="36"/>
    </row>
    <row r="53" spans="1:16" ht="20.25" thickTop="1" thickBot="1" x14ac:dyDescent="0.35">
      <c r="A53" s="152" t="s">
        <v>354</v>
      </c>
      <c r="B53" s="160" t="s">
        <v>353</v>
      </c>
      <c r="C53" s="164">
        <v>1</v>
      </c>
      <c r="D53" s="59"/>
      <c r="E53" s="59"/>
      <c r="F53" s="59"/>
      <c r="G53" s="59"/>
      <c r="H53" s="59"/>
      <c r="I53" s="59"/>
      <c r="J53" s="59"/>
      <c r="K53" s="36"/>
      <c r="L53" s="36"/>
      <c r="M53" s="36"/>
      <c r="N53" s="36"/>
      <c r="O53" s="36"/>
      <c r="P53" s="36"/>
    </row>
    <row r="54" spans="1:16" ht="39" thickTop="1" thickBot="1" x14ac:dyDescent="0.35">
      <c r="A54" s="153" t="s">
        <v>208</v>
      </c>
      <c r="B54" s="161" t="s">
        <v>209</v>
      </c>
      <c r="C54" s="164">
        <v>3220</v>
      </c>
      <c r="D54" s="237" t="s">
        <v>219</v>
      </c>
      <c r="E54" s="237"/>
      <c r="F54" s="238"/>
      <c r="G54" s="59"/>
      <c r="H54" s="59"/>
      <c r="I54" s="59"/>
      <c r="J54" s="59"/>
      <c r="K54" s="36"/>
      <c r="L54" s="36"/>
      <c r="M54" s="36"/>
      <c r="N54" s="36"/>
      <c r="O54" s="36"/>
      <c r="P54" s="36"/>
    </row>
    <row r="55" spans="1:16" ht="25.5" customHeight="1" thickTop="1" thickBot="1" x14ac:dyDescent="0.35">
      <c r="A55" s="151" t="s">
        <v>233</v>
      </c>
      <c r="B55" s="156" t="s">
        <v>235</v>
      </c>
      <c r="C55" s="169"/>
      <c r="D55" s="232" t="s">
        <v>220</v>
      </c>
      <c r="E55" s="232"/>
      <c r="F55" s="233"/>
      <c r="G55" s="59"/>
      <c r="H55" s="59"/>
      <c r="I55" s="59"/>
      <c r="J55" s="59"/>
      <c r="K55" s="36"/>
      <c r="L55" s="36"/>
      <c r="M55" s="36"/>
      <c r="N55" s="36"/>
      <c r="O55" s="36"/>
      <c r="P55" s="36"/>
    </row>
    <row r="56" spans="1:16" ht="19.5" customHeight="1" thickTop="1" thickBot="1" x14ac:dyDescent="0.35">
      <c r="A56" s="151" t="s">
        <v>84</v>
      </c>
      <c r="B56" s="161" t="s">
        <v>218</v>
      </c>
      <c r="C56" s="167">
        <f>VLOOKUP(B55,'ГОСТ 14249-89 и ГОСТ 24755-89'!$T$11:$U$13,2,0)</f>
        <v>1.0972396728733684</v>
      </c>
      <c r="D56" s="234"/>
      <c r="E56" s="234"/>
      <c r="F56" s="235"/>
      <c r="G56" s="59"/>
      <c r="H56" s="59"/>
      <c r="I56" s="59"/>
      <c r="J56" s="59"/>
      <c r="K56" s="36"/>
      <c r="L56" s="36"/>
      <c r="M56" s="36"/>
      <c r="N56" s="36"/>
      <c r="O56" s="36"/>
      <c r="P56" s="36"/>
    </row>
    <row r="57" spans="1:16" ht="39" thickTop="1" thickBot="1" x14ac:dyDescent="0.35">
      <c r="A57" s="151" t="s">
        <v>221</v>
      </c>
      <c r="B57" s="162" t="s">
        <v>222</v>
      </c>
      <c r="C57" s="170">
        <v>1</v>
      </c>
      <c r="D57" s="59"/>
      <c r="E57" s="59"/>
      <c r="F57" s="59"/>
      <c r="G57" s="59"/>
      <c r="H57" s="59"/>
      <c r="I57" s="59"/>
      <c r="J57" s="59"/>
      <c r="K57" s="36"/>
      <c r="L57" s="36"/>
      <c r="M57" s="36"/>
      <c r="N57" s="36"/>
      <c r="O57" s="36"/>
      <c r="P57" s="36"/>
    </row>
    <row r="58" spans="1:16" ht="39" thickTop="1" thickBot="1" x14ac:dyDescent="0.35">
      <c r="A58" s="151" t="s">
        <v>230</v>
      </c>
      <c r="B58" s="162" t="s">
        <v>232</v>
      </c>
      <c r="C58" s="170">
        <v>1.5</v>
      </c>
      <c r="D58" s="59"/>
      <c r="E58" s="59"/>
      <c r="F58" s="59"/>
      <c r="G58" s="59"/>
      <c r="H58" s="59"/>
      <c r="I58" s="59"/>
      <c r="J58" s="59"/>
      <c r="K58" s="36"/>
      <c r="L58" s="36"/>
      <c r="M58" s="36"/>
      <c r="N58" s="36"/>
      <c r="O58" s="36"/>
      <c r="P58" s="36"/>
    </row>
    <row r="59" spans="1:16" ht="39" thickTop="1" thickBot="1" x14ac:dyDescent="0.35">
      <c r="A59" s="151" t="s">
        <v>231</v>
      </c>
      <c r="B59" s="162" t="s">
        <v>232</v>
      </c>
      <c r="C59" s="170">
        <v>1.1000000000000001</v>
      </c>
      <c r="D59" s="59"/>
      <c r="E59" s="59"/>
      <c r="F59" s="59"/>
      <c r="G59" s="59"/>
      <c r="H59" s="59"/>
      <c r="I59" s="59"/>
      <c r="J59" s="59"/>
      <c r="K59" s="36"/>
      <c r="L59" s="36"/>
      <c r="M59" s="36"/>
      <c r="N59" s="36"/>
      <c r="O59" s="36"/>
      <c r="P59" s="36"/>
    </row>
    <row r="60" spans="1:16" ht="20.25" thickTop="1" thickBot="1" x14ac:dyDescent="0.35">
      <c r="A60" s="151" t="s">
        <v>263</v>
      </c>
      <c r="B60" s="162"/>
      <c r="C60" s="164">
        <v>9637</v>
      </c>
      <c r="D60" s="59"/>
      <c r="E60" s="59"/>
      <c r="F60" s="59"/>
      <c r="G60" s="59"/>
      <c r="H60" s="59"/>
      <c r="I60" s="59"/>
      <c r="J60" s="59"/>
      <c r="K60" s="36"/>
      <c r="L60" s="36"/>
      <c r="M60" s="36"/>
      <c r="N60" s="36"/>
      <c r="O60" s="36"/>
      <c r="P60" s="36"/>
    </row>
    <row r="61" spans="1:16" ht="39" thickTop="1" thickBot="1" x14ac:dyDescent="0.35">
      <c r="A61" s="151" t="s">
        <v>264</v>
      </c>
      <c r="B61" s="162"/>
      <c r="C61" s="171">
        <v>2.4</v>
      </c>
      <c r="D61" s="59"/>
      <c r="E61" s="59"/>
      <c r="F61" s="59"/>
      <c r="G61" s="59"/>
      <c r="H61" s="59"/>
      <c r="I61" s="59"/>
      <c r="J61" s="59"/>
      <c r="K61" s="36"/>
      <c r="L61" s="36"/>
      <c r="M61" s="36"/>
      <c r="N61" s="36"/>
      <c r="O61" s="36"/>
      <c r="P61" s="36"/>
    </row>
    <row r="62" spans="1:16" ht="39" thickTop="1" thickBot="1" x14ac:dyDescent="0.35">
      <c r="A62" s="151" t="s">
        <v>265</v>
      </c>
      <c r="B62" s="162"/>
      <c r="C62" s="171">
        <v>1.8</v>
      </c>
      <c r="D62" s="59"/>
      <c r="E62" s="59"/>
      <c r="F62" s="59"/>
      <c r="G62" s="59"/>
      <c r="H62" s="59"/>
      <c r="I62" s="59"/>
      <c r="J62" s="59"/>
      <c r="K62" s="36"/>
      <c r="L62" s="36"/>
      <c r="M62" s="36"/>
      <c r="N62" s="36"/>
      <c r="O62" s="36"/>
      <c r="P62" s="36"/>
    </row>
    <row r="63" spans="1:16" ht="20.25" thickTop="1" thickBot="1" x14ac:dyDescent="0.35">
      <c r="A63" s="151" t="s">
        <v>292</v>
      </c>
      <c r="B63" s="162"/>
      <c r="C63" s="164">
        <v>210</v>
      </c>
      <c r="D63" s="59"/>
      <c r="E63" s="59"/>
      <c r="F63" s="59"/>
      <c r="G63" s="59"/>
      <c r="H63" s="59"/>
      <c r="I63" s="59"/>
      <c r="J63" s="59"/>
      <c r="K63" s="36"/>
      <c r="L63" s="36"/>
      <c r="M63" s="36"/>
      <c r="N63" s="36"/>
      <c r="O63" s="36"/>
      <c r="P63" s="36"/>
    </row>
    <row r="64" spans="1:16" ht="19.5" thickTop="1" x14ac:dyDescent="0.3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36"/>
      <c r="L64" s="36"/>
      <c r="M64" s="36"/>
      <c r="N64" s="36"/>
      <c r="O64" s="36"/>
      <c r="P64" s="36"/>
    </row>
    <row r="65" spans="1:16" ht="18.75" x14ac:dyDescent="0.3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36"/>
      <c r="L65" s="36"/>
      <c r="M65" s="36"/>
      <c r="N65" s="36"/>
      <c r="O65" s="36"/>
      <c r="P65" s="36"/>
    </row>
    <row r="66" spans="1:16" ht="18.75" x14ac:dyDescent="0.3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36"/>
      <c r="L66" s="36"/>
      <c r="M66" s="36"/>
      <c r="N66" s="36"/>
      <c r="O66" s="36"/>
      <c r="P66" s="36"/>
    </row>
    <row r="67" spans="1:16" ht="18.75" x14ac:dyDescent="0.3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36"/>
      <c r="L67" s="36"/>
      <c r="M67" s="36"/>
      <c r="N67" s="36"/>
      <c r="O67" s="36"/>
      <c r="P67" s="36"/>
    </row>
    <row r="68" spans="1:16" ht="18.75" x14ac:dyDescent="0.3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36"/>
      <c r="L68" s="36"/>
      <c r="M68" s="36"/>
      <c r="N68" s="36"/>
      <c r="O68" s="36"/>
      <c r="P68" s="36"/>
    </row>
    <row r="69" spans="1:16" ht="18.75" x14ac:dyDescent="0.3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36"/>
      <c r="L69" s="36"/>
      <c r="M69" s="36"/>
      <c r="N69" s="36"/>
      <c r="O69" s="36"/>
      <c r="P69" s="36"/>
    </row>
    <row r="70" spans="1:16" ht="18.75" x14ac:dyDescent="0.3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36"/>
      <c r="L70" s="36"/>
      <c r="M70" s="36"/>
      <c r="N70" s="36"/>
      <c r="O70" s="36"/>
      <c r="P70" s="36"/>
    </row>
    <row r="71" spans="1:16" ht="18.75" x14ac:dyDescent="0.3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36"/>
      <c r="L71" s="36"/>
      <c r="M71" s="36"/>
      <c r="N71" s="36"/>
      <c r="O71" s="36"/>
      <c r="P71" s="36"/>
    </row>
    <row r="72" spans="1:16" ht="18.75" x14ac:dyDescent="0.3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36"/>
      <c r="L72" s="36"/>
      <c r="M72" s="36"/>
      <c r="N72" s="36"/>
      <c r="O72" s="36"/>
      <c r="P72" s="36"/>
    </row>
    <row r="73" spans="1:16" ht="18.75" x14ac:dyDescent="0.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36"/>
      <c r="L73" s="36"/>
      <c r="M73" s="36"/>
      <c r="N73" s="36"/>
      <c r="O73" s="36"/>
      <c r="P73" s="36"/>
    </row>
    <row r="74" spans="1:16" ht="18.75" x14ac:dyDescent="0.3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36"/>
      <c r="L74" s="36"/>
      <c r="M74" s="36"/>
      <c r="N74" s="36"/>
      <c r="O74" s="36"/>
      <c r="P74" s="36"/>
    </row>
    <row r="75" spans="1:16" ht="18.75" x14ac:dyDescent="0.3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36"/>
      <c r="L75" s="36"/>
      <c r="M75" s="36"/>
      <c r="N75" s="36"/>
      <c r="O75" s="36"/>
      <c r="P75" s="36"/>
    </row>
    <row r="76" spans="1:16" ht="18.75" x14ac:dyDescent="0.3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36"/>
      <c r="L76" s="36"/>
      <c r="M76" s="36"/>
      <c r="N76" s="36"/>
      <c r="O76" s="36"/>
      <c r="P76" s="36"/>
    </row>
    <row r="77" spans="1:16" ht="18.75" x14ac:dyDescent="0.3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36"/>
      <c r="L77" s="36"/>
      <c r="M77" s="36"/>
      <c r="N77" s="36"/>
      <c r="O77" s="36"/>
      <c r="P77" s="36"/>
    </row>
    <row r="78" spans="1:16" ht="18.75" x14ac:dyDescent="0.3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36"/>
      <c r="L78" s="36"/>
      <c r="M78" s="36"/>
      <c r="N78" s="36"/>
      <c r="O78" s="36"/>
      <c r="P78" s="36"/>
    </row>
    <row r="79" spans="1:16" ht="18.75" x14ac:dyDescent="0.3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36"/>
      <c r="L79" s="36"/>
      <c r="M79" s="36"/>
      <c r="N79" s="36"/>
      <c r="O79" s="36"/>
      <c r="P79" s="36"/>
    </row>
    <row r="80" spans="1:16" ht="18.75" x14ac:dyDescent="0.3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36"/>
      <c r="L80" s="36"/>
      <c r="M80" s="36"/>
      <c r="N80" s="36"/>
      <c r="O80" s="36"/>
      <c r="P80" s="36"/>
    </row>
    <row r="81" spans="1:16" ht="18.75" x14ac:dyDescent="0.3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36"/>
      <c r="L81" s="36"/>
      <c r="M81" s="36"/>
      <c r="N81" s="36"/>
      <c r="O81" s="36"/>
      <c r="P81" s="36"/>
    </row>
    <row r="82" spans="1:16" ht="18.75" x14ac:dyDescent="0.3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36"/>
      <c r="L82" s="36"/>
      <c r="M82" s="36"/>
      <c r="N82" s="36"/>
      <c r="O82" s="36"/>
      <c r="P82" s="36"/>
    </row>
    <row r="83" spans="1:16" ht="18.75" x14ac:dyDescent="0.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36"/>
      <c r="L83" s="36"/>
      <c r="M83" s="36"/>
      <c r="N83" s="36"/>
      <c r="O83" s="36"/>
      <c r="P83" s="36"/>
    </row>
    <row r="84" spans="1:16" ht="18.75" x14ac:dyDescent="0.3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36"/>
      <c r="L84" s="36"/>
      <c r="M84" s="36"/>
      <c r="N84" s="36"/>
      <c r="O84" s="36"/>
      <c r="P84" s="36"/>
    </row>
    <row r="85" spans="1:16" ht="18.75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36"/>
      <c r="L85" s="36"/>
      <c r="M85" s="36"/>
      <c r="N85" s="36"/>
      <c r="O85" s="36"/>
      <c r="P85" s="36"/>
    </row>
    <row r="86" spans="1:16" ht="18.75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36"/>
      <c r="L86" s="36"/>
      <c r="M86" s="36"/>
      <c r="N86" s="36"/>
      <c r="O86" s="36"/>
      <c r="P86" s="36"/>
    </row>
    <row r="87" spans="1:16" ht="18.75" x14ac:dyDescent="0.3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36"/>
      <c r="L87" s="36"/>
      <c r="M87" s="36"/>
      <c r="N87" s="36"/>
      <c r="O87" s="36"/>
      <c r="P87" s="36"/>
    </row>
    <row r="88" spans="1:16" ht="18.75" x14ac:dyDescent="0.3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36"/>
      <c r="L88" s="36"/>
      <c r="M88" s="36"/>
      <c r="N88" s="36"/>
      <c r="O88" s="36"/>
      <c r="P88" s="36"/>
    </row>
    <row r="89" spans="1:16" ht="18.75" x14ac:dyDescent="0.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36"/>
      <c r="L89" s="36"/>
      <c r="M89" s="36"/>
      <c r="N89" s="36"/>
      <c r="O89" s="36"/>
      <c r="P89" s="36"/>
    </row>
    <row r="90" spans="1:16" ht="18.75" x14ac:dyDescent="0.3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36"/>
      <c r="L90" s="36"/>
      <c r="M90" s="36"/>
      <c r="N90" s="36"/>
      <c r="O90" s="36"/>
      <c r="P90" s="36"/>
    </row>
    <row r="91" spans="1:16" ht="18.75" x14ac:dyDescent="0.3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36"/>
      <c r="L91" s="36"/>
      <c r="M91" s="36"/>
      <c r="N91" s="36"/>
      <c r="O91" s="36"/>
      <c r="P91" s="36"/>
    </row>
    <row r="92" spans="1:16" ht="18.75" x14ac:dyDescent="0.3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36"/>
      <c r="L92" s="36"/>
      <c r="M92" s="36"/>
      <c r="N92" s="36"/>
      <c r="O92" s="36"/>
      <c r="P92" s="36"/>
    </row>
    <row r="93" spans="1:16" ht="18.75" x14ac:dyDescent="0.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36"/>
      <c r="L93" s="36"/>
      <c r="M93" s="36"/>
      <c r="N93" s="36"/>
      <c r="O93" s="36"/>
      <c r="P93" s="36"/>
    </row>
    <row r="94" spans="1:16" ht="18.75" x14ac:dyDescent="0.3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36"/>
      <c r="L94" s="36"/>
      <c r="M94" s="36"/>
      <c r="N94" s="36"/>
      <c r="O94" s="36"/>
      <c r="P94" s="36"/>
    </row>
    <row r="95" spans="1:16" ht="18.75" x14ac:dyDescent="0.3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36"/>
      <c r="L95" s="36"/>
      <c r="M95" s="36"/>
      <c r="N95" s="36"/>
      <c r="O95" s="36"/>
      <c r="P95" s="36"/>
    </row>
    <row r="96" spans="1:16" ht="18.75" x14ac:dyDescent="0.3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36"/>
      <c r="L96" s="36"/>
      <c r="M96" s="36"/>
      <c r="N96" s="36"/>
      <c r="O96" s="36"/>
      <c r="P96" s="36"/>
    </row>
    <row r="97" spans="1:16" ht="18.75" x14ac:dyDescent="0.3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36"/>
      <c r="L97" s="36"/>
      <c r="M97" s="36"/>
      <c r="N97" s="36"/>
      <c r="O97" s="36"/>
      <c r="P97" s="36"/>
    </row>
    <row r="98" spans="1:16" ht="18.75" x14ac:dyDescent="0.3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36"/>
      <c r="L98" s="36"/>
      <c r="M98" s="36"/>
      <c r="N98" s="36"/>
      <c r="O98" s="36"/>
      <c r="P98" s="36"/>
    </row>
    <row r="99" spans="1:16" ht="18.75" x14ac:dyDescent="0.3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36"/>
      <c r="L99" s="36"/>
      <c r="M99" s="36"/>
      <c r="N99" s="36"/>
      <c r="O99" s="36"/>
      <c r="P99" s="36"/>
    </row>
    <row r="100" spans="1:16" ht="18.75" x14ac:dyDescent="0.3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36"/>
      <c r="L100" s="36"/>
      <c r="M100" s="36"/>
      <c r="N100" s="36"/>
      <c r="O100" s="36"/>
      <c r="P100" s="36"/>
    </row>
    <row r="101" spans="1:16" ht="18.75" x14ac:dyDescent="0.3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36"/>
      <c r="L101" s="36"/>
      <c r="M101" s="36"/>
      <c r="N101" s="36"/>
      <c r="O101" s="36"/>
      <c r="P101" s="36"/>
    </row>
    <row r="102" spans="1:16" ht="18.75" x14ac:dyDescent="0.3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36"/>
      <c r="L102" s="36"/>
      <c r="M102" s="36"/>
      <c r="N102" s="36"/>
      <c r="O102" s="36"/>
      <c r="P102" s="36"/>
    </row>
    <row r="103" spans="1:16" ht="18.75" x14ac:dyDescent="0.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36"/>
      <c r="L103" s="36"/>
      <c r="M103" s="36"/>
      <c r="N103" s="36"/>
      <c r="O103" s="36"/>
      <c r="P103" s="36"/>
    </row>
    <row r="104" spans="1:16" ht="18.75" x14ac:dyDescent="0.3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36"/>
      <c r="L104" s="36"/>
      <c r="M104" s="36"/>
      <c r="N104" s="36"/>
      <c r="O104" s="36"/>
      <c r="P104" s="36"/>
    </row>
    <row r="105" spans="1:16" ht="18.75" x14ac:dyDescent="0.3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36"/>
      <c r="L105" s="36"/>
      <c r="M105" s="36"/>
      <c r="N105" s="36"/>
      <c r="O105" s="36"/>
      <c r="P105" s="36"/>
    </row>
    <row r="106" spans="1:16" ht="18.75" x14ac:dyDescent="0.3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36"/>
      <c r="L106" s="36"/>
      <c r="M106" s="36"/>
      <c r="N106" s="36"/>
      <c r="O106" s="36"/>
      <c r="P106" s="36"/>
    </row>
    <row r="107" spans="1:16" ht="18.75" x14ac:dyDescent="0.3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36"/>
      <c r="L107" s="36"/>
      <c r="M107" s="36"/>
      <c r="N107" s="36"/>
      <c r="O107" s="36"/>
      <c r="P107" s="36"/>
    </row>
    <row r="108" spans="1:16" ht="18.75" x14ac:dyDescent="0.3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36"/>
      <c r="L108" s="36"/>
      <c r="M108" s="36"/>
      <c r="N108" s="36"/>
      <c r="O108" s="36"/>
      <c r="P108" s="36"/>
    </row>
    <row r="109" spans="1:16" ht="18.75" x14ac:dyDescent="0.3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36"/>
      <c r="L109" s="36"/>
      <c r="M109" s="36"/>
      <c r="N109" s="36"/>
      <c r="O109" s="36"/>
      <c r="P109" s="36"/>
    </row>
    <row r="110" spans="1:16" ht="18.75" x14ac:dyDescent="0.3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36"/>
      <c r="L110" s="36"/>
      <c r="M110" s="36"/>
      <c r="N110" s="36"/>
      <c r="O110" s="36"/>
      <c r="P110" s="36"/>
    </row>
    <row r="111" spans="1:16" ht="18.75" x14ac:dyDescent="0.3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36"/>
      <c r="L111" s="36"/>
      <c r="M111" s="36"/>
      <c r="N111" s="36"/>
      <c r="O111" s="36"/>
      <c r="P111" s="36"/>
    </row>
    <row r="112" spans="1:16" ht="18.75" x14ac:dyDescent="0.3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36"/>
      <c r="L112" s="36"/>
      <c r="M112" s="36"/>
      <c r="N112" s="36"/>
      <c r="O112" s="36"/>
      <c r="P112" s="36"/>
    </row>
    <row r="113" spans="1:16" ht="18.75" x14ac:dyDescent="0.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36"/>
      <c r="L113" s="36"/>
      <c r="M113" s="36"/>
      <c r="N113" s="36"/>
      <c r="O113" s="36"/>
      <c r="P113" s="36"/>
    </row>
    <row r="114" spans="1:16" ht="18.75" x14ac:dyDescent="0.3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36"/>
      <c r="L114" s="36"/>
      <c r="M114" s="36"/>
      <c r="N114" s="36"/>
      <c r="O114" s="36"/>
      <c r="P114" s="36"/>
    </row>
    <row r="115" spans="1:16" ht="18.75" x14ac:dyDescent="0.3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36"/>
      <c r="L115" s="36"/>
      <c r="M115" s="36"/>
      <c r="N115" s="36"/>
      <c r="O115" s="36"/>
      <c r="P115" s="36"/>
    </row>
    <row r="116" spans="1:16" ht="18.75" x14ac:dyDescent="0.3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36"/>
      <c r="L116" s="36"/>
      <c r="M116" s="36"/>
      <c r="N116" s="36"/>
      <c r="O116" s="36"/>
      <c r="P116" s="36"/>
    </row>
    <row r="117" spans="1:16" ht="18.75" x14ac:dyDescent="0.3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36"/>
      <c r="L117" s="36"/>
      <c r="M117" s="36"/>
      <c r="N117" s="36"/>
      <c r="O117" s="36"/>
      <c r="P117" s="36"/>
    </row>
    <row r="118" spans="1:16" ht="18.75" x14ac:dyDescent="0.3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36"/>
      <c r="L118" s="36"/>
      <c r="M118" s="36"/>
      <c r="N118" s="36"/>
      <c r="O118" s="36"/>
      <c r="P118" s="36"/>
    </row>
    <row r="119" spans="1:16" ht="18.75" x14ac:dyDescent="0.3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36"/>
      <c r="L119" s="36"/>
      <c r="M119" s="36"/>
      <c r="N119" s="36"/>
      <c r="O119" s="36"/>
      <c r="P119" s="36"/>
    </row>
    <row r="120" spans="1:16" ht="18.75" x14ac:dyDescent="0.3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36"/>
      <c r="L120" s="36"/>
      <c r="M120" s="36"/>
      <c r="N120" s="36"/>
      <c r="O120" s="36"/>
      <c r="P120" s="36"/>
    </row>
    <row r="121" spans="1:16" ht="18.75" x14ac:dyDescent="0.3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36"/>
      <c r="L121" s="36"/>
      <c r="M121" s="36"/>
      <c r="N121" s="36"/>
      <c r="O121" s="36"/>
      <c r="P121" s="36"/>
    </row>
    <row r="122" spans="1:16" ht="18.75" x14ac:dyDescent="0.3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36"/>
      <c r="L122" s="36"/>
      <c r="M122" s="36"/>
      <c r="N122" s="36"/>
      <c r="O122" s="36"/>
      <c r="P122" s="36"/>
    </row>
    <row r="123" spans="1:16" ht="18.75" x14ac:dyDescent="0.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36"/>
      <c r="L123" s="36"/>
      <c r="M123" s="36"/>
      <c r="N123" s="36"/>
      <c r="O123" s="36"/>
      <c r="P123" s="36"/>
    </row>
    <row r="124" spans="1:16" ht="18.75" x14ac:dyDescent="0.3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36"/>
      <c r="L124" s="36"/>
      <c r="M124" s="36"/>
      <c r="N124" s="36"/>
      <c r="O124" s="36"/>
      <c r="P124" s="36"/>
    </row>
    <row r="125" spans="1:16" ht="18.75" x14ac:dyDescent="0.3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36"/>
      <c r="L125" s="36"/>
      <c r="M125" s="36"/>
      <c r="N125" s="36"/>
      <c r="O125" s="36"/>
      <c r="P125" s="36"/>
    </row>
    <row r="126" spans="1:16" ht="18.75" x14ac:dyDescent="0.3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36"/>
      <c r="L126" s="36"/>
      <c r="M126" s="36"/>
      <c r="N126" s="36"/>
      <c r="O126" s="36"/>
      <c r="P126" s="36"/>
    </row>
    <row r="127" spans="1:16" ht="18.75" x14ac:dyDescent="0.3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36"/>
      <c r="L127" s="36"/>
      <c r="M127" s="36"/>
      <c r="N127" s="36"/>
      <c r="O127" s="36"/>
      <c r="P127" s="36"/>
    </row>
    <row r="128" spans="1:16" ht="18.75" x14ac:dyDescent="0.3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36"/>
      <c r="L128" s="36"/>
      <c r="M128" s="36"/>
      <c r="N128" s="36"/>
      <c r="O128" s="36"/>
      <c r="P128" s="36"/>
    </row>
    <row r="129" spans="1:16" ht="18.75" x14ac:dyDescent="0.3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36"/>
      <c r="L129" s="36"/>
      <c r="M129" s="36"/>
      <c r="N129" s="36"/>
      <c r="O129" s="36"/>
      <c r="P129" s="36"/>
    </row>
    <row r="130" spans="1:16" ht="18.75" x14ac:dyDescent="0.3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36"/>
      <c r="L130" s="36"/>
      <c r="M130" s="36"/>
      <c r="N130" s="36"/>
      <c r="O130" s="36"/>
      <c r="P130" s="36"/>
    </row>
    <row r="131" spans="1:16" ht="18.75" x14ac:dyDescent="0.3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36"/>
      <c r="L131" s="36"/>
      <c r="M131" s="36"/>
      <c r="N131" s="36"/>
      <c r="O131" s="36"/>
      <c r="P131" s="36"/>
    </row>
    <row r="132" spans="1:16" ht="18.75" x14ac:dyDescent="0.3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36"/>
      <c r="L132" s="36"/>
      <c r="M132" s="36"/>
      <c r="N132" s="36"/>
      <c r="O132" s="36"/>
      <c r="P132" s="36"/>
    </row>
    <row r="133" spans="1:16" ht="18.75" x14ac:dyDescent="0.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36"/>
      <c r="L133" s="36"/>
      <c r="M133" s="36"/>
      <c r="N133" s="36"/>
      <c r="O133" s="36"/>
      <c r="P133" s="36"/>
    </row>
    <row r="134" spans="1:16" ht="18.75" x14ac:dyDescent="0.3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36"/>
      <c r="L134" s="36"/>
      <c r="M134" s="36"/>
      <c r="N134" s="36"/>
      <c r="O134" s="36"/>
      <c r="P134" s="36"/>
    </row>
    <row r="135" spans="1:16" ht="18.75" x14ac:dyDescent="0.3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36"/>
      <c r="L135" s="36"/>
      <c r="M135" s="36"/>
      <c r="N135" s="36"/>
      <c r="O135" s="36"/>
      <c r="P135" s="36"/>
    </row>
    <row r="136" spans="1:16" ht="18.75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36"/>
      <c r="L136" s="36"/>
      <c r="M136" s="36"/>
      <c r="N136" s="36"/>
      <c r="O136" s="36"/>
      <c r="P136" s="36"/>
    </row>
    <row r="137" spans="1:16" ht="18.75" x14ac:dyDescent="0.3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36"/>
      <c r="L137" s="36"/>
      <c r="M137" s="36"/>
      <c r="N137" s="36"/>
      <c r="O137" s="36"/>
      <c r="P137" s="36"/>
    </row>
    <row r="138" spans="1:16" ht="18.75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36"/>
      <c r="L138" s="36"/>
      <c r="M138" s="36"/>
      <c r="N138" s="36"/>
      <c r="O138" s="36"/>
      <c r="P138" s="36"/>
    </row>
    <row r="139" spans="1:16" ht="18.75" x14ac:dyDescent="0.3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36"/>
      <c r="L139" s="36"/>
      <c r="M139" s="36"/>
      <c r="N139" s="36"/>
      <c r="O139" s="36"/>
      <c r="P139" s="36"/>
    </row>
    <row r="140" spans="1:16" ht="18.75" x14ac:dyDescent="0.3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36"/>
      <c r="L140" s="36"/>
      <c r="M140" s="36"/>
      <c r="N140" s="36"/>
      <c r="O140" s="36"/>
      <c r="P140" s="36"/>
    </row>
    <row r="141" spans="1:16" ht="18.75" x14ac:dyDescent="0.3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36"/>
      <c r="L141" s="36"/>
      <c r="M141" s="36"/>
      <c r="N141" s="36"/>
      <c r="O141" s="36"/>
      <c r="P141" s="36"/>
    </row>
    <row r="142" spans="1:16" ht="18.75" x14ac:dyDescent="0.3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36"/>
      <c r="L142" s="36"/>
      <c r="M142" s="36"/>
      <c r="N142" s="36"/>
      <c r="O142" s="36"/>
      <c r="P142" s="36"/>
    </row>
    <row r="143" spans="1:16" ht="18.75" x14ac:dyDescent="0.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36"/>
      <c r="L143" s="36"/>
      <c r="M143" s="36"/>
      <c r="N143" s="36"/>
      <c r="O143" s="36"/>
      <c r="P143" s="36"/>
    </row>
    <row r="144" spans="1:16" ht="18.75" x14ac:dyDescent="0.3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36"/>
      <c r="L144" s="36"/>
      <c r="M144" s="36"/>
      <c r="N144" s="36"/>
      <c r="O144" s="36"/>
      <c r="P144" s="36"/>
    </row>
    <row r="145" spans="1:16" ht="18.75" x14ac:dyDescent="0.3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36"/>
      <c r="L145" s="36"/>
      <c r="M145" s="36"/>
      <c r="N145" s="36"/>
      <c r="O145" s="36"/>
      <c r="P145" s="36"/>
    </row>
    <row r="146" spans="1:16" ht="18.75" x14ac:dyDescent="0.3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36"/>
      <c r="L146" s="36"/>
      <c r="M146" s="36"/>
      <c r="N146" s="36"/>
      <c r="O146" s="36"/>
      <c r="P146" s="36"/>
    </row>
    <row r="147" spans="1:16" ht="18.75" x14ac:dyDescent="0.3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36"/>
      <c r="L147" s="36"/>
      <c r="M147" s="36"/>
      <c r="N147" s="36"/>
      <c r="O147" s="36"/>
      <c r="P147" s="36"/>
    </row>
    <row r="148" spans="1:16" ht="18.75" x14ac:dyDescent="0.3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36"/>
      <c r="L148" s="36"/>
      <c r="M148" s="36"/>
      <c r="N148" s="36"/>
      <c r="O148" s="36"/>
      <c r="P148" s="36"/>
    </row>
    <row r="149" spans="1:16" ht="18.75" x14ac:dyDescent="0.3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36"/>
      <c r="L149" s="36"/>
      <c r="M149" s="36"/>
      <c r="N149" s="36"/>
      <c r="O149" s="36"/>
      <c r="P149" s="36"/>
    </row>
    <row r="150" spans="1:16" ht="18.75" x14ac:dyDescent="0.3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36"/>
      <c r="L150" s="36"/>
      <c r="M150" s="36"/>
      <c r="N150" s="36"/>
      <c r="O150" s="36"/>
      <c r="P150" s="36"/>
    </row>
    <row r="151" spans="1:16" ht="18.75" x14ac:dyDescent="0.3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36"/>
      <c r="L151" s="36"/>
      <c r="M151" s="36"/>
      <c r="N151" s="36"/>
      <c r="O151" s="36"/>
      <c r="P151" s="36"/>
    </row>
    <row r="152" spans="1:16" ht="18.75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36"/>
      <c r="L152" s="36"/>
      <c r="M152" s="36"/>
      <c r="N152" s="36"/>
      <c r="O152" s="36"/>
      <c r="P152" s="36"/>
    </row>
    <row r="153" spans="1:16" ht="18.75" x14ac:dyDescent="0.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36"/>
      <c r="L153" s="36"/>
      <c r="M153" s="36"/>
      <c r="N153" s="36"/>
      <c r="O153" s="36"/>
      <c r="P153" s="36"/>
    </row>
    <row r="154" spans="1:16" ht="18.75" x14ac:dyDescent="0.3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36"/>
      <c r="L154" s="36"/>
      <c r="M154" s="36"/>
      <c r="N154" s="36"/>
      <c r="O154" s="36"/>
      <c r="P154" s="36"/>
    </row>
    <row r="155" spans="1:16" ht="18.75" x14ac:dyDescent="0.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36"/>
      <c r="L155" s="36"/>
      <c r="M155" s="36"/>
      <c r="N155" s="36"/>
      <c r="O155" s="36"/>
      <c r="P155" s="36"/>
    </row>
    <row r="156" spans="1:16" ht="18.75" x14ac:dyDescent="0.3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36"/>
      <c r="L156" s="36"/>
      <c r="M156" s="36"/>
      <c r="N156" s="36"/>
      <c r="O156" s="36"/>
      <c r="P156" s="36"/>
    </row>
    <row r="157" spans="1:16" ht="18.75" x14ac:dyDescent="0.3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36"/>
      <c r="L157" s="36"/>
      <c r="M157" s="36"/>
      <c r="N157" s="36"/>
      <c r="O157" s="36"/>
      <c r="P157" s="36"/>
    </row>
    <row r="158" spans="1:16" ht="18.75" x14ac:dyDescent="0.3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36"/>
      <c r="L158" s="36"/>
      <c r="M158" s="36"/>
      <c r="N158" s="36"/>
      <c r="O158" s="36"/>
      <c r="P158" s="36"/>
    </row>
    <row r="159" spans="1:16" ht="18.75" x14ac:dyDescent="0.3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36"/>
      <c r="L159" s="36"/>
      <c r="M159" s="36"/>
      <c r="N159" s="36"/>
      <c r="O159" s="36"/>
      <c r="P159" s="36"/>
    </row>
    <row r="160" spans="1:16" ht="18.75" x14ac:dyDescent="0.3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36"/>
      <c r="L160" s="36"/>
      <c r="M160" s="36"/>
      <c r="N160" s="36"/>
      <c r="O160" s="36"/>
      <c r="P160" s="36"/>
    </row>
    <row r="161" spans="1:16" ht="18.75" x14ac:dyDescent="0.3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36"/>
      <c r="L161" s="36"/>
      <c r="M161" s="36"/>
      <c r="N161" s="36"/>
      <c r="O161" s="36"/>
      <c r="P161" s="36"/>
    </row>
    <row r="162" spans="1:16" ht="18.75" x14ac:dyDescent="0.3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36"/>
      <c r="L162" s="36"/>
      <c r="M162" s="36"/>
      <c r="N162" s="36"/>
      <c r="O162" s="36"/>
      <c r="P162" s="36"/>
    </row>
    <row r="163" spans="1:16" ht="18.75" x14ac:dyDescent="0.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36"/>
      <c r="L163" s="36"/>
      <c r="M163" s="36"/>
      <c r="N163" s="36"/>
      <c r="O163" s="36"/>
      <c r="P163" s="36"/>
    </row>
    <row r="164" spans="1:16" ht="18.75" x14ac:dyDescent="0.3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36"/>
      <c r="L164" s="36"/>
      <c r="M164" s="36"/>
      <c r="N164" s="36"/>
      <c r="O164" s="36"/>
      <c r="P164" s="36"/>
    </row>
    <row r="165" spans="1:16" ht="18.75" x14ac:dyDescent="0.3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36"/>
      <c r="L165" s="36"/>
      <c r="M165" s="36"/>
      <c r="N165" s="36"/>
      <c r="O165" s="36"/>
      <c r="P165" s="36"/>
    </row>
    <row r="166" spans="1:16" ht="18.75" x14ac:dyDescent="0.3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36"/>
      <c r="L166" s="36"/>
      <c r="M166" s="36"/>
      <c r="N166" s="36"/>
      <c r="O166" s="36"/>
      <c r="P166" s="36"/>
    </row>
    <row r="167" spans="1:16" ht="18.75" x14ac:dyDescent="0.3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36"/>
      <c r="L167" s="36"/>
      <c r="M167" s="36"/>
      <c r="N167" s="36"/>
      <c r="O167" s="36"/>
      <c r="P167" s="36"/>
    </row>
    <row r="168" spans="1:16" ht="18.75" x14ac:dyDescent="0.3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36"/>
      <c r="L168" s="36"/>
      <c r="M168" s="36"/>
      <c r="N168" s="36"/>
      <c r="O168" s="36"/>
      <c r="P168" s="36"/>
    </row>
    <row r="169" spans="1:16" ht="18.75" x14ac:dyDescent="0.3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36"/>
      <c r="L169" s="36"/>
      <c r="M169" s="36"/>
      <c r="N169" s="36"/>
      <c r="O169" s="36"/>
      <c r="P169" s="36"/>
    </row>
    <row r="170" spans="1:16" ht="18.75" x14ac:dyDescent="0.3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36"/>
      <c r="L170" s="36"/>
      <c r="M170" s="36"/>
      <c r="N170" s="36"/>
      <c r="O170" s="36"/>
      <c r="P170" s="36"/>
    </row>
    <row r="171" spans="1:16" ht="18.75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36"/>
      <c r="L171" s="36"/>
      <c r="M171" s="36"/>
      <c r="N171" s="36"/>
      <c r="O171" s="36"/>
      <c r="P171" s="36"/>
    </row>
    <row r="172" spans="1:16" ht="18.75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36"/>
      <c r="L172" s="36"/>
      <c r="M172" s="36"/>
      <c r="N172" s="36"/>
      <c r="O172" s="36"/>
      <c r="P172" s="36"/>
    </row>
    <row r="173" spans="1:16" ht="18.75" x14ac:dyDescent="0.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36"/>
      <c r="L173" s="36"/>
      <c r="M173" s="36"/>
      <c r="N173" s="36"/>
      <c r="O173" s="36"/>
      <c r="P173" s="36"/>
    </row>
    <row r="174" spans="1:16" ht="18.75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36"/>
      <c r="L174" s="36"/>
      <c r="M174" s="36"/>
      <c r="N174" s="36"/>
      <c r="O174" s="36"/>
      <c r="P174" s="36"/>
    </row>
    <row r="175" spans="1:16" ht="18.75" x14ac:dyDescent="0.3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36"/>
      <c r="L175" s="36"/>
      <c r="M175" s="36"/>
      <c r="N175" s="36"/>
      <c r="O175" s="36"/>
      <c r="P175" s="36"/>
    </row>
    <row r="176" spans="1:16" ht="18.75" x14ac:dyDescent="0.3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36"/>
      <c r="L176" s="36"/>
      <c r="M176" s="36"/>
      <c r="N176" s="36"/>
      <c r="O176" s="36"/>
      <c r="P176" s="36"/>
    </row>
    <row r="177" spans="1:16" ht="18.75" x14ac:dyDescent="0.3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36"/>
      <c r="L177" s="36"/>
      <c r="M177" s="36"/>
      <c r="N177" s="36"/>
      <c r="O177" s="36"/>
      <c r="P177" s="36"/>
    </row>
    <row r="178" spans="1:16" ht="18.75" x14ac:dyDescent="0.3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36"/>
      <c r="L178" s="36"/>
      <c r="M178" s="36"/>
      <c r="N178" s="36"/>
      <c r="O178" s="36"/>
      <c r="P178" s="36"/>
    </row>
    <row r="179" spans="1:16" ht="18.75" x14ac:dyDescent="0.3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36"/>
      <c r="L179" s="36"/>
      <c r="M179" s="36"/>
      <c r="N179" s="36"/>
      <c r="O179" s="36"/>
      <c r="P179" s="36"/>
    </row>
    <row r="180" spans="1:16" ht="18.75" x14ac:dyDescent="0.3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36"/>
      <c r="L180" s="36"/>
      <c r="M180" s="36"/>
      <c r="N180" s="36"/>
      <c r="O180" s="36"/>
      <c r="P180" s="36"/>
    </row>
    <row r="181" spans="1:16" ht="18.75" x14ac:dyDescent="0.3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36"/>
      <c r="L181" s="36"/>
      <c r="M181" s="36"/>
      <c r="N181" s="36"/>
      <c r="O181" s="36"/>
      <c r="P181" s="36"/>
    </row>
    <row r="182" spans="1:16" ht="18.75" x14ac:dyDescent="0.3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36"/>
      <c r="L182" s="36"/>
      <c r="M182" s="36"/>
      <c r="N182" s="36"/>
      <c r="O182" s="36"/>
      <c r="P182" s="36"/>
    </row>
    <row r="183" spans="1:16" ht="18.75" x14ac:dyDescent="0.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36"/>
      <c r="L183" s="36"/>
      <c r="M183" s="36"/>
      <c r="N183" s="36"/>
      <c r="O183" s="36"/>
      <c r="P183" s="36"/>
    </row>
    <row r="184" spans="1:16" ht="18.75" x14ac:dyDescent="0.3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36"/>
      <c r="L184" s="36"/>
      <c r="M184" s="36"/>
      <c r="N184" s="36"/>
      <c r="O184" s="36"/>
      <c r="P184" s="36"/>
    </row>
    <row r="185" spans="1:16" ht="18.75" x14ac:dyDescent="0.3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36"/>
      <c r="L185" s="36"/>
      <c r="M185" s="36"/>
      <c r="N185" s="36"/>
      <c r="O185" s="36"/>
      <c r="P185" s="36"/>
    </row>
    <row r="186" spans="1:16" ht="18.75" x14ac:dyDescent="0.3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36"/>
      <c r="L186" s="36"/>
      <c r="M186" s="36"/>
      <c r="N186" s="36"/>
      <c r="O186" s="36"/>
      <c r="P186" s="36"/>
    </row>
    <row r="187" spans="1:16" ht="18.75" x14ac:dyDescent="0.3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36"/>
      <c r="L187" s="36"/>
      <c r="M187" s="36"/>
      <c r="N187" s="36"/>
      <c r="O187" s="36"/>
      <c r="P187" s="36"/>
    </row>
    <row r="188" spans="1:16" ht="18.75" x14ac:dyDescent="0.3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36"/>
      <c r="L188" s="36"/>
      <c r="M188" s="36"/>
      <c r="N188" s="36"/>
      <c r="O188" s="36"/>
      <c r="P188" s="36"/>
    </row>
    <row r="189" spans="1:16" ht="18.75" x14ac:dyDescent="0.3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36"/>
      <c r="L189" s="36"/>
      <c r="M189" s="36"/>
      <c r="N189" s="36"/>
      <c r="O189" s="36"/>
      <c r="P189" s="36"/>
    </row>
    <row r="190" spans="1:16" ht="18.75" x14ac:dyDescent="0.3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36"/>
      <c r="L190" s="36"/>
      <c r="M190" s="36"/>
      <c r="N190" s="36"/>
      <c r="O190" s="36"/>
      <c r="P190" s="36"/>
    </row>
    <row r="191" spans="1:16" ht="18.75" x14ac:dyDescent="0.3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36"/>
      <c r="L191" s="36"/>
      <c r="M191" s="36"/>
      <c r="N191" s="36"/>
      <c r="O191" s="36"/>
      <c r="P191" s="36"/>
    </row>
    <row r="192" spans="1:16" ht="18.75" x14ac:dyDescent="0.3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36"/>
      <c r="L192" s="36"/>
      <c r="M192" s="36"/>
      <c r="N192" s="36"/>
      <c r="O192" s="36"/>
      <c r="P192" s="36"/>
    </row>
    <row r="193" spans="1:16" ht="18.75" x14ac:dyDescent="0.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36"/>
      <c r="L193" s="36"/>
      <c r="M193" s="36"/>
      <c r="N193" s="36"/>
      <c r="O193" s="36"/>
      <c r="P193" s="36"/>
    </row>
    <row r="194" spans="1:16" ht="18.75" x14ac:dyDescent="0.3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36"/>
      <c r="L194" s="36"/>
      <c r="M194" s="36"/>
      <c r="N194" s="36"/>
      <c r="O194" s="36"/>
      <c r="P194" s="36"/>
    </row>
    <row r="195" spans="1:16" ht="18.75" x14ac:dyDescent="0.3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36"/>
      <c r="L195" s="36"/>
      <c r="M195" s="36"/>
      <c r="N195" s="36"/>
      <c r="O195" s="36"/>
      <c r="P195" s="36"/>
    </row>
    <row r="196" spans="1:16" ht="18.75" x14ac:dyDescent="0.3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36"/>
      <c r="L196" s="36"/>
      <c r="M196" s="36"/>
      <c r="N196" s="36"/>
      <c r="O196" s="36"/>
      <c r="P196" s="36"/>
    </row>
    <row r="197" spans="1:16" ht="18.75" x14ac:dyDescent="0.3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36"/>
      <c r="L197" s="36"/>
      <c r="M197" s="36"/>
      <c r="N197" s="36"/>
      <c r="O197" s="36"/>
      <c r="P197" s="36"/>
    </row>
    <row r="198" spans="1:16" ht="18.75" x14ac:dyDescent="0.3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36"/>
      <c r="L198" s="36"/>
      <c r="M198" s="36"/>
      <c r="N198" s="36"/>
      <c r="O198" s="36"/>
      <c r="P198" s="36"/>
    </row>
    <row r="199" spans="1:16" ht="18.75" x14ac:dyDescent="0.3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36"/>
      <c r="L199" s="36"/>
      <c r="M199" s="36"/>
      <c r="N199" s="36"/>
      <c r="O199" s="36"/>
      <c r="P199" s="36"/>
    </row>
    <row r="200" spans="1:16" ht="18.75" x14ac:dyDescent="0.3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36"/>
      <c r="L200" s="36"/>
      <c r="M200" s="36"/>
      <c r="N200" s="36"/>
      <c r="O200" s="36"/>
      <c r="P200" s="36"/>
    </row>
    <row r="201" spans="1:16" ht="18.75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36"/>
      <c r="L201" s="36"/>
      <c r="M201" s="36"/>
      <c r="N201" s="36"/>
      <c r="O201" s="36"/>
      <c r="P201" s="36"/>
    </row>
    <row r="202" spans="1:16" ht="18.75" x14ac:dyDescent="0.3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36"/>
      <c r="L202" s="36"/>
      <c r="M202" s="36"/>
      <c r="N202" s="36"/>
      <c r="O202" s="36"/>
      <c r="P202" s="36"/>
    </row>
    <row r="203" spans="1:16" ht="18.75" x14ac:dyDescent="0.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36"/>
      <c r="L203" s="36"/>
      <c r="M203" s="36"/>
      <c r="N203" s="36"/>
      <c r="O203" s="36"/>
      <c r="P203" s="36"/>
    </row>
    <row r="204" spans="1:16" ht="18.75" x14ac:dyDescent="0.3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36"/>
      <c r="L204" s="36"/>
      <c r="M204" s="36"/>
      <c r="N204" s="36"/>
      <c r="O204" s="36"/>
      <c r="P204" s="36"/>
    </row>
    <row r="205" spans="1:16" ht="18.75" x14ac:dyDescent="0.3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36"/>
      <c r="L205" s="36"/>
      <c r="M205" s="36"/>
      <c r="N205" s="36"/>
      <c r="O205" s="36"/>
      <c r="P205" s="36"/>
    </row>
    <row r="206" spans="1:16" ht="18.75" x14ac:dyDescent="0.3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36"/>
      <c r="L206" s="36"/>
      <c r="M206" s="36"/>
      <c r="N206" s="36"/>
      <c r="O206" s="36"/>
      <c r="P206" s="36"/>
    </row>
    <row r="207" spans="1:16" ht="18.75" x14ac:dyDescent="0.3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36"/>
      <c r="L207" s="36"/>
      <c r="M207" s="36"/>
      <c r="N207" s="36"/>
      <c r="O207" s="36"/>
      <c r="P207" s="36"/>
    </row>
    <row r="208" spans="1:16" ht="18.75" x14ac:dyDescent="0.3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36"/>
      <c r="L208" s="36"/>
      <c r="M208" s="36"/>
      <c r="N208" s="36"/>
      <c r="O208" s="36"/>
      <c r="P208" s="36"/>
    </row>
    <row r="209" spans="1:16" ht="18.75" x14ac:dyDescent="0.3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36"/>
      <c r="L209" s="36"/>
      <c r="M209" s="36"/>
      <c r="N209" s="36"/>
      <c r="O209" s="36"/>
      <c r="P209" s="36"/>
    </row>
    <row r="210" spans="1:16" ht="18.75" x14ac:dyDescent="0.3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36"/>
      <c r="L210" s="36"/>
      <c r="M210" s="36"/>
      <c r="N210" s="36"/>
      <c r="O210" s="36"/>
      <c r="P210" s="36"/>
    </row>
    <row r="211" spans="1:16" ht="18.75" x14ac:dyDescent="0.3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36"/>
      <c r="L211" s="36"/>
      <c r="M211" s="36"/>
      <c r="N211" s="36"/>
      <c r="O211" s="36"/>
      <c r="P211" s="36"/>
    </row>
    <row r="212" spans="1:16" ht="18.75" x14ac:dyDescent="0.3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36"/>
      <c r="L212" s="36"/>
      <c r="M212" s="36"/>
      <c r="N212" s="36"/>
      <c r="O212" s="36"/>
      <c r="P212" s="36"/>
    </row>
    <row r="213" spans="1:16" ht="18.75" x14ac:dyDescent="0.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36"/>
      <c r="L213" s="36"/>
      <c r="M213" s="36"/>
      <c r="N213" s="36"/>
      <c r="O213" s="36"/>
      <c r="P213" s="36"/>
    </row>
    <row r="214" spans="1:16" ht="18.75" x14ac:dyDescent="0.3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36"/>
      <c r="L214" s="36"/>
      <c r="M214" s="36"/>
      <c r="N214" s="36"/>
      <c r="O214" s="36"/>
      <c r="P214" s="36"/>
    </row>
    <row r="215" spans="1:16" ht="18.75" x14ac:dyDescent="0.3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36"/>
      <c r="L215" s="36"/>
      <c r="M215" s="36"/>
      <c r="N215" s="36"/>
      <c r="O215" s="36"/>
      <c r="P215" s="36"/>
    </row>
    <row r="216" spans="1:16" ht="18.75" x14ac:dyDescent="0.3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36"/>
      <c r="L216" s="36"/>
      <c r="M216" s="36"/>
      <c r="N216" s="36"/>
      <c r="O216" s="36"/>
      <c r="P216" s="36"/>
    </row>
    <row r="217" spans="1:16" ht="18.75" x14ac:dyDescent="0.3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36"/>
      <c r="L217" s="36"/>
      <c r="M217" s="36"/>
      <c r="N217" s="36"/>
      <c r="O217" s="36"/>
      <c r="P217" s="36"/>
    </row>
    <row r="218" spans="1:16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</row>
    <row r="220" spans="1:16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</row>
    <row r="221" spans="1:16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</row>
    <row r="222" spans="1:16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</row>
    <row r="223" spans="1:16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</row>
    <row r="224" spans="1:16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</row>
    <row r="225" spans="1:16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</row>
    <row r="226" spans="1:16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</row>
    <row r="233" spans="1:16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</row>
    <row r="234" spans="1:16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</row>
    <row r="235" spans="1:16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</row>
    <row r="236" spans="1:16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</row>
  </sheetData>
  <mergeCells count="6">
    <mergeCell ref="D48:G50"/>
    <mergeCell ref="D55:F56"/>
    <mergeCell ref="F5:F6"/>
    <mergeCell ref="B19:B21"/>
    <mergeCell ref="E5:E6"/>
    <mergeCell ref="D54:F54"/>
  </mergeCells>
  <dataValidations disablePrompts="1" count="5">
    <dataValidation type="list" allowBlank="1" showInputMessage="1" showErrorMessage="1" sqref="B12">
      <formula1>Тележка</formula1>
    </dataValidation>
    <dataValidation type="list" allowBlank="1" showInputMessage="1" showErrorMessage="1" sqref="B11">
      <formula1>Габарит</formula1>
    </dataValidation>
    <dataValidation type="list" allowBlank="1" showInputMessage="1" showErrorMessage="1" sqref="B26">
      <formula1>Стали</formula1>
    </dataValidation>
    <dataValidation type="list" allowBlank="1" showInputMessage="1" showErrorMessage="1" sqref="B51">
      <formula1>Тип_днища</formula1>
    </dataValidation>
    <dataValidation type="list" allowBlank="1" showInputMessage="1" showErrorMessage="1" sqref="B55">
      <formula1>Тип_торосферического_днища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5"/>
  <sheetViews>
    <sheetView topLeftCell="A4" workbookViewId="0">
      <selection activeCell="C12" sqref="C12"/>
    </sheetView>
  </sheetViews>
  <sheetFormatPr defaultRowHeight="15" x14ac:dyDescent="0.25"/>
  <cols>
    <col min="2" max="2" width="37.85546875" customWidth="1"/>
    <col min="3" max="3" width="20.7109375" customWidth="1"/>
    <col min="4" max="4" width="30.5703125" customWidth="1"/>
    <col min="5" max="5" width="23.7109375" customWidth="1"/>
    <col min="6" max="6" width="27.140625" customWidth="1"/>
    <col min="7" max="7" width="22.42578125" customWidth="1"/>
    <col min="8" max="8" width="17.42578125" customWidth="1"/>
    <col min="9" max="9" width="31.7109375" customWidth="1"/>
    <col min="10" max="10" width="33.7109375" customWidth="1"/>
    <col min="11" max="11" width="19.85546875" customWidth="1"/>
    <col min="12" max="12" width="16.28515625" customWidth="1"/>
    <col min="13" max="13" width="33.42578125" customWidth="1"/>
    <col min="16" max="16" width="19.85546875" customWidth="1"/>
    <col min="17" max="17" width="15" customWidth="1"/>
  </cols>
  <sheetData>
    <row r="1" spans="2:17" ht="15.75" thickBot="1" x14ac:dyDescent="0.3"/>
    <row r="2" spans="2:17" ht="48" thickBot="1" x14ac:dyDescent="0.3">
      <c r="B2" s="6" t="s">
        <v>0</v>
      </c>
      <c r="C2" s="7" t="s">
        <v>2</v>
      </c>
      <c r="D2" s="8" t="s">
        <v>3</v>
      </c>
      <c r="E2" s="24" t="s">
        <v>37</v>
      </c>
      <c r="F2" s="24" t="s">
        <v>187</v>
      </c>
      <c r="K2" s="39" t="s">
        <v>233</v>
      </c>
      <c r="L2" s="39" t="s">
        <v>44</v>
      </c>
      <c r="M2" s="120" t="s">
        <v>210</v>
      </c>
    </row>
    <row r="3" spans="2:17" ht="18.75" x14ac:dyDescent="0.3">
      <c r="B3" s="23" t="s">
        <v>189</v>
      </c>
      <c r="C3" s="5">
        <v>4.9000000000000004</v>
      </c>
      <c r="D3" s="9">
        <v>94</v>
      </c>
      <c r="E3" s="32" t="s">
        <v>38</v>
      </c>
      <c r="F3" s="32" t="s">
        <v>188</v>
      </c>
      <c r="K3" s="117" t="s">
        <v>234</v>
      </c>
      <c r="L3" s="117" t="s">
        <v>45</v>
      </c>
      <c r="M3" s="121" t="s">
        <v>211</v>
      </c>
      <c r="Q3" s="56" t="s">
        <v>159</v>
      </c>
    </row>
    <row r="4" spans="2:17" ht="18.75" x14ac:dyDescent="0.3">
      <c r="B4" s="20" t="s">
        <v>190</v>
      </c>
      <c r="C4" s="3">
        <v>4.92</v>
      </c>
      <c r="D4" s="1">
        <v>100</v>
      </c>
      <c r="E4" s="33" t="s">
        <v>36</v>
      </c>
      <c r="F4" s="33" t="s">
        <v>191</v>
      </c>
      <c r="K4" s="118" t="s">
        <v>235</v>
      </c>
      <c r="L4" s="118" t="s">
        <v>46</v>
      </c>
      <c r="M4" s="106" t="s">
        <v>212</v>
      </c>
      <c r="Q4" s="56" t="s">
        <v>164</v>
      </c>
    </row>
    <row r="5" spans="2:17" ht="19.5" thickBot="1" x14ac:dyDescent="0.35">
      <c r="B5" s="20" t="s">
        <v>4</v>
      </c>
      <c r="C5" s="3">
        <v>4.6719999999999997</v>
      </c>
      <c r="D5" s="1">
        <v>100</v>
      </c>
      <c r="E5" s="33" t="s">
        <v>36</v>
      </c>
      <c r="F5" s="33"/>
      <c r="K5" s="119" t="s">
        <v>236</v>
      </c>
      <c r="L5" s="119" t="s">
        <v>47</v>
      </c>
      <c r="M5" s="106" t="s">
        <v>213</v>
      </c>
      <c r="Q5" s="57" t="s">
        <v>165</v>
      </c>
    </row>
    <row r="6" spans="2:17" ht="18.75" x14ac:dyDescent="0.3">
      <c r="B6" s="20" t="s">
        <v>5</v>
      </c>
      <c r="C6" s="3">
        <v>5.2</v>
      </c>
      <c r="D6" s="1">
        <v>108</v>
      </c>
      <c r="E6" s="33"/>
      <c r="F6" s="33"/>
      <c r="M6" s="106"/>
      <c r="Q6" s="57" t="s">
        <v>168</v>
      </c>
    </row>
    <row r="7" spans="2:17" ht="18.75" x14ac:dyDescent="0.25">
      <c r="B7" s="20" t="s">
        <v>6</v>
      </c>
      <c r="C7" s="3">
        <v>4.9000000000000004</v>
      </c>
      <c r="D7" s="1">
        <v>94</v>
      </c>
      <c r="E7" s="33"/>
      <c r="F7" s="33"/>
      <c r="L7" s="115"/>
      <c r="M7" s="116"/>
      <c r="Q7" s="56" t="s">
        <v>163</v>
      </c>
    </row>
    <row r="8" spans="2:17" ht="19.5" thickBot="1" x14ac:dyDescent="0.35">
      <c r="B8" s="21" t="s">
        <v>7</v>
      </c>
      <c r="C8" s="4">
        <v>8.5</v>
      </c>
      <c r="D8" s="2">
        <v>150</v>
      </c>
      <c r="E8" s="34"/>
      <c r="F8" s="34"/>
      <c r="L8" s="115"/>
      <c r="M8" s="107"/>
      <c r="Q8" s="56" t="s">
        <v>161</v>
      </c>
    </row>
    <row r="9" spans="2:17" ht="19.5" thickBot="1" x14ac:dyDescent="0.35">
      <c r="L9" s="54"/>
      <c r="M9" s="107"/>
      <c r="Q9" s="56" t="s">
        <v>162</v>
      </c>
    </row>
    <row r="10" spans="2:17" ht="19.5" thickBot="1" x14ac:dyDescent="0.3">
      <c r="B10" s="22" t="s">
        <v>54</v>
      </c>
      <c r="C10" s="22" t="s">
        <v>8</v>
      </c>
      <c r="D10" s="51"/>
      <c r="Q10" s="57" t="s">
        <v>167</v>
      </c>
    </row>
    <row r="11" spans="2:17" ht="18.75" x14ac:dyDescent="0.25">
      <c r="B11" s="19" t="s">
        <v>53</v>
      </c>
      <c r="C11" s="52">
        <v>2.5</v>
      </c>
      <c r="D11" s="51"/>
      <c r="Q11" s="57" t="s">
        <v>171</v>
      </c>
    </row>
    <row r="12" spans="2:17" ht="18.75" x14ac:dyDescent="0.25">
      <c r="B12" s="20" t="s">
        <v>9</v>
      </c>
      <c r="C12" s="1">
        <v>2.5</v>
      </c>
      <c r="D12" s="51"/>
      <c r="Q12" s="56" t="s">
        <v>160</v>
      </c>
    </row>
    <row r="13" spans="2:17" ht="18.75" x14ac:dyDescent="0.25">
      <c r="B13" s="20" t="s">
        <v>10</v>
      </c>
      <c r="C13" s="1">
        <v>2</v>
      </c>
      <c r="D13" s="51"/>
      <c r="Q13" s="57" t="s">
        <v>170</v>
      </c>
    </row>
    <row r="14" spans="2:17" ht="19.5" thickBot="1" x14ac:dyDescent="0.3">
      <c r="B14" s="21" t="s">
        <v>11</v>
      </c>
      <c r="C14" s="2">
        <v>2.5</v>
      </c>
      <c r="D14" s="51"/>
      <c r="Q14" s="57" t="s">
        <v>169</v>
      </c>
    </row>
    <row r="15" spans="2:17" ht="19.5" thickBot="1" x14ac:dyDescent="0.3">
      <c r="B15" s="22" t="s">
        <v>54</v>
      </c>
      <c r="C15" s="22" t="s">
        <v>8</v>
      </c>
      <c r="D15" s="51"/>
      <c r="Q15" s="57" t="s">
        <v>172</v>
      </c>
    </row>
    <row r="16" spans="2:17" ht="18.75" x14ac:dyDescent="0.25">
      <c r="B16" s="19" t="s">
        <v>53</v>
      </c>
      <c r="C16" s="52">
        <v>2.5</v>
      </c>
      <c r="D16" s="51"/>
      <c r="Q16" s="57" t="s">
        <v>166</v>
      </c>
    </row>
    <row r="17" spans="1:54" ht="18.75" x14ac:dyDescent="0.25">
      <c r="B17" s="20" t="s">
        <v>9</v>
      </c>
      <c r="C17" s="1">
        <v>2.5</v>
      </c>
      <c r="D17" s="51"/>
      <c r="Q17" s="57"/>
    </row>
    <row r="18" spans="1:54" ht="18.75" x14ac:dyDescent="0.25">
      <c r="B18" s="20" t="s">
        <v>10</v>
      </c>
      <c r="C18" s="1">
        <v>2</v>
      </c>
      <c r="D18" s="51"/>
    </row>
    <row r="19" spans="1:54" ht="19.5" thickBot="1" x14ac:dyDescent="0.3">
      <c r="B19" s="21" t="s">
        <v>11</v>
      </c>
      <c r="C19" s="2">
        <v>2.5</v>
      </c>
      <c r="D19" s="51"/>
    </row>
    <row r="24" spans="1:54" ht="18.75" x14ac:dyDescent="0.3">
      <c r="P24" s="58" t="s">
        <v>293</v>
      </c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54" ht="18.75" x14ac:dyDescent="0.3">
      <c r="P25" s="141" t="str">
        <f>VLOOKUP('Исходные данные'!B26,'Нормируемые параметры'!$A$30:$J$33,1,0)</f>
        <v>09Г2С</v>
      </c>
      <c r="Q25" s="145">
        <f>VLOOKUP(P25,$A$30:$J$33,6,0)</f>
        <v>194.70833333333334</v>
      </c>
      <c r="R25" s="145">
        <f>VLOOKUP(P25,$A$30:$J$33,8,0)</f>
        <v>265.51136363636363</v>
      </c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54" ht="18.75" x14ac:dyDescent="0.3">
      <c r="P26" s="141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54" ht="13.5" customHeight="1" x14ac:dyDescent="0.3">
      <c r="P27" s="141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</row>
    <row r="28" spans="1:54" ht="33.75" customHeight="1" x14ac:dyDescent="0.3">
      <c r="A28" s="31" t="s">
        <v>134</v>
      </c>
      <c r="B28" s="58"/>
      <c r="C28" s="239" t="s">
        <v>140</v>
      </c>
      <c r="D28" s="239"/>
      <c r="E28" s="240" t="s">
        <v>228</v>
      </c>
      <c r="F28" s="240"/>
      <c r="G28" s="240" t="s">
        <v>229</v>
      </c>
      <c r="H28" s="240"/>
      <c r="I28" s="240" t="s">
        <v>227</v>
      </c>
      <c r="J28" s="240" t="s">
        <v>201</v>
      </c>
      <c r="P28" s="141"/>
      <c r="Q28" s="145"/>
      <c r="R28" s="145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</row>
    <row r="29" spans="1:54" ht="35.25" customHeight="1" x14ac:dyDescent="0.3">
      <c r="A29" s="31"/>
      <c r="B29" s="58"/>
      <c r="C29" s="31" t="s">
        <v>139</v>
      </c>
      <c r="D29" s="31" t="s">
        <v>138</v>
      </c>
      <c r="E29" s="31" t="s">
        <v>242</v>
      </c>
      <c r="F29" s="31" t="s">
        <v>243</v>
      </c>
      <c r="G29" s="31" t="s">
        <v>242</v>
      </c>
      <c r="H29" s="31" t="s">
        <v>243</v>
      </c>
      <c r="I29" s="240"/>
      <c r="J29" s="240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</row>
    <row r="30" spans="1:54" ht="18.75" x14ac:dyDescent="0.3">
      <c r="A30" s="31" t="s">
        <v>135</v>
      </c>
      <c r="B30" s="58">
        <v>325</v>
      </c>
      <c r="C30" s="31">
        <v>0.9</v>
      </c>
      <c r="D30" s="31">
        <v>1</v>
      </c>
      <c r="E30" s="135">
        <f>'Исходные данные'!C57*'Нормируемые параметры'!I30/'Исходные данные'!C58</f>
        <v>203.33333333333334</v>
      </c>
      <c r="F30" s="135">
        <f>('Исходные данные'!C57*'Нормируемые параметры'!J30/'Исходные данные'!C58)</f>
        <v>194.70833333333334</v>
      </c>
      <c r="G30" s="135">
        <f>'Исходные данные'!C57*'Нормируемые параметры'!I30/'Исходные данные'!C59</f>
        <v>277.27272727272725</v>
      </c>
      <c r="H30" s="135">
        <f>('Исходные данные'!C57*'Нормируемые параметры'!J30/'Исходные данные'!C59)</f>
        <v>265.51136363636363</v>
      </c>
      <c r="I30" s="135">
        <v>305</v>
      </c>
      <c r="J30" s="135">
        <f>I30-(30*0.43125)</f>
        <v>292.0625</v>
      </c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</row>
    <row r="31" spans="1:54" ht="18.75" x14ac:dyDescent="0.3">
      <c r="A31" s="31" t="s">
        <v>136</v>
      </c>
      <c r="B31" s="58"/>
      <c r="C31" s="31">
        <v>0.9</v>
      </c>
      <c r="D31" s="31">
        <v>1</v>
      </c>
      <c r="E31" s="135"/>
      <c r="F31" s="135"/>
      <c r="G31" s="135"/>
      <c r="H31" s="135"/>
      <c r="I31" s="135"/>
      <c r="J31" s="135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</row>
    <row r="32" spans="1:54" ht="18.75" x14ac:dyDescent="0.3">
      <c r="A32" s="31" t="s">
        <v>137</v>
      </c>
      <c r="B32" s="58"/>
      <c r="C32" s="31">
        <v>0.9</v>
      </c>
      <c r="D32" s="31">
        <v>1</v>
      </c>
      <c r="E32" s="135"/>
      <c r="F32" s="135"/>
      <c r="G32" s="135"/>
      <c r="H32" s="135"/>
      <c r="I32" s="135"/>
      <c r="J32" s="135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</row>
    <row r="33" spans="1:54" ht="18.75" x14ac:dyDescent="0.3">
      <c r="A33" s="31" t="s">
        <v>270</v>
      </c>
      <c r="B33" s="58"/>
      <c r="C33" s="31">
        <v>0.9</v>
      </c>
      <c r="D33" s="31">
        <v>1</v>
      </c>
      <c r="E33" s="135">
        <f>'Исходные данные'!C57*'Нормируемые параметры'!I33/'Исходные данные'!C58</f>
        <v>163.33333333333334</v>
      </c>
      <c r="F33" s="135">
        <f>'Исходные данные'!C57*'Нормируемые параметры'!J33/'Исходные данные'!C58</f>
        <v>156.66666666666666</v>
      </c>
      <c r="G33" s="135">
        <f>'Исходные данные'!C57*'Нормируемые параметры'!I33/'Исходные данные'!C59</f>
        <v>222.72727272727272</v>
      </c>
      <c r="H33" s="135">
        <f>'Исходные данные'!C57*'Нормируемые параметры'!J33/'Исходные данные'!C59</f>
        <v>213.63636363636363</v>
      </c>
      <c r="I33" s="135">
        <v>245</v>
      </c>
      <c r="J33" s="135">
        <v>235</v>
      </c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</row>
    <row r="34" spans="1:54" ht="18.75" x14ac:dyDescent="0.3">
      <c r="A34" s="58"/>
      <c r="B34" s="58"/>
      <c r="C34" s="58"/>
      <c r="D34" s="58"/>
      <c r="E34" s="135"/>
      <c r="F34" s="135"/>
      <c r="G34" s="135"/>
      <c r="H34" s="135"/>
      <c r="I34" s="135"/>
      <c r="J34" s="135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</row>
    <row r="35" spans="1:54" ht="18.75" x14ac:dyDescent="0.3">
      <c r="A35" s="58"/>
      <c r="B35" s="58"/>
      <c r="C35" s="58"/>
      <c r="D35" s="58"/>
      <c r="E35" s="31"/>
      <c r="F35" s="31"/>
      <c r="G35" s="58"/>
      <c r="H35" s="58"/>
      <c r="I35" s="58"/>
      <c r="J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</row>
    <row r="36" spans="1:54" ht="18.75" x14ac:dyDescent="0.3">
      <c r="A36" s="58"/>
      <c r="B36" s="58"/>
      <c r="C36" s="58"/>
      <c r="D36" s="58"/>
      <c r="E36" s="31"/>
      <c r="F36" s="31"/>
      <c r="G36" s="58"/>
      <c r="H36" s="58"/>
      <c r="I36" s="58"/>
      <c r="J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</row>
    <row r="37" spans="1:54" ht="18.75" x14ac:dyDescent="0.3">
      <c r="A37" s="58"/>
      <c r="B37" s="58"/>
      <c r="C37" s="58"/>
      <c r="D37" s="58"/>
      <c r="E37" s="31"/>
      <c r="F37" s="31"/>
      <c r="G37" s="58"/>
      <c r="H37" s="58"/>
      <c r="I37" s="58"/>
      <c r="J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</row>
    <row r="38" spans="1:54" ht="18.75" x14ac:dyDescent="0.3">
      <c r="A38" s="58"/>
      <c r="B38" s="58"/>
      <c r="C38" s="58"/>
      <c r="D38" s="58"/>
      <c r="E38" s="31"/>
      <c r="F38" s="31"/>
      <c r="G38" s="58"/>
      <c r="H38" s="58"/>
      <c r="I38" s="58"/>
      <c r="J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54" ht="18.75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54" ht="18.75" x14ac:dyDescent="0.3"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54" ht="18.75" x14ac:dyDescent="0.3"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</row>
    <row r="42" spans="1:54" ht="18.75" x14ac:dyDescent="0.3"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54" ht="18.75" x14ac:dyDescent="0.3"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</row>
    <row r="44" spans="1:54" ht="18.75" x14ac:dyDescent="0.3"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</row>
    <row r="45" spans="1:54" ht="18.75" x14ac:dyDescent="0.3"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</row>
    <row r="46" spans="1:54" ht="18.75" x14ac:dyDescent="0.3"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</row>
    <row r="47" spans="1:54" ht="18.75" x14ac:dyDescent="0.3"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</row>
    <row r="48" spans="1:54" ht="18.75" x14ac:dyDescent="0.3"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6:54" ht="18.75" x14ac:dyDescent="0.3"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6:54" ht="18.75" x14ac:dyDescent="0.3"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6:54" ht="18.75" x14ac:dyDescent="0.3"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</row>
    <row r="52" spans="16:54" ht="18.75" x14ac:dyDescent="0.3"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6:54" ht="18.75" x14ac:dyDescent="0.3"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6:54" ht="18.75" x14ac:dyDescent="0.3"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6:54" ht="18.75" x14ac:dyDescent="0.3"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6:54" ht="18.75" x14ac:dyDescent="0.3"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6:54" ht="18.75" x14ac:dyDescent="0.3"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6:54" ht="18.75" x14ac:dyDescent="0.3"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</row>
    <row r="59" spans="16:54" ht="18.75" x14ac:dyDescent="0.3"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</row>
    <row r="60" spans="16:54" ht="18.75" x14ac:dyDescent="0.3"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</row>
    <row r="61" spans="16:54" ht="18.75" x14ac:dyDescent="0.3"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</row>
    <row r="62" spans="16:54" ht="18.75" x14ac:dyDescent="0.3"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</row>
    <row r="63" spans="16:54" ht="18.75" x14ac:dyDescent="0.3"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</row>
    <row r="64" spans="16:54" ht="18.75" x14ac:dyDescent="0.3"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</row>
    <row r="65" spans="2:54" ht="18.75" x14ac:dyDescent="0.3"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</row>
    <row r="66" spans="2:54" ht="18.75" x14ac:dyDescent="0.3"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</row>
    <row r="67" spans="2:54" ht="18.75" x14ac:dyDescent="0.3"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</row>
    <row r="68" spans="2:54" ht="18.75" x14ac:dyDescent="0.3"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</row>
    <row r="69" spans="2:54" ht="18.75" x14ac:dyDescent="0.3"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</row>
    <row r="70" spans="2:54" ht="18.75" x14ac:dyDescent="0.3"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</row>
    <row r="71" spans="2:54" ht="18.75" x14ac:dyDescent="0.3"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</row>
    <row r="72" spans="2:54" ht="18.75" x14ac:dyDescent="0.3"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</row>
    <row r="73" spans="2:54" ht="18.75" x14ac:dyDescent="0.3"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</row>
    <row r="74" spans="2:54" ht="18.75" x14ac:dyDescent="0.3"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</row>
    <row r="75" spans="2:54" ht="18.75" x14ac:dyDescent="0.3"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</row>
    <row r="76" spans="2:54" ht="19.5" thickBot="1" x14ac:dyDescent="0.35"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</row>
    <row r="77" spans="2:54" ht="32.25" thickBot="1" x14ac:dyDescent="0.35">
      <c r="B77" s="16" t="s">
        <v>12</v>
      </c>
      <c r="C77" s="14" t="s">
        <v>13</v>
      </c>
      <c r="D77" s="14" t="s">
        <v>14</v>
      </c>
      <c r="E77" s="15" t="s">
        <v>15</v>
      </c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</row>
    <row r="78" spans="2:54" ht="18.75" x14ac:dyDescent="0.3">
      <c r="B78" s="17" t="s">
        <v>16</v>
      </c>
      <c r="C78" s="12">
        <v>0.75</v>
      </c>
      <c r="D78" s="12">
        <v>0</v>
      </c>
      <c r="E78" s="13">
        <v>0</v>
      </c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</row>
    <row r="79" spans="2:54" ht="18.75" x14ac:dyDescent="0.3">
      <c r="B79" s="18" t="s">
        <v>17</v>
      </c>
      <c r="C79" s="10">
        <v>0.76</v>
      </c>
      <c r="D79" s="10">
        <v>0</v>
      </c>
      <c r="E79" s="11">
        <v>0</v>
      </c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</row>
    <row r="80" spans="2:54" ht="18.75" x14ac:dyDescent="0.3">
      <c r="B80" s="18" t="s">
        <v>18</v>
      </c>
      <c r="C80" s="10">
        <v>0.84</v>
      </c>
      <c r="D80" s="10">
        <v>0</v>
      </c>
      <c r="E80" s="11">
        <v>0</v>
      </c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</row>
    <row r="81" spans="2:54" ht="18.75" x14ac:dyDescent="0.3">
      <c r="B81" s="18" t="s">
        <v>19</v>
      </c>
      <c r="C81" s="10">
        <v>0.93</v>
      </c>
      <c r="D81" s="10">
        <v>0</v>
      </c>
      <c r="E81" s="11">
        <v>0</v>
      </c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</row>
    <row r="82" spans="2:54" ht="18.75" x14ac:dyDescent="0.3">
      <c r="B82" s="18" t="s">
        <v>20</v>
      </c>
      <c r="C82" s="10">
        <v>0.94</v>
      </c>
      <c r="D82" s="10">
        <v>0</v>
      </c>
      <c r="E82" s="11">
        <v>0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</row>
    <row r="83" spans="2:54" ht="18.75" x14ac:dyDescent="0.3">
      <c r="B83" s="18" t="s">
        <v>21</v>
      </c>
      <c r="C83" s="10">
        <v>0.99</v>
      </c>
      <c r="D83" s="10">
        <v>0</v>
      </c>
      <c r="E83" s="11">
        <v>0</v>
      </c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</row>
    <row r="84" spans="2:54" ht="19.5" thickBot="1" x14ac:dyDescent="0.35">
      <c r="B84" s="25" t="s">
        <v>22</v>
      </c>
      <c r="C84" s="26">
        <v>0.97</v>
      </c>
      <c r="D84" s="26">
        <v>0</v>
      </c>
      <c r="E84" s="27">
        <v>0</v>
      </c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2:54" ht="19.5" thickBot="1" x14ac:dyDescent="0.35">
      <c r="B85" s="28" t="s">
        <v>23</v>
      </c>
      <c r="C85" s="29">
        <v>1</v>
      </c>
      <c r="D85" s="29">
        <v>0</v>
      </c>
      <c r="E85" s="30">
        <v>0</v>
      </c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</row>
  </sheetData>
  <mergeCells count="5">
    <mergeCell ref="C28:D28"/>
    <mergeCell ref="E28:F28"/>
    <mergeCell ref="I28:I29"/>
    <mergeCell ref="J28:J29"/>
    <mergeCell ref="G28:H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G14" sqref="G14"/>
    </sheetView>
  </sheetViews>
  <sheetFormatPr defaultRowHeight="15" x14ac:dyDescent="0.25"/>
  <cols>
    <col min="1" max="1" width="0.5703125" customWidth="1"/>
    <col min="2" max="2" width="42.28515625" customWidth="1"/>
    <col min="3" max="3" width="48.5703125" customWidth="1"/>
    <col min="4" max="4" width="12.140625" customWidth="1"/>
    <col min="6" max="6" width="5.28515625" customWidth="1"/>
    <col min="7" max="7" width="34.85546875" customWidth="1"/>
    <col min="8" max="8" width="14.28515625" customWidth="1"/>
    <col min="10" max="10" width="8.140625" customWidth="1"/>
    <col min="11" max="11" width="51.5703125" customWidth="1"/>
    <col min="12" max="12" width="13.5703125" customWidth="1"/>
    <col min="13" max="13" width="14.5703125" customWidth="1"/>
  </cols>
  <sheetData>
    <row r="1" spans="2:13" ht="19.5" thickBot="1" x14ac:dyDescent="0.35">
      <c r="B1" s="250" t="s">
        <v>106</v>
      </c>
      <c r="C1" s="251"/>
      <c r="D1" s="61" t="s">
        <v>26</v>
      </c>
      <c r="E1" s="58"/>
      <c r="F1" s="58"/>
      <c r="G1" s="87" t="s">
        <v>142</v>
      </c>
      <c r="H1" s="62" t="s">
        <v>26</v>
      </c>
      <c r="I1" s="58"/>
      <c r="J1" s="58"/>
      <c r="K1" s="63" t="s">
        <v>149</v>
      </c>
      <c r="L1" s="64" t="s">
        <v>25</v>
      </c>
      <c r="M1" s="65" t="s">
        <v>26</v>
      </c>
    </row>
    <row r="2" spans="2:13" ht="19.5" thickBot="1" x14ac:dyDescent="0.35">
      <c r="B2" s="241" t="s">
        <v>107</v>
      </c>
      <c r="C2" s="242"/>
      <c r="D2" s="243"/>
      <c r="E2" s="58"/>
      <c r="F2" s="58"/>
      <c r="G2" s="66" t="s">
        <v>146</v>
      </c>
      <c r="H2" s="67">
        <f>'Исходные данные'!C34-'Исходные данные'!C41-'Исходные данные'!C42</f>
        <v>17.599999999999998</v>
      </c>
      <c r="I2" s="58"/>
      <c r="J2" s="58"/>
      <c r="K2" s="68" t="s">
        <v>157</v>
      </c>
      <c r="L2" s="69" t="s">
        <v>150</v>
      </c>
      <c r="M2" s="70">
        <f>'Исходные данные'!J11*3.14*'Исходные данные'!J12*'Исходные данные'!J12/4*1000</f>
        <v>17219.320400000001</v>
      </c>
    </row>
    <row r="3" spans="2:13" ht="37.5" x14ac:dyDescent="0.3">
      <c r="B3" s="248" t="s">
        <v>109</v>
      </c>
      <c r="C3" s="71" t="s">
        <v>108</v>
      </c>
      <c r="D3" s="186">
        <f>IF('Исходные данные'!C13=0,'Нормируемые параметры'!C11,IF('Исходные данные'!C13=1,'Нормируемые параметры'!C16))</f>
        <v>2.5</v>
      </c>
      <c r="E3" s="58"/>
      <c r="F3" s="58"/>
      <c r="G3" s="72" t="s">
        <v>147</v>
      </c>
      <c r="H3" s="73">
        <f>'Исходные данные'!C35-'Исходные данные'!C41-'Исходные данные'!C43</f>
        <v>17.599999999999998</v>
      </c>
      <c r="I3" s="58"/>
      <c r="J3" s="58"/>
      <c r="K3" s="74" t="s">
        <v>151</v>
      </c>
      <c r="L3" s="75" t="s">
        <v>152</v>
      </c>
      <c r="M3" s="76">
        <f>M2*('Исходные данные'!J6+'Исходные данные'!J7)/'Исходные данные'!J7</f>
        <v>32470.718468571427</v>
      </c>
    </row>
    <row r="4" spans="2:13" ht="23.25" thickBot="1" x14ac:dyDescent="0.35">
      <c r="B4" s="249"/>
      <c r="C4" s="75" t="s">
        <v>178</v>
      </c>
      <c r="D4" s="11">
        <f>D3/'Исходные данные'!C15*1000</f>
        <v>25</v>
      </c>
      <c r="E4" s="58"/>
      <c r="F4" s="58"/>
      <c r="G4" s="77" t="s">
        <v>148</v>
      </c>
      <c r="H4" s="143">
        <f>'Исходные данные'!C36-'Исходные данные'!C41-'Исходные данные'!C46-'Исходные данные'!C44</f>
        <v>20.585000000000001</v>
      </c>
      <c r="I4" s="58"/>
      <c r="J4" s="58"/>
      <c r="K4" s="72" t="s">
        <v>153</v>
      </c>
      <c r="L4" s="75" t="s">
        <v>154</v>
      </c>
      <c r="M4" s="76">
        <f>M2*('Исходные данные'!J7/'Исходные данные'!J6-('Исходные данные'!J8/'Исходные данные'!J6)*(('Исходные данные'!J9+'Исходные данные'!J10)/'Исходные данные'!J10))</f>
        <v>7491.962377025965</v>
      </c>
    </row>
    <row r="5" spans="2:13" ht="18.75" x14ac:dyDescent="0.3">
      <c r="B5" s="249"/>
      <c r="C5" s="75" t="s">
        <v>110</v>
      </c>
      <c r="D5" s="138">
        <f>D3*(2*'Исходные данные'!C14)/'Исходные данные'!C15</f>
        <v>0.24600000000000002</v>
      </c>
      <c r="E5" s="58"/>
      <c r="F5" s="58"/>
      <c r="G5" s="58"/>
      <c r="H5" s="58"/>
      <c r="I5" s="58"/>
      <c r="J5" s="58"/>
      <c r="K5" s="142" t="s">
        <v>155</v>
      </c>
      <c r="L5" s="75" t="s">
        <v>156</v>
      </c>
      <c r="M5" s="76">
        <f>'Исходные данные'!J13*'Исходные данные'!J14*'Исходные данные'!J15/'Исходные данные'!J16</f>
        <v>18850.57471264368</v>
      </c>
    </row>
    <row r="6" spans="2:13" ht="18.75" x14ac:dyDescent="0.3">
      <c r="B6" s="249"/>
      <c r="C6" s="75" t="s">
        <v>111</v>
      </c>
      <c r="D6" s="138">
        <f>(D3*('Исходные данные'!C4/'Исходные данные'!C15))/'Исходные данные'!C31</f>
        <v>0.19249478790483124</v>
      </c>
      <c r="E6" s="58"/>
      <c r="F6" s="58"/>
      <c r="G6" s="58"/>
      <c r="H6" s="58"/>
      <c r="I6" s="58"/>
      <c r="J6" s="58"/>
      <c r="K6" s="142" t="s">
        <v>324</v>
      </c>
      <c r="L6" s="75" t="s">
        <v>323</v>
      </c>
      <c r="M6" s="187">
        <f>(1.4/(2*3.14))*((9.81/('Исходные данные'!J17-(0.5*'Исходные данные'!J18)))^(0.5))</f>
        <v>3.1510997378038201</v>
      </c>
    </row>
    <row r="7" spans="2:13" ht="22.5" x14ac:dyDescent="0.3">
      <c r="B7" s="245" t="s">
        <v>112</v>
      </c>
      <c r="C7" s="75" t="s">
        <v>179</v>
      </c>
      <c r="D7" s="11">
        <f>'Исходные данные'!C17</f>
        <v>9.81</v>
      </c>
      <c r="E7" s="58"/>
      <c r="F7" s="58"/>
      <c r="G7" s="58"/>
      <c r="H7" s="58"/>
      <c r="I7" s="58"/>
      <c r="J7" s="58"/>
      <c r="K7" s="31"/>
      <c r="L7" s="31"/>
      <c r="M7" s="31"/>
    </row>
    <row r="8" spans="2:13" ht="18.75" x14ac:dyDescent="0.3">
      <c r="B8" s="245"/>
      <c r="C8" s="75" t="s">
        <v>158</v>
      </c>
      <c r="D8" s="11">
        <f>'Исходные данные'!C4/(('Исходные данные'!C33/100)*'Исходные данные'!C6)*'Исходные данные'!C17/1000</f>
        <v>8.1200895583146745E-3</v>
      </c>
      <c r="E8" s="58"/>
      <c r="F8" s="79"/>
      <c r="G8" s="58"/>
      <c r="H8" s="58"/>
      <c r="I8" s="58"/>
      <c r="J8" s="58"/>
      <c r="K8" s="31"/>
      <c r="L8" s="31"/>
      <c r="M8" s="31"/>
    </row>
    <row r="9" spans="2:13" ht="37.5" x14ac:dyDescent="0.3">
      <c r="B9" s="245"/>
      <c r="C9" s="75" t="s">
        <v>117</v>
      </c>
      <c r="D9" s="11">
        <f>D3*('Исходные данные'!C22/(2*'Исходные данные'!C20))</f>
        <v>0.125</v>
      </c>
      <c r="E9" s="58"/>
      <c r="F9" s="58"/>
      <c r="G9" s="58"/>
      <c r="H9" s="58"/>
      <c r="I9" s="58"/>
      <c r="J9" s="58"/>
      <c r="K9" s="58"/>
      <c r="L9" s="58"/>
      <c r="M9" s="58"/>
    </row>
    <row r="10" spans="2:13" ht="38.25" thickBot="1" x14ac:dyDescent="0.35">
      <c r="B10" s="77" t="s">
        <v>118</v>
      </c>
      <c r="C10" s="78" t="s">
        <v>119</v>
      </c>
      <c r="D10" s="137">
        <f>'Исходные данные'!C32</f>
        <v>1.958</v>
      </c>
      <c r="E10" s="58"/>
      <c r="F10" s="58"/>
      <c r="G10" s="58"/>
      <c r="H10" s="58"/>
      <c r="I10" s="58"/>
      <c r="J10" s="58"/>
      <c r="K10" s="58"/>
      <c r="L10" s="58"/>
      <c r="M10" s="58"/>
    </row>
    <row r="11" spans="2:13" ht="19.5" thickBot="1" x14ac:dyDescent="0.35">
      <c r="B11" s="241" t="s">
        <v>120</v>
      </c>
      <c r="C11" s="242"/>
      <c r="D11" s="243"/>
      <c r="E11" s="58"/>
      <c r="F11" s="58"/>
      <c r="G11" s="58"/>
      <c r="H11" s="58"/>
      <c r="I11" s="58"/>
      <c r="J11" s="58"/>
      <c r="K11" s="58"/>
      <c r="L11" s="58"/>
      <c r="M11" s="58"/>
    </row>
    <row r="12" spans="2:13" ht="18.75" x14ac:dyDescent="0.3">
      <c r="B12" s="248" t="s">
        <v>109</v>
      </c>
      <c r="C12" s="71" t="s">
        <v>123</v>
      </c>
      <c r="D12" s="186">
        <f>IF('Исходные данные'!C13=0,'Нормируемые параметры'!C12,IF('Исходные данные'!C13=1,'Нормируемые параметры'!C17))</f>
        <v>2.5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22.5" x14ac:dyDescent="0.3">
      <c r="B13" s="249"/>
      <c r="C13" s="75" t="s">
        <v>178</v>
      </c>
      <c r="D13" s="11">
        <f>D12/'Исходные данные'!C15*1000</f>
        <v>25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8.75" x14ac:dyDescent="0.3">
      <c r="B14" s="249"/>
      <c r="C14" s="75" t="s">
        <v>110</v>
      </c>
      <c r="D14" s="11">
        <f>D12*(2*'Исходные данные'!C14)/'Исходные данные'!C15</f>
        <v>0.24600000000000002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8.75" x14ac:dyDescent="0.3">
      <c r="B15" s="249"/>
      <c r="C15" s="75" t="s">
        <v>111</v>
      </c>
      <c r="D15" s="138">
        <f>(D12*('Исходные данные'!C4/'Исходные данные'!C15))/'Исходные данные'!C31</f>
        <v>0.19249478790483124</v>
      </c>
      <c r="E15" s="58"/>
      <c r="F15" s="58"/>
      <c r="G15" s="58"/>
      <c r="H15" s="58"/>
      <c r="I15" s="58"/>
      <c r="J15" s="58"/>
      <c r="K15" s="58"/>
      <c r="L15" s="58"/>
      <c r="M15" s="58"/>
    </row>
    <row r="16" spans="2:13" ht="22.5" x14ac:dyDescent="0.3">
      <c r="B16" s="245" t="s">
        <v>112</v>
      </c>
      <c r="C16" s="75" t="s">
        <v>179</v>
      </c>
      <c r="D16" s="11">
        <f>'Исходные данные'!C17</f>
        <v>9.81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ht="18.75" x14ac:dyDescent="0.3">
      <c r="B17" s="245"/>
      <c r="C17" s="75" t="s">
        <v>158</v>
      </c>
      <c r="D17" s="11">
        <f>'Исходные данные'!C4/(('Исходные данные'!C33/100)*'Исходные данные'!C6)*'Исходные данные'!C17/1000</f>
        <v>8.1200895583146745E-3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37.5" x14ac:dyDescent="0.3">
      <c r="B18" s="245"/>
      <c r="C18" s="75" t="s">
        <v>117</v>
      </c>
      <c r="D18" s="138">
        <f>D12*('Исходные данные'!C22/(2*'Исходные данные'!C21))</f>
        <v>0.1388888888888889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38.25" thickBot="1" x14ac:dyDescent="0.35">
      <c r="B19" s="77" t="s">
        <v>118</v>
      </c>
      <c r="C19" s="78" t="s">
        <v>119</v>
      </c>
      <c r="D19" s="137">
        <f>'Исходные данные'!C32</f>
        <v>1.958</v>
      </c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9.5" thickBot="1" x14ac:dyDescent="0.35">
      <c r="B20" s="241" t="s">
        <v>127</v>
      </c>
      <c r="C20" s="242"/>
      <c r="D20" s="243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8.75" x14ac:dyDescent="0.3">
      <c r="B21" s="80" t="s">
        <v>109</v>
      </c>
      <c r="C21" s="71" t="s">
        <v>128</v>
      </c>
      <c r="D21" s="140">
        <f>'Нормируемые параметры'!C13</f>
        <v>2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22.5" x14ac:dyDescent="0.3">
      <c r="B22" s="245" t="s">
        <v>112</v>
      </c>
      <c r="C22" s="75" t="s">
        <v>179</v>
      </c>
      <c r="D22" s="11">
        <f>'Исходные данные'!C17</f>
        <v>9.81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8.75" x14ac:dyDescent="0.3">
      <c r="B23" s="245"/>
      <c r="C23" s="75" t="s">
        <v>158</v>
      </c>
      <c r="D23" s="11">
        <f>'Исходные данные'!C4/(('Исходные данные'!C33/100)*'Исходные данные'!C6)*'Исходные данные'!C17/1000</f>
        <v>8.1200895583146745E-3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37.5" x14ac:dyDescent="0.3">
      <c r="B24" s="245"/>
      <c r="C24" s="75" t="s">
        <v>117</v>
      </c>
      <c r="D24" s="138">
        <f>D21*('Исходные данные'!C22/(2*'Исходные данные'!C21))</f>
        <v>0.11111111111111112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8.75" x14ac:dyDescent="0.3">
      <c r="B25" s="81" t="s">
        <v>125</v>
      </c>
      <c r="C25" s="82" t="s">
        <v>244</v>
      </c>
      <c r="D25" s="139">
        <f>D21*(('Исходные данные'!C8/2)/'Исходные данные'!C23)</f>
        <v>4.8079999999999998E-2</v>
      </c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38.25" thickBot="1" x14ac:dyDescent="0.35">
      <c r="B26" s="77" t="s">
        <v>118</v>
      </c>
      <c r="C26" s="78" t="s">
        <v>119</v>
      </c>
      <c r="D26" s="137">
        <f>'Исходные данные'!C32</f>
        <v>1.958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9.5" thickBot="1" x14ac:dyDescent="0.35">
      <c r="B27" s="241" t="s">
        <v>122</v>
      </c>
      <c r="C27" s="242"/>
      <c r="D27" s="243"/>
      <c r="E27" s="58"/>
      <c r="F27" s="58"/>
      <c r="G27" s="58"/>
      <c r="H27" s="58"/>
      <c r="I27" s="58"/>
      <c r="J27" s="58"/>
      <c r="K27" s="58"/>
      <c r="L27" s="58"/>
      <c r="M27" s="58"/>
    </row>
    <row r="28" spans="2:13" ht="18.75" x14ac:dyDescent="0.3">
      <c r="B28" s="80" t="s">
        <v>109</v>
      </c>
      <c r="C28" s="71" t="s">
        <v>124</v>
      </c>
      <c r="D28" s="13">
        <f>'Нормируемые параметры'!C14</f>
        <v>2.5</v>
      </c>
      <c r="E28" s="58"/>
      <c r="F28" s="58"/>
      <c r="G28" s="58"/>
      <c r="H28" s="58"/>
      <c r="I28" s="58"/>
      <c r="J28" s="58"/>
      <c r="K28" s="58"/>
      <c r="L28" s="58"/>
      <c r="M28" s="58"/>
    </row>
    <row r="29" spans="2:13" ht="22.5" x14ac:dyDescent="0.3">
      <c r="B29" s="245" t="s">
        <v>112</v>
      </c>
      <c r="C29" s="75" t="s">
        <v>179</v>
      </c>
      <c r="D29" s="11">
        <f>'Исходные данные'!C17</f>
        <v>9.81</v>
      </c>
      <c r="E29" s="58"/>
      <c r="F29" s="58"/>
      <c r="G29" s="58"/>
      <c r="H29" s="58"/>
      <c r="I29" s="58"/>
      <c r="J29" s="58"/>
      <c r="K29" s="58"/>
      <c r="L29" s="58"/>
      <c r="M29" s="58"/>
    </row>
    <row r="30" spans="2:13" ht="18.75" x14ac:dyDescent="0.3">
      <c r="B30" s="245"/>
      <c r="C30" s="75" t="s">
        <v>158</v>
      </c>
      <c r="D30" s="11">
        <f>'Исходные данные'!C4/(('Исходные данные'!C33/100)*'Исходные данные'!C6)*'Исходные данные'!C17/1000</f>
        <v>8.1200895583146745E-3</v>
      </c>
      <c r="E30" s="58"/>
      <c r="F30" s="58"/>
      <c r="G30" s="58"/>
      <c r="H30" s="58"/>
      <c r="I30" s="58"/>
      <c r="J30" s="58"/>
      <c r="K30" s="58"/>
      <c r="L30" s="58"/>
      <c r="M30" s="58"/>
    </row>
    <row r="31" spans="2:13" ht="37.5" x14ac:dyDescent="0.3">
      <c r="B31" s="245"/>
      <c r="C31" s="75" t="s">
        <v>117</v>
      </c>
      <c r="D31" s="138">
        <f>D28*('Исходные данные'!C22/(2*'Исходные данные'!C20))</f>
        <v>0.125</v>
      </c>
      <c r="E31" s="58"/>
      <c r="F31" s="58"/>
      <c r="G31" s="58"/>
      <c r="H31" s="58"/>
      <c r="I31" s="58"/>
      <c r="J31" s="58"/>
      <c r="K31" s="58"/>
      <c r="L31" s="58"/>
      <c r="M31" s="58"/>
    </row>
    <row r="32" spans="2:13" ht="18.75" x14ac:dyDescent="0.3">
      <c r="B32" s="81" t="s">
        <v>125</v>
      </c>
      <c r="C32" s="82" t="s">
        <v>126</v>
      </c>
      <c r="D32" s="139">
        <f>D28*((('Исходные данные'!C18*('Исходные данные'!C16/2))/(('Исходные данные'!C9/2)^2))*(1+(('Исходные данные'!C16/2)/'Исходные данные'!C20))+(('Исходные данные'!C8/2)/'Исходные данные'!C23))*(('Исходные данные'!C9/2)/('Исходные данные'!C16/2))</f>
        <v>0.19152960266643276</v>
      </c>
      <c r="E32" s="58"/>
      <c r="F32" s="58"/>
      <c r="G32" s="58"/>
      <c r="H32" s="58"/>
      <c r="I32" s="58"/>
      <c r="J32" s="58"/>
      <c r="K32" s="58"/>
      <c r="L32" s="58"/>
      <c r="M32" s="58"/>
    </row>
    <row r="33" spans="1:13" ht="38.25" thickBot="1" x14ac:dyDescent="0.35">
      <c r="B33" s="77" t="s">
        <v>118</v>
      </c>
      <c r="C33" s="78" t="s">
        <v>119</v>
      </c>
      <c r="D33" s="137">
        <f>'Исходные данные'!C32</f>
        <v>1.958</v>
      </c>
      <c r="E33" s="58"/>
      <c r="F33" s="58"/>
      <c r="G33" s="58"/>
      <c r="H33" s="58"/>
      <c r="I33" s="58"/>
      <c r="J33" s="58"/>
      <c r="K33" s="58"/>
      <c r="L33" s="58"/>
      <c r="M33" s="58"/>
    </row>
    <row r="34" spans="1:13" ht="19.5" thickBot="1" x14ac:dyDescent="0.35">
      <c r="B34" s="241" t="s">
        <v>129</v>
      </c>
      <c r="C34" s="242"/>
      <c r="D34" s="243"/>
      <c r="E34" s="58"/>
      <c r="F34" s="58"/>
      <c r="G34" s="58"/>
      <c r="H34" s="58"/>
      <c r="I34" s="58"/>
      <c r="J34" s="58"/>
      <c r="K34" s="58"/>
      <c r="L34" s="58"/>
      <c r="M34" s="58"/>
    </row>
    <row r="35" spans="1:13" ht="22.5" x14ac:dyDescent="0.3">
      <c r="B35" s="246" t="s">
        <v>112</v>
      </c>
      <c r="C35" s="71" t="s">
        <v>179</v>
      </c>
      <c r="D35" s="13">
        <f>'Исходные данные'!C17</f>
        <v>9.81</v>
      </c>
      <c r="E35" s="58"/>
      <c r="F35" s="58"/>
      <c r="G35" s="58"/>
      <c r="H35" s="58"/>
      <c r="I35" s="58"/>
      <c r="J35" s="58"/>
      <c r="K35" s="58"/>
      <c r="L35" s="58"/>
      <c r="M35" s="58"/>
    </row>
    <row r="36" spans="1:13" ht="19.5" thickBot="1" x14ac:dyDescent="0.35">
      <c r="B36" s="246"/>
      <c r="C36" s="75" t="s">
        <v>158</v>
      </c>
      <c r="D36" s="27">
        <f>'Исходные данные'!C4/(('Исходные данные'!C33/100)*'Исходные данные'!C6)*'Исходные данные'!C17/1000</f>
        <v>8.1200895583146745E-3</v>
      </c>
      <c r="E36" s="58"/>
      <c r="F36" s="58"/>
      <c r="G36" s="58"/>
      <c r="H36" s="58"/>
      <c r="I36" s="58"/>
      <c r="J36" s="58"/>
      <c r="K36" s="58"/>
      <c r="L36" s="58"/>
      <c r="M36" s="58"/>
    </row>
    <row r="37" spans="1:13" ht="19.5" thickBot="1" x14ac:dyDescent="0.35">
      <c r="B37" s="241" t="s">
        <v>130</v>
      </c>
      <c r="C37" s="242"/>
      <c r="D37" s="243"/>
      <c r="E37" s="58"/>
      <c r="F37" s="58"/>
      <c r="G37" s="58"/>
      <c r="H37" s="58"/>
      <c r="I37" s="58"/>
      <c r="J37" s="58"/>
      <c r="K37" s="58"/>
      <c r="L37" s="58"/>
      <c r="M37" s="58"/>
    </row>
    <row r="38" spans="1:13" ht="22.5" x14ac:dyDescent="0.3">
      <c r="B38" s="246" t="s">
        <v>112</v>
      </c>
      <c r="C38" s="71" t="s">
        <v>179</v>
      </c>
      <c r="D38" s="13">
        <f>'Исходные данные'!C17</f>
        <v>9.81</v>
      </c>
      <c r="E38" s="58"/>
      <c r="F38" s="58"/>
      <c r="G38" s="58"/>
      <c r="H38" s="58"/>
      <c r="I38" s="58"/>
      <c r="J38" s="58"/>
      <c r="K38" s="58"/>
      <c r="L38" s="58"/>
      <c r="M38" s="58"/>
    </row>
    <row r="39" spans="1:13" ht="19.5" thickBot="1" x14ac:dyDescent="0.35">
      <c r="B39" s="247"/>
      <c r="C39" s="75" t="s">
        <v>158</v>
      </c>
      <c r="D39" s="137">
        <f>'Исходные данные'!C4/(('Исходные данные'!C33/100)*'Исходные данные'!C6)*'Исходные данные'!C17/1000</f>
        <v>8.1200895583146745E-3</v>
      </c>
      <c r="E39" s="58"/>
      <c r="F39" s="58"/>
      <c r="G39" s="58"/>
      <c r="H39" s="58"/>
      <c r="I39" s="58"/>
      <c r="J39" s="58"/>
      <c r="K39" s="58"/>
      <c r="L39" s="58"/>
      <c r="M39" s="58"/>
    </row>
    <row r="40" spans="1:13" ht="19.5" thickBot="1" x14ac:dyDescent="0.35">
      <c r="B40" s="241" t="s">
        <v>131</v>
      </c>
      <c r="C40" s="242"/>
      <c r="D40" s="243"/>
      <c r="E40" s="58"/>
      <c r="F40" s="58"/>
      <c r="G40" s="58"/>
      <c r="H40" s="58"/>
      <c r="I40" s="58"/>
      <c r="J40" s="58"/>
      <c r="K40" s="58"/>
      <c r="L40" s="58"/>
      <c r="M40" s="58"/>
    </row>
    <row r="41" spans="1:13" ht="23.25" thickBot="1" x14ac:dyDescent="0.35">
      <c r="B41" s="83" t="s">
        <v>112</v>
      </c>
      <c r="C41" s="84" t="s">
        <v>179</v>
      </c>
      <c r="D41" s="136">
        <f>'Исходные данные'!C17</f>
        <v>9.81</v>
      </c>
      <c r="E41" s="58"/>
      <c r="F41" s="58"/>
      <c r="G41" s="58"/>
      <c r="H41" s="58"/>
      <c r="I41" s="58"/>
      <c r="J41" s="58"/>
      <c r="K41" s="58"/>
      <c r="L41" s="58"/>
      <c r="M41" s="58"/>
    </row>
    <row r="42" spans="1:13" ht="19.5" thickBot="1" x14ac:dyDescent="0.35">
      <c r="A42" s="54"/>
      <c r="B42" s="241" t="s">
        <v>132</v>
      </c>
      <c r="C42" s="242"/>
      <c r="D42" s="243"/>
      <c r="E42" s="85"/>
      <c r="F42" s="58"/>
      <c r="G42" s="58"/>
      <c r="H42" s="58"/>
      <c r="I42" s="58"/>
      <c r="J42" s="58"/>
      <c r="K42" s="58"/>
      <c r="L42" s="58"/>
      <c r="M42" s="58"/>
    </row>
    <row r="43" spans="1:13" ht="22.5" x14ac:dyDescent="0.3">
      <c r="A43" s="54"/>
      <c r="B43" s="244" t="s">
        <v>112</v>
      </c>
      <c r="C43" s="71" t="s">
        <v>179</v>
      </c>
      <c r="D43" s="13">
        <f>'Исходные данные'!C17</f>
        <v>9.81</v>
      </c>
      <c r="E43" s="85"/>
      <c r="F43" s="58"/>
      <c r="G43" s="58"/>
      <c r="H43" s="58"/>
      <c r="I43" s="58"/>
      <c r="J43" s="58"/>
      <c r="K43" s="58"/>
      <c r="L43" s="58"/>
      <c r="M43" s="58"/>
    </row>
    <row r="44" spans="1:13" ht="18.75" x14ac:dyDescent="0.3">
      <c r="B44" s="245"/>
      <c r="C44" s="75" t="s">
        <v>158</v>
      </c>
      <c r="D44" s="11">
        <f>'Исходные данные'!C4/(('Исходные данные'!C33/100)*'Исходные данные'!C6)*'Исходные данные'!C17/1000</f>
        <v>8.1200895583146745E-3</v>
      </c>
      <c r="E44" s="58"/>
      <c r="F44" s="58"/>
      <c r="G44" s="58"/>
      <c r="H44" s="58"/>
      <c r="I44" s="58"/>
      <c r="J44" s="58"/>
      <c r="K44" s="58"/>
      <c r="L44" s="58"/>
      <c r="M44" s="58"/>
    </row>
    <row r="45" spans="1:13" ht="38.25" thickBot="1" x14ac:dyDescent="0.35">
      <c r="B45" s="77" t="s">
        <v>118</v>
      </c>
      <c r="C45" s="78" t="s">
        <v>141</v>
      </c>
      <c r="D45" s="144">
        <f>1.25*('Исходные данные'!C32+'Нагрузки и толщины'!D6)*((VLOOKUP('Исходные данные'!B26,'Нормируемые параметры'!$A$30:$J$33,7,0))/(VLOOKUP('Исходные данные'!B26,'Нормируемые параметры'!$A$30:$J$33,8,0)))</f>
        <v>2.8071941378599341</v>
      </c>
      <c r="E45" s="58"/>
      <c r="F45" s="58"/>
      <c r="G45" s="58"/>
      <c r="H45" s="58"/>
      <c r="I45" s="58"/>
      <c r="J45" s="58"/>
      <c r="K45" s="58"/>
      <c r="L45" s="58"/>
      <c r="M45" s="58"/>
    </row>
    <row r="46" spans="1:13" ht="18.75" x14ac:dyDescent="0.3">
      <c r="B46" s="86"/>
      <c r="C46" s="86"/>
      <c r="D46" s="86"/>
      <c r="E46" s="58"/>
      <c r="F46" s="58"/>
      <c r="G46" s="58"/>
      <c r="H46" s="58"/>
      <c r="I46" s="58"/>
      <c r="J46" s="58"/>
      <c r="K46" s="58"/>
      <c r="L46" s="58"/>
      <c r="M46" s="58"/>
    </row>
  </sheetData>
  <mergeCells count="18">
    <mergeCell ref="B1:C1"/>
    <mergeCell ref="B2:D2"/>
    <mergeCell ref="B3:B6"/>
    <mergeCell ref="B7:B9"/>
    <mergeCell ref="B11:D11"/>
    <mergeCell ref="B12:B15"/>
    <mergeCell ref="B16:B18"/>
    <mergeCell ref="B20:D20"/>
    <mergeCell ref="B22:B24"/>
    <mergeCell ref="B27:D27"/>
    <mergeCell ref="B40:D40"/>
    <mergeCell ref="B42:D42"/>
    <mergeCell ref="B43:B44"/>
    <mergeCell ref="B29:B31"/>
    <mergeCell ref="B34:D34"/>
    <mergeCell ref="B35:B36"/>
    <mergeCell ref="B37:D37"/>
    <mergeCell ref="B38:B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5"/>
  <sheetViews>
    <sheetView workbookViewId="0">
      <selection activeCell="H14" sqref="H14"/>
    </sheetView>
  </sheetViews>
  <sheetFormatPr defaultRowHeight="15" x14ac:dyDescent="0.25"/>
  <cols>
    <col min="2" max="2" width="60.28515625" customWidth="1"/>
    <col min="3" max="3" width="13.140625" customWidth="1"/>
    <col min="7" max="7" width="36.5703125" customWidth="1"/>
    <col min="10" max="10" width="72.5703125" customWidth="1"/>
    <col min="20" max="20" width="58.28515625" customWidth="1"/>
    <col min="21" max="21" width="20.7109375" customWidth="1"/>
    <col min="22" max="22" width="10.7109375" customWidth="1"/>
    <col min="23" max="23" width="15" bestFit="1" customWidth="1"/>
  </cols>
  <sheetData>
    <row r="1" spans="2:25" ht="19.5" thickBot="1" x14ac:dyDescent="0.3">
      <c r="B1" s="63" t="s">
        <v>195</v>
      </c>
      <c r="C1" s="124" t="s">
        <v>26</v>
      </c>
      <c r="D1" s="31"/>
      <c r="E1" s="31"/>
      <c r="F1" s="31"/>
      <c r="G1" s="31"/>
      <c r="H1" s="31"/>
      <c r="I1" s="31"/>
      <c r="T1" s="109" t="s">
        <v>215</v>
      </c>
      <c r="U1" s="110" t="s">
        <v>26</v>
      </c>
      <c r="V1" s="60"/>
      <c r="W1" s="60"/>
      <c r="X1" s="60"/>
    </row>
    <row r="2" spans="2:25" ht="37.5" x14ac:dyDescent="0.25">
      <c r="B2" s="68" t="s">
        <v>196</v>
      </c>
      <c r="C2" s="133">
        <f>'Нагрузки и толщины'!D6</f>
        <v>0.19249478790483124</v>
      </c>
      <c r="D2" s="31"/>
      <c r="E2" s="31"/>
      <c r="F2" s="31"/>
      <c r="G2" s="31"/>
      <c r="H2" s="31"/>
      <c r="I2" s="31"/>
      <c r="T2" s="111" t="s">
        <v>204</v>
      </c>
      <c r="U2" s="181">
        <f>(2*'Исходные данные'!C52*(VLOOKUP('Исходные данные'!B26,'Нормируемые параметры'!$A$30:$J$33,6,0))*('Исходные данные'!C36-'Исходные данные'!C41-'Исходные данные'!C44-'Исходные данные'!C46))/('Исходные данные'!C54+(0.5*('Исходные данные'!C36-'Исходные данные'!C41-'Исходные данные'!C44-'Исходные данные'!C46)))</f>
        <v>2.4815530120982339</v>
      </c>
      <c r="V2" s="60"/>
      <c r="W2" s="60"/>
      <c r="X2" s="60"/>
    </row>
    <row r="3" spans="2:25" ht="38.25" thickBot="1" x14ac:dyDescent="0.3">
      <c r="B3" s="94" t="s">
        <v>197</v>
      </c>
      <c r="C3" s="127">
        <f>'Нагрузки и толщины'!D15</f>
        <v>0.19249478790483124</v>
      </c>
      <c r="D3" s="31"/>
      <c r="E3" s="31"/>
      <c r="F3" s="31"/>
      <c r="G3" s="31"/>
      <c r="H3" s="31"/>
      <c r="I3" s="31"/>
      <c r="T3" s="112" t="s">
        <v>205</v>
      </c>
      <c r="U3" s="184">
        <f>(2*'Исходные данные'!C52*(VLOOKUP('Исходные данные'!B26,'Нормируемые параметры'!$A$30:$J$33,8,0))*('Исходные данные'!C36-'Исходные данные'!C41-'Исходные данные'!C44-'Исходные данные'!C46))/('Исходные данные'!C54+(0.5*('Исходные данные'!C36-'Исходные данные'!C41-'Исходные данные'!C44-'Исходные данные'!C46)))</f>
        <v>3.3839359255885002</v>
      </c>
      <c r="V3" s="60"/>
      <c r="W3" s="60"/>
      <c r="X3" s="60"/>
    </row>
    <row r="4" spans="2:25" ht="19.5" thickBot="1" x14ac:dyDescent="0.3">
      <c r="B4" s="94" t="s">
        <v>198</v>
      </c>
      <c r="C4" s="122">
        <f>'Нагрузки и толщины'!D45</f>
        <v>2.8071941378599341</v>
      </c>
      <c r="D4" s="31"/>
      <c r="E4" s="31"/>
      <c r="G4" s="31"/>
      <c r="H4" s="31"/>
      <c r="I4" s="31"/>
      <c r="T4" s="109" t="s">
        <v>214</v>
      </c>
      <c r="U4" s="110" t="s">
        <v>26</v>
      </c>
      <c r="V4" s="60"/>
      <c r="W4" s="60"/>
      <c r="X4" s="60"/>
    </row>
    <row r="5" spans="2:25" ht="38.25" thickBot="1" x14ac:dyDescent="0.3">
      <c r="B5" s="94" t="s">
        <v>199</v>
      </c>
      <c r="C5" s="206">
        <f>C2+'Исходные данные'!C32</f>
        <v>2.1504947879048313</v>
      </c>
      <c r="D5" s="31"/>
      <c r="E5" s="31"/>
      <c r="G5" s="31"/>
      <c r="H5" s="31"/>
      <c r="I5" s="31"/>
      <c r="T5" s="111" t="s">
        <v>204</v>
      </c>
      <c r="U5" s="181">
        <f>(2*'Исходные данные'!C52*(VLOOKUP('Исходные данные'!B26,'Нормируемые параметры'!$A$30:$J$33,6,0))*('Исходные данные'!C36-'Исходные данные'!C41-'Исходные данные'!C46-'Исходные данные'!C44))/('Исходные данные'!C28*'Исходные данные'!C56)</f>
        <v>2.2618374053856707</v>
      </c>
      <c r="V5" s="60"/>
      <c r="W5" s="60"/>
      <c r="X5" s="60"/>
    </row>
    <row r="6" spans="2:25" ht="38.25" thickBot="1" x14ac:dyDescent="0.3">
      <c r="B6" s="94" t="s">
        <v>200</v>
      </c>
      <c r="C6" s="127">
        <f>C3+'Исходные данные'!C32</f>
        <v>2.1504947879048313</v>
      </c>
      <c r="D6" s="31"/>
      <c r="E6" s="31"/>
      <c r="F6" s="126"/>
      <c r="G6" s="31" t="s">
        <v>225</v>
      </c>
      <c r="H6" s="31"/>
      <c r="I6" s="31"/>
      <c r="T6" s="113" t="s">
        <v>205</v>
      </c>
      <c r="U6" s="182">
        <f>(2*'Исходные данные'!C52*(VLOOKUP('Исходные данные'!B26,'Нормируемые параметры'!$A$30:$J$33,8,0))*('Исходные данные'!C36-'Исходные данные'!C41-'Исходные данные'!C46-'Исходные данные'!C44))/('Исходные данные'!C28*'Исходные данные'!C56)</f>
        <v>3.0843237346168237</v>
      </c>
      <c r="V6" s="60"/>
      <c r="W6" s="60"/>
      <c r="X6" s="60"/>
    </row>
    <row r="7" spans="2:25" ht="38.25" thickBot="1" x14ac:dyDescent="0.3">
      <c r="B7" s="74" t="s">
        <v>202</v>
      </c>
      <c r="C7" s="127">
        <f>(2*'Исходные данные'!C52*(VLOOKUP('Исходные данные'!B26,'Нормируемые параметры'!$A$30:$J$33,6,0))*('Исходные данные'!C34-'Исходные данные'!C41-'Исходные данные'!C42))/('Исходные данные'!C27+('Исходные данные'!C34-'Исходные данные'!C41-'Исходные данные'!C42))</f>
        <v>2.1460838343353372</v>
      </c>
      <c r="D7" s="31"/>
      <c r="E7" s="31"/>
      <c r="F7" s="125"/>
      <c r="G7" s="31" t="s">
        <v>226</v>
      </c>
      <c r="H7" s="31"/>
      <c r="I7" s="31"/>
      <c r="T7" s="113" t="s">
        <v>216</v>
      </c>
      <c r="U7" s="182">
        <f>(2*'Исходные данные'!C52*(VLOOKUP('Исходные данные'!B26,'Нормируемые параметры'!$A$30:$J$33,6,0))*('Исходные данные'!C36-'Исходные данные'!C41-'Исходные данные'!C46-'Исходные данные'!C44))/('Исходные данные'!C54+(0.5*('Исходные данные'!C36-'Исходные данные'!C41-'Исходные данные'!C46-'Исходные данные'!C44)))</f>
        <v>2.4815530120982339</v>
      </c>
      <c r="V7" s="60"/>
      <c r="W7" s="60"/>
      <c r="X7" s="60"/>
    </row>
    <row r="8" spans="2:25" ht="38.25" thickBot="1" x14ac:dyDescent="0.3">
      <c r="B8" s="74" t="s">
        <v>203</v>
      </c>
      <c r="C8" s="127">
        <f>(2*'Исходные данные'!C52*(VLOOKUP('Исходные данные'!B26,'Нормируемые параметры'!$A$30:$J$33,8,0))*('Исходные данные'!C34-'Исходные данные'!C41-'Исходные данные'!C42))/('Исходные данные'!C27+('Исходные данные'!C34-'Исходные данные'!C41-'Исходные данные'!C42))</f>
        <v>2.9264779559118232</v>
      </c>
      <c r="D8" s="31"/>
      <c r="E8" s="31"/>
      <c r="F8" s="31"/>
      <c r="G8" s="31"/>
      <c r="H8" s="31"/>
      <c r="I8" s="31"/>
      <c r="T8" s="114" t="s">
        <v>217</v>
      </c>
      <c r="U8" s="183">
        <f>(2*'Исходные данные'!C52*(VLOOKUP('Исходные данные'!B26,'Нормируемые параметры'!$A$30:$J$33,8,0))*('Исходные данные'!C36-'Исходные данные'!C41-'Исходные данные'!C46-'Исходные данные'!C44))/('Исходные данные'!C54+(0.5*('Исходные данные'!C36-'Исходные данные'!C41-'Исходные данные'!C46-'Исходные данные'!C44)))</f>
        <v>3.3839359255885002</v>
      </c>
      <c r="V8" s="60"/>
      <c r="W8" s="60"/>
      <c r="X8" s="60"/>
    </row>
    <row r="9" spans="2:25" ht="37.5" x14ac:dyDescent="0.25">
      <c r="B9" s="74" t="s">
        <v>204</v>
      </c>
      <c r="C9" s="127">
        <f>IF('Исходные данные'!B51="Эллиптическое",'ГОСТ 14249-89 и ГОСТ 24755-89'!U2,IF('Исходные данные'!B51="Полусферическое",'ГОСТ 14249-89 и ГОСТ 24755-89'!U2,IF('Исходные данные'!B51="Торосферическое",'ГОСТ 14249-89 и ГОСТ 24755-89'!U5,IF('Исходные данные'!B51="Торосферическое сварное",'ГОСТ 14249-89 и ГОСТ 24755-89'!U7,))))</f>
        <v>2.2618374053856707</v>
      </c>
      <c r="D9" s="31"/>
      <c r="E9" s="31"/>
      <c r="F9" s="31"/>
      <c r="G9" s="31"/>
      <c r="H9" s="31"/>
      <c r="I9" s="31"/>
      <c r="T9" s="60"/>
      <c r="U9" s="60"/>
      <c r="V9" s="60"/>
      <c r="W9" s="60"/>
      <c r="X9" s="60"/>
    </row>
    <row r="10" spans="2:25" ht="38.25" thickBot="1" x14ac:dyDescent="0.3">
      <c r="B10" s="173" t="s">
        <v>205</v>
      </c>
      <c r="C10" s="174">
        <f>IF('Исходные данные'!B51="Эллиптическое",'ГОСТ 14249-89 и ГОСТ 24755-89'!U3,IF('Исходные данные'!B51="Полусферическое",'ГОСТ 14249-89 и ГОСТ 24755-89'!U3,IF('Исходные данные'!B51="Торосферическое",'ГОСТ 14249-89 и ГОСТ 24755-89'!U6,IF('Исходные данные'!B51="Торосферическое сварное",'ГОСТ 14249-89 и ГОСТ 24755-89'!U8,))))</f>
        <v>3.0843237346168237</v>
      </c>
      <c r="D10" s="31"/>
      <c r="E10" s="31"/>
      <c r="F10" s="31"/>
      <c r="G10" s="31"/>
      <c r="H10" s="31"/>
      <c r="I10" s="31"/>
      <c r="T10" s="131" t="s">
        <v>233</v>
      </c>
      <c r="U10" s="131" t="s">
        <v>237</v>
      </c>
      <c r="V10" s="108"/>
      <c r="W10" s="108"/>
      <c r="X10" s="60"/>
      <c r="Y10" s="60"/>
    </row>
    <row r="11" spans="2:25" ht="39" thickTop="1" thickBot="1" x14ac:dyDescent="0.3">
      <c r="B11" s="177" t="s">
        <v>223</v>
      </c>
      <c r="C11" s="178">
        <f>MIN(C7,C9)</f>
        <v>2.1460838343353372</v>
      </c>
      <c r="D11" s="252" t="s">
        <v>293</v>
      </c>
      <c r="E11" s="252"/>
      <c r="F11" s="252"/>
      <c r="G11" s="253"/>
      <c r="H11" s="31"/>
      <c r="I11" s="31"/>
      <c r="T11" s="132" t="s">
        <v>234</v>
      </c>
      <c r="U11" s="130">
        <f>MAX(V11,W11)</f>
        <v>1.5984159851528512</v>
      </c>
      <c r="V11" s="130">
        <v>1.25</v>
      </c>
      <c r="W11" s="130">
        <f>(0.25*((('Исходные данные'!C28/('Исходные данные'!C36-'Исходные данные'!C41-'Исходные данные'!C46-'Исходные данные'!C44))^(1/3))+1))</f>
        <v>1.5984159851528512</v>
      </c>
      <c r="X11" s="60"/>
      <c r="Y11" s="60"/>
    </row>
    <row r="12" spans="2:25" ht="38.25" thickBot="1" x14ac:dyDescent="0.3">
      <c r="B12" s="179" t="s">
        <v>224</v>
      </c>
      <c r="C12" s="180">
        <f>MIN(C8,C10)</f>
        <v>2.9264779559118232</v>
      </c>
      <c r="D12" s="254"/>
      <c r="E12" s="254"/>
      <c r="F12" s="254"/>
      <c r="G12" s="255"/>
      <c r="H12" s="31"/>
      <c r="I12" s="31"/>
      <c r="T12" s="132" t="s">
        <v>235</v>
      </c>
      <c r="U12" s="130">
        <f>MAX(V12,W12)</f>
        <v>1.0972396728733684</v>
      </c>
      <c r="V12" s="130">
        <v>1</v>
      </c>
      <c r="W12" s="130">
        <f>(0.12*((('Исходные данные'!C28/('Исходные данные'!C36-'Исходные данные'!C41-'Исходные данные'!C46-'Исходные данные'!C44))^(1/3))+3.75))</f>
        <v>1.0972396728733684</v>
      </c>
      <c r="X12" s="60"/>
      <c r="Y12" s="60"/>
    </row>
    <row r="13" spans="2:25" ht="38.25" thickTop="1" x14ac:dyDescent="0.25">
      <c r="B13" s="175" t="s">
        <v>238</v>
      </c>
      <c r="C13" s="176">
        <f>'Исходные данные'!C29+(2*'Исходные данные'!C47)</f>
        <v>569.79999999999995</v>
      </c>
      <c r="D13" s="31"/>
      <c r="E13" s="31"/>
      <c r="F13" s="31"/>
      <c r="G13" s="31"/>
      <c r="H13" s="31"/>
      <c r="I13" s="31"/>
      <c r="T13" s="132" t="s">
        <v>236</v>
      </c>
      <c r="U13" s="130">
        <f>MAX(V13,W13)</f>
        <v>1.0312396728733686</v>
      </c>
      <c r="V13" s="130">
        <v>0.9</v>
      </c>
      <c r="W13" s="130">
        <f>(0.12*((('Исходные данные'!C28/('Исходные данные'!C36-'Исходные данные'!C41-'Исходные данные'!C46-'Исходные данные'!C44))^(1/3))+3.2))</f>
        <v>1.0312396728733686</v>
      </c>
      <c r="X13" s="60"/>
      <c r="Y13" s="60"/>
    </row>
    <row r="14" spans="2:25" ht="37.5" x14ac:dyDescent="0.25">
      <c r="B14" s="74" t="s">
        <v>240</v>
      </c>
      <c r="C14" s="134">
        <f>C5*'Исходные данные'!C27/(2*(VLOOKUP('Исходные данные'!B26,'Нормируемые параметры'!$A$30:$J$33,6,0))*'Исходные данные'!C52-'ГОСТ 14249-89 и ГОСТ 24755-89'!C5)</f>
        <v>17.636375036970556</v>
      </c>
      <c r="D14" s="31"/>
      <c r="E14" s="31"/>
      <c r="F14" s="31"/>
      <c r="G14" s="31"/>
      <c r="H14" s="31"/>
      <c r="I14" s="31"/>
      <c r="T14" s="60"/>
      <c r="U14" s="129"/>
      <c r="V14" s="129"/>
      <c r="W14" s="129"/>
      <c r="X14" s="60"/>
      <c r="Y14" s="60"/>
    </row>
    <row r="15" spans="2:25" ht="37.5" x14ac:dyDescent="0.25">
      <c r="B15" s="74" t="s">
        <v>240</v>
      </c>
      <c r="C15" s="134">
        <f>C6*'Исходные данные'!C27/(2*(VLOOKUP('Исходные данные'!B26,'Нормируемые параметры'!$A$30:$J$33,6,0))*'Исходные данные'!C52-'ГОСТ 14249-89 и ГОСТ 24755-89'!C6)</f>
        <v>17.636375036970556</v>
      </c>
      <c r="D15" s="31"/>
      <c r="E15" s="31"/>
      <c r="F15" s="31"/>
      <c r="G15" s="31"/>
      <c r="H15" s="31"/>
      <c r="I15" s="31"/>
      <c r="T15" s="60"/>
      <c r="U15" s="60"/>
      <c r="V15" s="60"/>
      <c r="W15" s="60"/>
      <c r="X15" s="60"/>
      <c r="Y15" s="60"/>
    </row>
    <row r="16" spans="2:25" ht="37.5" x14ac:dyDescent="0.25">
      <c r="B16" s="74" t="s">
        <v>239</v>
      </c>
      <c r="C16" s="134">
        <f>2*(('Исходные данные'!C34-'Исходные данные'!C41-'Исходные данные'!C42)/(MAX('ГОСТ 14249-89 и ГОСТ 24755-89'!C14,'ГОСТ 14249-89 и ГОСТ 24755-89'!C15))-0.8)*(('Исходные данные'!C27*('Исходные данные'!C34-'Исходные данные'!C41-'Исходные данные'!C42))^(0.5))</f>
        <v>93.59543250107167</v>
      </c>
      <c r="D16" s="31"/>
      <c r="E16" s="31"/>
      <c r="F16" s="31"/>
      <c r="G16" s="31"/>
      <c r="H16" s="31"/>
      <c r="I16" s="31"/>
      <c r="T16" s="60"/>
      <c r="U16" s="60"/>
      <c r="V16" s="60"/>
      <c r="W16" s="60"/>
      <c r="X16" s="60"/>
      <c r="Y16" s="60"/>
    </row>
    <row r="17" spans="2:25" ht="37.5" x14ac:dyDescent="0.25">
      <c r="B17" s="74" t="s">
        <v>294</v>
      </c>
      <c r="C17" s="146">
        <f>Лист1!G8/1000</f>
        <v>182.82231103776894</v>
      </c>
      <c r="D17" s="31"/>
      <c r="E17" s="31"/>
      <c r="F17" s="31"/>
      <c r="G17" s="31"/>
      <c r="H17" s="31"/>
      <c r="I17" s="31"/>
      <c r="T17" s="60"/>
      <c r="U17" s="60"/>
      <c r="V17" s="60"/>
      <c r="W17" s="60"/>
      <c r="X17" s="60"/>
      <c r="Y17" s="60"/>
    </row>
    <row r="18" spans="2:25" ht="37.5" x14ac:dyDescent="0.25">
      <c r="B18" s="74" t="s">
        <v>295</v>
      </c>
      <c r="C18" s="146">
        <f>Лист1!C8/1000</f>
        <v>137.11673327832671</v>
      </c>
      <c r="D18" s="31"/>
      <c r="E18" s="31"/>
      <c r="F18" s="31"/>
      <c r="G18" s="31"/>
      <c r="H18" s="31"/>
      <c r="I18" s="31"/>
    </row>
    <row r="19" spans="2:25" ht="19.5" thickBot="1" x14ac:dyDescent="0.3">
      <c r="B19" s="123"/>
      <c r="C19" s="128"/>
      <c r="D19" s="31"/>
      <c r="E19" s="31"/>
      <c r="F19" s="31"/>
      <c r="G19" s="31"/>
      <c r="H19" s="31"/>
      <c r="I19" s="31"/>
    </row>
    <row r="20" spans="2:25" ht="37.5" x14ac:dyDescent="0.25">
      <c r="B20" s="74" t="s">
        <v>365</v>
      </c>
      <c r="C20" s="146">
        <f>(C5*('Исходные данные'!C29+(2*'Исходные данные'!C47)))/(2*'Нормируемые параметры'!F30*'Исходные данные'!C53-'ГОСТ 14249-89 и ГОСТ 24755-89'!C5)</f>
        <v>3.164107838811657</v>
      </c>
      <c r="D20" s="31" t="s">
        <v>355</v>
      </c>
      <c r="E20" s="31"/>
      <c r="F20" s="31"/>
      <c r="G20" s="31"/>
      <c r="H20" s="31"/>
      <c r="I20" s="31"/>
    </row>
    <row r="21" spans="2:25" ht="18.75" x14ac:dyDescent="0.25">
      <c r="B21" s="74" t="s">
        <v>343</v>
      </c>
      <c r="C21" s="146">
        <f>MIN('Исходные данные'!C48,1.25*((('Исходные данные'!C29+(2*'Исходные данные'!C47))*('Исходные данные'!C37-'Исходные данные'!C47))^(0.5)))</f>
        <v>132.09892126735934</v>
      </c>
      <c r="D21" s="31" t="s">
        <v>356</v>
      </c>
      <c r="E21" s="31"/>
      <c r="F21" s="31"/>
      <c r="G21" s="31"/>
      <c r="H21" s="31"/>
      <c r="I21" s="31"/>
    </row>
    <row r="22" spans="2:25" ht="18.75" x14ac:dyDescent="0.25">
      <c r="B22" s="74" t="s">
        <v>344</v>
      </c>
      <c r="C22" s="146">
        <f>MIN('Исходные данные'!C50,0.5*((('Исходные данные'!C29+(2*'Исходные данные'!C47))*('Исходные данные'!C39-'Исходные данные'!C47-'Исходные данные'!C41))^(0.5)))</f>
        <v>45</v>
      </c>
      <c r="D22" s="31" t="s">
        <v>357</v>
      </c>
      <c r="E22" s="31"/>
      <c r="F22" s="31"/>
      <c r="G22" s="31"/>
      <c r="H22" s="31"/>
      <c r="I22" s="31"/>
    </row>
    <row r="23" spans="2:25" ht="18.75" x14ac:dyDescent="0.25">
      <c r="B23" s="74" t="s">
        <v>345</v>
      </c>
      <c r="C23" s="146">
        <f>('Исходные данные'!C27*('Исходные данные'!C34-'Исходные данные'!C41-'Исходные данные'!C42))^(0.5)</f>
        <v>236.42673283704613</v>
      </c>
      <c r="D23" s="31" t="s">
        <v>358</v>
      </c>
      <c r="E23" s="31"/>
      <c r="F23" s="31"/>
      <c r="G23" s="31"/>
      <c r="H23" s="31"/>
      <c r="I23" s="31"/>
    </row>
    <row r="24" spans="2:25" ht="18.75" x14ac:dyDescent="0.25">
      <c r="B24" s="74" t="s">
        <v>346</v>
      </c>
      <c r="C24" s="146">
        <f>MIN('Исходные данные'!C49,(('Исходные данные'!C27*('Исходные данные'!C38+'Исходные данные'!C34-'Исходные данные'!C41-'Исходные данные'!C42))^(0.5)))</f>
        <v>149</v>
      </c>
      <c r="D24" s="31" t="s">
        <v>359</v>
      </c>
      <c r="E24" s="31"/>
      <c r="F24" s="31"/>
      <c r="G24" s="31"/>
      <c r="H24" s="31">
        <f>C21*('Исходные данные'!C37-'Исходные данные'!C47)*'ГОСТ 14249-89 и ГОСТ 24755-89'!C25</f>
        <v>2589.1388568402435</v>
      </c>
      <c r="I24" s="31">
        <f>C24*'Исходные данные'!C38*'ГОСТ 14249-89 и ГОСТ 24755-89'!C26</f>
        <v>2384</v>
      </c>
      <c r="J24">
        <f>C22*('Исходные данные'!C39-'Исходные данные'!C47-'Исходные данные'!C41)*'ГОСТ 14249-89 и ГОСТ 24755-89'!C27</f>
        <v>810</v>
      </c>
    </row>
    <row r="25" spans="2:25" ht="37.5" x14ac:dyDescent="0.25">
      <c r="B25" s="74" t="s">
        <v>348</v>
      </c>
      <c r="C25" s="146">
        <f>MIN(1,'Нормируемые параметры'!F30/'Нормируемые параметры'!F30)</f>
        <v>1</v>
      </c>
      <c r="D25" s="31" t="s">
        <v>360</v>
      </c>
      <c r="E25" s="31"/>
      <c r="F25" s="31"/>
      <c r="G25" s="31"/>
      <c r="H25" s="31">
        <f>C23*('Исходные данные'!C34-'Исходные данные'!C41-'Исходные данные'!C42)</f>
        <v>4161.1104979320116</v>
      </c>
      <c r="I25" s="31"/>
      <c r="J25" s="205">
        <f>1+((H24+I24+J24)/H25)</f>
        <v>2.3898066056439378</v>
      </c>
    </row>
    <row r="26" spans="2:25" ht="18.75" x14ac:dyDescent="0.25">
      <c r="B26" s="74" t="s">
        <v>349</v>
      </c>
      <c r="C26" s="146">
        <f>MIN(1,'Нормируемые параметры'!F30/'Нормируемые параметры'!F30)</f>
        <v>1</v>
      </c>
      <c r="D26" s="31" t="s">
        <v>361</v>
      </c>
      <c r="E26" s="31"/>
      <c r="F26" s="31"/>
      <c r="G26" s="31"/>
      <c r="H26" s="31"/>
      <c r="I26" s="31"/>
    </row>
    <row r="27" spans="2:25" ht="18.75" x14ac:dyDescent="0.25">
      <c r="B27" s="74" t="s">
        <v>350</v>
      </c>
      <c r="C27" s="146">
        <f>MIN(1,'Нормируемые параметры'!F30/'Нормируемые параметры'!F30)</f>
        <v>1</v>
      </c>
      <c r="D27" s="31" t="s">
        <v>362</v>
      </c>
      <c r="E27" s="31"/>
      <c r="F27" s="31"/>
      <c r="G27" s="31"/>
      <c r="H27" s="31">
        <f>0.5*((C13-C29)/C23)</f>
        <v>1.0050244766371803</v>
      </c>
      <c r="I27" s="31">
        <f>(('Исходные данные'!C29+(2*'Исходные данные'!C47))*'Исходные данные'!C52*'ГОСТ 14249-89 и ГОСТ 24755-89'!C21)/('Исходные данные'!C27*'Исходные данные'!C53*'ГОСТ 14249-89 и ГОСТ 24755-89'!C23)</f>
        <v>0.10024082711872531</v>
      </c>
      <c r="J27">
        <f>1+H27+I27</f>
        <v>2.1052653037559055</v>
      </c>
    </row>
    <row r="28" spans="2:25" ht="18.75" x14ac:dyDescent="0.25">
      <c r="B28" s="74" t="s">
        <v>347</v>
      </c>
      <c r="C28" s="146">
        <f>(C21*('Исходные данные'!C37-'ГОСТ 14249-89 и ГОСТ 24755-89'!C20-'Исходные данные'!C47)*'ГОСТ 14249-89 и ГОСТ 24755-89'!C25)+('ГОСТ 14249-89 и ГОСТ 24755-89'!C24*'Исходные данные'!C38*'ГОСТ 14249-89 и ГОСТ 24755-89'!C26)+('ГОСТ 14249-89 и ГОСТ 24755-89'!C22*('Исходные данные'!C39-'Исходные данные'!C47-'Исходные данные'!C41)*'ГОСТ 14249-89 и ГОСТ 24755-89'!C27)+('ГОСТ 14249-89 и ГОСТ 24755-89'!C23*('Исходные данные'!C34-'ГОСТ 14249-89 и ГОСТ 24755-89'!C14-'Исходные данные'!C41-'Исходные данные'!C42))</f>
        <v>5356.5635934118518</v>
      </c>
      <c r="D28" s="31"/>
      <c r="E28" s="31"/>
      <c r="F28" s="31"/>
      <c r="G28" s="31"/>
      <c r="H28" s="31"/>
      <c r="I28" s="31"/>
      <c r="J28">
        <f>J25/J27</f>
        <v>1.13515698063346</v>
      </c>
    </row>
    <row r="29" spans="2:25" ht="18.75" x14ac:dyDescent="0.25">
      <c r="B29" s="74" t="s">
        <v>351</v>
      </c>
      <c r="C29" s="146">
        <f>0.4*(('Исходные данные'!C27*('Исходные данные'!C34-'Исходные данные'!C41-'Исходные данные'!C42))^(0.5))</f>
        <v>94.570693134818455</v>
      </c>
      <c r="D29" s="31" t="s">
        <v>363</v>
      </c>
      <c r="E29" s="31"/>
      <c r="F29" s="31"/>
      <c r="G29" s="31"/>
      <c r="H29" s="31"/>
      <c r="I29" s="31"/>
    </row>
    <row r="30" spans="2:25" ht="18.75" x14ac:dyDescent="0.25">
      <c r="B30" s="74" t="s">
        <v>352</v>
      </c>
      <c r="C30" s="146">
        <f>0.5*(C13-C29)*C14</f>
        <v>4190.6611422169535</v>
      </c>
    </row>
    <row r="31" spans="2:25" ht="18.75" x14ac:dyDescent="0.25">
      <c r="B31" s="74" t="s">
        <v>364</v>
      </c>
      <c r="C31" s="146">
        <f>MIN(1,(1+(((C21*('Исходные данные'!C37-'Исходные данные'!C47)*'ГОСТ 14249-89 и ГОСТ 24755-89'!C25)+('ГОСТ 14249-89 и ГОСТ 24755-89'!C24*'Исходные данные'!C38*'ГОСТ 14249-89 и ГОСТ 24755-89'!C26)+('ГОСТ 14249-89 и ГОСТ 24755-89'!C22*('Исходные данные'!C39-'Исходные данные'!C47-'Исходные данные'!C41)*'ГОСТ 14249-89 и ГОСТ 24755-89'!C27))/('ГОСТ 14249-89 и ГОСТ 24755-89'!C23*('Исходные данные'!C34-'Исходные данные'!C41-'Исходные данные'!C42))))/((1+(0.5*(('ГОСТ 14249-89 и ГОСТ 24755-89'!C13-'ГОСТ 14249-89 и ГОСТ 24755-89'!C29)/'ГОСТ 14249-89 и ГОСТ 24755-89'!C23))+((('Исходные данные'!C29+(2*'Исходные данные'!C47))/'Исходные данные'!C27)*(('Исходные данные'!C52*'ГОСТ 14249-89 и ГОСТ 24755-89'!C21)/('Исходные данные'!C53*'ГОСТ 14249-89 и ГОСТ 24755-89'!C23))))))</f>
        <v>1</v>
      </c>
      <c r="D31" s="204" t="s">
        <v>41</v>
      </c>
    </row>
    <row r="32" spans="2:25" ht="37.5" x14ac:dyDescent="0.25">
      <c r="B32" s="74" t="s">
        <v>368</v>
      </c>
      <c r="C32" s="127">
        <f>((2*1*('Исходные данные'!C34-'Исходные данные'!C41-'Исходные данные'!C42)*'Исходные данные'!C52*'Нормируемые параметры'!F30*'ГОСТ 14249-89 и ГОСТ 24755-89'!C31)/('Исходные данные'!C27+('Исходные данные'!C34-'Исходные данные'!C41-'Исходные данные'!C42)*'ГОСТ 14249-89 и ГОСТ 24755-89'!C31))</f>
        <v>2.1460838343353372</v>
      </c>
    </row>
    <row r="33" spans="2:3" ht="37.5" x14ac:dyDescent="0.25">
      <c r="B33" s="74" t="s">
        <v>366</v>
      </c>
      <c r="C33" s="146">
        <f>(C5*('Исходные данные'!C29+(2*'Исходные данные'!C47)))/(2*'Нормируемые параметры'!H30*'Исходные данные'!C53-'ГОСТ 14249-89 и ГОСТ 24755-89'!C5)</f>
        <v>2.3169148517989888</v>
      </c>
    </row>
    <row r="34" spans="2:3" ht="18.75" x14ac:dyDescent="0.25">
      <c r="B34" s="74" t="s">
        <v>347</v>
      </c>
      <c r="C34" s="146">
        <f>(C21*('Исходные данные'!C37-'ГОСТ 14249-89 и ГОСТ 24755-89'!C33-'Исходные данные'!C47)*'ГОСТ 14249-89 и ГОСТ 24755-89'!C25)+('ГОСТ 14249-89 и ГОСТ 24755-89'!C24*'Исходные данные'!C38*'ГОСТ 14249-89 и ГОСТ 24755-89'!C26)+('ГОСТ 14249-89 и ГОСТ 24755-89'!C22*('Исходные данные'!C39-'Исходные данные'!C47-'Исходные данные'!C41)*'ГОСТ 14249-89 и ГОСТ 24755-89'!C27)+('ГОСТ 14249-89 и ГОСТ 24755-89'!C23*('Исходные данные'!C34-'ГОСТ 14249-89 и ГОСТ 24755-89'!C14-'Исходные данные'!C41-'Исходные данные'!C42))</f>
        <v>5468.4768731014974</v>
      </c>
    </row>
    <row r="35" spans="2:3" ht="37.5" x14ac:dyDescent="0.25">
      <c r="B35" s="74" t="s">
        <v>367</v>
      </c>
      <c r="C35" s="146">
        <f>((2*1*('Исходные данные'!C34-'Исходные данные'!C41-'Исходные данные'!C42)*'Исходные данные'!C52*'Нормируемые параметры'!H30*'ГОСТ 14249-89 и ГОСТ 24755-89'!C31)/('Исходные данные'!C27+('Исходные данные'!C34-'Исходные данные'!C41-'Исходные данные'!C42)*'ГОСТ 14249-89 и ГОСТ 24755-89'!C31))</f>
        <v>2.9264779559118232</v>
      </c>
    </row>
  </sheetData>
  <mergeCells count="1">
    <mergeCell ref="D11:G12"/>
  </mergeCells>
  <conditionalFormatting sqref="C4">
    <cfRule type="expression" dxfId="36" priority="13">
      <formula>$C$4&lt;$C$12</formula>
    </cfRule>
    <cfRule type="expression" dxfId="35" priority="14">
      <formula>$C$4&gt;$C$12</formula>
    </cfRule>
  </conditionalFormatting>
  <conditionalFormatting sqref="C5">
    <cfRule type="expression" dxfId="34" priority="11">
      <formula>$C$5&lt;$C$11</formula>
    </cfRule>
    <cfRule type="expression" dxfId="33" priority="12">
      <formula>$C$5&gt;$C$11</formula>
    </cfRule>
  </conditionalFormatting>
  <conditionalFormatting sqref="C13">
    <cfRule type="expression" dxfId="32" priority="9">
      <formula>$C$13&gt;$C$16</formula>
    </cfRule>
    <cfRule type="expression" dxfId="31" priority="10">
      <formula>$C$13&lt;$C$16</formula>
    </cfRule>
  </conditionalFormatting>
  <conditionalFormatting sqref="C28">
    <cfRule type="expression" dxfId="30" priority="5">
      <formula>$C$28&lt;$C$30</formula>
    </cfRule>
    <cfRule type="expression" dxfId="29" priority="6">
      <formula>$C$28&gt;$C$30</formula>
    </cfRule>
  </conditionalFormatting>
  <conditionalFormatting sqref="C34">
    <cfRule type="expression" dxfId="28" priority="1">
      <formula>$C$28&lt;$C$30</formula>
    </cfRule>
    <cfRule type="expression" dxfId="27" priority="2">
      <formula>$C$28&gt;$C$30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17"/>
  <sheetViews>
    <sheetView topLeftCell="A28" workbookViewId="0">
      <selection activeCell="J58" sqref="J58"/>
    </sheetView>
  </sheetViews>
  <sheetFormatPr defaultRowHeight="15" x14ac:dyDescent="0.25"/>
  <cols>
    <col min="6" max="6" width="13.7109375" customWidth="1"/>
    <col min="12" max="12" width="16.85546875" customWidth="1"/>
    <col min="27" max="27" width="18.5703125" customWidth="1"/>
  </cols>
  <sheetData>
    <row r="3" spans="2:28" x14ac:dyDescent="0.25">
      <c r="D3" t="s">
        <v>314</v>
      </c>
      <c r="E3" t="s">
        <v>9</v>
      </c>
      <c r="F3" t="s">
        <v>10</v>
      </c>
      <c r="G3" t="s">
        <v>11</v>
      </c>
      <c r="H3" t="s">
        <v>315</v>
      </c>
      <c r="I3" t="s">
        <v>316</v>
      </c>
      <c r="J3" t="s">
        <v>317</v>
      </c>
      <c r="K3" t="s">
        <v>318</v>
      </c>
      <c r="L3" t="s">
        <v>319</v>
      </c>
      <c r="M3" t="s">
        <v>320</v>
      </c>
      <c r="S3" t="s">
        <v>314</v>
      </c>
      <c r="T3" t="s">
        <v>9</v>
      </c>
      <c r="U3" t="s">
        <v>10</v>
      </c>
      <c r="V3" t="s">
        <v>11</v>
      </c>
      <c r="W3" t="s">
        <v>315</v>
      </c>
      <c r="X3" t="s">
        <v>316</v>
      </c>
      <c r="Y3" t="s">
        <v>317</v>
      </c>
      <c r="Z3" t="s">
        <v>318</v>
      </c>
      <c r="AA3" t="s">
        <v>319</v>
      </c>
      <c r="AB3" t="s">
        <v>320</v>
      </c>
    </row>
    <row r="4" spans="2:28" x14ac:dyDescent="0.25">
      <c r="B4" s="214">
        <v>5.4724149703979501</v>
      </c>
      <c r="C4">
        <v>66</v>
      </c>
      <c r="D4" s="207">
        <v>6.5491914749145499</v>
      </c>
      <c r="E4" s="208">
        <v>20.435829162597699</v>
      </c>
      <c r="F4" s="210">
        <v>168.733642578125</v>
      </c>
      <c r="G4" s="209">
        <v>82.369209289550795</v>
      </c>
      <c r="H4" s="214">
        <v>7.1905598640441903</v>
      </c>
      <c r="I4" s="194">
        <v>9.7518005371093803</v>
      </c>
      <c r="J4" s="194">
        <v>9.9067459106445295</v>
      </c>
      <c r="K4" s="211">
        <v>4.4253005981445304</v>
      </c>
      <c r="L4" s="213">
        <v>1.77341556549072</v>
      </c>
      <c r="M4" s="214"/>
      <c r="R4">
        <v>1</v>
      </c>
      <c r="S4">
        <f>VLOOKUP(R4,$C$4:$M$200,2,0)</f>
        <v>134.592361450195</v>
      </c>
      <c r="T4">
        <f>VLOOKUP(R4,$C$4:$M$200,3,0)</f>
        <v>138.76734924316401</v>
      </c>
      <c r="U4">
        <f>VLOOKUP(R4,$C$4:$M$200,4,0)</f>
        <v>115.951866149902</v>
      </c>
      <c r="V4">
        <f>VLOOKUP(R4,$C$4:$M$200,5,0)</f>
        <v>108.96778869628901</v>
      </c>
      <c r="W4">
        <f>VLOOKUP(R4,$C$4:$M$200,6,0)</f>
        <v>80.460999999999999</v>
      </c>
      <c r="X4">
        <f>VLOOKUP(R4,$C$4:$M$200,7,0)</f>
        <v>80.08</v>
      </c>
      <c r="Y4">
        <f>VLOOKUP(R4,$C$4:$M$200,8,0)</f>
        <v>79.87</v>
      </c>
      <c r="Z4">
        <f>VLOOKUP(R4,$C$4:$M$200,9,0)</f>
        <v>3.30484819412231</v>
      </c>
      <c r="AA4">
        <f>VLOOKUP(R4,$C$4:$M$200,10,0)</f>
        <v>183.63229370117199</v>
      </c>
      <c r="AB4">
        <f>VLOOKUP(R4,$C$4:$M$200,11,0)</f>
        <v>0</v>
      </c>
    </row>
    <row r="5" spans="2:28" x14ac:dyDescent="0.25">
      <c r="B5" s="214">
        <v>5.0117778778076199</v>
      </c>
      <c r="C5">
        <v>65</v>
      </c>
      <c r="D5" s="207">
        <v>5.9671535491943404</v>
      </c>
      <c r="E5" s="208">
        <v>21.700153350830099</v>
      </c>
      <c r="F5" s="210">
        <v>209.19215393066401</v>
      </c>
      <c r="G5" s="209">
        <v>39.201488494872997</v>
      </c>
      <c r="H5" s="214">
        <v>7.7900137901306197</v>
      </c>
      <c r="I5" s="194">
        <v>10.5237979888916</v>
      </c>
      <c r="J5" s="194">
        <v>10.4998111724854</v>
      </c>
      <c r="K5" s="211">
        <v>7.21181297302246</v>
      </c>
      <c r="L5" s="213">
        <v>1.8913991451263401</v>
      </c>
      <c r="M5" s="214"/>
      <c r="R5">
        <v>2</v>
      </c>
      <c r="S5">
        <f t="shared" ref="S5:S68" si="0">VLOOKUP(R5,$C$4:$M$200,2,0)</f>
        <v>222.80513000488301</v>
      </c>
      <c r="T5">
        <f t="shared" ref="T5:T68" si="1">VLOOKUP(R5,$C$4:$M$200,3,0)</f>
        <v>222.30839538574199</v>
      </c>
      <c r="U5">
        <f t="shared" ref="U5:U68" si="2">VLOOKUP(R5,$C$4:$M$200,4,0)</f>
        <v>214.46710205078099</v>
      </c>
      <c r="V5">
        <f t="shared" ref="V5:V68" si="3">VLOOKUP(R5,$C$4:$M$200,5,0)</f>
        <v>213.37368774414099</v>
      </c>
      <c r="W5">
        <f t="shared" ref="W5:W68" si="4">VLOOKUP(R5,$C$4:$M$200,6,0)</f>
        <v>228.01900000000001</v>
      </c>
      <c r="X5">
        <f t="shared" ref="X5:X68" si="5">VLOOKUP(R5,$C$4:$M$200,7,0)</f>
        <v>227.91900000000001</v>
      </c>
      <c r="Y5">
        <f t="shared" ref="Y5:Y68" si="6">VLOOKUP(R5,$C$4:$M$200,8,0)</f>
        <v>227.86</v>
      </c>
      <c r="Z5">
        <f t="shared" ref="Z5:Z68" si="7">VLOOKUP(R5,$C$4:$M$200,9,0)</f>
        <v>1.5099006891250599</v>
      </c>
      <c r="AA5">
        <f t="shared" ref="AA5:AA68" si="8">VLOOKUP(R5,$C$4:$M$200,10,0)</f>
        <v>309.87023925781301</v>
      </c>
      <c r="AB5">
        <f t="shared" ref="AB5:AB68" si="9">VLOOKUP(R5,$C$4:$M$200,11,0)</f>
        <v>0</v>
      </c>
    </row>
    <row r="6" spans="2:28" x14ac:dyDescent="0.25">
      <c r="B6" s="214">
        <v>28.038282394409201</v>
      </c>
      <c r="C6">
        <v>64</v>
      </c>
      <c r="D6" s="207">
        <v>31.530885696411101</v>
      </c>
      <c r="E6" s="208">
        <v>25.052646636962901</v>
      </c>
      <c r="F6" s="210">
        <v>201.97021484375</v>
      </c>
      <c r="G6" s="209">
        <v>183.84727478027301</v>
      </c>
      <c r="H6" s="214">
        <v>8.4126939773559606</v>
      </c>
      <c r="I6" s="194">
        <v>16.980369567871101</v>
      </c>
      <c r="J6" s="194">
        <v>18.5141696929932</v>
      </c>
      <c r="K6" s="211">
        <v>19.296365737915</v>
      </c>
      <c r="L6" s="213">
        <v>1.02702116966248</v>
      </c>
      <c r="M6" s="214"/>
      <c r="R6">
        <v>3</v>
      </c>
      <c r="S6">
        <f t="shared" si="0"/>
        <v>134.47801208496099</v>
      </c>
      <c r="T6">
        <f t="shared" si="1"/>
        <v>138.747146606445</v>
      </c>
      <c r="U6">
        <f t="shared" si="2"/>
        <v>115.900192260742</v>
      </c>
      <c r="V6">
        <f t="shared" si="3"/>
        <v>108.969245910645</v>
      </c>
      <c r="W6">
        <f t="shared" si="4"/>
        <v>80.459000000000003</v>
      </c>
      <c r="X6">
        <f t="shared" si="5"/>
        <v>80.076999999999998</v>
      </c>
      <c r="Y6">
        <f t="shared" si="6"/>
        <v>79.87</v>
      </c>
      <c r="Z6">
        <f t="shared" si="7"/>
        <v>3.3137116432189901</v>
      </c>
      <c r="AA6">
        <f t="shared" si="8"/>
        <v>183.62600708007801</v>
      </c>
      <c r="AB6">
        <f t="shared" si="9"/>
        <v>0</v>
      </c>
    </row>
    <row r="7" spans="2:28" x14ac:dyDescent="0.25">
      <c r="B7" s="214">
        <v>28.931642532348601</v>
      </c>
      <c r="C7">
        <v>63</v>
      </c>
      <c r="D7" s="207">
        <v>31.869968414306602</v>
      </c>
      <c r="E7" s="208">
        <v>27.354953765869102</v>
      </c>
      <c r="F7" s="210">
        <v>206.25190734863301</v>
      </c>
      <c r="G7" s="209">
        <v>189.94573974609401</v>
      </c>
      <c r="H7" s="214">
        <v>9.8334999084472692</v>
      </c>
      <c r="I7" s="194">
        <v>16.5014553070068</v>
      </c>
      <c r="J7" s="194">
        <v>18.318035125732401</v>
      </c>
      <c r="K7" s="211">
        <v>10.3384895324707</v>
      </c>
      <c r="L7" s="213">
        <v>1.15464627742767</v>
      </c>
      <c r="M7" s="214"/>
      <c r="R7">
        <v>4</v>
      </c>
      <c r="S7">
        <f t="shared" si="0"/>
        <v>221.61198425293</v>
      </c>
      <c r="T7">
        <f t="shared" si="1"/>
        <v>223.41114807128901</v>
      </c>
      <c r="U7">
        <f t="shared" si="2"/>
        <v>214.417724609375</v>
      </c>
      <c r="V7">
        <f t="shared" si="3"/>
        <v>213.32571411132801</v>
      </c>
      <c r="W7">
        <f t="shared" si="4"/>
        <v>228.12799999999999</v>
      </c>
      <c r="X7">
        <f t="shared" si="5"/>
        <v>228.14</v>
      </c>
      <c r="Y7">
        <f t="shared" si="6"/>
        <v>227.96</v>
      </c>
      <c r="Z7">
        <f t="shared" si="7"/>
        <v>1.51311194896698</v>
      </c>
      <c r="AA7">
        <f t="shared" si="8"/>
        <v>309.79699707031301</v>
      </c>
      <c r="AB7">
        <f t="shared" si="9"/>
        <v>0</v>
      </c>
    </row>
    <row r="8" spans="2:28" x14ac:dyDescent="0.25">
      <c r="B8" s="214">
        <v>167.35507202148401</v>
      </c>
      <c r="C8">
        <v>62</v>
      </c>
      <c r="D8" s="207">
        <v>167.31028747558599</v>
      </c>
      <c r="E8" s="208">
        <v>244.58987426757801</v>
      </c>
      <c r="F8" s="210">
        <v>204.91273498535199</v>
      </c>
      <c r="G8" s="209">
        <v>173.06834411621099</v>
      </c>
      <c r="H8" s="214">
        <v>9.4117717742919904</v>
      </c>
      <c r="I8" s="194">
        <v>10.148399353027299</v>
      </c>
      <c r="J8" s="194">
        <v>3.6200819015502899</v>
      </c>
      <c r="K8" s="211">
        <v>14.754886627197299</v>
      </c>
      <c r="L8" s="213">
        <v>0.90018922090530396</v>
      </c>
      <c r="M8" s="214"/>
      <c r="R8">
        <v>5</v>
      </c>
      <c r="S8">
        <f t="shared" si="0"/>
        <v>246.18620300293</v>
      </c>
      <c r="T8">
        <f t="shared" si="1"/>
        <v>244.58692932128901</v>
      </c>
      <c r="U8">
        <f t="shared" si="2"/>
        <v>232.06919860839801</v>
      </c>
      <c r="V8">
        <f t="shared" si="3"/>
        <v>235.01139831543</v>
      </c>
      <c r="W8">
        <f t="shared" si="4"/>
        <v>252.96299999999999</v>
      </c>
      <c r="X8">
        <f t="shared" si="5"/>
        <v>253.85</v>
      </c>
      <c r="Y8">
        <f t="shared" si="6"/>
        <v>254.11</v>
      </c>
      <c r="Z8">
        <f t="shared" si="7"/>
        <v>1.3477135896682699</v>
      </c>
      <c r="AA8">
        <f t="shared" si="8"/>
        <v>324.79455566406301</v>
      </c>
      <c r="AB8">
        <f t="shared" si="9"/>
        <v>0</v>
      </c>
    </row>
    <row r="9" spans="2:28" x14ac:dyDescent="0.25">
      <c r="B9" s="214">
        <v>176.33262634277301</v>
      </c>
      <c r="C9">
        <v>61</v>
      </c>
      <c r="D9" s="207">
        <v>176.025634765625</v>
      </c>
      <c r="E9" s="208">
        <v>258.18167114257801</v>
      </c>
      <c r="F9" s="210">
        <v>218.29527282714801</v>
      </c>
      <c r="G9" s="209">
        <v>182.06155395507801</v>
      </c>
      <c r="H9" s="214">
        <v>11.0484275817871</v>
      </c>
      <c r="I9" s="194">
        <v>11.5191383361816</v>
      </c>
      <c r="J9" s="194">
        <v>10.091158866882299</v>
      </c>
      <c r="K9" s="211">
        <v>12.947877883911101</v>
      </c>
      <c r="L9" s="213">
        <v>1.0545018911361701</v>
      </c>
      <c r="M9" s="214"/>
      <c r="R9">
        <v>6</v>
      </c>
      <c r="S9">
        <f t="shared" si="0"/>
        <v>246.62388610839801</v>
      </c>
      <c r="T9">
        <f t="shared" si="1"/>
        <v>244.71859741210901</v>
      </c>
      <c r="U9">
        <f t="shared" si="2"/>
        <v>232.28727722168</v>
      </c>
      <c r="V9">
        <f t="shared" si="3"/>
        <v>235.09634399414099</v>
      </c>
      <c r="W9">
        <f t="shared" si="4"/>
        <v>252.8</v>
      </c>
      <c r="X9">
        <f t="shared" si="5"/>
        <v>253.69</v>
      </c>
      <c r="Y9">
        <f t="shared" si="6"/>
        <v>254.26</v>
      </c>
      <c r="Z9">
        <f t="shared" si="7"/>
        <v>1.3598937988281301</v>
      </c>
      <c r="AA9">
        <f t="shared" si="8"/>
        <v>324.907958984375</v>
      </c>
      <c r="AB9">
        <f t="shared" si="9"/>
        <v>0</v>
      </c>
    </row>
    <row r="10" spans="2:28" x14ac:dyDescent="0.25">
      <c r="B10" s="214">
        <v>26.9332580566406</v>
      </c>
      <c r="C10">
        <v>60</v>
      </c>
      <c r="D10" s="207">
        <v>26.795534133911101</v>
      </c>
      <c r="E10" s="208">
        <v>245.54086303710901</v>
      </c>
      <c r="F10" s="210">
        <v>180.48114013671901</v>
      </c>
      <c r="G10" s="209">
        <v>31.921260833740199</v>
      </c>
      <c r="H10" s="214">
        <v>7.1071152687072798</v>
      </c>
      <c r="I10" s="194">
        <v>7.0468025207519496</v>
      </c>
      <c r="J10" s="194">
        <v>3.0890233516693102</v>
      </c>
      <c r="K10" s="211">
        <v>6.4076194763183603</v>
      </c>
      <c r="L10" s="213">
        <v>1.7352769374847401</v>
      </c>
      <c r="M10" s="214"/>
      <c r="R10">
        <v>7</v>
      </c>
      <c r="S10">
        <f t="shared" si="0"/>
        <v>164.12272644043</v>
      </c>
      <c r="T10">
        <f t="shared" si="1"/>
        <v>151.111251831055</v>
      </c>
      <c r="U10">
        <f t="shared" si="2"/>
        <v>150.76634216308599</v>
      </c>
      <c r="V10">
        <f t="shared" si="3"/>
        <v>150.86776733398401</v>
      </c>
      <c r="W10">
        <f t="shared" si="4"/>
        <v>150.32829284668</v>
      </c>
      <c r="X10">
        <f t="shared" si="5"/>
        <v>150.37445068359401</v>
      </c>
      <c r="Y10">
        <f t="shared" si="6"/>
        <v>150.37429809570301</v>
      </c>
      <c r="Z10">
        <f t="shared" si="7"/>
        <v>0.57420521974563599</v>
      </c>
      <c r="AA10">
        <f t="shared" si="8"/>
        <v>216.47090148925801</v>
      </c>
      <c r="AB10">
        <f t="shared" si="9"/>
        <v>0</v>
      </c>
    </row>
    <row r="11" spans="2:28" x14ac:dyDescent="0.25">
      <c r="B11" s="214">
        <v>26.357357025146499</v>
      </c>
      <c r="C11">
        <v>59</v>
      </c>
      <c r="D11" s="207">
        <v>26.334445953369102</v>
      </c>
      <c r="E11" s="208">
        <v>246.71160888671901</v>
      </c>
      <c r="F11" s="210">
        <v>213.648025512695</v>
      </c>
      <c r="G11" s="209">
        <v>43.307064056396499</v>
      </c>
      <c r="H11" s="214">
        <v>7.2816834449768102</v>
      </c>
      <c r="I11" s="194">
        <v>7.2285599708557102</v>
      </c>
      <c r="J11" s="194">
        <v>4.13641262054443</v>
      </c>
      <c r="K11" s="211">
        <v>4.4847311973571804</v>
      </c>
      <c r="L11" s="213">
        <v>1.80079817771912</v>
      </c>
      <c r="M11" s="214"/>
      <c r="R11">
        <v>8</v>
      </c>
      <c r="S11">
        <f t="shared" si="0"/>
        <v>181.196701049805</v>
      </c>
      <c r="T11">
        <f t="shared" si="1"/>
        <v>162.30116271972699</v>
      </c>
      <c r="U11">
        <f t="shared" si="2"/>
        <v>163.30923461914099</v>
      </c>
      <c r="V11">
        <f t="shared" si="3"/>
        <v>164.378005981445</v>
      </c>
      <c r="W11">
        <f t="shared" si="4"/>
        <v>164.90725708007801</v>
      </c>
      <c r="X11">
        <f t="shared" si="5"/>
        <v>165.07083129882801</v>
      </c>
      <c r="Y11">
        <f t="shared" si="6"/>
        <v>164.718994140625</v>
      </c>
      <c r="Z11">
        <f t="shared" si="7"/>
        <v>0.388616353273392</v>
      </c>
      <c r="AA11">
        <f t="shared" si="8"/>
        <v>227.30319213867199</v>
      </c>
      <c r="AB11">
        <f t="shared" si="9"/>
        <v>0</v>
      </c>
    </row>
    <row r="12" spans="2:28" x14ac:dyDescent="0.25">
      <c r="B12" s="214">
        <v>1.0918881893157999</v>
      </c>
      <c r="C12">
        <v>90</v>
      </c>
      <c r="D12" s="207">
        <v>2.2563669681549099</v>
      </c>
      <c r="E12" s="208">
        <v>18.5813083648682</v>
      </c>
      <c r="F12" s="210">
        <v>43.875804901122997</v>
      </c>
      <c r="G12" s="209">
        <v>81.785354614257798</v>
      </c>
      <c r="H12" s="214">
        <v>1.3921947479248</v>
      </c>
      <c r="I12" s="194">
        <v>2.4005315303802499</v>
      </c>
      <c r="J12" s="194">
        <v>3.25305080413818</v>
      </c>
      <c r="K12" s="211">
        <v>3.40724754333496</v>
      </c>
      <c r="L12" s="213">
        <v>5.5241570472717303</v>
      </c>
      <c r="M12" s="214"/>
      <c r="R12">
        <v>9</v>
      </c>
      <c r="S12">
        <f t="shared" si="0"/>
        <v>163.425369262695</v>
      </c>
      <c r="T12">
        <f t="shared" si="1"/>
        <v>154.65716552734401</v>
      </c>
      <c r="U12">
        <f t="shared" si="2"/>
        <v>151.25939941406301</v>
      </c>
      <c r="V12">
        <f t="shared" si="3"/>
        <v>152.38072204589801</v>
      </c>
      <c r="W12">
        <f t="shared" si="4"/>
        <v>154.20030212402301</v>
      </c>
      <c r="X12">
        <f t="shared" si="5"/>
        <v>154.25933837890599</v>
      </c>
      <c r="Y12">
        <f t="shared" si="6"/>
        <v>153.41618347168</v>
      </c>
      <c r="Z12">
        <f t="shared" si="7"/>
        <v>4.5059871673584002</v>
      </c>
      <c r="AA12">
        <f t="shared" si="8"/>
        <v>219.53070068359401</v>
      </c>
      <c r="AB12">
        <f t="shared" si="9"/>
        <v>0</v>
      </c>
    </row>
    <row r="13" spans="2:28" x14ac:dyDescent="0.25">
      <c r="B13" s="214">
        <v>8.9261970520019496</v>
      </c>
      <c r="C13">
        <v>91</v>
      </c>
      <c r="D13" s="207">
        <v>10.6812887191772</v>
      </c>
      <c r="E13" s="208">
        <v>47.7035942077637</v>
      </c>
      <c r="F13" s="210">
        <v>70.722274780273395</v>
      </c>
      <c r="G13" s="209">
        <v>147.80978393554699</v>
      </c>
      <c r="H13" s="214">
        <v>9.8188190460205096</v>
      </c>
      <c r="I13" s="194">
        <v>16.234289169311499</v>
      </c>
      <c r="J13" s="194">
        <v>17.014471054077099</v>
      </c>
      <c r="K13" s="211">
        <v>3.86456370353699</v>
      </c>
      <c r="L13" s="213">
        <v>12.054888725280801</v>
      </c>
      <c r="M13" s="214"/>
      <c r="R13">
        <v>10</v>
      </c>
      <c r="S13">
        <f t="shared" si="0"/>
        <v>181.348220825195</v>
      </c>
      <c r="T13">
        <f t="shared" si="1"/>
        <v>162.28477478027301</v>
      </c>
      <c r="U13">
        <f t="shared" si="2"/>
        <v>163.232986450195</v>
      </c>
      <c r="V13">
        <f t="shared" si="3"/>
        <v>165.79006958007801</v>
      </c>
      <c r="W13">
        <f t="shared" si="4"/>
        <v>164.75181579589801</v>
      </c>
      <c r="X13">
        <f t="shared" si="5"/>
        <v>164.92076110839801</v>
      </c>
      <c r="Y13">
        <f t="shared" si="6"/>
        <v>164.416748046875</v>
      </c>
      <c r="Z13">
        <f t="shared" si="7"/>
        <v>5.9138636589050302</v>
      </c>
      <c r="AA13">
        <f t="shared" si="8"/>
        <v>227.23497009277301</v>
      </c>
      <c r="AB13">
        <f t="shared" si="9"/>
        <v>0</v>
      </c>
    </row>
    <row r="14" spans="2:28" x14ac:dyDescent="0.25">
      <c r="B14" s="214">
        <v>8.5386142730712908</v>
      </c>
      <c r="C14">
        <v>92</v>
      </c>
      <c r="D14" s="207">
        <v>8.8867435455322301</v>
      </c>
      <c r="E14" s="208">
        <v>26.7164707183838</v>
      </c>
      <c r="F14" s="210">
        <v>63.035980224609403</v>
      </c>
      <c r="G14" s="209">
        <v>43.919242858886697</v>
      </c>
      <c r="H14" s="214">
        <v>9.8162193298339808</v>
      </c>
      <c r="I14" s="194">
        <v>13.2363986968994</v>
      </c>
      <c r="J14" s="194">
        <v>13.2904605865479</v>
      </c>
      <c r="K14" s="211">
        <v>1.6448825597763099</v>
      </c>
      <c r="L14" s="213">
        <v>4.9493279457092303</v>
      </c>
      <c r="M14" s="214"/>
      <c r="R14">
        <v>11</v>
      </c>
      <c r="S14">
        <f t="shared" si="0"/>
        <v>151.17129516601599</v>
      </c>
      <c r="T14">
        <f t="shared" si="1"/>
        <v>164.058670043945</v>
      </c>
      <c r="U14">
        <f t="shared" si="2"/>
        <v>150.76432800293</v>
      </c>
      <c r="V14">
        <f t="shared" si="3"/>
        <v>150.86546325683599</v>
      </c>
      <c r="W14">
        <f t="shared" si="4"/>
        <v>150.32614135742199</v>
      </c>
      <c r="X14">
        <f t="shared" si="5"/>
        <v>150.32189941406301</v>
      </c>
      <c r="Y14">
        <f t="shared" si="6"/>
        <v>150.34169006347699</v>
      </c>
      <c r="Z14">
        <f t="shared" si="7"/>
        <v>0.56794232130050704</v>
      </c>
      <c r="AA14">
        <f t="shared" si="8"/>
        <v>216.46817016601599</v>
      </c>
      <c r="AB14">
        <f t="shared" si="9"/>
        <v>0</v>
      </c>
    </row>
    <row r="15" spans="2:28" x14ac:dyDescent="0.25">
      <c r="B15" s="214">
        <v>27.178958892822301</v>
      </c>
      <c r="C15">
        <v>69</v>
      </c>
      <c r="D15" s="207">
        <v>27.126178741455099</v>
      </c>
      <c r="E15" s="208">
        <v>70.815841674804702</v>
      </c>
      <c r="F15" s="210">
        <v>64.008613586425795</v>
      </c>
      <c r="G15" s="209">
        <v>32.696052551269503</v>
      </c>
      <c r="H15" s="214">
        <v>10.0666599273682</v>
      </c>
      <c r="I15" s="194">
        <v>10.0890464782715</v>
      </c>
      <c r="J15" s="194">
        <v>2.1843090057372998</v>
      </c>
      <c r="K15" s="211">
        <v>1.6536738872528101</v>
      </c>
      <c r="L15" s="213">
        <v>5.0332121849060103</v>
      </c>
      <c r="M15" s="214"/>
      <c r="R15">
        <v>12</v>
      </c>
      <c r="S15">
        <f t="shared" si="0"/>
        <v>162.49508666992199</v>
      </c>
      <c r="T15">
        <f t="shared" si="1"/>
        <v>179.10154724121099</v>
      </c>
      <c r="U15">
        <f t="shared" si="2"/>
        <v>162.13766479492199</v>
      </c>
      <c r="V15">
        <f t="shared" si="3"/>
        <v>163.27278137207</v>
      </c>
      <c r="W15">
        <f t="shared" si="4"/>
        <v>163.71099853515599</v>
      </c>
      <c r="X15">
        <f t="shared" si="5"/>
        <v>162.62342834472699</v>
      </c>
      <c r="Y15">
        <f t="shared" si="6"/>
        <v>162.70431518554699</v>
      </c>
      <c r="Z15">
        <f t="shared" si="7"/>
        <v>0.39034366607665999</v>
      </c>
      <c r="AA15">
        <f t="shared" si="8"/>
        <v>225.69850158691401</v>
      </c>
      <c r="AB15">
        <f t="shared" si="9"/>
        <v>0</v>
      </c>
    </row>
    <row r="16" spans="2:28" x14ac:dyDescent="0.25">
      <c r="B16" s="214">
        <v>140.84294128418</v>
      </c>
      <c r="C16">
        <v>70</v>
      </c>
      <c r="D16" s="207">
        <v>141.04966735839801</v>
      </c>
      <c r="E16" s="208">
        <v>80.895759582519503</v>
      </c>
      <c r="F16" s="210">
        <v>70.051490783691406</v>
      </c>
      <c r="G16" s="209">
        <v>165.20382690429699</v>
      </c>
      <c r="H16" s="214">
        <v>9.7586364746093803</v>
      </c>
      <c r="I16" s="194">
        <v>9.6019496917724592</v>
      </c>
      <c r="J16" s="194">
        <v>3.4441804885864298</v>
      </c>
      <c r="K16" s="211">
        <v>4.5431790351867702</v>
      </c>
      <c r="L16" s="213">
        <v>11.63991355896</v>
      </c>
      <c r="M16" s="214"/>
      <c r="R16">
        <v>13</v>
      </c>
      <c r="S16">
        <f t="shared" si="0"/>
        <v>155.26362609863301</v>
      </c>
      <c r="T16">
        <f t="shared" si="1"/>
        <v>162.79586791992199</v>
      </c>
      <c r="U16">
        <f t="shared" si="2"/>
        <v>151.12875366210901</v>
      </c>
      <c r="V16">
        <f t="shared" si="3"/>
        <v>152.31658935546901</v>
      </c>
      <c r="W16">
        <f t="shared" si="4"/>
        <v>154.08563232421901</v>
      </c>
      <c r="X16">
        <f t="shared" si="5"/>
        <v>151.41175842285199</v>
      </c>
      <c r="Y16">
        <f t="shared" si="6"/>
        <v>151.44004821777301</v>
      </c>
      <c r="Z16">
        <f t="shared" si="7"/>
        <v>4.4553461074829102</v>
      </c>
      <c r="AA16">
        <f t="shared" si="8"/>
        <v>219.35823059082</v>
      </c>
      <c r="AB16">
        <f t="shared" si="9"/>
        <v>0</v>
      </c>
    </row>
    <row r="17" spans="2:28" x14ac:dyDescent="0.25">
      <c r="B17" s="214">
        <v>17.448238372802699</v>
      </c>
      <c r="C17">
        <v>68</v>
      </c>
      <c r="D17" s="207">
        <v>17.454736709594702</v>
      </c>
      <c r="E17" s="208">
        <v>25.4156799316406</v>
      </c>
      <c r="F17" s="210">
        <v>23.325269699096701</v>
      </c>
      <c r="G17" s="209">
        <v>18.088722229003899</v>
      </c>
      <c r="H17" s="214">
        <v>1.8757228851318399</v>
      </c>
      <c r="I17" s="194">
        <v>1.9581732749939</v>
      </c>
      <c r="J17" s="194">
        <v>0.59008032083511397</v>
      </c>
      <c r="K17" s="211">
        <v>1.61608231067657</v>
      </c>
      <c r="L17" s="213">
        <v>0.50455361604690596</v>
      </c>
      <c r="M17" s="214"/>
      <c r="R17">
        <v>14</v>
      </c>
      <c r="S17">
        <f t="shared" si="0"/>
        <v>162.272872924805</v>
      </c>
      <c r="T17">
        <f t="shared" si="1"/>
        <v>179.12031555175801</v>
      </c>
      <c r="U17">
        <f t="shared" si="2"/>
        <v>162.115646362305</v>
      </c>
      <c r="V17">
        <f t="shared" si="3"/>
        <v>164.69003295898401</v>
      </c>
      <c r="W17">
        <f t="shared" si="4"/>
        <v>163.59410095214801</v>
      </c>
      <c r="X17">
        <f t="shared" si="5"/>
        <v>162.51467895507801</v>
      </c>
      <c r="Y17">
        <f t="shared" si="6"/>
        <v>162.59094238281301</v>
      </c>
      <c r="Z17">
        <f t="shared" si="7"/>
        <v>5.8727707862854004</v>
      </c>
      <c r="AA17">
        <f t="shared" si="8"/>
        <v>225.65927124023401</v>
      </c>
      <c r="AB17">
        <f t="shared" si="9"/>
        <v>0</v>
      </c>
    </row>
    <row r="18" spans="2:28" x14ac:dyDescent="0.25">
      <c r="B18" s="214">
        <v>7.5969343185424796</v>
      </c>
      <c r="C18">
        <v>67</v>
      </c>
      <c r="D18" s="207">
        <v>7.6022362709045401</v>
      </c>
      <c r="E18" s="208">
        <v>77.268028259277301</v>
      </c>
      <c r="F18" s="210">
        <v>64.622123718261705</v>
      </c>
      <c r="G18" s="209">
        <v>8.1460847854614293</v>
      </c>
      <c r="H18" s="214">
        <v>1.6205291748046899</v>
      </c>
      <c r="I18" s="194">
        <v>1.6956958770752</v>
      </c>
      <c r="J18" s="194">
        <v>0.99871844053268399</v>
      </c>
      <c r="K18" s="211">
        <v>1.01285099983215</v>
      </c>
      <c r="L18" s="213">
        <v>0.28452745079994202</v>
      </c>
      <c r="M18" s="214"/>
      <c r="R18">
        <v>15</v>
      </c>
      <c r="S18">
        <f t="shared" si="0"/>
        <v>186.34921264648401</v>
      </c>
      <c r="T18">
        <f t="shared" si="1"/>
        <v>171.93203735351599</v>
      </c>
      <c r="U18">
        <f t="shared" si="2"/>
        <v>171.05073547363301</v>
      </c>
      <c r="V18">
        <f t="shared" si="3"/>
        <v>170.85476684570301</v>
      </c>
      <c r="W18">
        <f t="shared" si="4"/>
        <v>170.73704528808599</v>
      </c>
      <c r="X18">
        <f t="shared" si="5"/>
        <v>170.65956115722699</v>
      </c>
      <c r="Y18">
        <f t="shared" si="6"/>
        <v>170.60679626464801</v>
      </c>
      <c r="Z18">
        <f t="shared" si="7"/>
        <v>0.59638315439224199</v>
      </c>
      <c r="AA18">
        <f t="shared" si="8"/>
        <v>248.09475708007801</v>
      </c>
      <c r="AB18">
        <f t="shared" si="9"/>
        <v>0</v>
      </c>
    </row>
    <row r="19" spans="2:28" x14ac:dyDescent="0.25">
      <c r="B19" s="214">
        <v>19.239921569824201</v>
      </c>
      <c r="C19">
        <v>75</v>
      </c>
      <c r="D19" s="207">
        <v>19.505416870117202</v>
      </c>
      <c r="E19" s="208">
        <v>44.810470581054702</v>
      </c>
      <c r="F19" s="210">
        <v>73.307586669921903</v>
      </c>
      <c r="G19" s="209">
        <v>53.780990600585902</v>
      </c>
      <c r="H19" s="214">
        <v>13.9279689788818</v>
      </c>
      <c r="I19" s="194">
        <v>14.270699501037599</v>
      </c>
      <c r="J19" s="194">
        <v>14.3419532775879</v>
      </c>
      <c r="K19" s="211">
        <v>10.326940536499</v>
      </c>
      <c r="L19" s="213">
        <v>21.4899997711182</v>
      </c>
      <c r="M19" s="214"/>
      <c r="R19">
        <v>16</v>
      </c>
      <c r="S19">
        <f t="shared" si="0"/>
        <v>206.88137817382801</v>
      </c>
      <c r="T19">
        <f t="shared" si="1"/>
        <v>182.8330078125</v>
      </c>
      <c r="U19">
        <f t="shared" si="2"/>
        <v>186.5244140625</v>
      </c>
      <c r="V19">
        <f t="shared" si="3"/>
        <v>185.07040405273401</v>
      </c>
      <c r="W19">
        <f t="shared" si="4"/>
        <v>184.95152282714801</v>
      </c>
      <c r="X19">
        <f t="shared" si="5"/>
        <v>184.93040466308599</v>
      </c>
      <c r="Y19">
        <f t="shared" si="6"/>
        <v>185.10925292968801</v>
      </c>
      <c r="Z19">
        <f t="shared" si="7"/>
        <v>0.53004068136215199</v>
      </c>
      <c r="AA19">
        <f t="shared" si="8"/>
        <v>258.06021118164102</v>
      </c>
      <c r="AB19">
        <f t="shared" si="9"/>
        <v>0</v>
      </c>
    </row>
    <row r="20" spans="2:28" x14ac:dyDescent="0.25">
      <c r="B20" s="214">
        <v>261.62194824218801</v>
      </c>
      <c r="C20">
        <v>72</v>
      </c>
      <c r="D20" s="207">
        <v>261.41781616210898</v>
      </c>
      <c r="E20" s="208">
        <v>283.54235839843801</v>
      </c>
      <c r="F20" s="210">
        <v>192.00727844238301</v>
      </c>
      <c r="G20" s="209">
        <v>194.64353942871099</v>
      </c>
      <c r="H20" s="214">
        <v>18.2926330566406</v>
      </c>
      <c r="I20" s="194">
        <v>18.984935760498001</v>
      </c>
      <c r="J20" s="194">
        <v>19.507696151733398</v>
      </c>
      <c r="K20" s="211">
        <v>88.722526550292997</v>
      </c>
      <c r="L20" s="213">
        <v>19.267908096313501</v>
      </c>
      <c r="M20" s="214"/>
      <c r="R20">
        <v>17</v>
      </c>
      <c r="S20">
        <f t="shared" si="0"/>
        <v>203.43556213378901</v>
      </c>
      <c r="T20">
        <f t="shared" si="1"/>
        <v>179.80332946777301</v>
      </c>
      <c r="U20">
        <f t="shared" si="2"/>
        <v>183.03343200683599</v>
      </c>
      <c r="V20">
        <f t="shared" si="3"/>
        <v>182.805908203125</v>
      </c>
      <c r="W20">
        <f t="shared" si="4"/>
        <v>181.98286437988301</v>
      </c>
      <c r="X20">
        <f t="shared" si="5"/>
        <v>181.99388122558599</v>
      </c>
      <c r="Y20">
        <f t="shared" si="6"/>
        <v>182.14677429199199</v>
      </c>
      <c r="Z20">
        <f t="shared" si="7"/>
        <v>2.2671473026275599</v>
      </c>
      <c r="AA20">
        <f t="shared" si="8"/>
        <v>253.67767333984401</v>
      </c>
      <c r="AB20">
        <f t="shared" si="9"/>
        <v>0</v>
      </c>
    </row>
    <row r="21" spans="2:28" x14ac:dyDescent="0.25">
      <c r="B21" s="214">
        <v>38.692237854003899</v>
      </c>
      <c r="C21">
        <v>74</v>
      </c>
      <c r="D21" s="207">
        <v>38.432506561279297</v>
      </c>
      <c r="E21" s="208">
        <v>59.248825073242202</v>
      </c>
      <c r="F21" s="210">
        <v>43.975139617919901</v>
      </c>
      <c r="G21" s="209">
        <v>32.889591217041001</v>
      </c>
      <c r="H21" s="214">
        <v>5.9992022514343297</v>
      </c>
      <c r="I21" s="194">
        <v>5.9919176101684597</v>
      </c>
      <c r="J21" s="194">
        <v>5.71779108047485</v>
      </c>
      <c r="K21" s="211">
        <v>6.5311617851257298</v>
      </c>
      <c r="L21" s="213">
        <v>7.8330035209655797</v>
      </c>
      <c r="M21" s="214"/>
      <c r="R21">
        <v>18</v>
      </c>
      <c r="S21">
        <f t="shared" si="0"/>
        <v>175.80963134765599</v>
      </c>
      <c r="T21">
        <f t="shared" si="1"/>
        <v>166.46261596679699</v>
      </c>
      <c r="U21">
        <f t="shared" si="2"/>
        <v>161.51539611816401</v>
      </c>
      <c r="V21">
        <f t="shared" si="3"/>
        <v>164.56507873535199</v>
      </c>
      <c r="W21">
        <f t="shared" si="4"/>
        <v>164.39505004882801</v>
      </c>
      <c r="X21">
        <f t="shared" si="5"/>
        <v>164.49914550781301</v>
      </c>
      <c r="Y21">
        <f t="shared" si="6"/>
        <v>163.89228820800801</v>
      </c>
      <c r="Z21">
        <f t="shared" si="7"/>
        <v>1.92510497570038</v>
      </c>
      <c r="AA21">
        <f t="shared" si="8"/>
        <v>241.88890075683599</v>
      </c>
      <c r="AB21">
        <f t="shared" si="9"/>
        <v>0</v>
      </c>
    </row>
    <row r="22" spans="2:28" x14ac:dyDescent="0.25">
      <c r="B22" s="214">
        <v>79.451957702636705</v>
      </c>
      <c r="C22">
        <v>71</v>
      </c>
      <c r="D22" s="207">
        <v>79.4893798828125</v>
      </c>
      <c r="E22" s="208">
        <v>54.734306335449197</v>
      </c>
      <c r="F22" s="210">
        <v>43.712959289550803</v>
      </c>
      <c r="G22" s="209">
        <v>90.009933471679702</v>
      </c>
      <c r="H22" s="214">
        <v>1.3137481212616</v>
      </c>
      <c r="I22" s="194">
        <v>1.2504583597183201</v>
      </c>
      <c r="J22" s="194">
        <v>2.0728893280029301</v>
      </c>
      <c r="K22" s="211">
        <v>3.0206770896911599</v>
      </c>
      <c r="L22" s="213">
        <v>5.3892254829406703</v>
      </c>
      <c r="M22" s="214"/>
      <c r="R22">
        <v>19</v>
      </c>
      <c r="S22">
        <f t="shared" si="0"/>
        <v>171.81359863281301</v>
      </c>
      <c r="T22">
        <f t="shared" si="1"/>
        <v>186.47930908203099</v>
      </c>
      <c r="U22">
        <f t="shared" si="2"/>
        <v>171.04975891113301</v>
      </c>
      <c r="V22">
        <f t="shared" si="3"/>
        <v>170.85737609863301</v>
      </c>
      <c r="W22">
        <f t="shared" si="4"/>
        <v>170.73609924316401</v>
      </c>
      <c r="X22">
        <f t="shared" si="5"/>
        <v>170.61444091796901</v>
      </c>
      <c r="Y22">
        <f t="shared" si="6"/>
        <v>170.578125</v>
      </c>
      <c r="Z22">
        <f t="shared" si="7"/>
        <v>0.59618186950683605</v>
      </c>
      <c r="AA22">
        <f t="shared" si="8"/>
        <v>248.09400939941401</v>
      </c>
      <c r="AB22">
        <f t="shared" si="9"/>
        <v>0</v>
      </c>
    </row>
    <row r="23" spans="2:28" x14ac:dyDescent="0.25">
      <c r="B23" s="214">
        <v>272.01574707031301</v>
      </c>
      <c r="C23">
        <v>73</v>
      </c>
      <c r="D23" s="207">
        <v>269.54443359375</v>
      </c>
      <c r="E23" s="208">
        <v>301.49874877929699</v>
      </c>
      <c r="F23" s="210">
        <v>197.045333862305</v>
      </c>
      <c r="G23" s="209">
        <v>260.01138305664102</v>
      </c>
      <c r="H23" s="214">
        <v>17.8907165527344</v>
      </c>
      <c r="I23" s="194">
        <v>17.167665481567401</v>
      </c>
      <c r="J23" s="194">
        <v>17.967603683471701</v>
      </c>
      <c r="K23" s="211">
        <v>91.0518798828125</v>
      </c>
      <c r="L23" s="213">
        <v>16.738010406494102</v>
      </c>
      <c r="M23" s="214"/>
      <c r="R23">
        <v>20</v>
      </c>
      <c r="S23">
        <f t="shared" si="0"/>
        <v>180.708084106445</v>
      </c>
      <c r="T23">
        <f t="shared" si="1"/>
        <v>205.41874694824199</v>
      </c>
      <c r="U23">
        <f t="shared" si="2"/>
        <v>184.55131530761699</v>
      </c>
      <c r="V23">
        <f t="shared" si="3"/>
        <v>183.41401672363301</v>
      </c>
      <c r="W23">
        <f t="shared" si="4"/>
        <v>183.33274841308599</v>
      </c>
      <c r="X23">
        <f t="shared" si="5"/>
        <v>183.72445678710901</v>
      </c>
      <c r="Y23">
        <f t="shared" si="6"/>
        <v>183.716232299805</v>
      </c>
      <c r="Z23">
        <f t="shared" si="7"/>
        <v>0.50858265161514304</v>
      </c>
      <c r="AA23">
        <f t="shared" si="8"/>
        <v>255.61195373535199</v>
      </c>
      <c r="AB23">
        <f t="shared" si="9"/>
        <v>0</v>
      </c>
    </row>
    <row r="24" spans="2:28" x14ac:dyDescent="0.25">
      <c r="B24" s="214">
        <v>23.8885097503662</v>
      </c>
      <c r="C24">
        <v>76</v>
      </c>
      <c r="D24" s="207">
        <v>24.2546787261963</v>
      </c>
      <c r="E24" s="208">
        <v>56.889900207519503</v>
      </c>
      <c r="F24" s="210">
        <v>96.669212341308594</v>
      </c>
      <c r="G24" s="209">
        <v>73.947113037109403</v>
      </c>
      <c r="H24" s="214">
        <v>17.767515182495099</v>
      </c>
      <c r="I24" s="194">
        <v>18.2816982269287</v>
      </c>
      <c r="J24" s="194">
        <v>18.3156642913818</v>
      </c>
      <c r="K24" s="211">
        <v>14.753709793090801</v>
      </c>
      <c r="L24" s="213">
        <v>28.176683425903299</v>
      </c>
      <c r="M24" s="214"/>
      <c r="R24">
        <v>21</v>
      </c>
      <c r="S24">
        <f t="shared" si="0"/>
        <v>182.10716247558599</v>
      </c>
      <c r="T24">
        <f t="shared" si="1"/>
        <v>207.718338012695</v>
      </c>
      <c r="U24">
        <f t="shared" si="2"/>
        <v>186.673095703125</v>
      </c>
      <c r="V24">
        <f t="shared" si="3"/>
        <v>185.54075622558599</v>
      </c>
      <c r="W24">
        <f t="shared" si="4"/>
        <v>184.95373535156301</v>
      </c>
      <c r="X24">
        <f t="shared" si="5"/>
        <v>185.50938415527301</v>
      </c>
      <c r="Y24">
        <f t="shared" si="6"/>
        <v>185.51202392578099</v>
      </c>
      <c r="Z24">
        <f t="shared" si="7"/>
        <v>2.1034579277038601</v>
      </c>
      <c r="AA24">
        <f t="shared" si="8"/>
        <v>258.18093872070301</v>
      </c>
      <c r="AB24">
        <f t="shared" si="9"/>
        <v>0</v>
      </c>
    </row>
    <row r="25" spans="2:28" x14ac:dyDescent="0.25">
      <c r="B25" s="214">
        <v>36.161453247070298</v>
      </c>
      <c r="C25">
        <v>86</v>
      </c>
      <c r="D25" s="207">
        <v>36.238269805908203</v>
      </c>
      <c r="E25" s="208">
        <v>67.577072143554702</v>
      </c>
      <c r="F25" s="210">
        <v>73.341865539550795</v>
      </c>
      <c r="G25" s="209">
        <v>53.378459930419901</v>
      </c>
      <c r="H25" s="214">
        <v>13.8707599639893</v>
      </c>
      <c r="I25" s="194">
        <v>14.238324165344199</v>
      </c>
      <c r="J25" s="194">
        <v>14.0525465011597</v>
      </c>
      <c r="K25" s="211">
        <v>10.153608322143601</v>
      </c>
      <c r="L25" s="213">
        <v>21.433336257934599</v>
      </c>
      <c r="M25" s="214"/>
      <c r="R25">
        <v>22</v>
      </c>
      <c r="S25">
        <f t="shared" si="0"/>
        <v>170.13267517089801</v>
      </c>
      <c r="T25">
        <f t="shared" si="1"/>
        <v>175.68461608886699</v>
      </c>
      <c r="U25">
        <f t="shared" si="2"/>
        <v>162.94689941406301</v>
      </c>
      <c r="V25">
        <f t="shared" si="3"/>
        <v>166.33068847656301</v>
      </c>
      <c r="W25">
        <f t="shared" si="4"/>
        <v>165.974685668945</v>
      </c>
      <c r="X25">
        <f t="shared" si="5"/>
        <v>164.335372924805</v>
      </c>
      <c r="Y25">
        <f t="shared" si="6"/>
        <v>164.38671875</v>
      </c>
      <c r="Z25">
        <f t="shared" si="7"/>
        <v>2.0705690383911102</v>
      </c>
      <c r="AA25">
        <f t="shared" si="8"/>
        <v>244.35128784179699</v>
      </c>
      <c r="AB25">
        <f t="shared" si="9"/>
        <v>0</v>
      </c>
    </row>
    <row r="26" spans="2:28" x14ac:dyDescent="0.25">
      <c r="B26" s="214">
        <v>56.454547882080099</v>
      </c>
      <c r="C26">
        <v>89</v>
      </c>
      <c r="D26" s="207">
        <v>51.6686820983887</v>
      </c>
      <c r="E26" s="208">
        <v>21.934297561645501</v>
      </c>
      <c r="F26" s="210">
        <v>192.44960021972699</v>
      </c>
      <c r="G26" s="209">
        <v>189.46466064453099</v>
      </c>
      <c r="H26" s="214">
        <v>18.0814418792725</v>
      </c>
      <c r="I26" s="194">
        <v>18.006532669067401</v>
      </c>
      <c r="J26" s="194">
        <v>17.377906799316399</v>
      </c>
      <c r="K26" s="211">
        <v>90.525695800781307</v>
      </c>
      <c r="L26" s="213">
        <v>19.066156387329102</v>
      </c>
      <c r="M26" s="214"/>
      <c r="R26">
        <v>23</v>
      </c>
      <c r="S26">
        <f t="shared" si="0"/>
        <v>120.578605651855</v>
      </c>
      <c r="T26">
        <f t="shared" si="1"/>
        <v>264.55044555664102</v>
      </c>
      <c r="U26">
        <f t="shared" si="2"/>
        <v>230.37022399902301</v>
      </c>
      <c r="V26">
        <f t="shared" si="3"/>
        <v>121.45700836181599</v>
      </c>
      <c r="W26">
        <f t="shared" si="4"/>
        <v>182.70932006835901</v>
      </c>
      <c r="X26">
        <f t="shared" si="5"/>
        <v>180.10908508300801</v>
      </c>
      <c r="Y26">
        <f t="shared" si="6"/>
        <v>177.99957275390599</v>
      </c>
      <c r="Z26">
        <f t="shared" si="7"/>
        <v>14.534827232360801</v>
      </c>
      <c r="AA26">
        <f t="shared" si="8"/>
        <v>258.09893798828102</v>
      </c>
      <c r="AB26">
        <f t="shared" si="9"/>
        <v>0</v>
      </c>
    </row>
    <row r="27" spans="2:28" x14ac:dyDescent="0.25">
      <c r="B27" s="214">
        <v>19.609821319580099</v>
      </c>
      <c r="C27">
        <v>87</v>
      </c>
      <c r="D27" s="207">
        <v>18.879219055175799</v>
      </c>
      <c r="E27" s="208">
        <v>20.592954635620099</v>
      </c>
      <c r="F27" s="210">
        <v>31.457048416137699</v>
      </c>
      <c r="G27" s="209">
        <v>24.529468536376999</v>
      </c>
      <c r="H27" s="214">
        <v>3.9429273605346702</v>
      </c>
      <c r="I27" s="194">
        <v>5.0278410911560103</v>
      </c>
      <c r="J27" s="194">
        <v>5.2078366279602104</v>
      </c>
      <c r="K27" s="211">
        <v>4.4710826873779297</v>
      </c>
      <c r="L27" s="213">
        <v>7.4224925041198704</v>
      </c>
      <c r="M27" s="214"/>
      <c r="R27">
        <v>24</v>
      </c>
      <c r="S27">
        <f t="shared" si="0"/>
        <v>226.84309387207</v>
      </c>
      <c r="T27">
        <f t="shared" si="1"/>
        <v>149.879150390625</v>
      </c>
      <c r="U27">
        <f t="shared" si="2"/>
        <v>182.45346069335901</v>
      </c>
      <c r="V27">
        <f t="shared" si="3"/>
        <v>191.646072387695</v>
      </c>
      <c r="W27">
        <f t="shared" si="4"/>
        <v>182.84490966796901</v>
      </c>
      <c r="X27">
        <f t="shared" si="5"/>
        <v>181.94284057617199</v>
      </c>
      <c r="Y27">
        <f t="shared" si="6"/>
        <v>179.05480957031301</v>
      </c>
      <c r="Z27">
        <f t="shared" si="7"/>
        <v>37.1531372070313</v>
      </c>
      <c r="AA27">
        <f t="shared" si="8"/>
        <v>261.66583251953102</v>
      </c>
      <c r="AB27">
        <f t="shared" si="9"/>
        <v>0</v>
      </c>
    </row>
    <row r="28" spans="2:28" x14ac:dyDescent="0.25">
      <c r="B28" s="214">
        <v>56.664661407470703</v>
      </c>
      <c r="C28">
        <v>88</v>
      </c>
      <c r="D28" s="207">
        <v>52.361759185791001</v>
      </c>
      <c r="E28" s="208">
        <v>20.801021575927699</v>
      </c>
      <c r="F28" s="210">
        <v>189.94340515136699</v>
      </c>
      <c r="G28" s="209">
        <v>246.60748291015599</v>
      </c>
      <c r="H28" s="214">
        <v>17.703710556030298</v>
      </c>
      <c r="I28" s="194">
        <v>17.735712051391602</v>
      </c>
      <c r="J28" s="194">
        <v>17.365791320800799</v>
      </c>
      <c r="K28" s="211">
        <v>82.949089050292997</v>
      </c>
      <c r="L28" s="213">
        <v>17.139490127563501</v>
      </c>
      <c r="M28" s="214"/>
      <c r="R28">
        <v>25</v>
      </c>
      <c r="S28">
        <f t="shared" si="0"/>
        <v>164.87489318847699</v>
      </c>
      <c r="T28">
        <f t="shared" si="1"/>
        <v>95.919380187988295</v>
      </c>
      <c r="U28">
        <f t="shared" si="2"/>
        <v>120.227424621582</v>
      </c>
      <c r="V28">
        <f t="shared" si="3"/>
        <v>122.992485046387</v>
      </c>
      <c r="W28">
        <f t="shared" si="4"/>
        <v>115.748321533203</v>
      </c>
      <c r="X28">
        <f t="shared" si="5"/>
        <v>115.87718200683599</v>
      </c>
      <c r="Y28">
        <f t="shared" si="6"/>
        <v>114.22564697265599</v>
      </c>
      <c r="Z28">
        <f t="shared" si="7"/>
        <v>47.008453369140597</v>
      </c>
      <c r="AA28">
        <f t="shared" si="8"/>
        <v>175.65267944335901</v>
      </c>
      <c r="AB28">
        <f t="shared" si="9"/>
        <v>0</v>
      </c>
    </row>
    <row r="29" spans="2:28" x14ac:dyDescent="0.25">
      <c r="B29" s="214">
        <v>49.313591003417997</v>
      </c>
      <c r="C29">
        <v>85</v>
      </c>
      <c r="D29" s="207">
        <v>49.7098197937012</v>
      </c>
      <c r="E29" s="208">
        <v>89.744056701660199</v>
      </c>
      <c r="F29" s="210">
        <v>97.839340209960895</v>
      </c>
      <c r="G29" s="209">
        <v>74.602592468261705</v>
      </c>
      <c r="H29" s="214">
        <v>18.0674152374268</v>
      </c>
      <c r="I29" s="194">
        <v>18.894468307495099</v>
      </c>
      <c r="J29" s="194">
        <v>18.52174949646</v>
      </c>
      <c r="K29" s="211">
        <v>14.7168846130371</v>
      </c>
      <c r="L29" s="213">
        <v>28.641056060791001</v>
      </c>
      <c r="M29" s="214"/>
      <c r="R29">
        <v>26</v>
      </c>
      <c r="S29">
        <f t="shared" si="0"/>
        <v>228.67652893066401</v>
      </c>
      <c r="T29">
        <f t="shared" si="1"/>
        <v>163.20565795898401</v>
      </c>
      <c r="U29">
        <f t="shared" si="2"/>
        <v>194.19964599609401</v>
      </c>
      <c r="V29">
        <f t="shared" si="3"/>
        <v>198.12767028808599</v>
      </c>
      <c r="W29">
        <f t="shared" si="4"/>
        <v>189.46478271484401</v>
      </c>
      <c r="X29">
        <f t="shared" si="5"/>
        <v>188.84895324707</v>
      </c>
      <c r="Y29">
        <f t="shared" si="6"/>
        <v>185.67610168457</v>
      </c>
      <c r="Z29">
        <f t="shared" si="7"/>
        <v>52.839866638183601</v>
      </c>
      <c r="AA29">
        <f t="shared" si="8"/>
        <v>265.61813354492199</v>
      </c>
      <c r="AB29">
        <f t="shared" si="9"/>
        <v>0</v>
      </c>
    </row>
    <row r="30" spans="2:28" x14ac:dyDescent="0.25">
      <c r="B30" s="214">
        <v>0.27394831180572499</v>
      </c>
      <c r="C30">
        <v>94</v>
      </c>
      <c r="D30" s="207">
        <v>0.30470284819603</v>
      </c>
      <c r="E30" s="208">
        <v>7.3084678649902299</v>
      </c>
      <c r="F30" s="210">
        <v>48.600154876708999</v>
      </c>
      <c r="G30" s="209">
        <v>3.79375171661377</v>
      </c>
      <c r="H30" s="214">
        <v>1.5983302593231199</v>
      </c>
      <c r="I30" s="194">
        <v>1.72010290622711</v>
      </c>
      <c r="J30" s="194">
        <v>1.7297211885452299</v>
      </c>
      <c r="K30" s="211">
        <v>0.99705290794372603</v>
      </c>
      <c r="L30" s="213">
        <v>0.27464956045150801</v>
      </c>
      <c r="M30" s="214"/>
      <c r="R30">
        <v>27</v>
      </c>
      <c r="S30">
        <f t="shared" si="0"/>
        <v>140.28079223632801</v>
      </c>
      <c r="T30">
        <f t="shared" si="1"/>
        <v>254.08511352539099</v>
      </c>
      <c r="U30">
        <f t="shared" si="2"/>
        <v>233.91250610351599</v>
      </c>
      <c r="V30">
        <f t="shared" si="3"/>
        <v>139.59324645996099</v>
      </c>
      <c r="W30">
        <f t="shared" si="4"/>
        <v>187.61183166503901</v>
      </c>
      <c r="X30">
        <f t="shared" si="5"/>
        <v>186.051193237305</v>
      </c>
      <c r="Y30">
        <f t="shared" si="6"/>
        <v>184.08877563476599</v>
      </c>
      <c r="Z30">
        <f t="shared" si="7"/>
        <v>13.543337821960399</v>
      </c>
      <c r="AA30">
        <f t="shared" si="8"/>
        <v>260.46206665039102</v>
      </c>
      <c r="AB30">
        <f t="shared" si="9"/>
        <v>0</v>
      </c>
    </row>
    <row r="31" spans="2:28" x14ac:dyDescent="0.25">
      <c r="B31" s="214">
        <v>0.74402147531509399</v>
      </c>
      <c r="C31">
        <v>93</v>
      </c>
      <c r="D31" s="207">
        <v>0.88598936796188399</v>
      </c>
      <c r="E31" s="208">
        <v>7.4466180801391602</v>
      </c>
      <c r="F31" s="210">
        <v>29.140443801879901</v>
      </c>
      <c r="G31" s="209">
        <v>9.0840559005737305</v>
      </c>
      <c r="H31" s="214">
        <v>1.8860511779785201</v>
      </c>
      <c r="I31" s="194">
        <v>2.5178866386413601</v>
      </c>
      <c r="J31" s="194">
        <v>2.5297925472259499</v>
      </c>
      <c r="K31" s="211">
        <v>1.6323102712631199</v>
      </c>
      <c r="L31" s="213">
        <v>0.50844734907150302</v>
      </c>
      <c r="M31" s="214"/>
      <c r="R31">
        <v>28</v>
      </c>
      <c r="S31">
        <f t="shared" si="0"/>
        <v>136.73768615722699</v>
      </c>
      <c r="T31">
        <f t="shared" si="1"/>
        <v>262.71261596679699</v>
      </c>
      <c r="U31">
        <f t="shared" si="2"/>
        <v>241.56256103515599</v>
      </c>
      <c r="V31">
        <f t="shared" si="3"/>
        <v>142.72557067871099</v>
      </c>
      <c r="W31">
        <f t="shared" si="4"/>
        <v>190.232421875</v>
      </c>
      <c r="X31">
        <f t="shared" si="5"/>
        <v>188.61184692382801</v>
      </c>
      <c r="Y31">
        <f t="shared" si="6"/>
        <v>187.33148193359401</v>
      </c>
      <c r="Z31">
        <f t="shared" si="7"/>
        <v>22.466993331909201</v>
      </c>
      <c r="AA31">
        <f t="shared" si="8"/>
        <v>263.95407104492199</v>
      </c>
      <c r="AB31">
        <f t="shared" si="9"/>
        <v>0</v>
      </c>
    </row>
    <row r="32" spans="2:28" x14ac:dyDescent="0.25">
      <c r="B32" s="214">
        <v>106.37419128418</v>
      </c>
      <c r="C32">
        <v>78</v>
      </c>
      <c r="D32" s="207">
        <v>105.62953948974599</v>
      </c>
      <c r="E32" s="208">
        <v>5.9047346115112296</v>
      </c>
      <c r="F32" s="210">
        <v>36.277454376220703</v>
      </c>
      <c r="G32" s="209">
        <v>59.696548461914098</v>
      </c>
      <c r="H32" s="214">
        <v>39.405941009521499</v>
      </c>
      <c r="I32" s="194">
        <v>39.369796752929702</v>
      </c>
      <c r="J32" s="194">
        <v>42.859718322753899</v>
      </c>
      <c r="K32" s="211">
        <v>2.0458056926727299</v>
      </c>
      <c r="L32" s="213">
        <v>43.038047790527301</v>
      </c>
      <c r="M32" s="214"/>
      <c r="R32">
        <v>29</v>
      </c>
      <c r="S32">
        <f t="shared" si="0"/>
        <v>231.42623901367199</v>
      </c>
      <c r="T32">
        <f t="shared" si="1"/>
        <v>160.89527893066401</v>
      </c>
      <c r="U32">
        <f t="shared" si="2"/>
        <v>192.42715454101599</v>
      </c>
      <c r="V32">
        <f t="shared" si="3"/>
        <v>172.61149597168</v>
      </c>
      <c r="W32">
        <f t="shared" si="4"/>
        <v>187.85690307617199</v>
      </c>
      <c r="X32">
        <f t="shared" si="5"/>
        <v>186.52992248535199</v>
      </c>
      <c r="Y32">
        <f t="shared" si="6"/>
        <v>184.97149658203099</v>
      </c>
      <c r="Z32">
        <f t="shared" si="7"/>
        <v>43.740135192871101</v>
      </c>
      <c r="AA32">
        <f t="shared" si="8"/>
        <v>263.48181152343801</v>
      </c>
      <c r="AB32">
        <f t="shared" si="9"/>
        <v>0</v>
      </c>
    </row>
    <row r="33" spans="2:28" x14ac:dyDescent="0.25">
      <c r="B33" s="214">
        <v>154.97399902343801</v>
      </c>
      <c r="C33">
        <v>84</v>
      </c>
      <c r="D33" s="207">
        <v>155.352127075195</v>
      </c>
      <c r="E33" s="208">
        <v>98.226112365722699</v>
      </c>
      <c r="F33" s="210">
        <v>92.11083984375</v>
      </c>
      <c r="G33" s="209">
        <v>138.73947143554699</v>
      </c>
      <c r="H33" s="214">
        <v>145.21524047851599</v>
      </c>
      <c r="I33" s="194">
        <v>147.43667602539099</v>
      </c>
      <c r="J33" s="194">
        <v>143.679275512695</v>
      </c>
      <c r="K33" s="211">
        <v>0.54792445898055997</v>
      </c>
      <c r="L33" s="213">
        <v>127.274085998535</v>
      </c>
      <c r="M33" s="214"/>
      <c r="R33">
        <v>30</v>
      </c>
      <c r="S33">
        <f t="shared" si="0"/>
        <v>165.61421203613301</v>
      </c>
      <c r="T33">
        <f t="shared" si="1"/>
        <v>96.163421630859403</v>
      </c>
      <c r="U33">
        <f t="shared" si="2"/>
        <v>119.77383422851599</v>
      </c>
      <c r="V33">
        <f t="shared" si="3"/>
        <v>107.770988464355</v>
      </c>
      <c r="W33">
        <f t="shared" si="4"/>
        <v>114.999504089355</v>
      </c>
      <c r="X33">
        <f t="shared" si="5"/>
        <v>114.70636749267599</v>
      </c>
      <c r="Y33">
        <f t="shared" si="6"/>
        <v>113.629722595215</v>
      </c>
      <c r="Z33">
        <f t="shared" si="7"/>
        <v>51.942298889160199</v>
      </c>
      <c r="AA33">
        <f t="shared" si="8"/>
        <v>173.88104248046901</v>
      </c>
      <c r="AB33">
        <f t="shared" si="9"/>
        <v>0</v>
      </c>
    </row>
    <row r="34" spans="2:28" x14ac:dyDescent="0.25">
      <c r="B34" s="214">
        <v>130.26055908203099</v>
      </c>
      <c r="C34">
        <v>99</v>
      </c>
      <c r="D34" s="207">
        <v>130.87228393554699</v>
      </c>
      <c r="E34" s="208">
        <v>128.21934509277301</v>
      </c>
      <c r="F34" s="210">
        <v>86.473297119140597</v>
      </c>
      <c r="G34" s="209">
        <v>158.40222167968801</v>
      </c>
      <c r="H34" s="214">
        <v>135.58399963378901</v>
      </c>
      <c r="I34" s="194">
        <v>119.29705047607401</v>
      </c>
      <c r="J34" s="194">
        <v>119.76821136474599</v>
      </c>
      <c r="K34" s="211">
        <v>50.590156555175803</v>
      </c>
      <c r="L34" s="213">
        <v>120.351287841797</v>
      </c>
      <c r="M34" s="214"/>
      <c r="R34">
        <v>31</v>
      </c>
      <c r="S34">
        <f t="shared" si="0"/>
        <v>228.704666137695</v>
      </c>
      <c r="T34">
        <f t="shared" si="1"/>
        <v>149.43446350097699</v>
      </c>
      <c r="U34">
        <f t="shared" si="2"/>
        <v>180.81799316406301</v>
      </c>
      <c r="V34">
        <f t="shared" si="3"/>
        <v>175.06790161132801</v>
      </c>
      <c r="W34">
        <f t="shared" si="4"/>
        <v>181.70677185058599</v>
      </c>
      <c r="X34">
        <f t="shared" si="5"/>
        <v>180.49307250976599</v>
      </c>
      <c r="Y34">
        <f t="shared" si="6"/>
        <v>179.32659912109401</v>
      </c>
      <c r="Z34">
        <f t="shared" si="7"/>
        <v>30.313594818115199</v>
      </c>
      <c r="AA34">
        <f t="shared" si="8"/>
        <v>259.80456542968801</v>
      </c>
      <c r="AB34">
        <f t="shared" si="9"/>
        <v>0</v>
      </c>
    </row>
    <row r="35" spans="2:28" x14ac:dyDescent="0.25">
      <c r="B35" s="214">
        <v>31.237094879150401</v>
      </c>
      <c r="C35">
        <v>95</v>
      </c>
      <c r="D35" s="207">
        <v>32.173728942871101</v>
      </c>
      <c r="E35" s="208">
        <v>100.26335906982401</v>
      </c>
      <c r="F35" s="210">
        <v>35.394798278808601</v>
      </c>
      <c r="G35" s="209">
        <v>76.921134948730497</v>
      </c>
      <c r="H35" s="214">
        <v>40.101619720458999</v>
      </c>
      <c r="I35" s="194">
        <v>56.727149963378899</v>
      </c>
      <c r="J35" s="194">
        <v>55.822498321533203</v>
      </c>
      <c r="K35" s="211">
        <v>7.6043343544006303</v>
      </c>
      <c r="L35" s="213">
        <v>43.017345428466797</v>
      </c>
      <c r="M35" s="214"/>
      <c r="R35">
        <v>32</v>
      </c>
      <c r="S35">
        <f t="shared" si="0"/>
        <v>124.485191345215</v>
      </c>
      <c r="T35">
        <f t="shared" si="1"/>
        <v>255.51541137695301</v>
      </c>
      <c r="U35">
        <f t="shared" si="2"/>
        <v>225.64111328125</v>
      </c>
      <c r="V35">
        <f t="shared" si="3"/>
        <v>133.69567871093801</v>
      </c>
      <c r="W35">
        <f t="shared" si="4"/>
        <v>181.14985656738301</v>
      </c>
      <c r="X35">
        <f t="shared" si="5"/>
        <v>178.86972045898401</v>
      </c>
      <c r="Y35">
        <f t="shared" si="6"/>
        <v>177.52241516113301</v>
      </c>
      <c r="Z35">
        <f t="shared" si="7"/>
        <v>23.623899459838899</v>
      </c>
      <c r="AA35">
        <f t="shared" si="8"/>
        <v>256.49554443359398</v>
      </c>
      <c r="AB35">
        <f t="shared" si="9"/>
        <v>0</v>
      </c>
    </row>
    <row r="36" spans="2:28" x14ac:dyDescent="0.25">
      <c r="B36" s="214">
        <v>156.33668518066401</v>
      </c>
      <c r="C36">
        <v>82</v>
      </c>
      <c r="D36" s="207">
        <v>156.26138305664099</v>
      </c>
      <c r="E36" s="208">
        <v>92.483604431152301</v>
      </c>
      <c r="F36" s="210">
        <v>96.223678588867202</v>
      </c>
      <c r="G36" s="209">
        <v>156.36869812011699</v>
      </c>
      <c r="H36" s="214">
        <v>140.22584533691401</v>
      </c>
      <c r="I36" s="194">
        <v>142.950607299805</v>
      </c>
      <c r="J36" s="194">
        <v>131.73905944824199</v>
      </c>
      <c r="K36" s="211">
        <v>48.7145805358887</v>
      </c>
      <c r="L36" s="213">
        <v>124.74990844726599</v>
      </c>
      <c r="M36" s="214"/>
      <c r="R36">
        <v>33</v>
      </c>
      <c r="S36">
        <f t="shared" si="0"/>
        <v>194.44976806640599</v>
      </c>
      <c r="T36">
        <f t="shared" si="1"/>
        <v>177.79570007324199</v>
      </c>
      <c r="U36">
        <f t="shared" si="2"/>
        <v>230.65936279296901</v>
      </c>
      <c r="V36">
        <f t="shared" si="3"/>
        <v>119.868324279785</v>
      </c>
      <c r="W36">
        <f t="shared" si="4"/>
        <v>182.81768798828099</v>
      </c>
      <c r="X36">
        <f t="shared" si="5"/>
        <v>180.78207397460901</v>
      </c>
      <c r="Y36">
        <f t="shared" si="6"/>
        <v>180.0126953125</v>
      </c>
      <c r="Z36">
        <f t="shared" si="7"/>
        <v>14.9631004333496</v>
      </c>
      <c r="AA36">
        <f t="shared" si="8"/>
        <v>258.19003295898398</v>
      </c>
      <c r="AB36">
        <f t="shared" si="9"/>
        <v>0</v>
      </c>
    </row>
    <row r="37" spans="2:28" x14ac:dyDescent="0.25">
      <c r="B37" s="214">
        <v>96.969329833984403</v>
      </c>
      <c r="C37">
        <v>80</v>
      </c>
      <c r="D37" s="207">
        <v>96.325080871582003</v>
      </c>
      <c r="E37" s="208">
        <v>6.5508494377136204</v>
      </c>
      <c r="F37" s="210">
        <v>36.903861999511697</v>
      </c>
      <c r="G37" s="209">
        <v>64.126510620117202</v>
      </c>
      <c r="H37" s="214">
        <v>37.996261596679702</v>
      </c>
      <c r="I37" s="194">
        <v>37.984607696533203</v>
      </c>
      <c r="J37" s="194">
        <v>49.838714599609403</v>
      </c>
      <c r="K37" s="211">
        <v>8.4098300933837908</v>
      </c>
      <c r="L37" s="213">
        <v>40.292190551757798</v>
      </c>
      <c r="M37" s="214"/>
      <c r="R37">
        <v>34</v>
      </c>
      <c r="S37">
        <f t="shared" si="0"/>
        <v>144.66221618652301</v>
      </c>
      <c r="T37">
        <f t="shared" si="1"/>
        <v>225.61810302734401</v>
      </c>
      <c r="U37">
        <f t="shared" si="2"/>
        <v>180.084716796875</v>
      </c>
      <c r="V37">
        <f t="shared" si="3"/>
        <v>191.75688171386699</v>
      </c>
      <c r="W37">
        <f t="shared" si="4"/>
        <v>181.12417602539099</v>
      </c>
      <c r="X37">
        <f t="shared" si="5"/>
        <v>177.39874267578099</v>
      </c>
      <c r="Y37">
        <f t="shared" si="6"/>
        <v>176.97850036621099</v>
      </c>
      <c r="Z37">
        <f t="shared" si="7"/>
        <v>40.6738891601563</v>
      </c>
      <c r="AA37">
        <f t="shared" si="8"/>
        <v>260.02862548828102</v>
      </c>
      <c r="AB37">
        <f t="shared" si="9"/>
        <v>0</v>
      </c>
    </row>
    <row r="38" spans="2:28" x14ac:dyDescent="0.25">
      <c r="B38" s="214">
        <v>35.0951118469238</v>
      </c>
      <c r="C38">
        <v>97</v>
      </c>
      <c r="D38" s="207">
        <v>35.998699188232401</v>
      </c>
      <c r="E38" s="208">
        <v>102.607536315918</v>
      </c>
      <c r="F38" s="210">
        <v>38.624713897705099</v>
      </c>
      <c r="G38" s="209">
        <v>67.432952880859403</v>
      </c>
      <c r="H38" s="214">
        <v>43.238151550292997</v>
      </c>
      <c r="I38" s="194">
        <v>60.003383636474602</v>
      </c>
      <c r="J38" s="194">
        <v>59.479846954345703</v>
      </c>
      <c r="K38" s="211">
        <v>1.8467441797256501</v>
      </c>
      <c r="L38" s="213">
        <v>45.621791839599602</v>
      </c>
      <c r="M38" s="214"/>
      <c r="R38">
        <v>35</v>
      </c>
      <c r="S38">
        <f t="shared" si="0"/>
        <v>105.82151031494099</v>
      </c>
      <c r="T38">
        <f t="shared" si="1"/>
        <v>170.56840515136699</v>
      </c>
      <c r="U38">
        <f t="shared" si="2"/>
        <v>133.87413024902301</v>
      </c>
      <c r="V38">
        <f t="shared" si="3"/>
        <v>134.41583251953099</v>
      </c>
      <c r="W38">
        <f t="shared" si="4"/>
        <v>129.84846496582</v>
      </c>
      <c r="X38">
        <f t="shared" si="5"/>
        <v>126.835090637207</v>
      </c>
      <c r="Y38">
        <f t="shared" si="6"/>
        <v>126.616333007813</v>
      </c>
      <c r="Z38">
        <f t="shared" si="7"/>
        <v>39.850410461425803</v>
      </c>
      <c r="AA38">
        <f t="shared" si="8"/>
        <v>192.04727172851599</v>
      </c>
      <c r="AB38">
        <f t="shared" si="9"/>
        <v>0</v>
      </c>
    </row>
    <row r="39" spans="2:28" x14ac:dyDescent="0.25">
      <c r="B39" s="214">
        <v>124.202011108398</v>
      </c>
      <c r="C39">
        <v>101</v>
      </c>
      <c r="D39" s="207">
        <v>124.967323303223</v>
      </c>
      <c r="E39" s="208">
        <v>122.86993408203099</v>
      </c>
      <c r="F39" s="210">
        <v>87.2144775390625</v>
      </c>
      <c r="G39" s="209">
        <v>130.541748046875</v>
      </c>
      <c r="H39" s="214">
        <v>128.97302246093801</v>
      </c>
      <c r="I39" s="194">
        <v>113.36383819580099</v>
      </c>
      <c r="J39" s="194">
        <v>114.27049255371099</v>
      </c>
      <c r="K39" s="211">
        <v>0.58935111761093095</v>
      </c>
      <c r="L39" s="213">
        <v>112.7109375</v>
      </c>
      <c r="M39" s="214"/>
      <c r="R39">
        <v>36</v>
      </c>
      <c r="S39">
        <f t="shared" si="0"/>
        <v>147.86785888671901</v>
      </c>
      <c r="T39">
        <f t="shared" si="1"/>
        <v>230.04310607910199</v>
      </c>
      <c r="U39">
        <f t="shared" si="2"/>
        <v>190.90611267089801</v>
      </c>
      <c r="V39">
        <f t="shared" si="3"/>
        <v>194.76281738281301</v>
      </c>
      <c r="W39">
        <f t="shared" si="4"/>
        <v>186.33636474609401</v>
      </c>
      <c r="X39">
        <f t="shared" si="5"/>
        <v>182.19407653808599</v>
      </c>
      <c r="Y39">
        <f t="shared" si="6"/>
        <v>181.67922973632801</v>
      </c>
      <c r="Z39">
        <f t="shared" si="7"/>
        <v>55.337570190429702</v>
      </c>
      <c r="AA39">
        <f t="shared" si="8"/>
        <v>263.16024780273398</v>
      </c>
      <c r="AB39">
        <f t="shared" si="9"/>
        <v>0</v>
      </c>
    </row>
    <row r="40" spans="2:28" x14ac:dyDescent="0.25">
      <c r="B40" s="214">
        <v>84.584320068359403</v>
      </c>
      <c r="C40">
        <v>102</v>
      </c>
      <c r="D40" s="207">
        <v>84.620849609375</v>
      </c>
      <c r="E40" s="208">
        <v>126.643905639648</v>
      </c>
      <c r="F40" s="210">
        <v>125.227752685547</v>
      </c>
      <c r="G40" s="209">
        <v>87.886070251464801</v>
      </c>
      <c r="H40" s="214">
        <v>130.62554931640599</v>
      </c>
      <c r="I40" s="194">
        <v>107.844345092773</v>
      </c>
      <c r="J40" s="194">
        <v>108.60073852539099</v>
      </c>
      <c r="K40" s="211">
        <v>0.78846693038940396</v>
      </c>
      <c r="L40" s="213">
        <v>105.919639587402</v>
      </c>
      <c r="M40" s="214"/>
      <c r="R40">
        <v>37</v>
      </c>
      <c r="S40">
        <f t="shared" si="0"/>
        <v>191.041091918945</v>
      </c>
      <c r="T40">
        <f t="shared" si="1"/>
        <v>194.4658203125</v>
      </c>
      <c r="U40">
        <f t="shared" si="2"/>
        <v>235.24533081054699</v>
      </c>
      <c r="V40">
        <f t="shared" si="3"/>
        <v>137.917404174805</v>
      </c>
      <c r="W40">
        <f t="shared" si="4"/>
        <v>187.62040710449199</v>
      </c>
      <c r="X40">
        <f t="shared" si="5"/>
        <v>185.68911743164099</v>
      </c>
      <c r="Y40">
        <f t="shared" si="6"/>
        <v>185.16198730468801</v>
      </c>
      <c r="Z40">
        <f t="shared" si="7"/>
        <v>13.6320095062256</v>
      </c>
      <c r="AA40">
        <f t="shared" si="8"/>
        <v>260.420166015625</v>
      </c>
      <c r="AB40">
        <f t="shared" si="9"/>
        <v>0</v>
      </c>
    </row>
    <row r="41" spans="2:28" x14ac:dyDescent="0.25">
      <c r="B41" s="214">
        <v>11.673987388610801</v>
      </c>
      <c r="C41">
        <v>98</v>
      </c>
      <c r="D41" s="207">
        <v>12.219815254211399</v>
      </c>
      <c r="E41" s="208">
        <v>133.65090942382801</v>
      </c>
      <c r="F41" s="210">
        <v>121.24358367919901</v>
      </c>
      <c r="G41" s="209">
        <v>36.378498077392599</v>
      </c>
      <c r="H41" s="214">
        <v>47.160121917724602</v>
      </c>
      <c r="I41" s="194">
        <v>80.171958923339801</v>
      </c>
      <c r="J41" s="194">
        <v>80.610191345214801</v>
      </c>
      <c r="K41" s="211">
        <v>0.87569898366928101</v>
      </c>
      <c r="L41" s="213">
        <v>37.199550628662102</v>
      </c>
      <c r="M41" s="214"/>
      <c r="R41">
        <v>38</v>
      </c>
      <c r="S41">
        <f t="shared" si="0"/>
        <v>195.25332641601599</v>
      </c>
      <c r="T41">
        <f t="shared" si="1"/>
        <v>193.89068603515599</v>
      </c>
      <c r="U41">
        <f t="shared" si="2"/>
        <v>240.19187927246099</v>
      </c>
      <c r="V41">
        <f t="shared" si="3"/>
        <v>141.72833251953099</v>
      </c>
      <c r="W41">
        <f t="shared" si="4"/>
        <v>190.25721740722699</v>
      </c>
      <c r="X41">
        <f t="shared" si="5"/>
        <v>188.59590148925801</v>
      </c>
      <c r="Y41">
        <f t="shared" si="6"/>
        <v>187.46585083007801</v>
      </c>
      <c r="Z41">
        <f t="shared" si="7"/>
        <v>22.453886032104499</v>
      </c>
      <c r="AA41">
        <f t="shared" si="8"/>
        <v>264.06622314453102</v>
      </c>
      <c r="AB41">
        <f t="shared" si="9"/>
        <v>0</v>
      </c>
    </row>
    <row r="42" spans="2:28" x14ac:dyDescent="0.25">
      <c r="B42" s="214">
        <v>85.040512084960895</v>
      </c>
      <c r="C42">
        <v>83</v>
      </c>
      <c r="D42" s="207">
        <v>84.519927978515597</v>
      </c>
      <c r="E42" s="208">
        <v>90.825721740722699</v>
      </c>
      <c r="F42" s="210">
        <v>110.135856628418</v>
      </c>
      <c r="G42" s="209">
        <v>64.028915405273395</v>
      </c>
      <c r="H42" s="214">
        <v>97.757591247558594</v>
      </c>
      <c r="I42" s="194">
        <v>97.431747436523395</v>
      </c>
      <c r="J42" s="194">
        <v>90.547203063964801</v>
      </c>
      <c r="K42" s="211">
        <v>0.87969970703125</v>
      </c>
      <c r="L42" s="213">
        <v>80.774734497070298</v>
      </c>
      <c r="M42" s="214"/>
      <c r="R42">
        <v>39</v>
      </c>
      <c r="S42">
        <f t="shared" si="0"/>
        <v>154.528732299805</v>
      </c>
      <c r="T42">
        <f t="shared" si="1"/>
        <v>231.09445190429699</v>
      </c>
      <c r="U42">
        <f t="shared" si="2"/>
        <v>193.51338195800801</v>
      </c>
      <c r="V42">
        <f t="shared" si="3"/>
        <v>171.05358886718801</v>
      </c>
      <c r="W42">
        <f t="shared" si="4"/>
        <v>189.12951660156301</v>
      </c>
      <c r="X42">
        <f t="shared" si="5"/>
        <v>185.30612182617199</v>
      </c>
      <c r="Y42">
        <f t="shared" si="6"/>
        <v>184.80911254882801</v>
      </c>
      <c r="Z42">
        <f t="shared" si="7"/>
        <v>42.314022064208999</v>
      </c>
      <c r="AA42">
        <f t="shared" si="8"/>
        <v>264.12673950195301</v>
      </c>
      <c r="AB42">
        <f t="shared" si="9"/>
        <v>0</v>
      </c>
    </row>
    <row r="43" spans="2:28" x14ac:dyDescent="0.25">
      <c r="B43" s="214">
        <v>125.044052124023</v>
      </c>
      <c r="C43">
        <v>77</v>
      </c>
      <c r="D43" s="207">
        <v>123.707595825195</v>
      </c>
      <c r="E43" s="208">
        <v>84.251808166503906</v>
      </c>
      <c r="F43" s="210">
        <v>142.33515930175801</v>
      </c>
      <c r="G43" s="209">
        <v>54.359592437744098</v>
      </c>
      <c r="H43" s="214">
        <v>57.216098785400398</v>
      </c>
      <c r="I43" s="194">
        <v>56.814956665039098</v>
      </c>
      <c r="J43" s="194">
        <v>64.956047058105497</v>
      </c>
      <c r="K43" s="211">
        <v>0.73088347911834695</v>
      </c>
      <c r="L43" s="213">
        <v>44.882492065429702</v>
      </c>
      <c r="M43" s="214"/>
      <c r="R43">
        <v>40</v>
      </c>
      <c r="S43">
        <f t="shared" si="0"/>
        <v>96.390815734863295</v>
      </c>
      <c r="T43">
        <f t="shared" si="1"/>
        <v>167.45765686035199</v>
      </c>
      <c r="U43">
        <f t="shared" si="2"/>
        <v>119.460456848145</v>
      </c>
      <c r="V43">
        <f t="shared" si="3"/>
        <v>107.100021362305</v>
      </c>
      <c r="W43">
        <f t="shared" si="4"/>
        <v>115.388381958008</v>
      </c>
      <c r="X43">
        <f t="shared" si="5"/>
        <v>112.788780212402</v>
      </c>
      <c r="Y43">
        <f t="shared" si="6"/>
        <v>112.682975769043</v>
      </c>
      <c r="Z43">
        <f t="shared" si="7"/>
        <v>52.356056213378899</v>
      </c>
      <c r="AA43">
        <f t="shared" si="8"/>
        <v>174.33581542968801</v>
      </c>
      <c r="AB43">
        <f t="shared" si="9"/>
        <v>0</v>
      </c>
    </row>
    <row r="44" spans="2:28" x14ac:dyDescent="0.25">
      <c r="B44" s="214">
        <v>106.780487060547</v>
      </c>
      <c r="C44">
        <v>79</v>
      </c>
      <c r="D44" s="207">
        <v>105.462814331055</v>
      </c>
      <c r="E44" s="208">
        <v>68.164230346679702</v>
      </c>
      <c r="F44" s="210">
        <v>119.168098449707</v>
      </c>
      <c r="G44" s="209">
        <v>53.647304534912102</v>
      </c>
      <c r="H44" s="214">
        <v>46.714637756347699</v>
      </c>
      <c r="I44" s="194">
        <v>46.3209037780762</v>
      </c>
      <c r="J44" s="194">
        <v>61.415374755859403</v>
      </c>
      <c r="K44" s="211">
        <v>1.2652676105499301</v>
      </c>
      <c r="L44" s="213">
        <v>36.260871887207003</v>
      </c>
      <c r="M44" s="214"/>
      <c r="R44">
        <v>41</v>
      </c>
      <c r="S44">
        <f t="shared" si="0"/>
        <v>148.43344116210901</v>
      </c>
      <c r="T44">
        <f t="shared" si="1"/>
        <v>224.84223937988301</v>
      </c>
      <c r="U44">
        <f t="shared" si="2"/>
        <v>181.76797485351599</v>
      </c>
      <c r="V44">
        <f t="shared" si="3"/>
        <v>174.08131408691401</v>
      </c>
      <c r="W44">
        <f t="shared" si="4"/>
        <v>182.52273559570301</v>
      </c>
      <c r="X44">
        <f t="shared" si="5"/>
        <v>178.670486450195</v>
      </c>
      <c r="Y44">
        <f t="shared" si="6"/>
        <v>177.910232543945</v>
      </c>
      <c r="Z44">
        <f t="shared" si="7"/>
        <v>28.733901977539102</v>
      </c>
      <c r="AA44">
        <f t="shared" si="8"/>
        <v>260.47390747070301</v>
      </c>
      <c r="AB44">
        <f t="shared" si="9"/>
        <v>0</v>
      </c>
    </row>
    <row r="45" spans="2:28" x14ac:dyDescent="0.25">
      <c r="B45" s="214">
        <v>94.346832275390597</v>
      </c>
      <c r="C45">
        <v>81</v>
      </c>
      <c r="D45" s="207">
        <v>94.185722351074205</v>
      </c>
      <c r="E45" s="208">
        <v>96.208580017089801</v>
      </c>
      <c r="F45" s="210">
        <v>106.12791442871099</v>
      </c>
      <c r="G45" s="209">
        <v>76.720588684082003</v>
      </c>
      <c r="H45" s="214">
        <v>103.850387573242</v>
      </c>
      <c r="I45" s="194">
        <v>103.467277526855</v>
      </c>
      <c r="J45" s="194">
        <v>98.822990417480497</v>
      </c>
      <c r="K45" s="211">
        <v>16.2080078125</v>
      </c>
      <c r="L45" s="213">
        <v>84.244369506835895</v>
      </c>
      <c r="M45" s="214"/>
      <c r="R45">
        <v>42</v>
      </c>
      <c r="S45">
        <f t="shared" si="0"/>
        <v>191.19233703613301</v>
      </c>
      <c r="T45">
        <f t="shared" si="1"/>
        <v>176.67893981933599</v>
      </c>
      <c r="U45">
        <f t="shared" si="2"/>
        <v>225.47821044921901</v>
      </c>
      <c r="V45">
        <f t="shared" si="3"/>
        <v>132.60807800293</v>
      </c>
      <c r="W45">
        <f t="shared" si="4"/>
        <v>181.13449096679699</v>
      </c>
      <c r="X45">
        <f t="shared" si="5"/>
        <v>179.03300476074199</v>
      </c>
      <c r="Y45">
        <f t="shared" si="6"/>
        <v>177.550857543945</v>
      </c>
      <c r="Z45">
        <f t="shared" si="7"/>
        <v>23.925155639648398</v>
      </c>
      <c r="AA45">
        <f t="shared" si="8"/>
        <v>256.5419921875</v>
      </c>
      <c r="AB45">
        <f t="shared" si="9"/>
        <v>0</v>
      </c>
    </row>
    <row r="46" spans="2:28" x14ac:dyDescent="0.25">
      <c r="B46" s="214">
        <v>10.780709266662599</v>
      </c>
      <c r="C46">
        <v>96</v>
      </c>
      <c r="D46" s="207">
        <v>11.401043891906699</v>
      </c>
      <c r="E46" s="208">
        <v>139.61488342285199</v>
      </c>
      <c r="F46" s="210">
        <v>125.733352661133</v>
      </c>
      <c r="G46" s="209">
        <v>50.145668029785199</v>
      </c>
      <c r="H46" s="214">
        <v>50.534049987792997</v>
      </c>
      <c r="I46" s="194">
        <v>83.263023376464801</v>
      </c>
      <c r="J46" s="194">
        <v>84.009902954101605</v>
      </c>
      <c r="K46" s="211">
        <v>0.67836666107177701</v>
      </c>
      <c r="L46" s="213">
        <v>39.965240478515597</v>
      </c>
      <c r="M46" s="214"/>
      <c r="R46">
        <v>43</v>
      </c>
      <c r="S46">
        <f t="shared" si="0"/>
        <v>24.200994491577099</v>
      </c>
      <c r="T46">
        <f t="shared" si="1"/>
        <v>53.201408386230497</v>
      </c>
      <c r="U46">
        <f t="shared" si="2"/>
        <v>31.9940395355225</v>
      </c>
      <c r="V46">
        <f t="shared" si="3"/>
        <v>47.140830993652301</v>
      </c>
      <c r="W46">
        <f t="shared" si="4"/>
        <v>28.214950561523398</v>
      </c>
      <c r="X46">
        <f t="shared" si="5"/>
        <v>29.583488464355501</v>
      </c>
      <c r="Y46">
        <f t="shared" si="6"/>
        <v>23.821599960327099</v>
      </c>
      <c r="Z46">
        <f t="shared" si="7"/>
        <v>2.0098674297332799</v>
      </c>
      <c r="AA46">
        <f t="shared" si="8"/>
        <v>123.242401123047</v>
      </c>
      <c r="AB46">
        <f t="shared" si="9"/>
        <v>0</v>
      </c>
    </row>
    <row r="47" spans="2:28" x14ac:dyDescent="0.25">
      <c r="B47" s="214">
        <v>73.195045471191406</v>
      </c>
      <c r="C47">
        <v>100</v>
      </c>
      <c r="D47" s="207">
        <v>73.742362976074205</v>
      </c>
      <c r="E47" s="208">
        <v>121.254341125488</v>
      </c>
      <c r="F47" s="210">
        <v>123.898231506348</v>
      </c>
      <c r="G47" s="209">
        <v>85.199287414550795</v>
      </c>
      <c r="H47" s="214">
        <v>118.738006591797</v>
      </c>
      <c r="I47" s="194">
        <v>99.117050170898395</v>
      </c>
      <c r="J47" s="194">
        <v>100.019485473633</v>
      </c>
      <c r="K47" s="211">
        <v>21.957239151001001</v>
      </c>
      <c r="L47" s="213">
        <v>95.799629211425795</v>
      </c>
      <c r="M47" s="214"/>
      <c r="R47">
        <v>44</v>
      </c>
      <c r="S47">
        <f t="shared" si="0"/>
        <v>24.746421813964801</v>
      </c>
      <c r="T47">
        <f t="shared" si="1"/>
        <v>76.861488342285199</v>
      </c>
      <c r="U47">
        <f t="shared" si="2"/>
        <v>68.659652709960895</v>
      </c>
      <c r="V47">
        <f t="shared" si="3"/>
        <v>44.255332946777301</v>
      </c>
      <c r="W47">
        <f t="shared" si="4"/>
        <v>27.8083591461182</v>
      </c>
      <c r="X47">
        <f t="shared" si="5"/>
        <v>27.805583953857401</v>
      </c>
      <c r="Y47">
        <f t="shared" si="6"/>
        <v>29.8234348297119</v>
      </c>
      <c r="Z47">
        <f t="shared" si="7"/>
        <v>1.93440878391266</v>
      </c>
      <c r="AA47">
        <f t="shared" si="8"/>
        <v>125.89943695068401</v>
      </c>
      <c r="AB47">
        <f t="shared" si="9"/>
        <v>0</v>
      </c>
    </row>
    <row r="48" spans="2:28" x14ac:dyDescent="0.25">
      <c r="B48" s="214">
        <v>143.77081298828099</v>
      </c>
      <c r="C48">
        <v>58</v>
      </c>
      <c r="D48" s="207">
        <v>143.24725341796901</v>
      </c>
      <c r="E48" s="208">
        <v>54.666690826416001</v>
      </c>
      <c r="F48" s="210">
        <v>72.425567626953097</v>
      </c>
      <c r="G48" s="209">
        <v>99.081558227539105</v>
      </c>
      <c r="H48" s="214">
        <v>115.999069213867</v>
      </c>
      <c r="I48" s="194">
        <v>85.509757995605497</v>
      </c>
      <c r="J48" s="194">
        <v>85.285797119140597</v>
      </c>
      <c r="K48" s="211">
        <v>12.2292995452881</v>
      </c>
      <c r="L48" s="213">
        <v>187.65400695800801</v>
      </c>
      <c r="M48" s="214"/>
      <c r="R48">
        <v>45</v>
      </c>
      <c r="S48">
        <f t="shared" si="0"/>
        <v>71.281692504882798</v>
      </c>
      <c r="T48">
        <f t="shared" si="1"/>
        <v>56.734542846679702</v>
      </c>
      <c r="U48">
        <f t="shared" si="2"/>
        <v>79.518096923828097</v>
      </c>
      <c r="V48">
        <f t="shared" si="3"/>
        <v>41.966476440429702</v>
      </c>
      <c r="W48">
        <f t="shared" si="4"/>
        <v>38.791095733642599</v>
      </c>
      <c r="X48">
        <f t="shared" si="5"/>
        <v>59.107105255127003</v>
      </c>
      <c r="Y48">
        <f t="shared" si="6"/>
        <v>58.441947937011697</v>
      </c>
      <c r="Z48">
        <f t="shared" si="7"/>
        <v>61.147747039794901</v>
      </c>
      <c r="AA48">
        <f t="shared" si="8"/>
        <v>137.62640380859401</v>
      </c>
      <c r="AB48">
        <f t="shared" si="9"/>
        <v>0</v>
      </c>
    </row>
    <row r="49" spans="1:28" x14ac:dyDescent="0.25">
      <c r="B49" s="214">
        <v>46.675025939941399</v>
      </c>
      <c r="C49">
        <v>54</v>
      </c>
      <c r="D49" s="207">
        <v>47.6850395202637</v>
      </c>
      <c r="E49" s="208">
        <v>147.447998046875</v>
      </c>
      <c r="F49" s="210">
        <v>93.834854125976605</v>
      </c>
      <c r="G49" s="209">
        <v>79.910926818847699</v>
      </c>
      <c r="H49" s="214">
        <v>114.15780639648401</v>
      </c>
      <c r="I49" s="194">
        <v>114.19529724121099</v>
      </c>
      <c r="J49" s="194">
        <v>101.30101013183599</v>
      </c>
      <c r="K49" s="211">
        <v>4.3190855979919398</v>
      </c>
      <c r="L49" s="213">
        <v>180.67533874511699</v>
      </c>
      <c r="M49" s="214"/>
      <c r="R49">
        <v>46</v>
      </c>
      <c r="S49">
        <f t="shared" si="0"/>
        <v>72.185546875</v>
      </c>
      <c r="T49">
        <f t="shared" si="1"/>
        <v>36.107192993164098</v>
      </c>
      <c r="U49">
        <f t="shared" si="2"/>
        <v>46.171916961669901</v>
      </c>
      <c r="V49">
        <f t="shared" si="3"/>
        <v>39.338741302490199</v>
      </c>
      <c r="W49">
        <f t="shared" si="4"/>
        <v>29.011676788330099</v>
      </c>
      <c r="X49">
        <f t="shared" si="5"/>
        <v>49.466682434082003</v>
      </c>
      <c r="Y49">
        <f t="shared" si="6"/>
        <v>48.641197204589801</v>
      </c>
      <c r="Z49">
        <f t="shared" si="7"/>
        <v>48.987579345703097</v>
      </c>
      <c r="AA49">
        <f t="shared" si="8"/>
        <v>134.46817016601599</v>
      </c>
      <c r="AB49">
        <f t="shared" si="9"/>
        <v>0</v>
      </c>
    </row>
    <row r="50" spans="1:28" x14ac:dyDescent="0.25">
      <c r="B50" s="214">
        <v>144.34672546386699</v>
      </c>
      <c r="C50">
        <v>56</v>
      </c>
      <c r="D50" s="207">
        <v>143.80841064453099</v>
      </c>
      <c r="E50" s="208">
        <v>54.582817077636697</v>
      </c>
      <c r="F50" s="210">
        <v>73.509185791015597</v>
      </c>
      <c r="G50" s="209">
        <v>90.8583984375</v>
      </c>
      <c r="H50" s="214">
        <v>115.189781188965</v>
      </c>
      <c r="I50" s="194">
        <v>85.401283264160199</v>
      </c>
      <c r="J50" s="194">
        <v>85.219757080078097</v>
      </c>
      <c r="K50" s="211">
        <v>6.9448094367981001</v>
      </c>
      <c r="L50" s="213">
        <v>186.39720153808599</v>
      </c>
      <c r="M50" s="214"/>
      <c r="R50">
        <v>47</v>
      </c>
      <c r="S50">
        <f t="shared" si="0"/>
        <v>74.090866088867202</v>
      </c>
      <c r="T50">
        <f t="shared" si="1"/>
        <v>46.896846771240199</v>
      </c>
      <c r="U50">
        <f t="shared" si="2"/>
        <v>53.0372924804688</v>
      </c>
      <c r="V50">
        <f t="shared" si="3"/>
        <v>64.827110290527301</v>
      </c>
      <c r="W50">
        <f t="shared" si="4"/>
        <v>32.907890319824197</v>
      </c>
      <c r="X50">
        <f t="shared" si="5"/>
        <v>55.289573669433601</v>
      </c>
      <c r="Y50">
        <f t="shared" si="6"/>
        <v>54.212390899658203</v>
      </c>
      <c r="Z50">
        <f t="shared" si="7"/>
        <v>1.97946512699127</v>
      </c>
      <c r="AA50">
        <f t="shared" si="8"/>
        <v>139.63812255859401</v>
      </c>
      <c r="AB50">
        <f t="shared" si="9"/>
        <v>0</v>
      </c>
    </row>
    <row r="51" spans="1:28" x14ac:dyDescent="0.25">
      <c r="B51" s="214">
        <v>52.287853240966797</v>
      </c>
      <c r="C51">
        <v>52</v>
      </c>
      <c r="D51" s="207">
        <v>53.2255249023438</v>
      </c>
      <c r="E51" s="208">
        <v>148.64065551757801</v>
      </c>
      <c r="F51" s="210">
        <v>99.527862548828097</v>
      </c>
      <c r="G51" s="209">
        <v>89.854408264160199</v>
      </c>
      <c r="H51" s="214">
        <v>118.33179473877</v>
      </c>
      <c r="I51" s="194">
        <v>118.488929748535</v>
      </c>
      <c r="J51" s="194">
        <v>112.95255279541</v>
      </c>
      <c r="K51" s="211">
        <v>12.2722673416138</v>
      </c>
      <c r="L51" s="213">
        <v>184.86763000488301</v>
      </c>
      <c r="M51" s="214"/>
      <c r="R51">
        <v>48</v>
      </c>
      <c r="S51">
        <f t="shared" si="0"/>
        <v>63.997520446777301</v>
      </c>
      <c r="T51">
        <f t="shared" si="1"/>
        <v>47.500988006591797</v>
      </c>
      <c r="U51">
        <f t="shared" si="2"/>
        <v>74.437751770019503</v>
      </c>
      <c r="V51">
        <f t="shared" si="3"/>
        <v>48.8110160827637</v>
      </c>
      <c r="W51">
        <f t="shared" si="4"/>
        <v>32.364212036132798</v>
      </c>
      <c r="X51">
        <f t="shared" si="5"/>
        <v>50.859146118164098</v>
      </c>
      <c r="Y51">
        <f t="shared" si="6"/>
        <v>49.761367797851598</v>
      </c>
      <c r="Z51">
        <f t="shared" si="7"/>
        <v>1.9739753007888801</v>
      </c>
      <c r="AA51">
        <f t="shared" si="8"/>
        <v>131.46614074707</v>
      </c>
      <c r="AB51">
        <f t="shared" si="9"/>
        <v>0</v>
      </c>
    </row>
    <row r="52" spans="1:28" x14ac:dyDescent="0.25">
      <c r="B52" s="261">
        <v>267.05856323242199</v>
      </c>
      <c r="C52" s="262">
        <v>4</v>
      </c>
      <c r="D52" s="263">
        <v>221.61198425293</v>
      </c>
      <c r="E52" s="264">
        <v>223.41114807128901</v>
      </c>
      <c r="F52" s="264">
        <v>214.417724609375</v>
      </c>
      <c r="G52" s="264">
        <v>213.32571411132801</v>
      </c>
      <c r="H52" s="214">
        <v>228.12799999999999</v>
      </c>
      <c r="I52" s="194">
        <v>228.14</v>
      </c>
      <c r="J52" s="194">
        <v>227.96</v>
      </c>
      <c r="K52" s="264">
        <v>1.51311194896698</v>
      </c>
      <c r="L52" s="264">
        <v>309.79699707031301</v>
      </c>
      <c r="M52" s="214"/>
      <c r="N52" s="262"/>
      <c r="O52" s="262"/>
      <c r="R52">
        <v>49</v>
      </c>
      <c r="S52">
        <f t="shared" si="0"/>
        <v>14.5535020828247</v>
      </c>
      <c r="T52">
        <f t="shared" si="1"/>
        <v>71.284698486328097</v>
      </c>
      <c r="U52">
        <f t="shared" si="2"/>
        <v>61.459934234619098</v>
      </c>
      <c r="V52">
        <f t="shared" si="3"/>
        <v>36.054725646972699</v>
      </c>
      <c r="W52">
        <f t="shared" si="4"/>
        <v>26.462688446044901</v>
      </c>
      <c r="X52">
        <f t="shared" si="5"/>
        <v>27.2750053405762</v>
      </c>
      <c r="Y52">
        <f t="shared" si="6"/>
        <v>27.4664497375488</v>
      </c>
      <c r="Z52">
        <f t="shared" si="7"/>
        <v>75.371604919433594</v>
      </c>
      <c r="AA52">
        <f t="shared" si="8"/>
        <v>117.62791442871099</v>
      </c>
      <c r="AB52">
        <f t="shared" si="9"/>
        <v>0</v>
      </c>
    </row>
    <row r="53" spans="1:28" x14ac:dyDescent="0.25">
      <c r="B53" s="261">
        <v>267.60031127929699</v>
      </c>
      <c r="C53" s="262">
        <v>3</v>
      </c>
      <c r="D53" s="263">
        <v>134.47801208496099</v>
      </c>
      <c r="E53" s="264">
        <v>138.747146606445</v>
      </c>
      <c r="F53" s="264">
        <v>115.900192260742</v>
      </c>
      <c r="G53" s="264">
        <v>108.969245910645</v>
      </c>
      <c r="H53" s="214">
        <v>80.459000000000003</v>
      </c>
      <c r="I53" s="194">
        <v>80.076999999999998</v>
      </c>
      <c r="J53" s="194">
        <v>79.87</v>
      </c>
      <c r="K53" s="264">
        <v>3.3137116432189901</v>
      </c>
      <c r="L53" s="264">
        <v>183.62600708007801</v>
      </c>
      <c r="M53" s="214"/>
      <c r="N53" s="262"/>
      <c r="O53" s="262"/>
      <c r="R53">
        <v>50</v>
      </c>
      <c r="S53">
        <f t="shared" si="0"/>
        <v>31.302204132080099</v>
      </c>
      <c r="T53">
        <f t="shared" si="1"/>
        <v>61.174232482910199</v>
      </c>
      <c r="U53">
        <f t="shared" si="2"/>
        <v>42.415637969970703</v>
      </c>
      <c r="V53">
        <f t="shared" si="3"/>
        <v>35.290950775146499</v>
      </c>
      <c r="W53">
        <f t="shared" si="4"/>
        <v>28.0559597015381</v>
      </c>
      <c r="X53">
        <f t="shared" si="5"/>
        <v>28.401899337768601</v>
      </c>
      <c r="Y53">
        <f t="shared" si="6"/>
        <v>32.228256225585902</v>
      </c>
      <c r="Z53">
        <f t="shared" si="7"/>
        <v>49.284385681152301</v>
      </c>
      <c r="AA53">
        <f t="shared" si="8"/>
        <v>131.74765014648401</v>
      </c>
      <c r="AB53">
        <f t="shared" si="9"/>
        <v>0</v>
      </c>
    </row>
    <row r="54" spans="1:28" x14ac:dyDescent="0.25">
      <c r="A54" s="260"/>
      <c r="B54" s="261">
        <v>235.99670410156301</v>
      </c>
      <c r="C54" s="262">
        <v>1</v>
      </c>
      <c r="D54" s="263">
        <v>134.592361450195</v>
      </c>
      <c r="E54" s="264">
        <v>138.76734924316401</v>
      </c>
      <c r="F54" s="264">
        <v>115.951866149902</v>
      </c>
      <c r="G54" s="264">
        <v>108.96778869628901</v>
      </c>
      <c r="H54" s="214">
        <v>80.460999999999999</v>
      </c>
      <c r="I54" s="194">
        <v>80.08</v>
      </c>
      <c r="J54" s="194">
        <v>79.87</v>
      </c>
      <c r="K54" s="264">
        <v>3.30484819412231</v>
      </c>
      <c r="L54" s="264">
        <v>183.63229370117199</v>
      </c>
      <c r="M54" s="214"/>
      <c r="N54" s="262"/>
      <c r="O54" s="262"/>
      <c r="R54">
        <v>51</v>
      </c>
      <c r="S54">
        <f t="shared" si="0"/>
        <v>63.1809272766113</v>
      </c>
      <c r="T54">
        <f t="shared" si="1"/>
        <v>118.142929077148</v>
      </c>
      <c r="U54">
        <f t="shared" si="2"/>
        <v>76.103385925292997</v>
      </c>
      <c r="V54">
        <f t="shared" si="3"/>
        <v>96.980430603027301</v>
      </c>
      <c r="W54">
        <f t="shared" si="4"/>
        <v>114.707565307617</v>
      </c>
      <c r="X54">
        <f t="shared" si="5"/>
        <v>114.976440429688</v>
      </c>
      <c r="Y54">
        <f t="shared" si="6"/>
        <v>109.507781982422</v>
      </c>
      <c r="Z54">
        <f t="shared" si="7"/>
        <v>11.7315874099731</v>
      </c>
      <c r="AA54">
        <f t="shared" si="8"/>
        <v>186.91850280761699</v>
      </c>
      <c r="AB54">
        <f t="shared" si="9"/>
        <v>0</v>
      </c>
    </row>
    <row r="55" spans="1:28" x14ac:dyDescent="0.25">
      <c r="A55" s="260"/>
      <c r="B55" s="261">
        <v>92.768753051757798</v>
      </c>
      <c r="C55" s="262">
        <v>2</v>
      </c>
      <c r="D55" s="263">
        <v>222.80513000488301</v>
      </c>
      <c r="E55" s="264">
        <v>222.30839538574199</v>
      </c>
      <c r="F55" s="264">
        <v>214.46710205078099</v>
      </c>
      <c r="G55" s="264">
        <v>213.37368774414099</v>
      </c>
      <c r="H55" s="214">
        <v>228.01900000000001</v>
      </c>
      <c r="I55" s="194">
        <v>227.91900000000001</v>
      </c>
      <c r="J55" s="194">
        <v>227.86</v>
      </c>
      <c r="K55" s="264">
        <v>1.5099006891250599</v>
      </c>
      <c r="L55" s="264">
        <v>309.87023925781301</v>
      </c>
      <c r="M55" s="214"/>
      <c r="N55" s="262"/>
      <c r="O55" s="262"/>
      <c r="R55">
        <v>52</v>
      </c>
      <c r="S55">
        <f t="shared" si="0"/>
        <v>53.2255249023438</v>
      </c>
      <c r="T55">
        <f t="shared" si="1"/>
        <v>148.64065551757801</v>
      </c>
      <c r="U55">
        <f t="shared" si="2"/>
        <v>99.527862548828097</v>
      </c>
      <c r="V55">
        <f t="shared" si="3"/>
        <v>89.854408264160199</v>
      </c>
      <c r="W55">
        <f t="shared" si="4"/>
        <v>118.33179473877</v>
      </c>
      <c r="X55">
        <f t="shared" si="5"/>
        <v>118.488929748535</v>
      </c>
      <c r="Y55">
        <f t="shared" si="6"/>
        <v>112.95255279541</v>
      </c>
      <c r="Z55">
        <f t="shared" si="7"/>
        <v>12.2722673416138</v>
      </c>
      <c r="AA55">
        <f t="shared" si="8"/>
        <v>184.86763000488301</v>
      </c>
      <c r="AB55">
        <f t="shared" si="9"/>
        <v>0</v>
      </c>
    </row>
    <row r="56" spans="1:28" x14ac:dyDescent="0.25">
      <c r="A56" s="260"/>
      <c r="B56" s="261">
        <v>92.834274291992202</v>
      </c>
      <c r="C56" s="262">
        <v>5</v>
      </c>
      <c r="D56" s="263">
        <v>246.18620300293</v>
      </c>
      <c r="E56" s="264">
        <v>244.58692932128901</v>
      </c>
      <c r="F56" s="264">
        <v>232.06919860839801</v>
      </c>
      <c r="G56" s="264">
        <v>235.01139831543</v>
      </c>
      <c r="H56" s="214">
        <v>252.96299999999999</v>
      </c>
      <c r="I56" s="194">
        <v>253.85</v>
      </c>
      <c r="J56" s="194">
        <v>254.11</v>
      </c>
      <c r="K56" s="264">
        <v>1.3477135896682699</v>
      </c>
      <c r="L56" s="264">
        <v>324.79455566406301</v>
      </c>
      <c r="M56" s="214"/>
      <c r="N56" s="262"/>
      <c r="O56" s="262"/>
      <c r="R56">
        <v>53</v>
      </c>
      <c r="S56">
        <f t="shared" si="0"/>
        <v>61.293121337890597</v>
      </c>
      <c r="T56">
        <f t="shared" si="1"/>
        <v>118.366096496582</v>
      </c>
      <c r="U56">
        <f t="shared" si="2"/>
        <v>73.860366821289105</v>
      </c>
      <c r="V56">
        <f t="shared" si="3"/>
        <v>91.212196350097699</v>
      </c>
      <c r="W56">
        <f t="shared" si="4"/>
        <v>114.900253295898</v>
      </c>
      <c r="X56">
        <f t="shared" si="5"/>
        <v>115.10271453857401</v>
      </c>
      <c r="Y56">
        <f t="shared" si="6"/>
        <v>101.654541015625</v>
      </c>
      <c r="Z56">
        <f t="shared" si="7"/>
        <v>7.83536624908447</v>
      </c>
      <c r="AA56">
        <f t="shared" si="8"/>
        <v>186.90841674804699</v>
      </c>
      <c r="AB56">
        <f t="shared" si="9"/>
        <v>0</v>
      </c>
    </row>
    <row r="57" spans="1:28" x14ac:dyDescent="0.25">
      <c r="A57" s="260"/>
      <c r="B57" s="261">
        <v>237.07957458496099</v>
      </c>
      <c r="C57" s="262">
        <v>6</v>
      </c>
      <c r="D57" s="263">
        <v>246.62388610839801</v>
      </c>
      <c r="E57" s="264">
        <v>244.71859741210901</v>
      </c>
      <c r="F57" s="264">
        <v>232.28727722168</v>
      </c>
      <c r="G57" s="264">
        <v>235.09634399414099</v>
      </c>
      <c r="H57" s="214">
        <v>252.8</v>
      </c>
      <c r="I57" s="194">
        <v>253.69</v>
      </c>
      <c r="J57" s="194">
        <v>254.26</v>
      </c>
      <c r="K57" s="264">
        <v>1.3598937988281301</v>
      </c>
      <c r="L57" s="264">
        <v>324.907958984375</v>
      </c>
      <c r="M57" s="214"/>
      <c r="N57" s="262"/>
      <c r="O57" s="262"/>
      <c r="R57">
        <v>54</v>
      </c>
      <c r="S57">
        <f t="shared" si="0"/>
        <v>47.6850395202637</v>
      </c>
      <c r="T57">
        <f t="shared" si="1"/>
        <v>147.447998046875</v>
      </c>
      <c r="U57">
        <f t="shared" si="2"/>
        <v>93.834854125976605</v>
      </c>
      <c r="V57">
        <f t="shared" si="3"/>
        <v>79.910926818847699</v>
      </c>
      <c r="W57">
        <f t="shared" si="4"/>
        <v>114.15780639648401</v>
      </c>
      <c r="X57">
        <f t="shared" si="5"/>
        <v>114.19529724121099</v>
      </c>
      <c r="Y57">
        <f t="shared" si="6"/>
        <v>101.30101013183599</v>
      </c>
      <c r="Z57">
        <f t="shared" si="7"/>
        <v>4.3190855979919398</v>
      </c>
      <c r="AA57">
        <f t="shared" si="8"/>
        <v>180.67533874511699</v>
      </c>
      <c r="AB57">
        <f t="shared" si="9"/>
        <v>0</v>
      </c>
    </row>
    <row r="58" spans="1:28" x14ac:dyDescent="0.25">
      <c r="A58" s="260"/>
      <c r="B58" s="214">
        <v>72.729843139648395</v>
      </c>
      <c r="C58">
        <v>46</v>
      </c>
      <c r="D58" s="207">
        <v>72.185546875</v>
      </c>
      <c r="E58" s="208">
        <v>36.107192993164098</v>
      </c>
      <c r="F58" s="210">
        <v>46.171916961669901</v>
      </c>
      <c r="G58" s="209">
        <v>39.338741302490199</v>
      </c>
      <c r="H58" s="261">
        <v>29.011676788330099</v>
      </c>
      <c r="I58" s="194">
        <v>49.466682434082003</v>
      </c>
      <c r="J58" s="194">
        <v>48.641197204589801</v>
      </c>
      <c r="K58" s="211">
        <v>48.987579345703097</v>
      </c>
      <c r="L58" s="213">
        <v>134.46817016601599</v>
      </c>
      <c r="M58" s="261"/>
      <c r="R58">
        <v>55</v>
      </c>
      <c r="S58">
        <f t="shared" si="0"/>
        <v>134.444580078125</v>
      </c>
      <c r="T58">
        <f t="shared" si="1"/>
        <v>65.730422973632798</v>
      </c>
      <c r="U58">
        <f t="shared" si="2"/>
        <v>106.33341217041</v>
      </c>
      <c r="V58">
        <f t="shared" si="3"/>
        <v>82.737220764160199</v>
      </c>
      <c r="W58">
        <f t="shared" si="4"/>
        <v>117.90609741210901</v>
      </c>
      <c r="X58">
        <f t="shared" si="5"/>
        <v>95.267616271972699</v>
      </c>
      <c r="Y58">
        <f t="shared" si="6"/>
        <v>95.581153869628906</v>
      </c>
      <c r="Z58">
        <f t="shared" si="7"/>
        <v>3.74466824531555</v>
      </c>
      <c r="AA58">
        <f t="shared" si="8"/>
        <v>183.99322509765599</v>
      </c>
      <c r="AB58">
        <f t="shared" si="9"/>
        <v>0</v>
      </c>
    </row>
    <row r="59" spans="1:28" x14ac:dyDescent="0.25">
      <c r="B59" s="214">
        <v>135.12065124511699</v>
      </c>
      <c r="C59">
        <v>55</v>
      </c>
      <c r="D59" s="207">
        <v>134.444580078125</v>
      </c>
      <c r="E59" s="208">
        <v>65.730422973632798</v>
      </c>
      <c r="F59" s="210">
        <v>106.33341217041</v>
      </c>
      <c r="G59" s="209">
        <v>82.737220764160199</v>
      </c>
      <c r="H59" s="261">
        <v>117.90609741210901</v>
      </c>
      <c r="I59" s="194">
        <v>95.267616271972699</v>
      </c>
      <c r="J59" s="194">
        <v>95.581153869628906</v>
      </c>
      <c r="K59" s="211">
        <v>3.74466824531555</v>
      </c>
      <c r="L59" s="213">
        <v>183.99322509765599</v>
      </c>
      <c r="M59" s="261"/>
      <c r="R59">
        <v>56</v>
      </c>
      <c r="S59">
        <f t="shared" si="0"/>
        <v>143.80841064453099</v>
      </c>
      <c r="T59">
        <f t="shared" si="1"/>
        <v>54.582817077636697</v>
      </c>
      <c r="U59">
        <f t="shared" si="2"/>
        <v>73.509185791015597</v>
      </c>
      <c r="V59">
        <f t="shared" si="3"/>
        <v>90.8583984375</v>
      </c>
      <c r="W59">
        <f t="shared" si="4"/>
        <v>115.189781188965</v>
      </c>
      <c r="X59">
        <f t="shared" si="5"/>
        <v>85.401283264160199</v>
      </c>
      <c r="Y59">
        <f t="shared" si="6"/>
        <v>85.219757080078097</v>
      </c>
      <c r="Z59">
        <f t="shared" si="7"/>
        <v>6.9448094367981001</v>
      </c>
      <c r="AA59">
        <f t="shared" si="8"/>
        <v>186.39720153808599</v>
      </c>
      <c r="AB59">
        <f t="shared" si="9"/>
        <v>0</v>
      </c>
    </row>
    <row r="60" spans="1:28" x14ac:dyDescent="0.25">
      <c r="B60" s="214">
        <v>71.764114379882798</v>
      </c>
      <c r="C60">
        <v>45</v>
      </c>
      <c r="D60" s="207">
        <v>71.281692504882798</v>
      </c>
      <c r="E60" s="208">
        <v>56.734542846679702</v>
      </c>
      <c r="F60" s="210">
        <v>79.518096923828097</v>
      </c>
      <c r="G60" s="209">
        <v>41.966476440429702</v>
      </c>
      <c r="H60" s="261">
        <v>38.791095733642599</v>
      </c>
      <c r="I60" s="194">
        <v>59.107105255127003</v>
      </c>
      <c r="J60" s="194">
        <v>58.441947937011697</v>
      </c>
      <c r="K60" s="211">
        <v>61.147747039794901</v>
      </c>
      <c r="L60" s="213">
        <v>137.62640380859401</v>
      </c>
      <c r="M60" s="261"/>
      <c r="R60">
        <v>57</v>
      </c>
      <c r="S60">
        <f t="shared" si="0"/>
        <v>132.29936218261699</v>
      </c>
      <c r="T60">
        <f t="shared" si="1"/>
        <v>65.921569824218807</v>
      </c>
      <c r="U60">
        <f t="shared" si="2"/>
        <v>104.831085205078</v>
      </c>
      <c r="V60">
        <f t="shared" si="3"/>
        <v>87.212158203125</v>
      </c>
      <c r="W60">
        <f t="shared" si="4"/>
        <v>117.7099609375</v>
      </c>
      <c r="X60">
        <f t="shared" si="5"/>
        <v>94.393424987792997</v>
      </c>
      <c r="Y60">
        <f t="shared" si="6"/>
        <v>94.535575866699205</v>
      </c>
      <c r="Z60">
        <f t="shared" si="7"/>
        <v>12.8024244308472</v>
      </c>
      <c r="AA60">
        <f t="shared" si="8"/>
        <v>183.36915588378901</v>
      </c>
      <c r="AB60">
        <f t="shared" si="9"/>
        <v>0</v>
      </c>
    </row>
    <row r="61" spans="1:28" x14ac:dyDescent="0.25">
      <c r="B61" s="214">
        <v>74.282455444335895</v>
      </c>
      <c r="C61">
        <v>47</v>
      </c>
      <c r="D61" s="207">
        <v>74.090866088867202</v>
      </c>
      <c r="E61" s="208">
        <v>46.896846771240199</v>
      </c>
      <c r="F61" s="210">
        <v>53.0372924804688</v>
      </c>
      <c r="G61" s="209">
        <v>64.827110290527301</v>
      </c>
      <c r="H61" s="261">
        <v>32.907890319824197</v>
      </c>
      <c r="I61" s="194">
        <v>55.289573669433601</v>
      </c>
      <c r="J61" s="194">
        <v>54.212390899658203</v>
      </c>
      <c r="K61" s="211">
        <v>1.97946512699127</v>
      </c>
      <c r="L61" s="213">
        <v>139.63812255859401</v>
      </c>
      <c r="M61" s="261"/>
      <c r="R61">
        <v>58</v>
      </c>
      <c r="S61">
        <f t="shared" si="0"/>
        <v>143.24725341796901</v>
      </c>
      <c r="T61">
        <f t="shared" si="1"/>
        <v>54.666690826416001</v>
      </c>
      <c r="U61">
        <f t="shared" si="2"/>
        <v>72.425567626953097</v>
      </c>
      <c r="V61">
        <f t="shared" si="3"/>
        <v>99.081558227539105</v>
      </c>
      <c r="W61">
        <f t="shared" si="4"/>
        <v>115.999069213867</v>
      </c>
      <c r="X61">
        <f t="shared" si="5"/>
        <v>85.509757995605497</v>
      </c>
      <c r="Y61">
        <f t="shared" si="6"/>
        <v>85.285797119140597</v>
      </c>
      <c r="Z61">
        <f t="shared" si="7"/>
        <v>12.2292995452881</v>
      </c>
      <c r="AA61">
        <f t="shared" si="8"/>
        <v>187.65400695800801</v>
      </c>
      <c r="AB61">
        <f t="shared" si="9"/>
        <v>0</v>
      </c>
    </row>
    <row r="62" spans="1:28" x14ac:dyDescent="0.25">
      <c r="B62" s="214">
        <v>64.446426391601605</v>
      </c>
      <c r="C62">
        <v>48</v>
      </c>
      <c r="D62" s="207">
        <v>63.997520446777301</v>
      </c>
      <c r="E62" s="208">
        <v>47.500988006591797</v>
      </c>
      <c r="F62" s="210">
        <v>74.437751770019503</v>
      </c>
      <c r="G62" s="209">
        <v>48.8110160827637</v>
      </c>
      <c r="H62" s="214">
        <v>32.364212036132798</v>
      </c>
      <c r="I62" s="194">
        <v>50.859146118164098</v>
      </c>
      <c r="J62" s="194">
        <v>49.761367797851598</v>
      </c>
      <c r="K62" s="211">
        <v>1.9739753007888801</v>
      </c>
      <c r="L62" s="213">
        <v>131.46614074707</v>
      </c>
      <c r="M62" s="214"/>
      <c r="R62">
        <v>59</v>
      </c>
      <c r="S62">
        <f t="shared" si="0"/>
        <v>26.334445953369102</v>
      </c>
      <c r="T62">
        <f t="shared" si="1"/>
        <v>246.71160888671901</v>
      </c>
      <c r="U62">
        <f t="shared" si="2"/>
        <v>213.648025512695</v>
      </c>
      <c r="V62">
        <f t="shared" si="3"/>
        <v>43.307064056396499</v>
      </c>
      <c r="W62">
        <f t="shared" si="4"/>
        <v>7.2816834449768102</v>
      </c>
      <c r="X62">
        <f t="shared" si="5"/>
        <v>7.2285599708557102</v>
      </c>
      <c r="Y62">
        <f t="shared" si="6"/>
        <v>4.13641262054443</v>
      </c>
      <c r="Z62">
        <f t="shared" si="7"/>
        <v>4.4847311973571804</v>
      </c>
      <c r="AA62">
        <f t="shared" si="8"/>
        <v>1.80079817771912</v>
      </c>
      <c r="AB62">
        <f t="shared" si="9"/>
        <v>0</v>
      </c>
    </row>
    <row r="63" spans="1:28" x14ac:dyDescent="0.25">
      <c r="B63" s="214">
        <v>132.92109680175801</v>
      </c>
      <c r="C63">
        <v>57</v>
      </c>
      <c r="D63" s="207">
        <v>132.29936218261699</v>
      </c>
      <c r="E63" s="208">
        <v>65.921569824218807</v>
      </c>
      <c r="F63" s="210">
        <v>104.831085205078</v>
      </c>
      <c r="G63" s="209">
        <v>87.212158203125</v>
      </c>
      <c r="H63" s="214">
        <v>117.7099609375</v>
      </c>
      <c r="I63" s="194">
        <v>94.393424987792997</v>
      </c>
      <c r="J63" s="194">
        <v>94.535575866699205</v>
      </c>
      <c r="K63" s="211">
        <v>12.8024244308472</v>
      </c>
      <c r="L63" s="213">
        <v>183.36915588378901</v>
      </c>
      <c r="M63" s="214"/>
      <c r="R63">
        <v>60</v>
      </c>
      <c r="S63">
        <f t="shared" si="0"/>
        <v>26.795534133911101</v>
      </c>
      <c r="T63">
        <f t="shared" si="1"/>
        <v>245.54086303710901</v>
      </c>
      <c r="U63">
        <f t="shared" si="2"/>
        <v>180.48114013671901</v>
      </c>
      <c r="V63">
        <f t="shared" si="3"/>
        <v>31.921260833740199</v>
      </c>
      <c r="W63">
        <f t="shared" si="4"/>
        <v>7.1071152687072798</v>
      </c>
      <c r="X63">
        <f t="shared" si="5"/>
        <v>7.0468025207519496</v>
      </c>
      <c r="Y63">
        <f t="shared" si="6"/>
        <v>3.0890233516693102</v>
      </c>
      <c r="Z63">
        <f t="shared" si="7"/>
        <v>6.4076194763183603</v>
      </c>
      <c r="AA63">
        <f t="shared" si="8"/>
        <v>1.7352769374847401</v>
      </c>
      <c r="AB63">
        <f t="shared" si="9"/>
        <v>0</v>
      </c>
    </row>
    <row r="64" spans="1:28" x14ac:dyDescent="0.25">
      <c r="B64" s="214">
        <v>14.2655649185181</v>
      </c>
      <c r="C64">
        <v>49</v>
      </c>
      <c r="D64" s="207">
        <v>14.5535020828247</v>
      </c>
      <c r="E64" s="208">
        <v>71.284698486328097</v>
      </c>
      <c r="F64" s="210">
        <v>61.459934234619098</v>
      </c>
      <c r="G64" s="209">
        <v>36.054725646972699</v>
      </c>
      <c r="H64" s="214">
        <v>26.462688446044901</v>
      </c>
      <c r="I64" s="194">
        <v>27.2750053405762</v>
      </c>
      <c r="J64" s="194">
        <v>27.4664497375488</v>
      </c>
      <c r="K64" s="211">
        <v>75.371604919433594</v>
      </c>
      <c r="L64" s="213">
        <v>117.62791442871099</v>
      </c>
      <c r="M64" s="214"/>
      <c r="R64">
        <v>61</v>
      </c>
      <c r="S64">
        <f t="shared" si="0"/>
        <v>176.025634765625</v>
      </c>
      <c r="T64">
        <f t="shared" si="1"/>
        <v>258.18167114257801</v>
      </c>
      <c r="U64">
        <f t="shared" si="2"/>
        <v>218.29527282714801</v>
      </c>
      <c r="V64">
        <f t="shared" si="3"/>
        <v>182.06155395507801</v>
      </c>
      <c r="W64">
        <f t="shared" si="4"/>
        <v>11.0484275817871</v>
      </c>
      <c r="X64">
        <f t="shared" si="5"/>
        <v>11.5191383361816</v>
      </c>
      <c r="Y64">
        <f t="shared" si="6"/>
        <v>10.091158866882299</v>
      </c>
      <c r="Z64">
        <f t="shared" si="7"/>
        <v>12.947877883911101</v>
      </c>
      <c r="AA64">
        <f t="shared" si="8"/>
        <v>1.0545018911361701</v>
      </c>
      <c r="AB64">
        <f t="shared" si="9"/>
        <v>0</v>
      </c>
    </row>
    <row r="65" spans="2:28" x14ac:dyDescent="0.25">
      <c r="B65" s="214">
        <v>31.152666091918899</v>
      </c>
      <c r="C65">
        <v>50</v>
      </c>
      <c r="D65" s="207">
        <v>31.302204132080099</v>
      </c>
      <c r="E65" s="208">
        <v>61.174232482910199</v>
      </c>
      <c r="F65" s="210">
        <v>42.415637969970703</v>
      </c>
      <c r="G65" s="209">
        <v>35.290950775146499</v>
      </c>
      <c r="H65" s="214">
        <v>28.0559597015381</v>
      </c>
      <c r="I65" s="194">
        <v>28.401899337768601</v>
      </c>
      <c r="J65" s="194">
        <v>32.228256225585902</v>
      </c>
      <c r="K65" s="211">
        <v>49.284385681152301</v>
      </c>
      <c r="L65" s="213">
        <v>131.74765014648401</v>
      </c>
      <c r="M65" s="214"/>
      <c r="R65">
        <v>62</v>
      </c>
      <c r="S65">
        <f t="shared" si="0"/>
        <v>167.31028747558599</v>
      </c>
      <c r="T65">
        <f t="shared" si="1"/>
        <v>244.58987426757801</v>
      </c>
      <c r="U65">
        <f t="shared" si="2"/>
        <v>204.91273498535199</v>
      </c>
      <c r="V65">
        <f t="shared" si="3"/>
        <v>173.06834411621099</v>
      </c>
      <c r="W65">
        <f t="shared" si="4"/>
        <v>9.4117717742919904</v>
      </c>
      <c r="X65">
        <f t="shared" si="5"/>
        <v>10.148399353027299</v>
      </c>
      <c r="Y65">
        <f t="shared" si="6"/>
        <v>3.6200819015502899</v>
      </c>
      <c r="Z65">
        <f t="shared" si="7"/>
        <v>14.754886627197299</v>
      </c>
      <c r="AA65">
        <f t="shared" si="8"/>
        <v>0.90018922090530396</v>
      </c>
      <c r="AB65">
        <f t="shared" si="9"/>
        <v>0</v>
      </c>
    </row>
    <row r="66" spans="2:28" x14ac:dyDescent="0.25">
      <c r="B66" s="214">
        <v>60.5747261047363</v>
      </c>
      <c r="C66">
        <v>53</v>
      </c>
      <c r="D66" s="207">
        <v>61.293121337890597</v>
      </c>
      <c r="E66" s="208">
        <v>118.366096496582</v>
      </c>
      <c r="F66" s="210">
        <v>73.860366821289105</v>
      </c>
      <c r="G66" s="209">
        <v>91.212196350097699</v>
      </c>
      <c r="H66" s="214">
        <v>114.900253295898</v>
      </c>
      <c r="I66" s="194">
        <v>115.10271453857401</v>
      </c>
      <c r="J66" s="194">
        <v>101.654541015625</v>
      </c>
      <c r="K66" s="211">
        <v>7.83536624908447</v>
      </c>
      <c r="L66" s="213">
        <v>186.90841674804699</v>
      </c>
      <c r="M66" s="214"/>
      <c r="R66">
        <v>63</v>
      </c>
      <c r="S66">
        <f t="shared" si="0"/>
        <v>31.869968414306602</v>
      </c>
      <c r="T66">
        <f t="shared" si="1"/>
        <v>27.354953765869102</v>
      </c>
      <c r="U66">
        <f t="shared" si="2"/>
        <v>206.25190734863301</v>
      </c>
      <c r="V66">
        <f t="shared" si="3"/>
        <v>189.94573974609401</v>
      </c>
      <c r="W66">
        <f t="shared" si="4"/>
        <v>9.8334999084472692</v>
      </c>
      <c r="X66">
        <f t="shared" si="5"/>
        <v>16.5014553070068</v>
      </c>
      <c r="Y66">
        <f t="shared" si="6"/>
        <v>18.318035125732401</v>
      </c>
      <c r="Z66">
        <f t="shared" si="7"/>
        <v>10.3384895324707</v>
      </c>
      <c r="AA66">
        <f t="shared" si="8"/>
        <v>1.15464627742767</v>
      </c>
      <c r="AB66">
        <f t="shared" si="9"/>
        <v>0</v>
      </c>
    </row>
    <row r="67" spans="2:28" x14ac:dyDescent="0.25">
      <c r="B67" s="214">
        <v>62.550552368164098</v>
      </c>
      <c r="C67">
        <v>51</v>
      </c>
      <c r="D67" s="207">
        <v>63.1809272766113</v>
      </c>
      <c r="E67" s="208">
        <v>118.142929077148</v>
      </c>
      <c r="F67" s="210">
        <v>76.103385925292997</v>
      </c>
      <c r="G67" s="209">
        <v>96.980430603027301</v>
      </c>
      <c r="H67" s="214">
        <v>114.707565307617</v>
      </c>
      <c r="I67" s="194">
        <v>114.976440429688</v>
      </c>
      <c r="J67" s="194">
        <v>109.507781982422</v>
      </c>
      <c r="K67" s="211">
        <v>11.7315874099731</v>
      </c>
      <c r="L67" s="213">
        <v>186.91850280761699</v>
      </c>
      <c r="M67" s="214"/>
      <c r="R67">
        <v>64</v>
      </c>
      <c r="S67">
        <f t="shared" si="0"/>
        <v>31.530885696411101</v>
      </c>
      <c r="T67">
        <f t="shared" si="1"/>
        <v>25.052646636962901</v>
      </c>
      <c r="U67">
        <f t="shared" si="2"/>
        <v>201.97021484375</v>
      </c>
      <c r="V67">
        <f t="shared" si="3"/>
        <v>183.84727478027301</v>
      </c>
      <c r="W67">
        <f t="shared" si="4"/>
        <v>8.4126939773559606</v>
      </c>
      <c r="X67">
        <f t="shared" si="5"/>
        <v>16.980369567871101</v>
      </c>
      <c r="Y67">
        <f t="shared" si="6"/>
        <v>18.5141696929932</v>
      </c>
      <c r="Z67">
        <f t="shared" si="7"/>
        <v>19.296365737915</v>
      </c>
      <c r="AA67">
        <f t="shared" si="8"/>
        <v>1.02702116966248</v>
      </c>
      <c r="AB67">
        <f t="shared" si="9"/>
        <v>0</v>
      </c>
    </row>
    <row r="68" spans="2:28" x14ac:dyDescent="0.25">
      <c r="B68" s="214">
        <v>23.907171249389599</v>
      </c>
      <c r="C68">
        <v>43</v>
      </c>
      <c r="D68" s="207">
        <v>24.200994491577099</v>
      </c>
      <c r="E68" s="208">
        <v>53.201408386230497</v>
      </c>
      <c r="F68" s="210">
        <v>31.9940395355225</v>
      </c>
      <c r="G68" s="209">
        <v>47.140830993652301</v>
      </c>
      <c r="H68" s="214">
        <v>28.214950561523398</v>
      </c>
      <c r="I68" s="194">
        <v>29.583488464355501</v>
      </c>
      <c r="J68" s="194">
        <v>23.821599960327099</v>
      </c>
      <c r="K68" s="211">
        <v>2.0098674297332799</v>
      </c>
      <c r="L68" s="213">
        <v>123.242401123047</v>
      </c>
      <c r="M68" s="214"/>
      <c r="R68">
        <v>65</v>
      </c>
      <c r="S68">
        <f t="shared" si="0"/>
        <v>5.9671535491943404</v>
      </c>
      <c r="T68">
        <f t="shared" si="1"/>
        <v>21.700153350830099</v>
      </c>
      <c r="U68">
        <f t="shared" si="2"/>
        <v>209.19215393066401</v>
      </c>
      <c r="V68">
        <f t="shared" si="3"/>
        <v>39.201488494872997</v>
      </c>
      <c r="W68">
        <f t="shared" si="4"/>
        <v>7.7900137901306197</v>
      </c>
      <c r="X68">
        <f t="shared" si="5"/>
        <v>10.5237979888916</v>
      </c>
      <c r="Y68">
        <f t="shared" si="6"/>
        <v>10.4998111724854</v>
      </c>
      <c r="Z68">
        <f t="shared" si="7"/>
        <v>7.21181297302246</v>
      </c>
      <c r="AA68">
        <f t="shared" si="8"/>
        <v>1.8913991451263401</v>
      </c>
      <c r="AB68">
        <f t="shared" si="9"/>
        <v>0</v>
      </c>
    </row>
    <row r="69" spans="2:28" x14ac:dyDescent="0.25">
      <c r="B69" s="214">
        <v>24.713373184204102</v>
      </c>
      <c r="C69">
        <v>44</v>
      </c>
      <c r="D69" s="207">
        <v>24.746421813964801</v>
      </c>
      <c r="E69" s="208">
        <v>76.861488342285199</v>
      </c>
      <c r="F69" s="210">
        <v>68.659652709960895</v>
      </c>
      <c r="G69" s="209">
        <v>44.255332946777301</v>
      </c>
      <c r="H69" s="214">
        <v>27.8083591461182</v>
      </c>
      <c r="I69" s="194">
        <v>27.805583953857401</v>
      </c>
      <c r="J69" s="194">
        <v>29.8234348297119</v>
      </c>
      <c r="K69" s="211">
        <v>1.93440878391266</v>
      </c>
      <c r="L69" s="213">
        <v>125.89943695068401</v>
      </c>
      <c r="M69" s="214"/>
      <c r="R69">
        <v>66</v>
      </c>
      <c r="S69">
        <f t="shared" ref="S69:S117" si="10">VLOOKUP(R69,$C$4:$M$200,2,0)</f>
        <v>6.5491914749145499</v>
      </c>
      <c r="T69">
        <f t="shared" ref="T69:T117" si="11">VLOOKUP(R69,$C$4:$M$200,3,0)</f>
        <v>20.435829162597699</v>
      </c>
      <c r="U69">
        <f t="shared" ref="U69:U117" si="12">VLOOKUP(R69,$C$4:$M$200,4,0)</f>
        <v>168.733642578125</v>
      </c>
      <c r="V69">
        <f t="shared" ref="V69:V117" si="13">VLOOKUP(R69,$C$4:$M$200,5,0)</f>
        <v>82.369209289550795</v>
      </c>
      <c r="W69">
        <f t="shared" ref="W69:W117" si="14">VLOOKUP(R69,$C$4:$M$200,6,0)</f>
        <v>7.1905598640441903</v>
      </c>
      <c r="X69">
        <f t="shared" ref="X69:X117" si="15">VLOOKUP(R69,$C$4:$M$200,7,0)</f>
        <v>9.7518005371093803</v>
      </c>
      <c r="Y69">
        <f t="shared" ref="Y69:Y117" si="16">VLOOKUP(R69,$C$4:$M$200,8,0)</f>
        <v>9.9067459106445295</v>
      </c>
      <c r="Z69">
        <f t="shared" ref="Z69:Z117" si="17">VLOOKUP(R69,$C$4:$M$200,9,0)</f>
        <v>4.4253005981445304</v>
      </c>
      <c r="AA69">
        <f t="shared" ref="AA69:AA117" si="18">VLOOKUP(R69,$C$4:$M$200,10,0)</f>
        <v>1.77341556549072</v>
      </c>
      <c r="AB69">
        <f t="shared" ref="AB69:AB117" si="19">VLOOKUP(R69,$C$4:$M$200,11,0)</f>
        <v>0</v>
      </c>
    </row>
    <row r="70" spans="2:28" x14ac:dyDescent="0.25">
      <c r="B70" s="214">
        <v>105.418701171875</v>
      </c>
      <c r="C70">
        <v>35</v>
      </c>
      <c r="D70" s="207">
        <v>105.82151031494099</v>
      </c>
      <c r="E70" s="208">
        <v>170.56840515136699</v>
      </c>
      <c r="F70" s="210">
        <v>133.87413024902301</v>
      </c>
      <c r="G70" s="209">
        <v>134.41583251953099</v>
      </c>
      <c r="H70" s="214">
        <v>129.84846496582</v>
      </c>
      <c r="I70" s="194">
        <v>126.835090637207</v>
      </c>
      <c r="J70" s="194">
        <v>126.616333007813</v>
      </c>
      <c r="K70" s="211">
        <v>39.850410461425803</v>
      </c>
      <c r="L70" s="213">
        <v>192.04727172851599</v>
      </c>
      <c r="M70" s="214"/>
      <c r="R70">
        <v>67</v>
      </c>
      <c r="S70">
        <f t="shared" si="10"/>
        <v>7.6022362709045401</v>
      </c>
      <c r="T70">
        <f t="shared" si="11"/>
        <v>77.268028259277301</v>
      </c>
      <c r="U70">
        <f t="shared" si="12"/>
        <v>64.622123718261705</v>
      </c>
      <c r="V70">
        <f t="shared" si="13"/>
        <v>8.1460847854614293</v>
      </c>
      <c r="W70">
        <f t="shared" si="14"/>
        <v>1.6205291748046899</v>
      </c>
      <c r="X70">
        <f t="shared" si="15"/>
        <v>1.6956958770752</v>
      </c>
      <c r="Y70">
        <f t="shared" si="16"/>
        <v>0.99871844053268399</v>
      </c>
      <c r="Z70">
        <f t="shared" si="17"/>
        <v>1.01285099983215</v>
      </c>
      <c r="AA70">
        <f t="shared" si="18"/>
        <v>0.28452745079994202</v>
      </c>
      <c r="AB70">
        <f t="shared" si="19"/>
        <v>0</v>
      </c>
    </row>
    <row r="71" spans="2:28" x14ac:dyDescent="0.25">
      <c r="B71" s="214">
        <v>147.02827453613301</v>
      </c>
      <c r="C71">
        <v>36</v>
      </c>
      <c r="D71" s="207">
        <v>147.86785888671901</v>
      </c>
      <c r="E71" s="208">
        <v>230.04310607910199</v>
      </c>
      <c r="F71" s="210">
        <v>190.90611267089801</v>
      </c>
      <c r="G71" s="209">
        <v>194.76281738281301</v>
      </c>
      <c r="H71" s="214">
        <v>186.33636474609401</v>
      </c>
      <c r="I71" s="194">
        <v>182.19407653808599</v>
      </c>
      <c r="J71" s="194">
        <v>181.67922973632801</v>
      </c>
      <c r="K71" s="211">
        <v>55.337570190429702</v>
      </c>
      <c r="L71" s="213">
        <v>263.16024780273398</v>
      </c>
      <c r="M71" s="214"/>
      <c r="R71">
        <v>68</v>
      </c>
      <c r="S71">
        <f t="shared" si="10"/>
        <v>17.454736709594702</v>
      </c>
      <c r="T71">
        <f t="shared" si="11"/>
        <v>25.4156799316406</v>
      </c>
      <c r="U71">
        <f t="shared" si="12"/>
        <v>23.325269699096701</v>
      </c>
      <c r="V71">
        <f t="shared" si="13"/>
        <v>18.088722229003899</v>
      </c>
      <c r="W71">
        <f t="shared" si="14"/>
        <v>1.8757228851318399</v>
      </c>
      <c r="X71">
        <f t="shared" si="15"/>
        <v>1.9581732749939</v>
      </c>
      <c r="Y71">
        <f t="shared" si="16"/>
        <v>0.59008032083511397</v>
      </c>
      <c r="Z71">
        <f t="shared" si="17"/>
        <v>1.61608231067657</v>
      </c>
      <c r="AA71">
        <f t="shared" si="18"/>
        <v>0.50455361604690596</v>
      </c>
      <c r="AB71">
        <f t="shared" si="19"/>
        <v>0</v>
      </c>
    </row>
    <row r="72" spans="2:28" x14ac:dyDescent="0.25">
      <c r="B72" s="214">
        <v>143.77769470214801</v>
      </c>
      <c r="C72">
        <v>34</v>
      </c>
      <c r="D72" s="207">
        <v>144.66221618652301</v>
      </c>
      <c r="E72" s="208">
        <v>225.61810302734401</v>
      </c>
      <c r="F72" s="210">
        <v>180.084716796875</v>
      </c>
      <c r="G72" s="209">
        <v>191.75688171386699</v>
      </c>
      <c r="H72" s="214">
        <v>181.12417602539099</v>
      </c>
      <c r="I72" s="194">
        <v>177.39874267578099</v>
      </c>
      <c r="J72" s="194">
        <v>176.97850036621099</v>
      </c>
      <c r="K72" s="211">
        <v>40.6738891601563</v>
      </c>
      <c r="L72" s="213">
        <v>260.02862548828102</v>
      </c>
      <c r="M72" s="214"/>
      <c r="R72">
        <v>69</v>
      </c>
      <c r="S72">
        <f t="shared" si="10"/>
        <v>27.126178741455099</v>
      </c>
      <c r="T72">
        <f t="shared" si="11"/>
        <v>70.815841674804702</v>
      </c>
      <c r="U72">
        <f t="shared" si="12"/>
        <v>64.008613586425795</v>
      </c>
      <c r="V72">
        <f t="shared" si="13"/>
        <v>32.696052551269503</v>
      </c>
      <c r="W72">
        <f t="shared" si="14"/>
        <v>10.0666599273682</v>
      </c>
      <c r="X72">
        <f t="shared" si="15"/>
        <v>10.0890464782715</v>
      </c>
      <c r="Y72">
        <f t="shared" si="16"/>
        <v>2.1843090057372998</v>
      </c>
      <c r="Z72">
        <f t="shared" si="17"/>
        <v>1.6536738872528101</v>
      </c>
      <c r="AA72">
        <f t="shared" si="18"/>
        <v>5.0332121849060103</v>
      </c>
      <c r="AB72">
        <f t="shared" si="19"/>
        <v>0</v>
      </c>
    </row>
    <row r="73" spans="2:28" x14ac:dyDescent="0.25">
      <c r="B73" s="214">
        <v>191.53964233398401</v>
      </c>
      <c r="C73">
        <v>37</v>
      </c>
      <c r="D73" s="207">
        <v>191.041091918945</v>
      </c>
      <c r="E73" s="208">
        <v>194.4658203125</v>
      </c>
      <c r="F73" s="210">
        <v>235.24533081054699</v>
      </c>
      <c r="G73" s="209">
        <v>137.917404174805</v>
      </c>
      <c r="H73" s="214">
        <v>187.62040710449199</v>
      </c>
      <c r="I73" s="194">
        <v>185.68911743164099</v>
      </c>
      <c r="J73" s="194">
        <v>185.16198730468801</v>
      </c>
      <c r="K73" s="211">
        <v>13.6320095062256</v>
      </c>
      <c r="L73" s="213">
        <v>260.420166015625</v>
      </c>
      <c r="M73" s="214"/>
      <c r="R73">
        <v>70</v>
      </c>
      <c r="S73">
        <f t="shared" si="10"/>
        <v>141.04966735839801</v>
      </c>
      <c r="T73">
        <f t="shared" si="11"/>
        <v>80.895759582519503</v>
      </c>
      <c r="U73">
        <f t="shared" si="12"/>
        <v>70.051490783691406</v>
      </c>
      <c r="V73">
        <f t="shared" si="13"/>
        <v>165.20382690429699</v>
      </c>
      <c r="W73">
        <f t="shared" si="14"/>
        <v>9.7586364746093803</v>
      </c>
      <c r="X73">
        <f t="shared" si="15"/>
        <v>9.6019496917724592</v>
      </c>
      <c r="Y73">
        <f t="shared" si="16"/>
        <v>3.4441804885864298</v>
      </c>
      <c r="Z73">
        <f t="shared" si="17"/>
        <v>4.5431790351867702</v>
      </c>
      <c r="AA73">
        <f t="shared" si="18"/>
        <v>11.63991355896</v>
      </c>
      <c r="AB73">
        <f t="shared" si="19"/>
        <v>0</v>
      </c>
    </row>
    <row r="74" spans="2:28" x14ac:dyDescent="0.25">
      <c r="B74" s="214">
        <v>195.42106628418</v>
      </c>
      <c r="C74">
        <v>33</v>
      </c>
      <c r="D74" s="207">
        <v>194.44976806640599</v>
      </c>
      <c r="E74" s="208">
        <v>177.79570007324199</v>
      </c>
      <c r="F74" s="210">
        <v>230.65936279296901</v>
      </c>
      <c r="G74" s="209">
        <v>119.868324279785</v>
      </c>
      <c r="H74" s="214">
        <v>182.81768798828099</v>
      </c>
      <c r="I74" s="194">
        <v>180.78207397460901</v>
      </c>
      <c r="J74" s="194">
        <v>180.0126953125</v>
      </c>
      <c r="K74" s="211">
        <v>14.9631004333496</v>
      </c>
      <c r="L74" s="213">
        <v>258.19003295898398</v>
      </c>
      <c r="M74" s="214"/>
      <c r="R74">
        <v>71</v>
      </c>
      <c r="S74">
        <f t="shared" si="10"/>
        <v>79.4893798828125</v>
      </c>
      <c r="T74">
        <f t="shared" si="11"/>
        <v>54.734306335449197</v>
      </c>
      <c r="U74">
        <f t="shared" si="12"/>
        <v>43.712959289550803</v>
      </c>
      <c r="V74">
        <f t="shared" si="13"/>
        <v>90.009933471679702</v>
      </c>
      <c r="W74">
        <f t="shared" si="14"/>
        <v>1.3137481212616</v>
      </c>
      <c r="X74">
        <f t="shared" si="15"/>
        <v>1.2504583597183201</v>
      </c>
      <c r="Y74">
        <f t="shared" si="16"/>
        <v>2.0728893280029301</v>
      </c>
      <c r="Z74">
        <f t="shared" si="17"/>
        <v>3.0206770896911599</v>
      </c>
      <c r="AA74">
        <f t="shared" si="18"/>
        <v>5.3892254829406703</v>
      </c>
      <c r="AB74">
        <f t="shared" si="19"/>
        <v>0</v>
      </c>
    </row>
    <row r="75" spans="2:28" x14ac:dyDescent="0.25">
      <c r="B75" s="214">
        <v>96.271820068359403</v>
      </c>
      <c r="C75">
        <v>40</v>
      </c>
      <c r="D75" s="207">
        <v>96.390815734863295</v>
      </c>
      <c r="E75" s="208">
        <v>167.45765686035199</v>
      </c>
      <c r="F75" s="210">
        <v>119.460456848145</v>
      </c>
      <c r="G75" s="209">
        <v>107.100021362305</v>
      </c>
      <c r="H75" s="214">
        <v>115.388381958008</v>
      </c>
      <c r="I75" s="194">
        <v>112.788780212402</v>
      </c>
      <c r="J75" s="194">
        <v>112.682975769043</v>
      </c>
      <c r="K75" s="211">
        <v>52.356056213378899</v>
      </c>
      <c r="L75" s="213">
        <v>174.33581542968801</v>
      </c>
      <c r="M75" s="214"/>
      <c r="R75">
        <v>72</v>
      </c>
      <c r="S75">
        <f t="shared" si="10"/>
        <v>261.41781616210898</v>
      </c>
      <c r="T75">
        <f t="shared" si="11"/>
        <v>283.54235839843801</v>
      </c>
      <c r="U75">
        <f t="shared" si="12"/>
        <v>192.00727844238301</v>
      </c>
      <c r="V75">
        <f t="shared" si="13"/>
        <v>194.64353942871099</v>
      </c>
      <c r="W75">
        <f t="shared" si="14"/>
        <v>18.2926330566406</v>
      </c>
      <c r="X75">
        <f t="shared" si="15"/>
        <v>18.984935760498001</v>
      </c>
      <c r="Y75">
        <f t="shared" si="16"/>
        <v>19.507696151733398</v>
      </c>
      <c r="Z75">
        <f t="shared" si="17"/>
        <v>88.722526550292997</v>
      </c>
      <c r="AA75">
        <f t="shared" si="18"/>
        <v>19.267908096313501</v>
      </c>
      <c r="AB75">
        <f t="shared" si="19"/>
        <v>0</v>
      </c>
    </row>
    <row r="76" spans="2:28" x14ac:dyDescent="0.25">
      <c r="B76" s="214">
        <v>153.53544616699199</v>
      </c>
      <c r="C76">
        <v>39</v>
      </c>
      <c r="D76" s="207">
        <v>154.528732299805</v>
      </c>
      <c r="E76" s="208">
        <v>231.09445190429699</v>
      </c>
      <c r="F76" s="210">
        <v>193.51338195800801</v>
      </c>
      <c r="G76" s="209">
        <v>171.05358886718801</v>
      </c>
      <c r="H76" s="214">
        <v>189.12951660156301</v>
      </c>
      <c r="I76" s="194">
        <v>185.30612182617199</v>
      </c>
      <c r="J76" s="194">
        <v>184.80911254882801</v>
      </c>
      <c r="K76" s="211">
        <v>42.314022064208999</v>
      </c>
      <c r="L76" s="213">
        <v>264.12673950195301</v>
      </c>
      <c r="M76" s="214"/>
      <c r="R76">
        <v>73</v>
      </c>
      <c r="S76">
        <f t="shared" si="10"/>
        <v>269.54443359375</v>
      </c>
      <c r="T76">
        <f t="shared" si="11"/>
        <v>301.49874877929699</v>
      </c>
      <c r="U76">
        <f t="shared" si="12"/>
        <v>197.045333862305</v>
      </c>
      <c r="V76">
        <f t="shared" si="13"/>
        <v>260.01138305664102</v>
      </c>
      <c r="W76">
        <f t="shared" si="14"/>
        <v>17.8907165527344</v>
      </c>
      <c r="X76">
        <f t="shared" si="15"/>
        <v>17.167665481567401</v>
      </c>
      <c r="Y76">
        <f t="shared" si="16"/>
        <v>17.967603683471701</v>
      </c>
      <c r="Z76">
        <f t="shared" si="17"/>
        <v>91.0518798828125</v>
      </c>
      <c r="AA76">
        <f t="shared" si="18"/>
        <v>16.738010406494102</v>
      </c>
      <c r="AB76">
        <f t="shared" si="19"/>
        <v>0</v>
      </c>
    </row>
    <row r="77" spans="2:28" x14ac:dyDescent="0.25">
      <c r="B77" s="214">
        <v>147.37713623046901</v>
      </c>
      <c r="C77">
        <v>41</v>
      </c>
      <c r="D77" s="207">
        <v>148.43344116210901</v>
      </c>
      <c r="E77" s="208">
        <v>224.84223937988301</v>
      </c>
      <c r="F77" s="210">
        <v>181.76797485351599</v>
      </c>
      <c r="G77" s="209">
        <v>174.08131408691401</v>
      </c>
      <c r="H77" s="214">
        <v>182.52273559570301</v>
      </c>
      <c r="I77" s="194">
        <v>178.670486450195</v>
      </c>
      <c r="J77" s="194">
        <v>177.910232543945</v>
      </c>
      <c r="K77" s="211">
        <v>28.733901977539102</v>
      </c>
      <c r="L77" s="213">
        <v>260.47390747070301</v>
      </c>
      <c r="M77" s="214"/>
      <c r="R77">
        <v>74</v>
      </c>
      <c r="S77">
        <f t="shared" si="10"/>
        <v>38.432506561279297</v>
      </c>
      <c r="T77">
        <f t="shared" si="11"/>
        <v>59.248825073242202</v>
      </c>
      <c r="U77">
        <f t="shared" si="12"/>
        <v>43.975139617919901</v>
      </c>
      <c r="V77">
        <f t="shared" si="13"/>
        <v>32.889591217041001</v>
      </c>
      <c r="W77">
        <f t="shared" si="14"/>
        <v>5.9992022514343297</v>
      </c>
      <c r="X77">
        <f t="shared" si="15"/>
        <v>5.9919176101684597</v>
      </c>
      <c r="Y77">
        <f t="shared" si="16"/>
        <v>5.71779108047485</v>
      </c>
      <c r="Z77">
        <f t="shared" si="17"/>
        <v>6.5311617851257298</v>
      </c>
      <c r="AA77">
        <f t="shared" si="18"/>
        <v>7.8330035209655797</v>
      </c>
      <c r="AB77">
        <f t="shared" si="19"/>
        <v>0</v>
      </c>
    </row>
    <row r="78" spans="2:28" x14ac:dyDescent="0.25">
      <c r="B78" s="214">
        <v>196.12376403808599</v>
      </c>
      <c r="C78">
        <v>38</v>
      </c>
      <c r="D78" s="207">
        <v>195.25332641601599</v>
      </c>
      <c r="E78" s="208">
        <v>193.89068603515599</v>
      </c>
      <c r="F78" s="210">
        <v>240.19187927246099</v>
      </c>
      <c r="G78" s="209">
        <v>141.72833251953099</v>
      </c>
      <c r="H78" s="214">
        <v>190.25721740722699</v>
      </c>
      <c r="I78" s="194">
        <v>188.59590148925801</v>
      </c>
      <c r="J78" s="194">
        <v>187.46585083007801</v>
      </c>
      <c r="K78" s="211">
        <v>22.453886032104499</v>
      </c>
      <c r="L78" s="213">
        <v>264.06622314453102</v>
      </c>
      <c r="M78" s="214"/>
      <c r="R78">
        <v>75</v>
      </c>
      <c r="S78">
        <f t="shared" si="10"/>
        <v>19.505416870117202</v>
      </c>
      <c r="T78">
        <f t="shared" si="11"/>
        <v>44.810470581054702</v>
      </c>
      <c r="U78">
        <f t="shared" si="12"/>
        <v>73.307586669921903</v>
      </c>
      <c r="V78">
        <f t="shared" si="13"/>
        <v>53.780990600585902</v>
      </c>
      <c r="W78">
        <f t="shared" si="14"/>
        <v>13.9279689788818</v>
      </c>
      <c r="X78">
        <f t="shared" si="15"/>
        <v>14.270699501037599</v>
      </c>
      <c r="Y78">
        <f t="shared" si="16"/>
        <v>14.3419532775879</v>
      </c>
      <c r="Z78">
        <f t="shared" si="17"/>
        <v>10.326940536499</v>
      </c>
      <c r="AA78">
        <f t="shared" si="18"/>
        <v>21.4899997711182</v>
      </c>
      <c r="AB78">
        <f t="shared" si="19"/>
        <v>0</v>
      </c>
    </row>
    <row r="79" spans="2:28" x14ac:dyDescent="0.25">
      <c r="B79" s="214">
        <v>192.16331481933599</v>
      </c>
      <c r="C79">
        <v>42</v>
      </c>
      <c r="D79" s="207">
        <v>191.19233703613301</v>
      </c>
      <c r="E79" s="208">
        <v>176.67893981933599</v>
      </c>
      <c r="F79" s="210">
        <v>225.47821044921901</v>
      </c>
      <c r="G79" s="209">
        <v>132.60807800293</v>
      </c>
      <c r="H79" s="214">
        <v>181.13449096679699</v>
      </c>
      <c r="I79" s="194">
        <v>179.03300476074199</v>
      </c>
      <c r="J79" s="194">
        <v>177.550857543945</v>
      </c>
      <c r="K79" s="211">
        <v>23.925155639648398</v>
      </c>
      <c r="L79" s="213">
        <v>256.5419921875</v>
      </c>
      <c r="M79" s="214"/>
      <c r="R79">
        <v>76</v>
      </c>
      <c r="S79">
        <f t="shared" si="10"/>
        <v>24.2546787261963</v>
      </c>
      <c r="T79">
        <f t="shared" si="11"/>
        <v>56.889900207519503</v>
      </c>
      <c r="U79">
        <f t="shared" si="12"/>
        <v>96.669212341308594</v>
      </c>
      <c r="V79">
        <f t="shared" si="13"/>
        <v>73.947113037109403</v>
      </c>
      <c r="W79">
        <f t="shared" si="14"/>
        <v>17.767515182495099</v>
      </c>
      <c r="X79">
        <f t="shared" si="15"/>
        <v>18.2816982269287</v>
      </c>
      <c r="Y79">
        <f t="shared" si="16"/>
        <v>18.3156642913818</v>
      </c>
      <c r="Z79">
        <f t="shared" si="17"/>
        <v>14.753709793090801</v>
      </c>
      <c r="AA79">
        <f t="shared" si="18"/>
        <v>28.176683425903299</v>
      </c>
      <c r="AB79">
        <f t="shared" si="19"/>
        <v>0</v>
      </c>
    </row>
    <row r="80" spans="2:28" x14ac:dyDescent="0.25">
      <c r="B80" s="214">
        <v>166.22264099121099</v>
      </c>
      <c r="C80">
        <v>30</v>
      </c>
      <c r="D80" s="207">
        <v>165.61421203613301</v>
      </c>
      <c r="E80" s="208">
        <v>96.163421630859403</v>
      </c>
      <c r="F80" s="210">
        <v>119.77383422851599</v>
      </c>
      <c r="G80" s="209">
        <v>107.770988464355</v>
      </c>
      <c r="H80" s="214">
        <v>114.999504089355</v>
      </c>
      <c r="I80" s="194">
        <v>114.70636749267599</v>
      </c>
      <c r="J80" s="194">
        <v>113.629722595215</v>
      </c>
      <c r="K80" s="211">
        <v>51.942298889160199</v>
      </c>
      <c r="L80" s="213">
        <v>173.88104248046901</v>
      </c>
      <c r="M80" s="214"/>
      <c r="R80">
        <v>77</v>
      </c>
      <c r="S80">
        <f t="shared" si="10"/>
        <v>123.707595825195</v>
      </c>
      <c r="T80">
        <f t="shared" si="11"/>
        <v>84.251808166503906</v>
      </c>
      <c r="U80">
        <f t="shared" si="12"/>
        <v>142.33515930175801</v>
      </c>
      <c r="V80">
        <f t="shared" si="13"/>
        <v>54.359592437744098</v>
      </c>
      <c r="W80">
        <f t="shared" si="14"/>
        <v>57.216098785400398</v>
      </c>
      <c r="X80">
        <f t="shared" si="15"/>
        <v>56.814956665039098</v>
      </c>
      <c r="Y80">
        <f t="shared" si="16"/>
        <v>64.956047058105497</v>
      </c>
      <c r="Z80">
        <f t="shared" si="17"/>
        <v>0.73088347911834695</v>
      </c>
      <c r="AA80">
        <f t="shared" si="18"/>
        <v>44.882492065429702</v>
      </c>
      <c r="AB80">
        <f t="shared" si="19"/>
        <v>0</v>
      </c>
    </row>
    <row r="81" spans="2:28" x14ac:dyDescent="0.25">
      <c r="B81" s="214">
        <v>231.543212890625</v>
      </c>
      <c r="C81">
        <v>29</v>
      </c>
      <c r="D81" s="207">
        <v>231.42623901367199</v>
      </c>
      <c r="E81" s="208">
        <v>160.89527893066401</v>
      </c>
      <c r="F81" s="210">
        <v>192.42715454101599</v>
      </c>
      <c r="G81" s="209">
        <v>172.61149597168</v>
      </c>
      <c r="H81" s="214">
        <v>187.85690307617199</v>
      </c>
      <c r="I81" s="194">
        <v>186.52992248535199</v>
      </c>
      <c r="J81" s="194">
        <v>184.97149658203099</v>
      </c>
      <c r="K81" s="211">
        <v>43.740135192871101</v>
      </c>
      <c r="L81" s="213">
        <v>263.48181152343801</v>
      </c>
      <c r="M81" s="214"/>
      <c r="R81">
        <v>78</v>
      </c>
      <c r="S81">
        <f t="shared" si="10"/>
        <v>105.62953948974599</v>
      </c>
      <c r="T81">
        <f t="shared" si="11"/>
        <v>5.9047346115112296</v>
      </c>
      <c r="U81">
        <f t="shared" si="12"/>
        <v>36.277454376220703</v>
      </c>
      <c r="V81">
        <f t="shared" si="13"/>
        <v>59.696548461914098</v>
      </c>
      <c r="W81">
        <f t="shared" si="14"/>
        <v>39.405941009521499</v>
      </c>
      <c r="X81">
        <f t="shared" si="15"/>
        <v>39.369796752929702</v>
      </c>
      <c r="Y81">
        <f t="shared" si="16"/>
        <v>42.859718322753899</v>
      </c>
      <c r="Z81">
        <f t="shared" si="17"/>
        <v>2.0458056926727299</v>
      </c>
      <c r="AA81">
        <f t="shared" si="18"/>
        <v>43.038047790527301</v>
      </c>
      <c r="AB81">
        <f t="shared" si="19"/>
        <v>0</v>
      </c>
    </row>
    <row r="82" spans="2:28" x14ac:dyDescent="0.25">
      <c r="B82" s="214">
        <v>229.00764465332</v>
      </c>
      <c r="C82">
        <v>31</v>
      </c>
      <c r="D82" s="207">
        <v>228.704666137695</v>
      </c>
      <c r="E82" s="208">
        <v>149.43446350097699</v>
      </c>
      <c r="F82" s="210">
        <v>180.81799316406301</v>
      </c>
      <c r="G82" s="209">
        <v>175.06790161132801</v>
      </c>
      <c r="H82" s="214">
        <v>181.70677185058599</v>
      </c>
      <c r="I82" s="194">
        <v>180.49307250976599</v>
      </c>
      <c r="J82" s="194">
        <v>179.32659912109401</v>
      </c>
      <c r="K82" s="211">
        <v>30.313594818115199</v>
      </c>
      <c r="L82" s="213">
        <v>259.80456542968801</v>
      </c>
      <c r="M82" s="214"/>
      <c r="R82">
        <v>79</v>
      </c>
      <c r="S82">
        <f t="shared" si="10"/>
        <v>105.462814331055</v>
      </c>
      <c r="T82">
        <f t="shared" si="11"/>
        <v>68.164230346679702</v>
      </c>
      <c r="U82">
        <f t="shared" si="12"/>
        <v>119.168098449707</v>
      </c>
      <c r="V82">
        <f t="shared" si="13"/>
        <v>53.647304534912102</v>
      </c>
      <c r="W82">
        <f t="shared" si="14"/>
        <v>46.714637756347699</v>
      </c>
      <c r="X82">
        <f t="shared" si="15"/>
        <v>46.3209037780762</v>
      </c>
      <c r="Y82">
        <f t="shared" si="16"/>
        <v>61.415374755859403</v>
      </c>
      <c r="Z82">
        <f t="shared" si="17"/>
        <v>1.2652676105499301</v>
      </c>
      <c r="AA82">
        <f t="shared" si="18"/>
        <v>36.260871887207003</v>
      </c>
      <c r="AB82">
        <f t="shared" si="19"/>
        <v>0</v>
      </c>
    </row>
    <row r="83" spans="2:28" x14ac:dyDescent="0.25">
      <c r="B83" s="214">
        <v>166.18319702148401</v>
      </c>
      <c r="C83">
        <v>25</v>
      </c>
      <c r="D83" s="207">
        <v>164.87489318847699</v>
      </c>
      <c r="E83" s="208">
        <v>95.919380187988295</v>
      </c>
      <c r="F83" s="210">
        <v>120.227424621582</v>
      </c>
      <c r="G83" s="209">
        <v>122.992485046387</v>
      </c>
      <c r="H83" s="214">
        <v>115.748321533203</v>
      </c>
      <c r="I83" s="194">
        <v>115.87718200683599</v>
      </c>
      <c r="J83" s="194">
        <v>114.22564697265599</v>
      </c>
      <c r="K83" s="211">
        <v>47.008453369140597</v>
      </c>
      <c r="L83" s="213">
        <v>175.65267944335901</v>
      </c>
      <c r="M83" s="214"/>
      <c r="R83">
        <v>80</v>
      </c>
      <c r="S83">
        <f t="shared" si="10"/>
        <v>96.325080871582003</v>
      </c>
      <c r="T83">
        <f t="shared" si="11"/>
        <v>6.5508494377136204</v>
      </c>
      <c r="U83">
        <f t="shared" si="12"/>
        <v>36.903861999511697</v>
      </c>
      <c r="V83">
        <f t="shared" si="13"/>
        <v>64.126510620117202</v>
      </c>
      <c r="W83">
        <f t="shared" si="14"/>
        <v>37.996261596679702</v>
      </c>
      <c r="X83">
        <f t="shared" si="15"/>
        <v>37.984607696533203</v>
      </c>
      <c r="Y83">
        <f t="shared" si="16"/>
        <v>49.838714599609403</v>
      </c>
      <c r="Z83">
        <f t="shared" si="17"/>
        <v>8.4098300933837908</v>
      </c>
      <c r="AA83">
        <f t="shared" si="18"/>
        <v>40.292190551757798</v>
      </c>
      <c r="AB83">
        <f t="shared" si="19"/>
        <v>0</v>
      </c>
    </row>
    <row r="84" spans="2:28" x14ac:dyDescent="0.25">
      <c r="B84" s="214">
        <v>229.63888549804699</v>
      </c>
      <c r="C84">
        <v>26</v>
      </c>
      <c r="D84" s="207">
        <v>228.67652893066401</v>
      </c>
      <c r="E84" s="208">
        <v>163.20565795898401</v>
      </c>
      <c r="F84" s="210">
        <v>194.19964599609401</v>
      </c>
      <c r="G84" s="209">
        <v>198.12767028808599</v>
      </c>
      <c r="H84" s="214">
        <v>189.46478271484401</v>
      </c>
      <c r="I84" s="194">
        <v>188.84895324707</v>
      </c>
      <c r="J84" s="194">
        <v>185.67610168457</v>
      </c>
      <c r="K84" s="211">
        <v>52.839866638183601</v>
      </c>
      <c r="L84" s="213">
        <v>265.61813354492199</v>
      </c>
      <c r="M84" s="214"/>
      <c r="R84">
        <v>81</v>
      </c>
      <c r="S84">
        <f t="shared" si="10"/>
        <v>94.185722351074205</v>
      </c>
      <c r="T84">
        <f t="shared" si="11"/>
        <v>96.208580017089801</v>
      </c>
      <c r="U84">
        <f t="shared" si="12"/>
        <v>106.12791442871099</v>
      </c>
      <c r="V84">
        <f t="shared" si="13"/>
        <v>76.720588684082003</v>
      </c>
      <c r="W84">
        <f t="shared" si="14"/>
        <v>103.850387573242</v>
      </c>
      <c r="X84">
        <f t="shared" si="15"/>
        <v>103.467277526855</v>
      </c>
      <c r="Y84">
        <f t="shared" si="16"/>
        <v>98.822990417480497</v>
      </c>
      <c r="Z84">
        <f t="shared" si="17"/>
        <v>16.2080078125</v>
      </c>
      <c r="AA84">
        <f t="shared" si="18"/>
        <v>84.244369506835895</v>
      </c>
      <c r="AB84">
        <f t="shared" si="19"/>
        <v>0</v>
      </c>
    </row>
    <row r="85" spans="2:28" x14ac:dyDescent="0.25">
      <c r="B85" s="214">
        <v>227.68807983398401</v>
      </c>
      <c r="C85">
        <v>24</v>
      </c>
      <c r="D85" s="207">
        <v>226.84309387207</v>
      </c>
      <c r="E85" s="208">
        <v>149.879150390625</v>
      </c>
      <c r="F85" s="210">
        <v>182.45346069335901</v>
      </c>
      <c r="G85" s="209">
        <v>191.646072387695</v>
      </c>
      <c r="H85" s="214">
        <v>182.84490966796901</v>
      </c>
      <c r="I85" s="194">
        <v>181.94284057617199</v>
      </c>
      <c r="J85" s="194">
        <v>179.05480957031301</v>
      </c>
      <c r="K85" s="211">
        <v>37.1531372070313</v>
      </c>
      <c r="L85" s="213">
        <v>261.66583251953102</v>
      </c>
      <c r="M85" s="214"/>
      <c r="R85">
        <v>82</v>
      </c>
      <c r="S85">
        <f t="shared" si="10"/>
        <v>156.26138305664099</v>
      </c>
      <c r="T85">
        <f t="shared" si="11"/>
        <v>92.483604431152301</v>
      </c>
      <c r="U85">
        <f t="shared" si="12"/>
        <v>96.223678588867202</v>
      </c>
      <c r="V85">
        <f t="shared" si="13"/>
        <v>156.36869812011699</v>
      </c>
      <c r="W85">
        <f t="shared" si="14"/>
        <v>140.22584533691401</v>
      </c>
      <c r="X85">
        <f t="shared" si="15"/>
        <v>142.950607299805</v>
      </c>
      <c r="Y85">
        <f t="shared" si="16"/>
        <v>131.73905944824199</v>
      </c>
      <c r="Z85">
        <f t="shared" si="17"/>
        <v>48.7145805358887</v>
      </c>
      <c r="AA85">
        <f t="shared" si="18"/>
        <v>124.74990844726599</v>
      </c>
      <c r="AB85">
        <f t="shared" si="19"/>
        <v>0</v>
      </c>
    </row>
    <row r="86" spans="2:28" x14ac:dyDescent="0.25">
      <c r="B86" s="214">
        <v>139.78324890136699</v>
      </c>
      <c r="C86">
        <v>27</v>
      </c>
      <c r="D86" s="207">
        <v>140.28079223632801</v>
      </c>
      <c r="E86" s="208">
        <v>254.08511352539099</v>
      </c>
      <c r="F86" s="210">
        <v>233.91250610351599</v>
      </c>
      <c r="G86" s="209">
        <v>139.59324645996099</v>
      </c>
      <c r="H86" s="214">
        <v>187.61183166503901</v>
      </c>
      <c r="I86" s="194">
        <v>186.051193237305</v>
      </c>
      <c r="J86" s="194">
        <v>184.08877563476599</v>
      </c>
      <c r="K86" s="211">
        <v>13.543337821960399</v>
      </c>
      <c r="L86" s="213">
        <v>260.46206665039102</v>
      </c>
      <c r="M86" s="214"/>
      <c r="R86">
        <v>83</v>
      </c>
      <c r="S86">
        <f t="shared" si="10"/>
        <v>84.519927978515597</v>
      </c>
      <c r="T86">
        <f t="shared" si="11"/>
        <v>90.825721740722699</v>
      </c>
      <c r="U86">
        <f t="shared" si="12"/>
        <v>110.135856628418</v>
      </c>
      <c r="V86">
        <f t="shared" si="13"/>
        <v>64.028915405273395</v>
      </c>
      <c r="W86">
        <f t="shared" si="14"/>
        <v>97.757591247558594</v>
      </c>
      <c r="X86">
        <f t="shared" si="15"/>
        <v>97.431747436523395</v>
      </c>
      <c r="Y86">
        <f t="shared" si="16"/>
        <v>90.547203063964801</v>
      </c>
      <c r="Z86">
        <f t="shared" si="17"/>
        <v>0.87969970703125</v>
      </c>
      <c r="AA86">
        <f t="shared" si="18"/>
        <v>80.774734497070298</v>
      </c>
      <c r="AB86">
        <f t="shared" si="19"/>
        <v>0</v>
      </c>
    </row>
    <row r="87" spans="2:28" x14ac:dyDescent="0.25">
      <c r="B87" s="214">
        <v>119.915161132813</v>
      </c>
      <c r="C87">
        <v>23</v>
      </c>
      <c r="D87" s="207">
        <v>120.578605651855</v>
      </c>
      <c r="E87" s="208">
        <v>264.55044555664102</v>
      </c>
      <c r="F87" s="210">
        <v>230.37022399902301</v>
      </c>
      <c r="G87" s="209">
        <v>121.45700836181599</v>
      </c>
      <c r="H87" s="214">
        <v>182.70932006835901</v>
      </c>
      <c r="I87" s="194">
        <v>180.10908508300801</v>
      </c>
      <c r="J87" s="194">
        <v>177.99957275390599</v>
      </c>
      <c r="K87" s="211">
        <v>14.534827232360801</v>
      </c>
      <c r="L87" s="213">
        <v>258.09893798828102</v>
      </c>
      <c r="M87" s="214"/>
      <c r="R87">
        <v>84</v>
      </c>
      <c r="S87">
        <f t="shared" si="10"/>
        <v>155.352127075195</v>
      </c>
      <c r="T87">
        <f t="shared" si="11"/>
        <v>98.226112365722699</v>
      </c>
      <c r="U87">
        <f t="shared" si="12"/>
        <v>92.11083984375</v>
      </c>
      <c r="V87">
        <f t="shared" si="13"/>
        <v>138.73947143554699</v>
      </c>
      <c r="W87">
        <f t="shared" si="14"/>
        <v>145.21524047851599</v>
      </c>
      <c r="X87">
        <f t="shared" si="15"/>
        <v>147.43667602539099</v>
      </c>
      <c r="Y87">
        <f t="shared" si="16"/>
        <v>143.679275512695</v>
      </c>
      <c r="Z87">
        <f t="shared" si="17"/>
        <v>0.54792445898055997</v>
      </c>
      <c r="AA87">
        <f t="shared" si="18"/>
        <v>127.274085998535</v>
      </c>
      <c r="AB87">
        <f t="shared" si="19"/>
        <v>0</v>
      </c>
    </row>
    <row r="88" spans="2:28" x14ac:dyDescent="0.25">
      <c r="B88" s="214">
        <v>136.25657653808599</v>
      </c>
      <c r="C88">
        <v>28</v>
      </c>
      <c r="D88" s="207">
        <v>136.73768615722699</v>
      </c>
      <c r="E88" s="208">
        <v>262.71261596679699</v>
      </c>
      <c r="F88" s="210">
        <v>241.56256103515599</v>
      </c>
      <c r="G88" s="209">
        <v>142.72557067871099</v>
      </c>
      <c r="H88" s="214">
        <v>190.232421875</v>
      </c>
      <c r="I88" s="194">
        <v>188.61184692382801</v>
      </c>
      <c r="J88" s="194">
        <v>187.33148193359401</v>
      </c>
      <c r="K88" s="211">
        <v>22.466993331909201</v>
      </c>
      <c r="L88" s="213">
        <v>263.95407104492199</v>
      </c>
      <c r="M88" s="214"/>
      <c r="R88">
        <v>85</v>
      </c>
      <c r="S88">
        <f t="shared" si="10"/>
        <v>49.7098197937012</v>
      </c>
      <c r="T88">
        <f t="shared" si="11"/>
        <v>89.744056701660199</v>
      </c>
      <c r="U88">
        <f t="shared" si="12"/>
        <v>97.839340209960895</v>
      </c>
      <c r="V88">
        <f t="shared" si="13"/>
        <v>74.602592468261705</v>
      </c>
      <c r="W88">
        <f t="shared" si="14"/>
        <v>18.0674152374268</v>
      </c>
      <c r="X88">
        <f t="shared" si="15"/>
        <v>18.894468307495099</v>
      </c>
      <c r="Y88">
        <f t="shared" si="16"/>
        <v>18.52174949646</v>
      </c>
      <c r="Z88">
        <f t="shared" si="17"/>
        <v>14.7168846130371</v>
      </c>
      <c r="AA88">
        <f t="shared" si="18"/>
        <v>28.641056060791001</v>
      </c>
      <c r="AB88">
        <f t="shared" si="19"/>
        <v>0</v>
      </c>
    </row>
    <row r="89" spans="2:28" x14ac:dyDescent="0.25">
      <c r="B89" s="214">
        <v>124.157440185547</v>
      </c>
      <c r="C89">
        <v>32</v>
      </c>
      <c r="D89" s="207">
        <v>124.485191345215</v>
      </c>
      <c r="E89" s="208">
        <v>255.51541137695301</v>
      </c>
      <c r="F89" s="210">
        <v>225.64111328125</v>
      </c>
      <c r="G89" s="209">
        <v>133.69567871093801</v>
      </c>
      <c r="H89" s="214">
        <v>181.14985656738301</v>
      </c>
      <c r="I89" s="194">
        <v>178.86972045898401</v>
      </c>
      <c r="J89" s="194">
        <v>177.52241516113301</v>
      </c>
      <c r="K89" s="211">
        <v>23.623899459838899</v>
      </c>
      <c r="L89" s="213">
        <v>256.49554443359398</v>
      </c>
      <c r="M89" s="214"/>
      <c r="R89">
        <v>86</v>
      </c>
      <c r="S89">
        <f t="shared" si="10"/>
        <v>36.238269805908203</v>
      </c>
      <c r="T89">
        <f t="shared" si="11"/>
        <v>67.577072143554702</v>
      </c>
      <c r="U89">
        <f t="shared" si="12"/>
        <v>73.341865539550795</v>
      </c>
      <c r="V89">
        <f t="shared" si="13"/>
        <v>53.378459930419901</v>
      </c>
      <c r="W89">
        <f t="shared" si="14"/>
        <v>13.8707599639893</v>
      </c>
      <c r="X89">
        <f t="shared" si="15"/>
        <v>14.238324165344199</v>
      </c>
      <c r="Y89">
        <f t="shared" si="16"/>
        <v>14.0525465011597</v>
      </c>
      <c r="Z89">
        <f t="shared" si="17"/>
        <v>10.153608322143601</v>
      </c>
      <c r="AA89">
        <f t="shared" si="18"/>
        <v>21.433336257934599</v>
      </c>
      <c r="AB89">
        <f t="shared" si="19"/>
        <v>0</v>
      </c>
    </row>
    <row r="90" spans="2:28" x14ac:dyDescent="0.25">
      <c r="B90" s="214">
        <v>163.32350158691401</v>
      </c>
      <c r="C90">
        <v>9</v>
      </c>
      <c r="D90" s="207">
        <v>163.425369262695</v>
      </c>
      <c r="E90" s="208">
        <v>154.65716552734401</v>
      </c>
      <c r="F90" s="210">
        <v>151.25939941406301</v>
      </c>
      <c r="G90" s="209">
        <v>152.38072204589801</v>
      </c>
      <c r="H90" s="214">
        <v>154.20030212402301</v>
      </c>
      <c r="I90" s="194">
        <v>154.25933837890599</v>
      </c>
      <c r="J90" s="194">
        <v>153.41618347168</v>
      </c>
      <c r="K90" s="211">
        <v>4.5059871673584002</v>
      </c>
      <c r="L90" s="213">
        <v>219.53070068359401</v>
      </c>
      <c r="M90" s="214"/>
      <c r="R90">
        <v>87</v>
      </c>
      <c r="S90">
        <f t="shared" si="10"/>
        <v>18.879219055175799</v>
      </c>
      <c r="T90">
        <f t="shared" si="11"/>
        <v>20.592954635620099</v>
      </c>
      <c r="U90">
        <f t="shared" si="12"/>
        <v>31.457048416137699</v>
      </c>
      <c r="V90">
        <f t="shared" si="13"/>
        <v>24.529468536376999</v>
      </c>
      <c r="W90">
        <f t="shared" si="14"/>
        <v>3.9429273605346702</v>
      </c>
      <c r="X90">
        <f t="shared" si="15"/>
        <v>5.0278410911560103</v>
      </c>
      <c r="Y90">
        <f t="shared" si="16"/>
        <v>5.2078366279602104</v>
      </c>
      <c r="Z90">
        <f t="shared" si="17"/>
        <v>4.4710826873779297</v>
      </c>
      <c r="AA90">
        <f t="shared" si="18"/>
        <v>7.4224925041198704</v>
      </c>
      <c r="AB90">
        <f t="shared" si="19"/>
        <v>0</v>
      </c>
    </row>
    <row r="91" spans="2:28" x14ac:dyDescent="0.25">
      <c r="B91" s="214">
        <v>181.31959533691401</v>
      </c>
      <c r="C91">
        <v>10</v>
      </c>
      <c r="D91" s="207">
        <v>181.348220825195</v>
      </c>
      <c r="E91" s="208">
        <v>162.28477478027301</v>
      </c>
      <c r="F91" s="210">
        <v>163.232986450195</v>
      </c>
      <c r="G91" s="209">
        <v>165.79006958007801</v>
      </c>
      <c r="H91" s="214">
        <v>164.75181579589801</v>
      </c>
      <c r="I91" s="194">
        <v>164.92076110839801</v>
      </c>
      <c r="J91" s="194">
        <v>164.416748046875</v>
      </c>
      <c r="K91" s="211">
        <v>5.9138636589050302</v>
      </c>
      <c r="L91" s="213">
        <v>227.23497009277301</v>
      </c>
      <c r="M91" s="214"/>
      <c r="R91">
        <v>88</v>
      </c>
      <c r="S91">
        <f t="shared" si="10"/>
        <v>52.361759185791001</v>
      </c>
      <c r="T91">
        <f t="shared" si="11"/>
        <v>20.801021575927699</v>
      </c>
      <c r="U91">
        <f t="shared" si="12"/>
        <v>189.94340515136699</v>
      </c>
      <c r="V91">
        <f t="shared" si="13"/>
        <v>246.60748291015599</v>
      </c>
      <c r="W91">
        <f t="shared" si="14"/>
        <v>17.703710556030298</v>
      </c>
      <c r="X91">
        <f t="shared" si="15"/>
        <v>17.735712051391602</v>
      </c>
      <c r="Y91">
        <f t="shared" si="16"/>
        <v>17.365791320800799</v>
      </c>
      <c r="Z91">
        <f t="shared" si="17"/>
        <v>82.949089050292997</v>
      </c>
      <c r="AA91">
        <f t="shared" si="18"/>
        <v>17.139490127563501</v>
      </c>
      <c r="AB91">
        <f t="shared" si="19"/>
        <v>0</v>
      </c>
    </row>
    <row r="92" spans="2:28" x14ac:dyDescent="0.25">
      <c r="B92" s="214">
        <v>154.92864990234401</v>
      </c>
      <c r="C92">
        <v>13</v>
      </c>
      <c r="D92" s="207">
        <v>155.26362609863301</v>
      </c>
      <c r="E92" s="208">
        <v>162.79586791992199</v>
      </c>
      <c r="F92" s="210">
        <v>151.12875366210901</v>
      </c>
      <c r="G92" s="209">
        <v>152.31658935546901</v>
      </c>
      <c r="H92" s="214">
        <v>154.08563232421901</v>
      </c>
      <c r="I92" s="194">
        <v>151.41175842285199</v>
      </c>
      <c r="J92" s="194">
        <v>151.44004821777301</v>
      </c>
      <c r="K92" s="211">
        <v>4.4553461074829102</v>
      </c>
      <c r="L92" s="213">
        <v>219.35823059082</v>
      </c>
      <c r="M92" s="214"/>
      <c r="R92">
        <v>89</v>
      </c>
      <c r="S92">
        <f t="shared" si="10"/>
        <v>51.6686820983887</v>
      </c>
      <c r="T92">
        <f t="shared" si="11"/>
        <v>21.934297561645501</v>
      </c>
      <c r="U92">
        <f t="shared" si="12"/>
        <v>192.44960021972699</v>
      </c>
      <c r="V92">
        <f t="shared" si="13"/>
        <v>189.46466064453099</v>
      </c>
      <c r="W92">
        <f t="shared" si="14"/>
        <v>18.0814418792725</v>
      </c>
      <c r="X92">
        <f t="shared" si="15"/>
        <v>18.006532669067401</v>
      </c>
      <c r="Y92">
        <f t="shared" si="16"/>
        <v>17.377906799316399</v>
      </c>
      <c r="Z92">
        <f t="shared" si="17"/>
        <v>90.525695800781307</v>
      </c>
      <c r="AA92">
        <f t="shared" si="18"/>
        <v>19.066156387329102</v>
      </c>
      <c r="AB92">
        <f t="shared" si="19"/>
        <v>0</v>
      </c>
    </row>
    <row r="93" spans="2:28" x14ac:dyDescent="0.25">
      <c r="B93" s="214">
        <v>162.05271911621099</v>
      </c>
      <c r="C93">
        <v>12</v>
      </c>
      <c r="D93" s="207">
        <v>162.49508666992199</v>
      </c>
      <c r="E93" s="208">
        <v>179.10154724121099</v>
      </c>
      <c r="F93" s="210">
        <v>162.13766479492199</v>
      </c>
      <c r="G93" s="209">
        <v>163.27278137207</v>
      </c>
      <c r="H93" s="214">
        <v>163.71099853515599</v>
      </c>
      <c r="I93" s="194">
        <v>162.62342834472699</v>
      </c>
      <c r="J93" s="194">
        <v>162.70431518554699</v>
      </c>
      <c r="K93" s="211">
        <v>0.39034366607665999</v>
      </c>
      <c r="L93" s="213">
        <v>225.69850158691401</v>
      </c>
      <c r="M93" s="214"/>
      <c r="R93">
        <v>90</v>
      </c>
      <c r="S93">
        <f t="shared" si="10"/>
        <v>2.2563669681549099</v>
      </c>
      <c r="T93">
        <f t="shared" si="11"/>
        <v>18.5813083648682</v>
      </c>
      <c r="U93">
        <f t="shared" si="12"/>
        <v>43.875804901122997</v>
      </c>
      <c r="V93">
        <f t="shared" si="13"/>
        <v>81.785354614257798</v>
      </c>
      <c r="W93">
        <f t="shared" si="14"/>
        <v>1.3921947479248</v>
      </c>
      <c r="X93">
        <f t="shared" si="15"/>
        <v>2.4005315303802499</v>
      </c>
      <c r="Y93">
        <f t="shared" si="16"/>
        <v>3.25305080413818</v>
      </c>
      <c r="Z93">
        <f t="shared" si="17"/>
        <v>3.40724754333496</v>
      </c>
      <c r="AA93">
        <f t="shared" si="18"/>
        <v>5.5241570472717303</v>
      </c>
      <c r="AB93">
        <f t="shared" si="19"/>
        <v>0</v>
      </c>
    </row>
    <row r="94" spans="2:28" x14ac:dyDescent="0.25">
      <c r="B94" s="214">
        <v>181.16572570800801</v>
      </c>
      <c r="C94">
        <v>8</v>
      </c>
      <c r="D94" s="207">
        <v>181.196701049805</v>
      </c>
      <c r="E94" s="208">
        <v>162.30116271972699</v>
      </c>
      <c r="F94" s="210">
        <v>163.30923461914099</v>
      </c>
      <c r="G94" s="209">
        <v>164.378005981445</v>
      </c>
      <c r="H94" s="214">
        <v>164.90725708007801</v>
      </c>
      <c r="I94" s="194">
        <v>165.07083129882801</v>
      </c>
      <c r="J94" s="194">
        <v>164.718994140625</v>
      </c>
      <c r="K94" s="211">
        <v>0.388616353273392</v>
      </c>
      <c r="L94" s="213">
        <v>227.30319213867199</v>
      </c>
      <c r="M94" s="214"/>
      <c r="R94">
        <v>91</v>
      </c>
      <c r="S94">
        <f t="shared" si="10"/>
        <v>10.6812887191772</v>
      </c>
      <c r="T94">
        <f t="shared" si="11"/>
        <v>47.7035942077637</v>
      </c>
      <c r="U94">
        <f t="shared" si="12"/>
        <v>70.722274780273395</v>
      </c>
      <c r="V94">
        <f t="shared" si="13"/>
        <v>147.80978393554699</v>
      </c>
      <c r="W94">
        <f t="shared" si="14"/>
        <v>9.8188190460205096</v>
      </c>
      <c r="X94">
        <f t="shared" si="15"/>
        <v>16.234289169311499</v>
      </c>
      <c r="Y94">
        <f t="shared" si="16"/>
        <v>17.014471054077099</v>
      </c>
      <c r="Z94">
        <f t="shared" si="17"/>
        <v>3.86456370353699</v>
      </c>
      <c r="AA94">
        <f t="shared" si="18"/>
        <v>12.054888725280801</v>
      </c>
      <c r="AB94">
        <f t="shared" si="19"/>
        <v>0</v>
      </c>
    </row>
    <row r="95" spans="2:28" x14ac:dyDescent="0.25">
      <c r="B95" s="214">
        <v>161.81629943847699</v>
      </c>
      <c r="C95">
        <v>14</v>
      </c>
      <c r="D95" s="207">
        <v>162.272872924805</v>
      </c>
      <c r="E95" s="208">
        <v>179.12031555175801</v>
      </c>
      <c r="F95" s="210">
        <v>162.115646362305</v>
      </c>
      <c r="G95" s="209">
        <v>164.69003295898401</v>
      </c>
      <c r="H95" s="214">
        <v>163.59410095214801</v>
      </c>
      <c r="I95" s="194">
        <v>162.51467895507801</v>
      </c>
      <c r="J95" s="194">
        <v>162.59094238281301</v>
      </c>
      <c r="K95" s="211">
        <v>5.8727707862854004</v>
      </c>
      <c r="L95" s="213">
        <v>225.65927124023401</v>
      </c>
      <c r="M95" s="214"/>
      <c r="R95">
        <v>92</v>
      </c>
      <c r="S95">
        <f t="shared" si="10"/>
        <v>8.8867435455322301</v>
      </c>
      <c r="T95">
        <f t="shared" si="11"/>
        <v>26.7164707183838</v>
      </c>
      <c r="U95">
        <f t="shared" si="12"/>
        <v>63.035980224609403</v>
      </c>
      <c r="V95">
        <f t="shared" si="13"/>
        <v>43.919242858886697</v>
      </c>
      <c r="W95">
        <f t="shared" si="14"/>
        <v>9.8162193298339808</v>
      </c>
      <c r="X95">
        <f t="shared" si="15"/>
        <v>13.2363986968994</v>
      </c>
      <c r="Y95">
        <f t="shared" si="16"/>
        <v>13.2904605865479</v>
      </c>
      <c r="Z95">
        <f t="shared" si="17"/>
        <v>1.6448825597763099</v>
      </c>
      <c r="AA95">
        <f t="shared" si="18"/>
        <v>4.9493279457092303</v>
      </c>
      <c r="AB95">
        <f t="shared" si="19"/>
        <v>0</v>
      </c>
    </row>
    <row r="96" spans="2:28" x14ac:dyDescent="0.25">
      <c r="B96" s="214">
        <v>180.269454956055</v>
      </c>
      <c r="C96">
        <v>20</v>
      </c>
      <c r="D96" s="207">
        <v>180.708084106445</v>
      </c>
      <c r="E96" s="208">
        <v>205.41874694824199</v>
      </c>
      <c r="F96" s="210">
        <v>184.55131530761699</v>
      </c>
      <c r="G96" s="209">
        <v>183.41401672363301</v>
      </c>
      <c r="H96" s="214">
        <v>183.33274841308599</v>
      </c>
      <c r="I96" s="194">
        <v>183.72445678710901</v>
      </c>
      <c r="J96" s="194">
        <v>183.716232299805</v>
      </c>
      <c r="K96" s="211">
        <v>0.50858265161514304</v>
      </c>
      <c r="L96" s="213">
        <v>255.61195373535199</v>
      </c>
      <c r="M96" s="214"/>
      <c r="R96">
        <v>93</v>
      </c>
      <c r="S96">
        <f t="shared" si="10"/>
        <v>0.88598936796188399</v>
      </c>
      <c r="T96">
        <f t="shared" si="11"/>
        <v>7.4466180801391602</v>
      </c>
      <c r="U96">
        <f t="shared" si="12"/>
        <v>29.140443801879901</v>
      </c>
      <c r="V96">
        <f t="shared" si="13"/>
        <v>9.0840559005737305</v>
      </c>
      <c r="W96">
        <f t="shared" si="14"/>
        <v>1.8860511779785201</v>
      </c>
      <c r="X96">
        <f t="shared" si="15"/>
        <v>2.5178866386413601</v>
      </c>
      <c r="Y96">
        <f t="shared" si="16"/>
        <v>2.5297925472259499</v>
      </c>
      <c r="Z96">
        <f t="shared" si="17"/>
        <v>1.6323102712631199</v>
      </c>
      <c r="AA96">
        <f t="shared" si="18"/>
        <v>0.50844734907150302</v>
      </c>
      <c r="AB96">
        <f t="shared" si="19"/>
        <v>0</v>
      </c>
    </row>
    <row r="97" spans="2:28" x14ac:dyDescent="0.25">
      <c r="B97" s="214">
        <v>181.64143371582</v>
      </c>
      <c r="C97">
        <v>21</v>
      </c>
      <c r="D97" s="207">
        <v>182.10716247558599</v>
      </c>
      <c r="E97" s="208">
        <v>207.718338012695</v>
      </c>
      <c r="F97" s="210">
        <v>186.673095703125</v>
      </c>
      <c r="G97" s="209">
        <v>185.54075622558599</v>
      </c>
      <c r="H97" s="214">
        <v>184.95373535156301</v>
      </c>
      <c r="I97" s="194">
        <v>185.50938415527301</v>
      </c>
      <c r="J97" s="194">
        <v>185.51202392578099</v>
      </c>
      <c r="K97" s="211">
        <v>2.1034579277038601</v>
      </c>
      <c r="L97" s="213">
        <v>258.18093872070301</v>
      </c>
      <c r="M97" s="214"/>
      <c r="R97">
        <v>94</v>
      </c>
      <c r="S97">
        <f t="shared" si="10"/>
        <v>0.30470284819603</v>
      </c>
      <c r="T97">
        <f t="shared" si="11"/>
        <v>7.3084678649902299</v>
      </c>
      <c r="U97">
        <f t="shared" si="12"/>
        <v>48.600154876708999</v>
      </c>
      <c r="V97">
        <f t="shared" si="13"/>
        <v>3.79375171661377</v>
      </c>
      <c r="W97">
        <f t="shared" si="14"/>
        <v>1.5983302593231199</v>
      </c>
      <c r="X97">
        <f t="shared" si="15"/>
        <v>1.72010290622711</v>
      </c>
      <c r="Y97">
        <f t="shared" si="16"/>
        <v>1.7297211885452299</v>
      </c>
      <c r="Z97">
        <f t="shared" si="17"/>
        <v>0.99705290794372603</v>
      </c>
      <c r="AA97">
        <f t="shared" si="18"/>
        <v>0.27464956045150801</v>
      </c>
      <c r="AB97">
        <f t="shared" si="19"/>
        <v>0</v>
      </c>
    </row>
    <row r="98" spans="2:28" x14ac:dyDescent="0.25">
      <c r="B98" s="214">
        <v>203.54769897460901</v>
      </c>
      <c r="C98">
        <v>17</v>
      </c>
      <c r="D98" s="207">
        <v>203.43556213378901</v>
      </c>
      <c r="E98" s="208">
        <v>179.80332946777301</v>
      </c>
      <c r="F98" s="210">
        <v>183.03343200683599</v>
      </c>
      <c r="G98" s="209">
        <v>182.805908203125</v>
      </c>
      <c r="H98" s="214">
        <v>181.98286437988301</v>
      </c>
      <c r="I98" s="194">
        <v>181.99388122558599</v>
      </c>
      <c r="J98" s="194">
        <v>182.14677429199199</v>
      </c>
      <c r="K98" s="211">
        <v>2.2671473026275599</v>
      </c>
      <c r="L98" s="213">
        <v>253.67767333984401</v>
      </c>
      <c r="M98" s="214"/>
      <c r="R98">
        <v>95</v>
      </c>
      <c r="S98">
        <f t="shared" si="10"/>
        <v>32.173728942871101</v>
      </c>
      <c r="T98">
        <f t="shared" si="11"/>
        <v>100.26335906982401</v>
      </c>
      <c r="U98">
        <f t="shared" si="12"/>
        <v>35.394798278808601</v>
      </c>
      <c r="V98">
        <f t="shared" si="13"/>
        <v>76.921134948730497</v>
      </c>
      <c r="W98">
        <f t="shared" si="14"/>
        <v>40.101619720458999</v>
      </c>
      <c r="X98">
        <f t="shared" si="15"/>
        <v>56.727149963378899</v>
      </c>
      <c r="Y98">
        <f t="shared" si="16"/>
        <v>55.822498321533203</v>
      </c>
      <c r="Z98">
        <f t="shared" si="17"/>
        <v>7.6043343544006303</v>
      </c>
      <c r="AA98">
        <f t="shared" si="18"/>
        <v>43.017345428466797</v>
      </c>
      <c r="AB98">
        <f t="shared" si="19"/>
        <v>0</v>
      </c>
    </row>
    <row r="99" spans="2:28" x14ac:dyDescent="0.25">
      <c r="B99" s="214">
        <v>206.98188781738301</v>
      </c>
      <c r="C99">
        <v>16</v>
      </c>
      <c r="D99" s="207">
        <v>206.88137817382801</v>
      </c>
      <c r="E99" s="208">
        <v>182.8330078125</v>
      </c>
      <c r="F99" s="210">
        <v>186.5244140625</v>
      </c>
      <c r="G99" s="209">
        <v>185.07040405273401</v>
      </c>
      <c r="H99" s="214">
        <v>184.95152282714801</v>
      </c>
      <c r="I99" s="194">
        <v>184.93040466308599</v>
      </c>
      <c r="J99" s="194">
        <v>185.10925292968801</v>
      </c>
      <c r="K99" s="211">
        <v>0.53004068136215199</v>
      </c>
      <c r="L99" s="213">
        <v>258.06021118164102</v>
      </c>
      <c r="M99" s="214"/>
      <c r="R99">
        <v>96</v>
      </c>
      <c r="S99">
        <f t="shared" si="10"/>
        <v>11.401043891906699</v>
      </c>
      <c r="T99">
        <f t="shared" si="11"/>
        <v>139.61488342285199</v>
      </c>
      <c r="U99">
        <f t="shared" si="12"/>
        <v>125.733352661133</v>
      </c>
      <c r="V99">
        <f t="shared" si="13"/>
        <v>50.145668029785199</v>
      </c>
      <c r="W99">
        <f t="shared" si="14"/>
        <v>50.534049987792997</v>
      </c>
      <c r="X99">
        <f t="shared" si="15"/>
        <v>83.263023376464801</v>
      </c>
      <c r="Y99">
        <f t="shared" si="16"/>
        <v>84.009902954101605</v>
      </c>
      <c r="Z99">
        <f t="shared" si="17"/>
        <v>0.67836666107177701</v>
      </c>
      <c r="AA99">
        <f t="shared" si="18"/>
        <v>39.965240478515597</v>
      </c>
      <c r="AB99">
        <f t="shared" si="19"/>
        <v>0</v>
      </c>
    </row>
    <row r="100" spans="2:28" x14ac:dyDescent="0.25">
      <c r="B100" s="214">
        <v>169.75140380859401</v>
      </c>
      <c r="C100">
        <v>22</v>
      </c>
      <c r="D100" s="207">
        <v>170.13267517089801</v>
      </c>
      <c r="E100" s="208">
        <v>175.68461608886699</v>
      </c>
      <c r="F100" s="210">
        <v>162.94689941406301</v>
      </c>
      <c r="G100" s="209">
        <v>166.33068847656301</v>
      </c>
      <c r="H100" s="214">
        <v>165.974685668945</v>
      </c>
      <c r="I100" s="194">
        <v>164.335372924805</v>
      </c>
      <c r="J100" s="194">
        <v>164.38671875</v>
      </c>
      <c r="K100" s="211">
        <v>2.0705690383911102</v>
      </c>
      <c r="L100" s="213">
        <v>244.35128784179699</v>
      </c>
      <c r="M100" s="214"/>
      <c r="R100">
        <v>97</v>
      </c>
      <c r="S100">
        <f t="shared" si="10"/>
        <v>35.998699188232401</v>
      </c>
      <c r="T100">
        <f t="shared" si="11"/>
        <v>102.607536315918</v>
      </c>
      <c r="U100">
        <f t="shared" si="12"/>
        <v>38.624713897705099</v>
      </c>
      <c r="V100">
        <f t="shared" si="13"/>
        <v>67.432952880859403</v>
      </c>
      <c r="W100">
        <f t="shared" si="14"/>
        <v>43.238151550292997</v>
      </c>
      <c r="X100">
        <f t="shared" si="15"/>
        <v>60.003383636474602</v>
      </c>
      <c r="Y100">
        <f t="shared" si="16"/>
        <v>59.479846954345703</v>
      </c>
      <c r="Z100">
        <f t="shared" si="17"/>
        <v>1.8467441797256501</v>
      </c>
      <c r="AA100">
        <f t="shared" si="18"/>
        <v>45.621791839599602</v>
      </c>
      <c r="AB100">
        <f t="shared" si="19"/>
        <v>0</v>
      </c>
    </row>
    <row r="101" spans="2:28" x14ac:dyDescent="0.25">
      <c r="B101" s="214">
        <v>175.65002441406301</v>
      </c>
      <c r="C101">
        <v>18</v>
      </c>
      <c r="D101" s="207">
        <v>175.80963134765599</v>
      </c>
      <c r="E101" s="208">
        <v>166.46261596679699</v>
      </c>
      <c r="F101" s="210">
        <v>161.51539611816401</v>
      </c>
      <c r="G101" s="209">
        <v>164.56507873535199</v>
      </c>
      <c r="H101" s="214">
        <v>164.39505004882801</v>
      </c>
      <c r="I101" s="194">
        <v>164.49914550781301</v>
      </c>
      <c r="J101" s="194">
        <v>163.89228820800801</v>
      </c>
      <c r="K101" s="211">
        <v>1.92510497570038</v>
      </c>
      <c r="L101" s="213">
        <v>241.88890075683599</v>
      </c>
      <c r="M101" s="214"/>
      <c r="R101">
        <v>98</v>
      </c>
      <c r="S101">
        <f t="shared" si="10"/>
        <v>12.219815254211399</v>
      </c>
      <c r="T101">
        <f t="shared" si="11"/>
        <v>133.65090942382801</v>
      </c>
      <c r="U101">
        <f t="shared" si="12"/>
        <v>121.24358367919901</v>
      </c>
      <c r="V101">
        <f t="shared" si="13"/>
        <v>36.378498077392599</v>
      </c>
      <c r="W101">
        <f t="shared" si="14"/>
        <v>47.160121917724602</v>
      </c>
      <c r="X101">
        <f t="shared" si="15"/>
        <v>80.171958923339801</v>
      </c>
      <c r="Y101">
        <f t="shared" si="16"/>
        <v>80.610191345214801</v>
      </c>
      <c r="Z101">
        <f t="shared" si="17"/>
        <v>0.87569898366928101</v>
      </c>
      <c r="AA101">
        <f t="shared" si="18"/>
        <v>37.199550628662102</v>
      </c>
      <c r="AB101">
        <f t="shared" si="19"/>
        <v>0</v>
      </c>
    </row>
    <row r="102" spans="2:28" x14ac:dyDescent="0.25">
      <c r="B102" s="214">
        <v>186.31930541992199</v>
      </c>
      <c r="C102">
        <v>15</v>
      </c>
      <c r="D102" s="207">
        <v>186.34921264648401</v>
      </c>
      <c r="E102" s="208">
        <v>171.93203735351599</v>
      </c>
      <c r="F102" s="210">
        <v>171.05073547363301</v>
      </c>
      <c r="G102" s="209">
        <v>170.85476684570301</v>
      </c>
      <c r="H102" s="214">
        <v>170.73704528808599</v>
      </c>
      <c r="I102" s="194">
        <v>170.65956115722699</v>
      </c>
      <c r="J102" s="194">
        <v>170.60679626464801</v>
      </c>
      <c r="K102" s="211">
        <v>0.59638315439224199</v>
      </c>
      <c r="L102" s="213">
        <v>248.09475708007801</v>
      </c>
      <c r="M102" s="214"/>
      <c r="R102">
        <v>99</v>
      </c>
      <c r="S102">
        <f t="shared" si="10"/>
        <v>130.87228393554699</v>
      </c>
      <c r="T102">
        <f t="shared" si="11"/>
        <v>128.21934509277301</v>
      </c>
      <c r="U102">
        <f t="shared" si="12"/>
        <v>86.473297119140597</v>
      </c>
      <c r="V102">
        <f t="shared" si="13"/>
        <v>158.40222167968801</v>
      </c>
      <c r="W102">
        <f t="shared" si="14"/>
        <v>135.58399963378901</v>
      </c>
      <c r="X102">
        <f t="shared" si="15"/>
        <v>119.29705047607401</v>
      </c>
      <c r="Y102">
        <f t="shared" si="16"/>
        <v>119.76821136474599</v>
      </c>
      <c r="Z102">
        <f t="shared" si="17"/>
        <v>50.590156555175803</v>
      </c>
      <c r="AA102">
        <f t="shared" si="18"/>
        <v>120.351287841797</v>
      </c>
      <c r="AB102">
        <f t="shared" si="19"/>
        <v>0</v>
      </c>
    </row>
    <row r="103" spans="2:28" x14ac:dyDescent="0.25">
      <c r="B103" s="214">
        <v>171.42733764648401</v>
      </c>
      <c r="C103">
        <v>19</v>
      </c>
      <c r="D103" s="207">
        <v>171.81359863281301</v>
      </c>
      <c r="E103" s="208">
        <v>186.47930908203099</v>
      </c>
      <c r="F103" s="210">
        <v>171.04975891113301</v>
      </c>
      <c r="G103" s="209">
        <v>170.85737609863301</v>
      </c>
      <c r="H103" s="214">
        <v>170.73609924316401</v>
      </c>
      <c r="I103" s="194">
        <v>170.61444091796901</v>
      </c>
      <c r="J103" s="194">
        <v>170.578125</v>
      </c>
      <c r="K103" s="211">
        <v>0.59618186950683605</v>
      </c>
      <c r="L103" s="213">
        <v>248.09400939941401</v>
      </c>
      <c r="M103" s="214"/>
      <c r="R103">
        <v>100</v>
      </c>
      <c r="S103">
        <f t="shared" si="10"/>
        <v>73.742362976074205</v>
      </c>
      <c r="T103">
        <f t="shared" si="11"/>
        <v>121.254341125488</v>
      </c>
      <c r="U103">
        <f t="shared" si="12"/>
        <v>123.898231506348</v>
      </c>
      <c r="V103">
        <f t="shared" si="13"/>
        <v>85.199287414550795</v>
      </c>
      <c r="W103">
        <f t="shared" si="14"/>
        <v>118.738006591797</v>
      </c>
      <c r="X103">
        <f t="shared" si="15"/>
        <v>99.117050170898395</v>
      </c>
      <c r="Y103">
        <f t="shared" si="16"/>
        <v>100.019485473633</v>
      </c>
      <c r="Z103">
        <f t="shared" si="17"/>
        <v>21.957239151001001</v>
      </c>
      <c r="AA103">
        <f t="shared" si="18"/>
        <v>95.799629211425795</v>
      </c>
      <c r="AB103">
        <f t="shared" si="19"/>
        <v>0</v>
      </c>
    </row>
    <row r="104" spans="2:28" x14ac:dyDescent="0.25">
      <c r="B104" s="214">
        <v>150.73368835449199</v>
      </c>
      <c r="C104">
        <v>11</v>
      </c>
      <c r="D104" s="207">
        <v>151.17129516601599</v>
      </c>
      <c r="E104" s="208">
        <v>164.058670043945</v>
      </c>
      <c r="F104" s="210">
        <v>150.76432800293</v>
      </c>
      <c r="G104" s="209">
        <v>150.86546325683599</v>
      </c>
      <c r="H104" s="214">
        <v>150.32614135742199</v>
      </c>
      <c r="I104" s="194">
        <v>150.32189941406301</v>
      </c>
      <c r="J104" s="194">
        <v>150.34169006347699</v>
      </c>
      <c r="K104" s="211">
        <v>0.56794232130050704</v>
      </c>
      <c r="L104" s="213">
        <v>216.46817016601599</v>
      </c>
      <c r="M104" s="214"/>
      <c r="R104">
        <v>101</v>
      </c>
      <c r="S104">
        <f t="shared" si="10"/>
        <v>124.967323303223</v>
      </c>
      <c r="T104">
        <f t="shared" si="11"/>
        <v>122.86993408203099</v>
      </c>
      <c r="U104">
        <f t="shared" si="12"/>
        <v>87.2144775390625</v>
      </c>
      <c r="V104">
        <f t="shared" si="13"/>
        <v>130.541748046875</v>
      </c>
      <c r="W104">
        <f t="shared" si="14"/>
        <v>128.97302246093801</v>
      </c>
      <c r="X104">
        <f t="shared" si="15"/>
        <v>113.36383819580099</v>
      </c>
      <c r="Y104">
        <f t="shared" si="16"/>
        <v>114.27049255371099</v>
      </c>
      <c r="Z104">
        <f t="shared" si="17"/>
        <v>0.58935111761093095</v>
      </c>
      <c r="AA104">
        <f t="shared" si="18"/>
        <v>112.7109375</v>
      </c>
      <c r="AB104">
        <f t="shared" si="19"/>
        <v>0</v>
      </c>
    </row>
    <row r="105" spans="2:28" x14ac:dyDescent="0.25">
      <c r="B105" s="214">
        <v>164.00862121582</v>
      </c>
      <c r="C105">
        <v>7</v>
      </c>
      <c r="D105" s="207">
        <v>164.12272644043</v>
      </c>
      <c r="E105" s="208">
        <v>151.111251831055</v>
      </c>
      <c r="F105" s="210">
        <v>150.76634216308599</v>
      </c>
      <c r="G105" s="209">
        <v>150.86776733398401</v>
      </c>
      <c r="H105" s="214">
        <v>150.32829284668</v>
      </c>
      <c r="I105" s="194">
        <v>150.37445068359401</v>
      </c>
      <c r="J105" s="194">
        <v>150.37429809570301</v>
      </c>
      <c r="K105" s="211">
        <v>0.57420521974563599</v>
      </c>
      <c r="L105" s="213">
        <v>216.47090148925801</v>
      </c>
      <c r="M105" s="214"/>
      <c r="R105">
        <v>102</v>
      </c>
      <c r="S105">
        <f t="shared" si="10"/>
        <v>84.620849609375</v>
      </c>
      <c r="T105">
        <f t="shared" si="11"/>
        <v>126.643905639648</v>
      </c>
      <c r="U105">
        <f t="shared" si="12"/>
        <v>125.227752685547</v>
      </c>
      <c r="V105">
        <f t="shared" si="13"/>
        <v>87.886070251464801</v>
      </c>
      <c r="W105">
        <f t="shared" si="14"/>
        <v>130.62554931640599</v>
      </c>
      <c r="X105">
        <f t="shared" si="15"/>
        <v>107.844345092773</v>
      </c>
      <c r="Y105">
        <f t="shared" si="16"/>
        <v>108.60073852539099</v>
      </c>
      <c r="Z105">
        <f t="shared" si="17"/>
        <v>0.78846693038940396</v>
      </c>
      <c r="AA105">
        <f t="shared" si="18"/>
        <v>105.919639587402</v>
      </c>
      <c r="AB105">
        <f t="shared" si="19"/>
        <v>0</v>
      </c>
    </row>
    <row r="106" spans="2:28" x14ac:dyDescent="0.25">
      <c r="R106">
        <v>103</v>
      </c>
      <c r="S106" t="e">
        <f t="shared" si="10"/>
        <v>#N/A</v>
      </c>
      <c r="T106" t="e">
        <f t="shared" si="11"/>
        <v>#N/A</v>
      </c>
      <c r="U106" t="e">
        <f t="shared" si="12"/>
        <v>#N/A</v>
      </c>
      <c r="V106" t="e">
        <f t="shared" si="13"/>
        <v>#N/A</v>
      </c>
      <c r="W106" t="e">
        <f t="shared" si="14"/>
        <v>#N/A</v>
      </c>
      <c r="X106" t="e">
        <f t="shared" si="15"/>
        <v>#N/A</v>
      </c>
      <c r="Y106" t="e">
        <f t="shared" si="16"/>
        <v>#N/A</v>
      </c>
      <c r="Z106" t="e">
        <f t="shared" si="17"/>
        <v>#N/A</v>
      </c>
      <c r="AA106" t="e">
        <f t="shared" si="18"/>
        <v>#N/A</v>
      </c>
      <c r="AB106" t="e">
        <f t="shared" si="19"/>
        <v>#N/A</v>
      </c>
    </row>
    <row r="107" spans="2:28" x14ac:dyDescent="0.25">
      <c r="R107">
        <v>104</v>
      </c>
      <c r="S107" t="e">
        <f t="shared" si="10"/>
        <v>#N/A</v>
      </c>
      <c r="T107" t="e">
        <f t="shared" si="11"/>
        <v>#N/A</v>
      </c>
      <c r="U107" t="e">
        <f t="shared" si="12"/>
        <v>#N/A</v>
      </c>
      <c r="V107" t="e">
        <f t="shared" si="13"/>
        <v>#N/A</v>
      </c>
      <c r="W107" t="e">
        <f t="shared" si="14"/>
        <v>#N/A</v>
      </c>
      <c r="X107" t="e">
        <f t="shared" si="15"/>
        <v>#N/A</v>
      </c>
      <c r="Y107" t="e">
        <f t="shared" si="16"/>
        <v>#N/A</v>
      </c>
      <c r="Z107" t="e">
        <f t="shared" si="17"/>
        <v>#N/A</v>
      </c>
      <c r="AA107" t="e">
        <f t="shared" si="18"/>
        <v>#N/A</v>
      </c>
      <c r="AB107" t="e">
        <f t="shared" si="19"/>
        <v>#N/A</v>
      </c>
    </row>
    <row r="108" spans="2:28" x14ac:dyDescent="0.25">
      <c r="R108">
        <v>105</v>
      </c>
      <c r="S108" t="e">
        <f t="shared" si="10"/>
        <v>#N/A</v>
      </c>
      <c r="T108" t="e">
        <f t="shared" si="11"/>
        <v>#N/A</v>
      </c>
      <c r="U108" t="e">
        <f t="shared" si="12"/>
        <v>#N/A</v>
      </c>
      <c r="V108" t="e">
        <f t="shared" si="13"/>
        <v>#N/A</v>
      </c>
      <c r="W108" t="e">
        <f t="shared" si="14"/>
        <v>#N/A</v>
      </c>
      <c r="X108" t="e">
        <f t="shared" si="15"/>
        <v>#N/A</v>
      </c>
      <c r="Y108" t="e">
        <f t="shared" si="16"/>
        <v>#N/A</v>
      </c>
      <c r="Z108" t="e">
        <f t="shared" si="17"/>
        <v>#N/A</v>
      </c>
      <c r="AA108" t="e">
        <f t="shared" si="18"/>
        <v>#N/A</v>
      </c>
      <c r="AB108" t="e">
        <f t="shared" si="19"/>
        <v>#N/A</v>
      </c>
    </row>
    <row r="109" spans="2:28" x14ac:dyDescent="0.25">
      <c r="R109">
        <v>106</v>
      </c>
      <c r="S109" t="e">
        <f t="shared" si="10"/>
        <v>#N/A</v>
      </c>
      <c r="T109" t="e">
        <f t="shared" si="11"/>
        <v>#N/A</v>
      </c>
      <c r="U109" t="e">
        <f t="shared" si="12"/>
        <v>#N/A</v>
      </c>
      <c r="V109" t="e">
        <f t="shared" si="13"/>
        <v>#N/A</v>
      </c>
      <c r="W109" t="e">
        <f t="shared" si="14"/>
        <v>#N/A</v>
      </c>
      <c r="X109" t="e">
        <f t="shared" si="15"/>
        <v>#N/A</v>
      </c>
      <c r="Y109" t="e">
        <f t="shared" si="16"/>
        <v>#N/A</v>
      </c>
      <c r="Z109" t="e">
        <f t="shared" si="17"/>
        <v>#N/A</v>
      </c>
      <c r="AA109" t="e">
        <f t="shared" si="18"/>
        <v>#N/A</v>
      </c>
      <c r="AB109" t="e">
        <f t="shared" si="19"/>
        <v>#N/A</v>
      </c>
    </row>
    <row r="110" spans="2:28" x14ac:dyDescent="0.25">
      <c r="R110">
        <v>107</v>
      </c>
      <c r="S110" t="e">
        <f t="shared" si="10"/>
        <v>#N/A</v>
      </c>
      <c r="T110" t="e">
        <f t="shared" si="11"/>
        <v>#N/A</v>
      </c>
      <c r="U110" t="e">
        <f t="shared" si="12"/>
        <v>#N/A</v>
      </c>
      <c r="V110" t="e">
        <f t="shared" si="13"/>
        <v>#N/A</v>
      </c>
      <c r="W110" t="e">
        <f t="shared" si="14"/>
        <v>#N/A</v>
      </c>
      <c r="X110" t="e">
        <f t="shared" si="15"/>
        <v>#N/A</v>
      </c>
      <c r="Y110" t="e">
        <f t="shared" si="16"/>
        <v>#N/A</v>
      </c>
      <c r="Z110" t="e">
        <f t="shared" si="17"/>
        <v>#N/A</v>
      </c>
      <c r="AA110" t="e">
        <f t="shared" si="18"/>
        <v>#N/A</v>
      </c>
      <c r="AB110" t="e">
        <f t="shared" si="19"/>
        <v>#N/A</v>
      </c>
    </row>
    <row r="111" spans="2:28" x14ac:dyDescent="0.25">
      <c r="R111">
        <v>108</v>
      </c>
      <c r="S111" t="e">
        <f t="shared" si="10"/>
        <v>#N/A</v>
      </c>
      <c r="T111" t="e">
        <f t="shared" si="11"/>
        <v>#N/A</v>
      </c>
      <c r="U111" t="e">
        <f t="shared" si="12"/>
        <v>#N/A</v>
      </c>
      <c r="V111" t="e">
        <f t="shared" si="13"/>
        <v>#N/A</v>
      </c>
      <c r="W111" t="e">
        <f t="shared" si="14"/>
        <v>#N/A</v>
      </c>
      <c r="X111" t="e">
        <f t="shared" si="15"/>
        <v>#N/A</v>
      </c>
      <c r="Y111" t="e">
        <f t="shared" si="16"/>
        <v>#N/A</v>
      </c>
      <c r="Z111" t="e">
        <f t="shared" si="17"/>
        <v>#N/A</v>
      </c>
      <c r="AA111" t="e">
        <f t="shared" si="18"/>
        <v>#N/A</v>
      </c>
      <c r="AB111" t="e">
        <f t="shared" si="19"/>
        <v>#N/A</v>
      </c>
    </row>
    <row r="112" spans="2:28" x14ac:dyDescent="0.25">
      <c r="R112">
        <v>109</v>
      </c>
      <c r="S112" t="e">
        <f t="shared" si="10"/>
        <v>#N/A</v>
      </c>
      <c r="T112" t="e">
        <f t="shared" si="11"/>
        <v>#N/A</v>
      </c>
      <c r="U112" t="e">
        <f t="shared" si="12"/>
        <v>#N/A</v>
      </c>
      <c r="V112" t="e">
        <f t="shared" si="13"/>
        <v>#N/A</v>
      </c>
      <c r="W112" t="e">
        <f t="shared" si="14"/>
        <v>#N/A</v>
      </c>
      <c r="X112" t="e">
        <f t="shared" si="15"/>
        <v>#N/A</v>
      </c>
      <c r="Y112" t="e">
        <f t="shared" si="16"/>
        <v>#N/A</v>
      </c>
      <c r="Z112" t="e">
        <f t="shared" si="17"/>
        <v>#N/A</v>
      </c>
      <c r="AA112" t="e">
        <f t="shared" si="18"/>
        <v>#N/A</v>
      </c>
      <c r="AB112" t="e">
        <f t="shared" si="19"/>
        <v>#N/A</v>
      </c>
    </row>
    <row r="113" spans="18:28" x14ac:dyDescent="0.25">
      <c r="R113">
        <v>110</v>
      </c>
      <c r="S113" t="e">
        <f t="shared" si="10"/>
        <v>#N/A</v>
      </c>
      <c r="T113" t="e">
        <f t="shared" si="11"/>
        <v>#N/A</v>
      </c>
      <c r="U113" t="e">
        <f t="shared" si="12"/>
        <v>#N/A</v>
      </c>
      <c r="V113" t="e">
        <f t="shared" si="13"/>
        <v>#N/A</v>
      </c>
      <c r="W113" t="e">
        <f t="shared" si="14"/>
        <v>#N/A</v>
      </c>
      <c r="X113" t="e">
        <f t="shared" si="15"/>
        <v>#N/A</v>
      </c>
      <c r="Y113" t="e">
        <f t="shared" si="16"/>
        <v>#N/A</v>
      </c>
      <c r="Z113" t="e">
        <f t="shared" si="17"/>
        <v>#N/A</v>
      </c>
      <c r="AA113" t="e">
        <f t="shared" si="18"/>
        <v>#N/A</v>
      </c>
      <c r="AB113" t="e">
        <f t="shared" si="19"/>
        <v>#N/A</v>
      </c>
    </row>
    <row r="114" spans="18:28" x14ac:dyDescent="0.25">
      <c r="R114">
        <v>111</v>
      </c>
      <c r="S114" t="e">
        <f t="shared" si="10"/>
        <v>#N/A</v>
      </c>
      <c r="T114" t="e">
        <f t="shared" si="11"/>
        <v>#N/A</v>
      </c>
      <c r="U114" t="e">
        <f t="shared" si="12"/>
        <v>#N/A</v>
      </c>
      <c r="V114" t="e">
        <f t="shared" si="13"/>
        <v>#N/A</v>
      </c>
      <c r="W114" t="e">
        <f t="shared" si="14"/>
        <v>#N/A</v>
      </c>
      <c r="X114" t="e">
        <f t="shared" si="15"/>
        <v>#N/A</v>
      </c>
      <c r="Y114" t="e">
        <f t="shared" si="16"/>
        <v>#N/A</v>
      </c>
      <c r="Z114" t="e">
        <f t="shared" si="17"/>
        <v>#N/A</v>
      </c>
      <c r="AA114" t="e">
        <f t="shared" si="18"/>
        <v>#N/A</v>
      </c>
      <c r="AB114" t="e">
        <f t="shared" si="19"/>
        <v>#N/A</v>
      </c>
    </row>
    <row r="115" spans="18:28" x14ac:dyDescent="0.25">
      <c r="R115">
        <v>112</v>
      </c>
      <c r="S115" t="e">
        <f t="shared" si="10"/>
        <v>#N/A</v>
      </c>
      <c r="T115" t="e">
        <f t="shared" si="11"/>
        <v>#N/A</v>
      </c>
      <c r="U115" t="e">
        <f t="shared" si="12"/>
        <v>#N/A</v>
      </c>
      <c r="V115" t="e">
        <f t="shared" si="13"/>
        <v>#N/A</v>
      </c>
      <c r="W115" t="e">
        <f t="shared" si="14"/>
        <v>#N/A</v>
      </c>
      <c r="X115" t="e">
        <f t="shared" si="15"/>
        <v>#N/A</v>
      </c>
      <c r="Y115" t="e">
        <f t="shared" si="16"/>
        <v>#N/A</v>
      </c>
      <c r="Z115" t="e">
        <f t="shared" si="17"/>
        <v>#N/A</v>
      </c>
      <c r="AA115" t="e">
        <f t="shared" si="18"/>
        <v>#N/A</v>
      </c>
      <c r="AB115" t="e">
        <f t="shared" si="19"/>
        <v>#N/A</v>
      </c>
    </row>
    <row r="116" spans="18:28" x14ac:dyDescent="0.25">
      <c r="R116">
        <v>113</v>
      </c>
      <c r="S116" t="e">
        <f t="shared" si="10"/>
        <v>#N/A</v>
      </c>
      <c r="T116" t="e">
        <f t="shared" si="11"/>
        <v>#N/A</v>
      </c>
      <c r="U116" t="e">
        <f t="shared" si="12"/>
        <v>#N/A</v>
      </c>
      <c r="V116" t="e">
        <f t="shared" si="13"/>
        <v>#N/A</v>
      </c>
      <c r="W116" t="e">
        <f t="shared" si="14"/>
        <v>#N/A</v>
      </c>
      <c r="X116" t="e">
        <f t="shared" si="15"/>
        <v>#N/A</v>
      </c>
      <c r="Y116" t="e">
        <f t="shared" si="16"/>
        <v>#N/A</v>
      </c>
      <c r="Z116" t="e">
        <f t="shared" si="17"/>
        <v>#N/A</v>
      </c>
      <c r="AA116" t="e">
        <f t="shared" si="18"/>
        <v>#N/A</v>
      </c>
      <c r="AB116" t="e">
        <f t="shared" si="19"/>
        <v>#N/A</v>
      </c>
    </row>
    <row r="117" spans="18:28" x14ac:dyDescent="0.25">
      <c r="R117">
        <v>114</v>
      </c>
      <c r="S117" t="e">
        <f t="shared" si="10"/>
        <v>#N/A</v>
      </c>
      <c r="T117" t="e">
        <f t="shared" si="11"/>
        <v>#N/A</v>
      </c>
      <c r="U117" t="e">
        <f t="shared" si="12"/>
        <v>#N/A</v>
      </c>
      <c r="V117" t="e">
        <f t="shared" si="13"/>
        <v>#N/A</v>
      </c>
      <c r="W117" t="e">
        <f t="shared" si="14"/>
        <v>#N/A</v>
      </c>
      <c r="X117" t="e">
        <f t="shared" si="15"/>
        <v>#N/A</v>
      </c>
      <c r="Y117" t="e">
        <f t="shared" si="16"/>
        <v>#N/A</v>
      </c>
      <c r="Z117" t="e">
        <f t="shared" si="17"/>
        <v>#N/A</v>
      </c>
      <c r="AA117" t="e">
        <f t="shared" si="18"/>
        <v>#N/A</v>
      </c>
      <c r="AB117" t="e">
        <f t="shared" si="19"/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79"/>
  <sheetViews>
    <sheetView topLeftCell="A40" workbookViewId="0">
      <selection activeCell="W30" sqref="W30"/>
    </sheetView>
  </sheetViews>
  <sheetFormatPr defaultRowHeight="15" x14ac:dyDescent="0.25"/>
  <sheetData>
    <row r="3" spans="3:20" x14ac:dyDescent="0.25">
      <c r="D3" t="s">
        <v>369</v>
      </c>
      <c r="E3" t="s">
        <v>370</v>
      </c>
      <c r="F3" t="s">
        <v>371</v>
      </c>
      <c r="G3" t="s">
        <v>372</v>
      </c>
      <c r="H3" t="s">
        <v>373</v>
      </c>
      <c r="O3" s="216" t="s">
        <v>369</v>
      </c>
      <c r="P3" s="216" t="s">
        <v>370</v>
      </c>
      <c r="Q3" s="216" t="s">
        <v>371</v>
      </c>
      <c r="R3" s="216" t="s">
        <v>372</v>
      </c>
      <c r="S3" s="216" t="s">
        <v>373</v>
      </c>
      <c r="T3" t="s">
        <v>374</v>
      </c>
    </row>
    <row r="4" spans="3:20" x14ac:dyDescent="0.25">
      <c r="C4">
        <v>75</v>
      </c>
      <c r="D4" s="220">
        <v>12.4099588394165</v>
      </c>
      <c r="E4" s="221">
        <v>14.337476730346699</v>
      </c>
      <c r="F4" s="223">
        <v>169.25299072265599</v>
      </c>
      <c r="G4" s="222">
        <v>77.633949279785199</v>
      </c>
      <c r="H4" s="214">
        <v>7.3519754409790004</v>
      </c>
      <c r="N4" s="215">
        <v>1</v>
      </c>
      <c r="O4" s="218">
        <f>VLOOKUP(N4,$C$4:$H$200,2,0)</f>
        <v>17.743314743041999</v>
      </c>
      <c r="P4" s="218">
        <f>VLOOKUP(N4,$C$4:$H$200,3,0)</f>
        <v>22.978925704956101</v>
      </c>
      <c r="Q4" s="218">
        <f>VLOOKUP(N4,$C$4:$H$200,4,0)</f>
        <v>4.31369876861572</v>
      </c>
      <c r="R4" s="218">
        <f>VLOOKUP(N4,$C$4:$H$200,5,0)</f>
        <v>2.8393795490264901</v>
      </c>
      <c r="S4" s="218">
        <f>VLOOKUP(N4,$C$4:$H$200,6,0)</f>
        <v>18.085016250610401</v>
      </c>
      <c r="T4" s="215">
        <v>2.25</v>
      </c>
    </row>
    <row r="5" spans="3:20" x14ac:dyDescent="0.25">
      <c r="C5">
        <v>76</v>
      </c>
      <c r="D5" s="220">
        <v>12.7564744949341</v>
      </c>
      <c r="E5" s="221">
        <v>16.272089004516602</v>
      </c>
      <c r="F5" s="223">
        <v>211.341232299805</v>
      </c>
      <c r="G5" s="222">
        <v>38.333221435546903</v>
      </c>
      <c r="H5" s="214">
        <v>7.8293099403381303</v>
      </c>
      <c r="N5" s="215">
        <v>2</v>
      </c>
      <c r="O5" s="218">
        <f t="shared" ref="O5:O68" si="0">VLOOKUP(N5,$C$4:$H$200,2,0)</f>
        <v>7.7615437507629403</v>
      </c>
      <c r="P5" s="218">
        <f t="shared" ref="P5:P68" si="1">VLOOKUP(N5,$C$4:$H$200,3,0)</f>
        <v>7.4518151283264196</v>
      </c>
      <c r="Q5" s="218">
        <f t="shared" ref="Q5:Q68" si="2">VLOOKUP(N5,$C$4:$H$200,4,0)</f>
        <v>1.4130102396011399</v>
      </c>
      <c r="R5" s="218">
        <f t="shared" ref="R5:R68" si="3">VLOOKUP(N5,$C$4:$H$200,5,0)</f>
        <v>0.97731918096542403</v>
      </c>
      <c r="S5" s="218">
        <f t="shared" ref="S5:S68" si="4">VLOOKUP(N5,$C$4:$H$200,6,0)</f>
        <v>8.0621519088745099</v>
      </c>
      <c r="T5" s="215">
        <v>2.25</v>
      </c>
    </row>
    <row r="6" spans="3:20" x14ac:dyDescent="0.25">
      <c r="C6">
        <v>73</v>
      </c>
      <c r="D6" s="220">
        <v>54.807811737060497</v>
      </c>
      <c r="E6" s="221">
        <v>27.2464694976807</v>
      </c>
      <c r="F6" s="223">
        <v>222.55822753906301</v>
      </c>
      <c r="G6" s="222">
        <v>174.99916076660199</v>
      </c>
      <c r="H6" s="214">
        <v>5.0017890930175799</v>
      </c>
      <c r="N6" s="215">
        <v>3</v>
      </c>
      <c r="O6" s="218">
        <f t="shared" si="0"/>
        <v>17.615329742431602</v>
      </c>
      <c r="P6" s="218">
        <f t="shared" si="1"/>
        <v>22.984989166259801</v>
      </c>
      <c r="Q6" s="218">
        <f t="shared" si="2"/>
        <v>4.2947559356689498</v>
      </c>
      <c r="R6" s="218">
        <f t="shared" si="3"/>
        <v>2.8347482681274401</v>
      </c>
      <c r="S6" s="218">
        <f t="shared" si="4"/>
        <v>18.0884914398193</v>
      </c>
      <c r="T6" s="215">
        <v>2.25</v>
      </c>
    </row>
    <row r="7" spans="3:20" x14ac:dyDescent="0.25">
      <c r="C7">
        <v>74</v>
      </c>
      <c r="D7" s="220">
        <v>49.108440399169901</v>
      </c>
      <c r="E7" s="221">
        <v>29.579759597778299</v>
      </c>
      <c r="F7" s="223">
        <v>226.56715393066401</v>
      </c>
      <c r="G7" s="222">
        <v>198.78326416015599</v>
      </c>
      <c r="H7" s="214">
        <v>5.8072867393493697</v>
      </c>
      <c r="N7" s="215">
        <v>4</v>
      </c>
      <c r="O7" s="218">
        <f t="shared" si="0"/>
        <v>7.1242508888244602</v>
      </c>
      <c r="P7" s="218">
        <f t="shared" si="1"/>
        <v>8.5133934020996094</v>
      </c>
      <c r="Q7" s="218">
        <f t="shared" si="2"/>
        <v>1.4114453792571999</v>
      </c>
      <c r="R7" s="218">
        <f t="shared" si="3"/>
        <v>0.98581320047378496</v>
      </c>
      <c r="S7" s="218">
        <f t="shared" si="4"/>
        <v>8.0581130981445295</v>
      </c>
      <c r="T7" s="215">
        <v>2.25</v>
      </c>
    </row>
    <row r="8" spans="3:20" x14ac:dyDescent="0.25">
      <c r="C8">
        <v>72</v>
      </c>
      <c r="D8" s="220">
        <v>158.31523132324199</v>
      </c>
      <c r="E8" s="221">
        <v>260.54153442382801</v>
      </c>
      <c r="F8" s="223">
        <v>226.054275512695</v>
      </c>
      <c r="G8" s="222">
        <v>178.40879821777301</v>
      </c>
      <c r="H8" s="214">
        <v>5.4144043922424299</v>
      </c>
      <c r="N8" s="217">
        <v>5</v>
      </c>
      <c r="O8" s="219">
        <f t="shared" si="0"/>
        <v>5.0607447624206499</v>
      </c>
      <c r="P8" s="219">
        <f t="shared" si="1"/>
        <v>4.0852904319763201</v>
      </c>
      <c r="Q8" s="219">
        <f t="shared" si="2"/>
        <v>0.43682458996772799</v>
      </c>
      <c r="R8" s="219">
        <f t="shared" si="3"/>
        <v>0.599797904491425</v>
      </c>
      <c r="S8" s="219">
        <f t="shared" si="4"/>
        <v>7.1407313346862802</v>
      </c>
      <c r="T8" s="217">
        <v>2.25</v>
      </c>
    </row>
    <row r="9" spans="3:20" x14ac:dyDescent="0.25">
      <c r="C9">
        <v>71</v>
      </c>
      <c r="D9" s="220">
        <v>170.16731262207</v>
      </c>
      <c r="E9" s="221">
        <v>270.87710571289102</v>
      </c>
      <c r="F9" s="223">
        <v>239.10455322265599</v>
      </c>
      <c r="G9" s="222">
        <v>168.38301086425801</v>
      </c>
      <c r="H9" s="214">
        <v>6.7885084152221697</v>
      </c>
      <c r="N9" s="217">
        <v>6</v>
      </c>
      <c r="O9" s="219">
        <f t="shared" si="0"/>
        <v>7.5580167770385698</v>
      </c>
      <c r="P9" s="219">
        <f t="shared" si="1"/>
        <v>5.8482346534729004</v>
      </c>
      <c r="Q9" s="219">
        <f t="shared" si="2"/>
        <v>1.1966736316680899</v>
      </c>
      <c r="R9" s="219">
        <f t="shared" si="3"/>
        <v>0.83541488647460904</v>
      </c>
      <c r="S9" s="219">
        <f t="shared" si="4"/>
        <v>10.2634286880493</v>
      </c>
      <c r="T9" s="217">
        <v>2.25</v>
      </c>
    </row>
    <row r="10" spans="3:20" x14ac:dyDescent="0.25">
      <c r="C10">
        <v>70</v>
      </c>
      <c r="D10" s="220">
        <v>20.8338947296143</v>
      </c>
      <c r="E10" s="221">
        <v>247.24441528320301</v>
      </c>
      <c r="F10" s="223">
        <v>180.66632080078099</v>
      </c>
      <c r="G10" s="222">
        <v>33.716766357421903</v>
      </c>
      <c r="H10" s="214">
        <v>7.2878699302673304</v>
      </c>
      <c r="N10" s="217">
        <v>7</v>
      </c>
      <c r="O10" s="219">
        <f t="shared" si="0"/>
        <v>14.2481536865234</v>
      </c>
      <c r="P10" s="219">
        <f t="shared" si="1"/>
        <v>9.7028074264526403</v>
      </c>
      <c r="Q10" s="219">
        <f t="shared" si="2"/>
        <v>2.0076823234558101</v>
      </c>
      <c r="R10" s="219">
        <f t="shared" si="3"/>
        <v>1.20814073085785</v>
      </c>
      <c r="S10" s="219">
        <f t="shared" si="4"/>
        <v>10.2490940093994</v>
      </c>
      <c r="T10" s="217">
        <v>2.25</v>
      </c>
    </row>
    <row r="11" spans="3:20" x14ac:dyDescent="0.25">
      <c r="C11">
        <v>69</v>
      </c>
      <c r="D11" s="220">
        <v>19.696485519409201</v>
      </c>
      <c r="E11" s="221">
        <v>249.52113342285199</v>
      </c>
      <c r="F11" s="223">
        <v>215.882080078125</v>
      </c>
      <c r="G11" s="222">
        <v>39.551460266113303</v>
      </c>
      <c r="H11" s="214">
        <v>7.37660455703735</v>
      </c>
      <c r="N11" s="217">
        <v>8</v>
      </c>
      <c r="O11" s="219">
        <f t="shared" si="0"/>
        <v>17.204389572143601</v>
      </c>
      <c r="P11" s="219">
        <f t="shared" si="1"/>
        <v>14.230134010314901</v>
      </c>
      <c r="Q11" s="219">
        <f t="shared" si="2"/>
        <v>2.0372178554534899</v>
      </c>
      <c r="R11" s="219">
        <f t="shared" si="3"/>
        <v>1.25427877902985</v>
      </c>
      <c r="S11" s="219">
        <f t="shared" si="4"/>
        <v>9.8381919860839808</v>
      </c>
      <c r="T11" s="217">
        <v>2.25</v>
      </c>
    </row>
    <row r="12" spans="3:20" x14ac:dyDescent="0.25">
      <c r="C12">
        <v>58</v>
      </c>
      <c r="D12" s="220">
        <v>19.739627838134801</v>
      </c>
      <c r="E12" s="221">
        <v>18.986371994018601</v>
      </c>
      <c r="F12" s="223">
        <v>27.268569946289102</v>
      </c>
      <c r="G12" s="222">
        <v>128.75389099121099</v>
      </c>
      <c r="H12" s="214">
        <v>11.1260318756104</v>
      </c>
      <c r="N12" s="217">
        <v>9</v>
      </c>
      <c r="O12" s="219">
        <f t="shared" si="0"/>
        <v>12.4839878082275</v>
      </c>
      <c r="P12" s="219">
        <f t="shared" si="1"/>
        <v>11.353986740112299</v>
      </c>
      <c r="Q12" s="219">
        <f t="shared" si="2"/>
        <v>2.0114715099334699</v>
      </c>
      <c r="R12" s="219">
        <f t="shared" si="3"/>
        <v>1.33119356632233</v>
      </c>
      <c r="S12" s="219">
        <f t="shared" si="4"/>
        <v>10.2629146575928</v>
      </c>
      <c r="T12" s="217">
        <v>2.25</v>
      </c>
    </row>
    <row r="13" spans="3:20" x14ac:dyDescent="0.25">
      <c r="C13">
        <v>59</v>
      </c>
      <c r="D13" s="220">
        <v>20.900680541992202</v>
      </c>
      <c r="E13" s="221">
        <v>26.4549350738525</v>
      </c>
      <c r="F13" s="223">
        <v>47.6904106140137</v>
      </c>
      <c r="G13" s="222">
        <v>164.54315185546901</v>
      </c>
      <c r="H13" s="214">
        <v>9.9436454772949201</v>
      </c>
      <c r="N13" s="217">
        <v>10</v>
      </c>
      <c r="O13" s="219">
        <f t="shared" si="0"/>
        <v>6.3467907905578604</v>
      </c>
      <c r="P13" s="219">
        <f t="shared" si="1"/>
        <v>6.3476548194885298</v>
      </c>
      <c r="Q13" s="219">
        <f t="shared" si="2"/>
        <v>0.95986348390579201</v>
      </c>
      <c r="R13" s="219">
        <f t="shared" si="3"/>
        <v>0.69557082653045699</v>
      </c>
      <c r="S13" s="219">
        <f t="shared" si="4"/>
        <v>10.2501831054688</v>
      </c>
      <c r="T13" s="217">
        <v>2.25</v>
      </c>
    </row>
    <row r="14" spans="3:20" x14ac:dyDescent="0.25">
      <c r="C14">
        <v>60</v>
      </c>
      <c r="D14" s="220">
        <v>19.451980590820298</v>
      </c>
      <c r="E14" s="221">
        <v>19.900505065918001</v>
      </c>
      <c r="F14" s="223">
        <v>35.045627593994098</v>
      </c>
      <c r="G14" s="222">
        <v>108.403755187988</v>
      </c>
      <c r="H14" s="214">
        <v>11.2366580963135</v>
      </c>
      <c r="N14" s="217">
        <v>11</v>
      </c>
      <c r="O14" s="219">
        <f t="shared" si="0"/>
        <v>4.3808240890502903</v>
      </c>
      <c r="P14" s="219">
        <f t="shared" si="1"/>
        <v>4.6686992645263699</v>
      </c>
      <c r="Q14" s="219">
        <f t="shared" si="2"/>
        <v>0.42540341615676902</v>
      </c>
      <c r="R14" s="219">
        <f t="shared" si="3"/>
        <v>0.40325465798378002</v>
      </c>
      <c r="S14" s="219">
        <f t="shared" si="4"/>
        <v>7.3465633392334002</v>
      </c>
      <c r="T14" s="217">
        <v>2.25</v>
      </c>
    </row>
    <row r="15" spans="3:20" x14ac:dyDescent="0.25">
      <c r="C15">
        <v>62</v>
      </c>
      <c r="D15" s="220">
        <v>12.166705131530801</v>
      </c>
      <c r="E15" s="221">
        <v>15.9188947677612</v>
      </c>
      <c r="F15" s="223">
        <v>53.868171691894503</v>
      </c>
      <c r="G15" s="222">
        <v>47.664718627929702</v>
      </c>
      <c r="H15" s="214">
        <v>10.419919967651399</v>
      </c>
      <c r="N15" s="215">
        <v>12</v>
      </c>
      <c r="O15" s="218">
        <f t="shared" si="0"/>
        <v>13.4377737045288</v>
      </c>
      <c r="P15" s="218">
        <f t="shared" si="1"/>
        <v>0.30441072583198497</v>
      </c>
      <c r="Q15" s="218">
        <f t="shared" si="2"/>
        <v>0.169110283255577</v>
      </c>
      <c r="R15" s="218">
        <f t="shared" si="3"/>
        <v>0.14744676649570501</v>
      </c>
      <c r="S15" s="218">
        <f t="shared" si="4"/>
        <v>2.03451347351074</v>
      </c>
      <c r="T15" s="215">
        <v>1.78</v>
      </c>
    </row>
    <row r="16" spans="3:20" x14ac:dyDescent="0.25">
      <c r="C16">
        <v>53</v>
      </c>
      <c r="D16" s="220">
        <v>25.728351593017599</v>
      </c>
      <c r="E16" s="221">
        <v>65.434585571289105</v>
      </c>
      <c r="F16" s="223">
        <v>54.459201812744098</v>
      </c>
      <c r="G16" s="222">
        <v>34.920749664306598</v>
      </c>
      <c r="H16" s="214">
        <v>10.650810241699199</v>
      </c>
      <c r="N16" s="215">
        <v>13</v>
      </c>
      <c r="O16" s="218">
        <f t="shared" si="0"/>
        <v>18.847410202026399</v>
      </c>
      <c r="P16" s="218">
        <f t="shared" si="1"/>
        <v>2.06495881080627</v>
      </c>
      <c r="Q16" s="218">
        <f t="shared" si="2"/>
        <v>3.39252710342407</v>
      </c>
      <c r="R16" s="218">
        <f t="shared" si="3"/>
        <v>0.98581111431121804</v>
      </c>
      <c r="S16" s="218">
        <f t="shared" si="4"/>
        <v>10.522661209106399</v>
      </c>
      <c r="T16" s="215">
        <v>1.78</v>
      </c>
    </row>
    <row r="17" spans="3:20" x14ac:dyDescent="0.25">
      <c r="C17">
        <v>55</v>
      </c>
      <c r="D17" s="220">
        <v>99.679672241210895</v>
      </c>
      <c r="E17" s="221">
        <v>41.643302917480497</v>
      </c>
      <c r="F17" s="223">
        <v>20.505311965942401</v>
      </c>
      <c r="G17" s="222">
        <v>95.596572875976605</v>
      </c>
      <c r="H17" s="214">
        <v>11.2217140197754</v>
      </c>
      <c r="N17" s="215">
        <v>14</v>
      </c>
      <c r="O17" s="218">
        <f t="shared" si="0"/>
        <v>12.0100393295288</v>
      </c>
      <c r="P17" s="218">
        <f t="shared" si="1"/>
        <v>3.6069273948669398</v>
      </c>
      <c r="Q17" s="218">
        <f t="shared" si="2"/>
        <v>3.69145679473877</v>
      </c>
      <c r="R17" s="218">
        <f t="shared" si="3"/>
        <v>3.0494923591613801</v>
      </c>
      <c r="S17" s="218">
        <f t="shared" si="4"/>
        <v>7.1374340057373002</v>
      </c>
      <c r="T17" s="215">
        <v>1.78</v>
      </c>
    </row>
    <row r="18" spans="3:20" x14ac:dyDescent="0.25">
      <c r="C18">
        <v>56</v>
      </c>
      <c r="D18" s="220">
        <v>163.19346618652301</v>
      </c>
      <c r="E18" s="221">
        <v>73.686271667480497</v>
      </c>
      <c r="F18" s="223">
        <v>47.739158630371101</v>
      </c>
      <c r="G18" s="222">
        <v>187.73860168457</v>
      </c>
      <c r="H18" s="214">
        <v>9.7659416198730504</v>
      </c>
      <c r="N18" s="215">
        <v>15</v>
      </c>
      <c r="O18" s="218">
        <f t="shared" si="0"/>
        <v>19.1433296203613</v>
      </c>
      <c r="P18" s="218">
        <f t="shared" si="1"/>
        <v>2.0512111186981201</v>
      </c>
      <c r="Q18" s="218">
        <f t="shared" si="2"/>
        <v>3.4543881416320801</v>
      </c>
      <c r="R18" s="218">
        <f t="shared" si="3"/>
        <v>3.8243980407714799</v>
      </c>
      <c r="S18" s="218">
        <f t="shared" si="4"/>
        <v>10.5574598312378</v>
      </c>
      <c r="T18" s="215">
        <v>1.78</v>
      </c>
    </row>
    <row r="19" spans="3:20" x14ac:dyDescent="0.25">
      <c r="C19">
        <v>57</v>
      </c>
      <c r="D19" s="220">
        <v>100.78488922119099</v>
      </c>
      <c r="E19" s="221">
        <v>42.455978393554702</v>
      </c>
      <c r="F19" s="223">
        <v>26.7937107086182</v>
      </c>
      <c r="G19" s="222">
        <v>122.81697845459</v>
      </c>
      <c r="H19" s="214">
        <v>11.224449157714799</v>
      </c>
      <c r="N19" s="215">
        <v>16</v>
      </c>
      <c r="O19" s="218">
        <f t="shared" si="0"/>
        <v>0.47603842616081199</v>
      </c>
      <c r="P19" s="218">
        <f t="shared" si="1"/>
        <v>13.309582710266101</v>
      </c>
      <c r="Q19" s="218">
        <f t="shared" si="2"/>
        <v>0.16937303543090801</v>
      </c>
      <c r="R19" s="218">
        <f t="shared" si="3"/>
        <v>0.147185504436493</v>
      </c>
      <c r="S19" s="218">
        <f t="shared" si="4"/>
        <v>2.03439569473267</v>
      </c>
      <c r="T19" s="215">
        <v>1.78</v>
      </c>
    </row>
    <row r="20" spans="3:20" x14ac:dyDescent="0.25">
      <c r="C20">
        <v>68</v>
      </c>
      <c r="D20" s="220">
        <v>24.271678924560501</v>
      </c>
      <c r="E20" s="221">
        <v>46.772621154785199</v>
      </c>
      <c r="F20" s="223">
        <v>64.248443603515597</v>
      </c>
      <c r="G20" s="222">
        <v>66.529304504394503</v>
      </c>
      <c r="H20" s="214">
        <v>3.2962887287139901</v>
      </c>
      <c r="N20" s="215">
        <v>17</v>
      </c>
      <c r="O20" s="218">
        <f t="shared" si="0"/>
        <v>3.0646917819976802</v>
      </c>
      <c r="P20" s="218">
        <f t="shared" si="1"/>
        <v>17.9046325683594</v>
      </c>
      <c r="Q20" s="218">
        <f t="shared" si="2"/>
        <v>3.43031907081604</v>
      </c>
      <c r="R20" s="218">
        <f t="shared" si="3"/>
        <v>1.0194908380508401</v>
      </c>
      <c r="S20" s="218">
        <f t="shared" si="4"/>
        <v>10.486371994018601</v>
      </c>
      <c r="T20" s="215">
        <v>1.78</v>
      </c>
    </row>
    <row r="21" spans="3:20" x14ac:dyDescent="0.25">
      <c r="C21">
        <v>64</v>
      </c>
      <c r="D21" s="220">
        <v>276.00894165039102</v>
      </c>
      <c r="E21" s="221">
        <v>303.13385009765602</v>
      </c>
      <c r="F21" s="223">
        <v>179.21073913574199</v>
      </c>
      <c r="G21" s="222">
        <v>200.83891296386699</v>
      </c>
      <c r="H21" s="214">
        <v>5.6080522537231401</v>
      </c>
      <c r="N21" s="215">
        <v>18</v>
      </c>
      <c r="O21" s="218">
        <f t="shared" si="0"/>
        <v>4.0548934936523402</v>
      </c>
      <c r="P21" s="218">
        <f t="shared" si="1"/>
        <v>12.7445411682129</v>
      </c>
      <c r="Q21" s="218">
        <f t="shared" si="2"/>
        <v>3.7235093116760298</v>
      </c>
      <c r="R21" s="218">
        <f t="shared" si="3"/>
        <v>3.0667767524719198</v>
      </c>
      <c r="S21" s="218">
        <f t="shared" si="4"/>
        <v>7.1869492530822798</v>
      </c>
      <c r="T21" s="215">
        <v>1.78</v>
      </c>
    </row>
    <row r="22" spans="3:20" x14ac:dyDescent="0.25">
      <c r="C22">
        <v>67</v>
      </c>
      <c r="D22" s="220">
        <v>55.9784545898438</v>
      </c>
      <c r="E22" s="221">
        <v>76.662345886230497</v>
      </c>
      <c r="F22" s="223">
        <v>43.540485382080099</v>
      </c>
      <c r="G22" s="222">
        <v>36.690025329589801</v>
      </c>
      <c r="H22" s="214">
        <v>6.8691663742065403</v>
      </c>
      <c r="N22" s="215">
        <v>19</v>
      </c>
      <c r="O22" s="218">
        <f t="shared" si="0"/>
        <v>3.0321629047393799</v>
      </c>
      <c r="P22" s="218">
        <f t="shared" si="1"/>
        <v>17.943078994751001</v>
      </c>
      <c r="Q22" s="218">
        <f t="shared" si="2"/>
        <v>3.3932797908782999</v>
      </c>
      <c r="R22" s="218">
        <f t="shared" si="3"/>
        <v>3.7776696681976301</v>
      </c>
      <c r="S22" s="218">
        <f t="shared" si="4"/>
        <v>10.5431156158447</v>
      </c>
      <c r="T22" s="215">
        <v>1.78</v>
      </c>
    </row>
    <row r="23" spans="3:20" x14ac:dyDescent="0.25">
      <c r="C23">
        <v>66</v>
      </c>
      <c r="D23" s="220">
        <v>73.786216735839801</v>
      </c>
      <c r="E23" s="221">
        <v>126.338417053223</v>
      </c>
      <c r="F23" s="223">
        <v>96.309638977050795</v>
      </c>
      <c r="G23" s="222">
        <v>78.638771057128906</v>
      </c>
      <c r="H23" s="214">
        <v>4.6735491752624503</v>
      </c>
      <c r="N23" s="217">
        <v>20</v>
      </c>
      <c r="O23" s="219">
        <f t="shared" si="0"/>
        <v>73.375709533691406</v>
      </c>
      <c r="P23" s="219">
        <f t="shared" si="1"/>
        <v>99.383079528808594</v>
      </c>
      <c r="Q23" s="219">
        <f t="shared" si="2"/>
        <v>65.983642578125</v>
      </c>
      <c r="R23" s="219">
        <f t="shared" si="3"/>
        <v>59.287097930908203</v>
      </c>
      <c r="S23" s="219">
        <f t="shared" si="4"/>
        <v>8.6831741333007795</v>
      </c>
      <c r="T23" s="217">
        <v>3.2</v>
      </c>
    </row>
    <row r="24" spans="3:20" x14ac:dyDescent="0.25">
      <c r="C24">
        <v>65</v>
      </c>
      <c r="D24" s="220">
        <v>94.767234802246094</v>
      </c>
      <c r="E24" s="221">
        <v>113.07755279541</v>
      </c>
      <c r="F24" s="223">
        <v>81.977859497070298</v>
      </c>
      <c r="G24" s="222">
        <v>81.525901794433594</v>
      </c>
      <c r="H24" s="214">
        <v>1.95084524154663</v>
      </c>
      <c r="N24" s="217">
        <v>21</v>
      </c>
      <c r="O24" s="219">
        <f t="shared" si="0"/>
        <v>46.458934783935497</v>
      </c>
      <c r="P24" s="219">
        <f t="shared" si="1"/>
        <v>35.000144958496101</v>
      </c>
      <c r="Q24" s="219">
        <f t="shared" si="2"/>
        <v>12.1171779632568</v>
      </c>
      <c r="R24" s="219">
        <f t="shared" si="3"/>
        <v>24.4183540344238</v>
      </c>
      <c r="S24" s="219">
        <f t="shared" si="4"/>
        <v>10.9382886886597</v>
      </c>
      <c r="T24" s="217">
        <v>3.2</v>
      </c>
    </row>
    <row r="25" spans="3:20" x14ac:dyDescent="0.25">
      <c r="C25">
        <v>61</v>
      </c>
      <c r="D25" s="220">
        <v>12.123640060424799</v>
      </c>
      <c r="E25" s="221">
        <v>10.6853952407837</v>
      </c>
      <c r="F25" s="223">
        <v>25.484992980956999</v>
      </c>
      <c r="G25" s="222">
        <v>42.612815856933601</v>
      </c>
      <c r="H25" s="214">
        <v>11.559623718261699</v>
      </c>
      <c r="N25" s="217">
        <v>22</v>
      </c>
      <c r="O25" s="219">
        <f t="shared" si="0"/>
        <v>66.569091796875</v>
      </c>
      <c r="P25" s="219">
        <f t="shared" si="1"/>
        <v>71.247825622558594</v>
      </c>
      <c r="Q25" s="219">
        <f t="shared" si="2"/>
        <v>13.44642162323</v>
      </c>
      <c r="R25" s="219">
        <f t="shared" si="3"/>
        <v>26.736934661865199</v>
      </c>
      <c r="S25" s="219">
        <f t="shared" si="4"/>
        <v>24.79736328125</v>
      </c>
      <c r="T25" s="217">
        <v>3.2</v>
      </c>
    </row>
    <row r="26" spans="3:20" x14ac:dyDescent="0.25">
      <c r="C26">
        <v>54</v>
      </c>
      <c r="D26" s="220">
        <v>23.715837478637699</v>
      </c>
      <c r="E26" s="221">
        <v>40.787708282470703</v>
      </c>
      <c r="F26" s="223">
        <v>40.292301177978501</v>
      </c>
      <c r="G26" s="222">
        <v>31.934726715087901</v>
      </c>
      <c r="H26" s="214">
        <v>10.892320632934601</v>
      </c>
      <c r="N26" s="217">
        <v>23</v>
      </c>
      <c r="O26" s="219">
        <f t="shared" si="0"/>
        <v>43.239719390869098</v>
      </c>
      <c r="P26" s="219">
        <f t="shared" si="1"/>
        <v>26.856498718261701</v>
      </c>
      <c r="Q26" s="219">
        <f t="shared" si="2"/>
        <v>19.511610031127901</v>
      </c>
      <c r="R26" s="219">
        <f t="shared" si="3"/>
        <v>27.7397155761719</v>
      </c>
      <c r="S26" s="219">
        <f t="shared" si="4"/>
        <v>10.6749620437622</v>
      </c>
      <c r="T26" s="217">
        <v>3.2</v>
      </c>
    </row>
    <row r="27" spans="3:20" x14ac:dyDescent="0.25">
      <c r="C27">
        <v>63</v>
      </c>
      <c r="D27" s="220">
        <v>12.8866634368896</v>
      </c>
      <c r="E27" s="221">
        <v>11.194548606872599</v>
      </c>
      <c r="F27" s="223">
        <v>43.816616058349602</v>
      </c>
      <c r="G27" s="222">
        <v>35.219879150390597</v>
      </c>
      <c r="H27" s="214">
        <v>11.46897315979</v>
      </c>
      <c r="N27" s="217">
        <v>24</v>
      </c>
      <c r="O27" s="219">
        <f t="shared" si="0"/>
        <v>51.8967475891113</v>
      </c>
      <c r="P27" s="219">
        <f t="shared" si="1"/>
        <v>84.323570251464801</v>
      </c>
      <c r="Q27" s="219">
        <f t="shared" si="2"/>
        <v>70.310081481933594</v>
      </c>
      <c r="R27" s="219">
        <f t="shared" si="3"/>
        <v>64.665252685546903</v>
      </c>
      <c r="S27" s="219">
        <f t="shared" si="4"/>
        <v>5.1157135963439897</v>
      </c>
      <c r="T27" s="217">
        <v>3.2</v>
      </c>
    </row>
    <row r="28" spans="3:20" x14ac:dyDescent="0.25">
      <c r="C28">
        <v>52</v>
      </c>
      <c r="D28" s="220">
        <v>22.823162078857401</v>
      </c>
      <c r="E28" s="221">
        <v>41.022865295410199</v>
      </c>
      <c r="F28" s="223">
        <v>22.584104537963899</v>
      </c>
      <c r="G28" s="222">
        <v>37.227573394775398</v>
      </c>
      <c r="H28" s="214">
        <v>10.914554595947299</v>
      </c>
      <c r="N28" s="217">
        <v>25</v>
      </c>
      <c r="O28" s="219">
        <f t="shared" si="0"/>
        <v>57.322891235351598</v>
      </c>
      <c r="P28" s="219">
        <f t="shared" si="1"/>
        <v>89.928092956542997</v>
      </c>
      <c r="Q28" s="219">
        <f t="shared" si="2"/>
        <v>74.335632324218807</v>
      </c>
      <c r="R28" s="219">
        <f t="shared" si="3"/>
        <v>49.375720977783203</v>
      </c>
      <c r="S28" s="219">
        <f t="shared" si="4"/>
        <v>5.2974443435668901</v>
      </c>
      <c r="T28" s="217">
        <v>3.2</v>
      </c>
    </row>
    <row r="29" spans="3:20" x14ac:dyDescent="0.25">
      <c r="C29">
        <v>51</v>
      </c>
      <c r="D29" s="220">
        <v>12.6227264404297</v>
      </c>
      <c r="E29" s="221">
        <v>6.62577152252197</v>
      </c>
      <c r="F29" s="223">
        <v>5.7005043029785201</v>
      </c>
      <c r="G29" s="222">
        <v>1.0532183647155799</v>
      </c>
      <c r="H29" s="214">
        <v>3.3659923076629599</v>
      </c>
      <c r="N29" s="217">
        <v>26</v>
      </c>
      <c r="O29" s="219">
        <f t="shared" si="0"/>
        <v>46.988025665283203</v>
      </c>
      <c r="P29" s="219">
        <f t="shared" si="1"/>
        <v>31.092645645141602</v>
      </c>
      <c r="Q29" s="219">
        <f t="shared" si="2"/>
        <v>18.915168762206999</v>
      </c>
      <c r="R29" s="219">
        <f t="shared" si="3"/>
        <v>8.4176406860351598</v>
      </c>
      <c r="S29" s="219">
        <f t="shared" si="4"/>
        <v>10.905998229980501</v>
      </c>
      <c r="T29" s="217">
        <v>3.2</v>
      </c>
    </row>
    <row r="30" spans="3:20" x14ac:dyDescent="0.25">
      <c r="C30">
        <v>46</v>
      </c>
      <c r="D30" s="220">
        <v>27.769721984863299</v>
      </c>
      <c r="E30" s="221">
        <v>38.879344940185497</v>
      </c>
      <c r="F30" s="223">
        <v>4.2040948867797896</v>
      </c>
      <c r="G30" s="222">
        <v>3.4386243820190399</v>
      </c>
      <c r="H30" s="214">
        <v>35.475612640380902</v>
      </c>
      <c r="N30" s="217">
        <v>27</v>
      </c>
      <c r="O30" s="219">
        <f t="shared" si="0"/>
        <v>67.871253967285199</v>
      </c>
      <c r="P30" s="219">
        <f t="shared" si="1"/>
        <v>70.784324645996094</v>
      </c>
      <c r="Q30" s="219">
        <f t="shared" si="2"/>
        <v>13.4368324279785</v>
      </c>
      <c r="R30" s="219">
        <f t="shared" si="3"/>
        <v>8.8698015213012695</v>
      </c>
      <c r="S30" s="219">
        <f t="shared" si="4"/>
        <v>23.4917507171631</v>
      </c>
      <c r="T30" s="217">
        <v>3.2</v>
      </c>
    </row>
    <row r="31" spans="3:20" x14ac:dyDescent="0.25">
      <c r="C31">
        <v>48</v>
      </c>
      <c r="D31" s="220">
        <v>12.2098731994629</v>
      </c>
      <c r="E31" s="221">
        <v>77.165687561035199</v>
      </c>
      <c r="F31" s="223">
        <v>53.396167755127003</v>
      </c>
      <c r="G31" s="222">
        <v>14.6413412094116</v>
      </c>
      <c r="H31" s="214">
        <v>53.494308471679702</v>
      </c>
      <c r="N31" s="217">
        <v>28</v>
      </c>
      <c r="O31" s="219">
        <f t="shared" si="0"/>
        <v>49.778499603271499</v>
      </c>
      <c r="P31" s="219">
        <f t="shared" si="1"/>
        <v>37.471031188964801</v>
      </c>
      <c r="Q31" s="219">
        <f t="shared" si="2"/>
        <v>10.8896951675415</v>
      </c>
      <c r="R31" s="219">
        <f t="shared" si="3"/>
        <v>5.60707712173462</v>
      </c>
      <c r="S31" s="219">
        <f t="shared" si="4"/>
        <v>10.007599830627401</v>
      </c>
      <c r="T31" s="217">
        <v>3.2</v>
      </c>
    </row>
    <row r="32" spans="3:20" x14ac:dyDescent="0.25">
      <c r="C32">
        <v>49</v>
      </c>
      <c r="D32" s="220">
        <v>53.122585296630902</v>
      </c>
      <c r="E32" s="221">
        <v>65.440620422363295</v>
      </c>
      <c r="F32" s="223">
        <v>13.9559631347656</v>
      </c>
      <c r="G32" s="222">
        <v>13.9616899490356</v>
      </c>
      <c r="H32" s="214">
        <v>60.2533988952637</v>
      </c>
      <c r="N32" s="217">
        <v>29</v>
      </c>
      <c r="O32" s="219">
        <f t="shared" si="0"/>
        <v>66.831359863281307</v>
      </c>
      <c r="P32" s="219">
        <f t="shared" si="1"/>
        <v>91.095375061035199</v>
      </c>
      <c r="Q32" s="219">
        <f t="shared" si="2"/>
        <v>62.201805114746101</v>
      </c>
      <c r="R32" s="219">
        <f t="shared" si="3"/>
        <v>38.902854919433601</v>
      </c>
      <c r="S32" s="219">
        <f t="shared" si="4"/>
        <v>9.0790472030639595</v>
      </c>
      <c r="T32" s="217">
        <v>3.2</v>
      </c>
    </row>
    <row r="33" spans="3:20" x14ac:dyDescent="0.25">
      <c r="C33">
        <v>50</v>
      </c>
      <c r="D33" s="220">
        <v>14.7833194732666</v>
      </c>
      <c r="E33" s="221">
        <v>8.8376789093017596</v>
      </c>
      <c r="F33" s="223">
        <v>2.8064773082733199</v>
      </c>
      <c r="G33" s="222">
        <v>2.3603501319885298</v>
      </c>
      <c r="H33" s="214">
        <v>7.0963582992553702</v>
      </c>
      <c r="N33" s="217">
        <v>30</v>
      </c>
      <c r="O33" s="219">
        <f t="shared" si="0"/>
        <v>20.562824249267599</v>
      </c>
      <c r="P33" s="219">
        <f t="shared" si="1"/>
        <v>29.5036430358887</v>
      </c>
      <c r="Q33" s="219">
        <f t="shared" si="2"/>
        <v>71.372261047363295</v>
      </c>
      <c r="R33" s="219">
        <f t="shared" si="3"/>
        <v>66.524002075195298</v>
      </c>
      <c r="S33" s="219">
        <f t="shared" si="4"/>
        <v>5.10658502578735</v>
      </c>
      <c r="T33" s="217">
        <v>3.2</v>
      </c>
    </row>
    <row r="34" spans="3:20" x14ac:dyDescent="0.25">
      <c r="C34">
        <v>47</v>
      </c>
      <c r="D34" s="220">
        <v>12.3667554855347</v>
      </c>
      <c r="E34" s="221">
        <v>25.617439270019499</v>
      </c>
      <c r="F34" s="223">
        <v>19.895826339721701</v>
      </c>
      <c r="G34" s="222">
        <v>2.2773604393005402</v>
      </c>
      <c r="H34" s="214">
        <v>14.500470161438001</v>
      </c>
      <c r="N34" s="217">
        <v>31</v>
      </c>
      <c r="O34" s="219">
        <f t="shared" si="0"/>
        <v>27.5796298980713</v>
      </c>
      <c r="P34" s="219">
        <f t="shared" si="1"/>
        <v>20.508365631103501</v>
      </c>
      <c r="Q34" s="219">
        <f t="shared" si="2"/>
        <v>66.445495605468807</v>
      </c>
      <c r="R34" s="219">
        <f t="shared" si="3"/>
        <v>61.409847259521499</v>
      </c>
      <c r="S34" s="219">
        <f t="shared" si="4"/>
        <v>8.7804946899414098</v>
      </c>
      <c r="T34" s="217">
        <v>3.2</v>
      </c>
    </row>
    <row r="35" spans="3:20" x14ac:dyDescent="0.25">
      <c r="C35">
        <v>45</v>
      </c>
      <c r="D35" s="220">
        <v>5.2025985717773402</v>
      </c>
      <c r="E35" s="221">
        <v>7.0100793838501003</v>
      </c>
      <c r="F35" s="223">
        <v>2.0287644863128702</v>
      </c>
      <c r="G35" s="222">
        <v>0.31913825869560197</v>
      </c>
      <c r="H35" s="214">
        <v>3.1720116138458301</v>
      </c>
      <c r="N35" s="217">
        <v>32</v>
      </c>
      <c r="O35" s="219">
        <f t="shared" si="0"/>
        <v>47.967529296875</v>
      </c>
      <c r="P35" s="219">
        <f t="shared" si="1"/>
        <v>50.979579925537102</v>
      </c>
      <c r="Q35" s="219">
        <f t="shared" si="2"/>
        <v>10.2292385101318</v>
      </c>
      <c r="R35" s="219">
        <f t="shared" si="3"/>
        <v>25.9449462890625</v>
      </c>
      <c r="S35" s="219">
        <f t="shared" si="4"/>
        <v>11.002927780151399</v>
      </c>
      <c r="T35" s="217">
        <v>3.2</v>
      </c>
    </row>
    <row r="36" spans="3:20" x14ac:dyDescent="0.25">
      <c r="C36">
        <v>40</v>
      </c>
      <c r="D36" s="220">
        <v>24.823776245117202</v>
      </c>
      <c r="E36" s="221">
        <v>23.539268493652301</v>
      </c>
      <c r="F36" s="223">
        <v>7.8932147026062003</v>
      </c>
      <c r="G36" s="222">
        <v>3.5260138511657702</v>
      </c>
      <c r="H36" s="214">
        <v>32.044666290283203</v>
      </c>
      <c r="N36" s="217">
        <v>33</v>
      </c>
      <c r="O36" s="219">
        <f t="shared" si="0"/>
        <v>63.449821472167997</v>
      </c>
      <c r="P36" s="219">
        <f t="shared" si="1"/>
        <v>53.924751281738303</v>
      </c>
      <c r="Q36" s="219">
        <f t="shared" si="2"/>
        <v>12.3099689483643</v>
      </c>
      <c r="R36" s="219">
        <f t="shared" si="3"/>
        <v>19.333145141601602</v>
      </c>
      <c r="S36" s="219">
        <f t="shared" si="4"/>
        <v>19.701156616210898</v>
      </c>
      <c r="T36" s="217">
        <v>3.2</v>
      </c>
    </row>
    <row r="37" spans="3:20" x14ac:dyDescent="0.25">
      <c r="C37">
        <v>43</v>
      </c>
      <c r="D37" s="220">
        <v>80.716003417968807</v>
      </c>
      <c r="E37" s="221">
        <v>55.943161010742202</v>
      </c>
      <c r="F37" s="223">
        <v>9.5339679718017596</v>
      </c>
      <c r="G37" s="222">
        <v>18.305894851684599</v>
      </c>
      <c r="H37" s="214">
        <v>59.761642456054702</v>
      </c>
      <c r="N37" s="217">
        <v>34</v>
      </c>
      <c r="O37" s="219">
        <f t="shared" si="0"/>
        <v>48.297367095947301</v>
      </c>
      <c r="P37" s="219">
        <f t="shared" si="1"/>
        <v>50.960643768310497</v>
      </c>
      <c r="Q37" s="219">
        <f t="shared" si="2"/>
        <v>18.153835296630898</v>
      </c>
      <c r="R37" s="219">
        <f t="shared" si="3"/>
        <v>27.291465759277301</v>
      </c>
      <c r="S37" s="219">
        <f t="shared" si="4"/>
        <v>12.4327478408813</v>
      </c>
      <c r="T37" s="217">
        <v>3.2</v>
      </c>
    </row>
    <row r="38" spans="3:20" x14ac:dyDescent="0.25">
      <c r="C38">
        <v>42</v>
      </c>
      <c r="D38" s="220">
        <v>50.924102783203097</v>
      </c>
      <c r="E38" s="221">
        <v>8.8503236770629901</v>
      </c>
      <c r="F38" s="223">
        <v>53.940380096435497</v>
      </c>
      <c r="G38" s="222">
        <v>14.596687316894499</v>
      </c>
      <c r="H38" s="214">
        <v>55.554836273193402</v>
      </c>
      <c r="N38" s="217">
        <v>35</v>
      </c>
      <c r="O38" s="219">
        <f t="shared" si="0"/>
        <v>43.830860137939503</v>
      </c>
      <c r="P38" s="219">
        <f t="shared" si="1"/>
        <v>49.141975402832003</v>
      </c>
      <c r="Q38" s="219">
        <f t="shared" si="2"/>
        <v>19.7712078094482</v>
      </c>
      <c r="R38" s="219">
        <f t="shared" si="3"/>
        <v>11.734824180603001</v>
      </c>
      <c r="S38" s="219">
        <f t="shared" si="4"/>
        <v>9.8352422714233398</v>
      </c>
      <c r="T38" s="217">
        <v>3.2</v>
      </c>
    </row>
    <row r="39" spans="3:20" x14ac:dyDescent="0.25">
      <c r="C39">
        <v>44</v>
      </c>
      <c r="D39" s="220">
        <v>9.5723438262939506</v>
      </c>
      <c r="E39" s="221">
        <v>18.247802734375</v>
      </c>
      <c r="F39" s="223">
        <v>3.7499339580535902</v>
      </c>
      <c r="G39" s="222">
        <v>3.3327486515045202</v>
      </c>
      <c r="H39" s="214">
        <v>8.2420501708984393</v>
      </c>
      <c r="N39" s="217">
        <v>36</v>
      </c>
      <c r="O39" s="219">
        <f t="shared" si="0"/>
        <v>82.808486938476605</v>
      </c>
      <c r="P39" s="219">
        <f t="shared" si="1"/>
        <v>69.306724548339801</v>
      </c>
      <c r="Q39" s="219">
        <f t="shared" si="2"/>
        <v>13.535058021545399</v>
      </c>
      <c r="R39" s="219">
        <f t="shared" si="3"/>
        <v>10.2314863204956</v>
      </c>
      <c r="S39" s="219">
        <f t="shared" si="4"/>
        <v>23.493577957153299</v>
      </c>
      <c r="T39" s="217">
        <v>3.2</v>
      </c>
    </row>
    <row r="40" spans="3:20" x14ac:dyDescent="0.25">
      <c r="C40">
        <v>41</v>
      </c>
      <c r="D40" s="220">
        <v>20.233726501464801</v>
      </c>
      <c r="E40" s="221">
        <v>11.443097114563001</v>
      </c>
      <c r="F40" s="223">
        <v>21.494182586669901</v>
      </c>
      <c r="G40" s="222">
        <v>2.8903868198394802</v>
      </c>
      <c r="H40" s="214">
        <v>14.1167240142822</v>
      </c>
      <c r="N40" s="217">
        <v>37</v>
      </c>
      <c r="O40" s="219">
        <f t="shared" si="0"/>
        <v>45.3526802062988</v>
      </c>
      <c r="P40" s="219">
        <f t="shared" si="1"/>
        <v>48.274459838867202</v>
      </c>
      <c r="Q40" s="219">
        <f t="shared" si="2"/>
        <v>12.1928901672363</v>
      </c>
      <c r="R40" s="219">
        <f t="shared" si="3"/>
        <v>6.2171578407287598</v>
      </c>
      <c r="S40" s="219">
        <f t="shared" si="4"/>
        <v>10.100861549377401</v>
      </c>
      <c r="T40" s="217">
        <v>3.2</v>
      </c>
    </row>
    <row r="41" spans="3:20" x14ac:dyDescent="0.25">
      <c r="C41">
        <v>4</v>
      </c>
      <c r="D41" s="220">
        <v>7.1242508888244602</v>
      </c>
      <c r="E41" s="221">
        <v>8.5133934020996094</v>
      </c>
      <c r="F41" s="223">
        <v>1.4114453792571999</v>
      </c>
      <c r="G41" s="222">
        <v>0.98581320047378496</v>
      </c>
      <c r="H41" s="214">
        <v>8.0581130981445295</v>
      </c>
      <c r="N41" s="217">
        <v>38</v>
      </c>
      <c r="O41" s="219">
        <f t="shared" si="0"/>
        <v>25.257347106933601</v>
      </c>
      <c r="P41" s="219">
        <f t="shared" si="1"/>
        <v>20.818841934204102</v>
      </c>
      <c r="Q41" s="219">
        <f t="shared" si="2"/>
        <v>61.778629302978501</v>
      </c>
      <c r="R41" s="219">
        <f t="shared" si="3"/>
        <v>39.993812561035199</v>
      </c>
      <c r="S41" s="219">
        <f t="shared" si="4"/>
        <v>9.0183305740356392</v>
      </c>
      <c r="T41" s="217">
        <v>3.2</v>
      </c>
    </row>
    <row r="42" spans="3:20" x14ac:dyDescent="0.25">
      <c r="C42">
        <v>3</v>
      </c>
      <c r="D42" s="220">
        <v>17.615329742431602</v>
      </c>
      <c r="E42" s="221">
        <v>22.984989166259801</v>
      </c>
      <c r="F42" s="223">
        <v>4.2947559356689498</v>
      </c>
      <c r="G42" s="222">
        <v>2.8347482681274401</v>
      </c>
      <c r="H42" s="214">
        <v>18.0884914398193</v>
      </c>
      <c r="N42" s="217">
        <v>39</v>
      </c>
      <c r="O42" s="219">
        <f t="shared" si="0"/>
        <v>21.1425895690918</v>
      </c>
      <c r="P42" s="219">
        <f t="shared" si="1"/>
        <v>27.5635890960693</v>
      </c>
      <c r="Q42" s="219">
        <f t="shared" si="2"/>
        <v>73.180274963378906</v>
      </c>
      <c r="R42" s="219">
        <f t="shared" si="3"/>
        <v>50.533260345458999</v>
      </c>
      <c r="S42" s="219">
        <f t="shared" si="4"/>
        <v>5.3256239891052202</v>
      </c>
      <c r="T42" s="217">
        <v>3.2</v>
      </c>
    </row>
    <row r="43" spans="3:20" x14ac:dyDescent="0.25">
      <c r="C43">
        <v>1</v>
      </c>
      <c r="D43" s="220">
        <v>17.743314743041999</v>
      </c>
      <c r="E43" s="221">
        <v>22.978925704956101</v>
      </c>
      <c r="F43" s="223">
        <v>4.31369876861572</v>
      </c>
      <c r="G43" s="222">
        <v>2.8393795490264901</v>
      </c>
      <c r="H43" s="214">
        <v>18.085016250610401</v>
      </c>
      <c r="N43" s="215">
        <v>40</v>
      </c>
      <c r="O43" s="218">
        <f t="shared" si="0"/>
        <v>24.823776245117202</v>
      </c>
      <c r="P43" s="218">
        <f t="shared" si="1"/>
        <v>23.539268493652301</v>
      </c>
      <c r="Q43" s="218">
        <f t="shared" si="2"/>
        <v>7.8932147026062003</v>
      </c>
      <c r="R43" s="218">
        <f t="shared" si="3"/>
        <v>3.5260138511657702</v>
      </c>
      <c r="S43" s="218">
        <f t="shared" si="4"/>
        <v>32.044666290283203</v>
      </c>
      <c r="T43" s="215">
        <v>2.25</v>
      </c>
    </row>
    <row r="44" spans="3:20" x14ac:dyDescent="0.25">
      <c r="C44">
        <v>2</v>
      </c>
      <c r="D44" s="220">
        <v>7.7615437507629403</v>
      </c>
      <c r="E44" s="221">
        <v>7.4518151283264196</v>
      </c>
      <c r="F44" s="223">
        <v>1.4130102396011399</v>
      </c>
      <c r="G44" s="222">
        <v>0.97731918096542403</v>
      </c>
      <c r="H44" s="214">
        <v>8.0621519088745099</v>
      </c>
      <c r="N44" s="215">
        <v>41</v>
      </c>
      <c r="O44" s="218">
        <f t="shared" si="0"/>
        <v>20.233726501464801</v>
      </c>
      <c r="P44" s="218">
        <f t="shared" si="1"/>
        <v>11.443097114563001</v>
      </c>
      <c r="Q44" s="218">
        <f t="shared" si="2"/>
        <v>21.494182586669901</v>
      </c>
      <c r="R44" s="218">
        <f t="shared" si="3"/>
        <v>2.8903868198394802</v>
      </c>
      <c r="S44" s="218">
        <f t="shared" si="4"/>
        <v>14.1167240142822</v>
      </c>
      <c r="T44" s="215">
        <v>2.25</v>
      </c>
    </row>
    <row r="45" spans="3:20" x14ac:dyDescent="0.25">
      <c r="C45">
        <v>10</v>
      </c>
      <c r="D45" s="220">
        <v>6.3467907905578604</v>
      </c>
      <c r="E45" s="221">
        <v>6.3476548194885298</v>
      </c>
      <c r="F45" s="223">
        <v>0.95986348390579201</v>
      </c>
      <c r="G45" s="222">
        <v>0.69557082653045699</v>
      </c>
      <c r="H45" s="214">
        <v>10.2501831054688</v>
      </c>
      <c r="N45" s="215">
        <v>42</v>
      </c>
      <c r="O45" s="218">
        <f t="shared" si="0"/>
        <v>50.924102783203097</v>
      </c>
      <c r="P45" s="218">
        <f t="shared" si="1"/>
        <v>8.8503236770629901</v>
      </c>
      <c r="Q45" s="218">
        <f t="shared" si="2"/>
        <v>53.940380096435497</v>
      </c>
      <c r="R45" s="218">
        <f t="shared" si="3"/>
        <v>14.596687316894499</v>
      </c>
      <c r="S45" s="218">
        <f t="shared" si="4"/>
        <v>55.554836273193402</v>
      </c>
      <c r="T45" s="215">
        <v>2.25</v>
      </c>
    </row>
    <row r="46" spans="3:20" x14ac:dyDescent="0.25">
      <c r="C46">
        <v>9</v>
      </c>
      <c r="D46" s="220">
        <v>12.4839878082275</v>
      </c>
      <c r="E46" s="221">
        <v>11.353986740112299</v>
      </c>
      <c r="F46" s="223">
        <v>2.0114715099334699</v>
      </c>
      <c r="G46" s="222">
        <v>1.33119356632233</v>
      </c>
      <c r="H46" s="214">
        <v>10.2629146575928</v>
      </c>
      <c r="N46" s="215">
        <v>43</v>
      </c>
      <c r="O46" s="218">
        <f t="shared" si="0"/>
        <v>80.716003417968807</v>
      </c>
      <c r="P46" s="218">
        <f t="shared" si="1"/>
        <v>55.943161010742202</v>
      </c>
      <c r="Q46" s="218">
        <f t="shared" si="2"/>
        <v>9.5339679718017596</v>
      </c>
      <c r="R46" s="218">
        <f t="shared" si="3"/>
        <v>18.305894851684599</v>
      </c>
      <c r="S46" s="218">
        <f t="shared" si="4"/>
        <v>59.761642456054702</v>
      </c>
      <c r="T46" s="215">
        <v>2.25</v>
      </c>
    </row>
    <row r="47" spans="3:20" x14ac:dyDescent="0.25">
      <c r="C47">
        <v>11</v>
      </c>
      <c r="D47" s="220">
        <v>4.3808240890502903</v>
      </c>
      <c r="E47" s="221">
        <v>4.6686992645263699</v>
      </c>
      <c r="F47" s="223">
        <v>0.42540341615676902</v>
      </c>
      <c r="G47" s="222">
        <v>0.40325465798378002</v>
      </c>
      <c r="H47" s="214">
        <v>7.3465633392334002</v>
      </c>
      <c r="N47" s="215">
        <v>44</v>
      </c>
      <c r="O47" s="218">
        <f t="shared" si="0"/>
        <v>9.5723438262939506</v>
      </c>
      <c r="P47" s="218">
        <f t="shared" si="1"/>
        <v>18.247802734375</v>
      </c>
      <c r="Q47" s="218">
        <f t="shared" si="2"/>
        <v>3.7499339580535902</v>
      </c>
      <c r="R47" s="218">
        <f t="shared" si="3"/>
        <v>3.3327486515045202</v>
      </c>
      <c r="S47" s="218">
        <f t="shared" si="4"/>
        <v>8.2420501708984393</v>
      </c>
      <c r="T47" s="215">
        <v>2.25</v>
      </c>
    </row>
    <row r="48" spans="3:20" x14ac:dyDescent="0.25">
      <c r="C48">
        <v>5</v>
      </c>
      <c r="D48" s="220">
        <v>5.0607447624206499</v>
      </c>
      <c r="E48" s="221">
        <v>4.0852904319763201</v>
      </c>
      <c r="F48" s="223">
        <v>0.43682458996772799</v>
      </c>
      <c r="G48" s="222">
        <v>0.599797904491425</v>
      </c>
      <c r="H48" s="214">
        <v>7.1407313346862802</v>
      </c>
      <c r="N48" s="215">
        <v>45</v>
      </c>
      <c r="O48" s="218">
        <f t="shared" si="0"/>
        <v>5.2025985717773402</v>
      </c>
      <c r="P48" s="218">
        <f t="shared" si="1"/>
        <v>7.0100793838501003</v>
      </c>
      <c r="Q48" s="218">
        <f t="shared" si="2"/>
        <v>2.0287644863128702</v>
      </c>
      <c r="R48" s="218">
        <f t="shared" si="3"/>
        <v>0.31913825869560197</v>
      </c>
      <c r="S48" s="218">
        <f t="shared" si="4"/>
        <v>3.1720116138458301</v>
      </c>
      <c r="T48" s="215">
        <v>2.25</v>
      </c>
    </row>
    <row r="49" spans="3:20" x14ac:dyDescent="0.25">
      <c r="C49">
        <v>6</v>
      </c>
      <c r="D49" s="220">
        <v>7.5580167770385698</v>
      </c>
      <c r="E49" s="221">
        <v>5.8482346534729004</v>
      </c>
      <c r="F49" s="223">
        <v>1.1966736316680899</v>
      </c>
      <c r="G49" s="222">
        <v>0.83541488647460904</v>
      </c>
      <c r="H49" s="214">
        <v>10.2634286880493</v>
      </c>
      <c r="N49" s="215">
        <v>46</v>
      </c>
      <c r="O49" s="218">
        <f t="shared" si="0"/>
        <v>27.769721984863299</v>
      </c>
      <c r="P49" s="218">
        <f t="shared" si="1"/>
        <v>38.879344940185497</v>
      </c>
      <c r="Q49" s="218">
        <f t="shared" si="2"/>
        <v>4.2040948867797896</v>
      </c>
      <c r="R49" s="218">
        <f t="shared" si="3"/>
        <v>3.4386243820190399</v>
      </c>
      <c r="S49" s="218">
        <f t="shared" si="4"/>
        <v>35.475612640380902</v>
      </c>
      <c r="T49" s="215">
        <v>2.25</v>
      </c>
    </row>
    <row r="50" spans="3:20" x14ac:dyDescent="0.25">
      <c r="C50">
        <v>7</v>
      </c>
      <c r="D50" s="220">
        <v>14.2481536865234</v>
      </c>
      <c r="E50" s="221">
        <v>9.7028074264526403</v>
      </c>
      <c r="F50" s="223">
        <v>2.0076823234558101</v>
      </c>
      <c r="G50" s="222">
        <v>1.20814073085785</v>
      </c>
      <c r="H50" s="214">
        <v>10.2490940093994</v>
      </c>
      <c r="N50" s="215">
        <v>47</v>
      </c>
      <c r="O50" s="218">
        <f t="shared" si="0"/>
        <v>12.3667554855347</v>
      </c>
      <c r="P50" s="218">
        <f t="shared" si="1"/>
        <v>25.617439270019499</v>
      </c>
      <c r="Q50" s="218">
        <f t="shared" si="2"/>
        <v>19.895826339721701</v>
      </c>
      <c r="R50" s="218">
        <f t="shared" si="3"/>
        <v>2.2773604393005402</v>
      </c>
      <c r="S50" s="218">
        <f t="shared" si="4"/>
        <v>14.500470161438001</v>
      </c>
      <c r="T50" s="215">
        <v>2.25</v>
      </c>
    </row>
    <row r="51" spans="3:20" x14ac:dyDescent="0.25">
      <c r="C51">
        <v>8</v>
      </c>
      <c r="D51" s="220">
        <v>17.204389572143601</v>
      </c>
      <c r="E51" s="221">
        <v>14.230134010314901</v>
      </c>
      <c r="F51" s="223">
        <v>2.0372178554534899</v>
      </c>
      <c r="G51" s="222">
        <v>1.25427877902985</v>
      </c>
      <c r="H51" s="214">
        <v>9.8381919860839808</v>
      </c>
      <c r="N51" s="215">
        <v>48</v>
      </c>
      <c r="O51" s="218">
        <f t="shared" si="0"/>
        <v>12.2098731994629</v>
      </c>
      <c r="P51" s="218">
        <f t="shared" si="1"/>
        <v>77.165687561035199</v>
      </c>
      <c r="Q51" s="218">
        <f t="shared" si="2"/>
        <v>53.396167755127003</v>
      </c>
      <c r="R51" s="218">
        <f t="shared" si="3"/>
        <v>14.6413412094116</v>
      </c>
      <c r="S51" s="218">
        <f t="shared" si="4"/>
        <v>53.494308471679702</v>
      </c>
      <c r="T51" s="215">
        <v>2.25</v>
      </c>
    </row>
    <row r="52" spans="3:20" x14ac:dyDescent="0.25">
      <c r="C52">
        <v>33</v>
      </c>
      <c r="D52" s="220">
        <v>63.449821472167997</v>
      </c>
      <c r="E52" s="221">
        <v>53.924751281738303</v>
      </c>
      <c r="F52" s="223">
        <v>12.3099689483643</v>
      </c>
      <c r="G52" s="222">
        <v>19.333145141601602</v>
      </c>
      <c r="H52" s="214">
        <v>19.701156616210898</v>
      </c>
      <c r="N52" s="215">
        <v>49</v>
      </c>
      <c r="O52" s="218">
        <f t="shared" si="0"/>
        <v>53.122585296630902</v>
      </c>
      <c r="P52" s="218">
        <f t="shared" si="1"/>
        <v>65.440620422363295</v>
      </c>
      <c r="Q52" s="218">
        <f t="shared" si="2"/>
        <v>13.9559631347656</v>
      </c>
      <c r="R52" s="218">
        <f t="shared" si="3"/>
        <v>13.9616899490356</v>
      </c>
      <c r="S52" s="218">
        <f t="shared" si="4"/>
        <v>60.2533988952637</v>
      </c>
      <c r="T52" s="215">
        <v>2.25</v>
      </c>
    </row>
    <row r="53" spans="3:20" x14ac:dyDescent="0.25">
      <c r="C53">
        <v>34</v>
      </c>
      <c r="D53" s="220">
        <v>48.297367095947301</v>
      </c>
      <c r="E53" s="221">
        <v>50.960643768310497</v>
      </c>
      <c r="F53" s="223">
        <v>18.153835296630898</v>
      </c>
      <c r="G53" s="222">
        <v>27.291465759277301</v>
      </c>
      <c r="H53" s="214">
        <v>12.4327478408813</v>
      </c>
      <c r="N53" s="215">
        <v>50</v>
      </c>
      <c r="O53" s="218">
        <f t="shared" si="0"/>
        <v>14.7833194732666</v>
      </c>
      <c r="P53" s="218">
        <f t="shared" si="1"/>
        <v>8.8376789093017596</v>
      </c>
      <c r="Q53" s="218">
        <f t="shared" si="2"/>
        <v>2.8064773082733199</v>
      </c>
      <c r="R53" s="218">
        <f t="shared" si="3"/>
        <v>2.3603501319885298</v>
      </c>
      <c r="S53" s="218">
        <f t="shared" si="4"/>
        <v>7.0963582992553702</v>
      </c>
      <c r="T53" s="215">
        <v>2.25</v>
      </c>
    </row>
    <row r="54" spans="3:20" x14ac:dyDescent="0.25">
      <c r="C54">
        <v>32</v>
      </c>
      <c r="D54" s="220">
        <v>47.967529296875</v>
      </c>
      <c r="E54" s="221">
        <v>50.979579925537102</v>
      </c>
      <c r="F54" s="223">
        <v>10.2292385101318</v>
      </c>
      <c r="G54" s="222">
        <v>25.9449462890625</v>
      </c>
      <c r="H54" s="214">
        <v>11.002927780151399</v>
      </c>
      <c r="N54" s="215">
        <v>51</v>
      </c>
      <c r="O54" s="218">
        <f t="shared" si="0"/>
        <v>12.6227264404297</v>
      </c>
      <c r="P54" s="218">
        <f t="shared" si="1"/>
        <v>6.62577152252197</v>
      </c>
      <c r="Q54" s="218">
        <f t="shared" si="2"/>
        <v>5.7005043029785201</v>
      </c>
      <c r="R54" s="218">
        <f t="shared" si="3"/>
        <v>1.0532183647155799</v>
      </c>
      <c r="S54" s="218">
        <f t="shared" si="4"/>
        <v>3.3659923076629599</v>
      </c>
      <c r="T54" s="215">
        <v>2.25</v>
      </c>
    </row>
    <row r="55" spans="3:20" x14ac:dyDescent="0.25">
      <c r="C55">
        <v>30</v>
      </c>
      <c r="D55" s="220">
        <v>20.562824249267599</v>
      </c>
      <c r="E55" s="221">
        <v>29.5036430358887</v>
      </c>
      <c r="F55" s="223">
        <v>71.372261047363295</v>
      </c>
      <c r="G55" s="222">
        <v>66.524002075195298</v>
      </c>
      <c r="H55" s="214">
        <v>5.10658502578735</v>
      </c>
      <c r="N55" s="217">
        <v>52</v>
      </c>
      <c r="O55" s="219">
        <f t="shared" si="0"/>
        <v>22.823162078857401</v>
      </c>
      <c r="P55" s="219">
        <f t="shared" si="1"/>
        <v>41.022865295410199</v>
      </c>
      <c r="Q55" s="219">
        <f t="shared" si="2"/>
        <v>22.584104537963899</v>
      </c>
      <c r="R55" s="219">
        <f t="shared" si="3"/>
        <v>37.227573394775398</v>
      </c>
      <c r="S55" s="219">
        <f t="shared" si="4"/>
        <v>10.914554595947299</v>
      </c>
      <c r="T55" s="215">
        <v>2.25</v>
      </c>
    </row>
    <row r="56" spans="3:20" x14ac:dyDescent="0.25">
      <c r="C56">
        <v>31</v>
      </c>
      <c r="D56" s="220">
        <v>27.5796298980713</v>
      </c>
      <c r="E56" s="221">
        <v>20.508365631103501</v>
      </c>
      <c r="F56" s="223">
        <v>66.445495605468807</v>
      </c>
      <c r="G56" s="222">
        <v>61.409847259521499</v>
      </c>
      <c r="H56" s="214">
        <v>8.7804946899414098</v>
      </c>
      <c r="N56" s="217">
        <v>53</v>
      </c>
      <c r="O56" s="219">
        <f t="shared" si="0"/>
        <v>25.728351593017599</v>
      </c>
      <c r="P56" s="219">
        <f t="shared" si="1"/>
        <v>65.434585571289105</v>
      </c>
      <c r="Q56" s="219">
        <f t="shared" si="2"/>
        <v>54.459201812744098</v>
      </c>
      <c r="R56" s="219">
        <f t="shared" si="3"/>
        <v>34.920749664306598</v>
      </c>
      <c r="S56" s="219">
        <f t="shared" si="4"/>
        <v>10.650810241699199</v>
      </c>
      <c r="T56" s="215">
        <v>2.25</v>
      </c>
    </row>
    <row r="57" spans="3:20" x14ac:dyDescent="0.25">
      <c r="C57">
        <v>36</v>
      </c>
      <c r="D57" s="220">
        <v>82.808486938476605</v>
      </c>
      <c r="E57" s="221">
        <v>69.306724548339801</v>
      </c>
      <c r="F57" s="223">
        <v>13.535058021545399</v>
      </c>
      <c r="G57" s="222">
        <v>10.2314863204956</v>
      </c>
      <c r="H57" s="214">
        <v>23.493577957153299</v>
      </c>
      <c r="N57" s="217">
        <v>54</v>
      </c>
      <c r="O57" s="219">
        <f t="shared" si="0"/>
        <v>23.715837478637699</v>
      </c>
      <c r="P57" s="219">
        <f t="shared" si="1"/>
        <v>40.787708282470703</v>
      </c>
      <c r="Q57" s="219">
        <f t="shared" si="2"/>
        <v>40.292301177978501</v>
      </c>
      <c r="R57" s="219">
        <f t="shared" si="3"/>
        <v>31.934726715087901</v>
      </c>
      <c r="S57" s="219">
        <f t="shared" si="4"/>
        <v>10.892320632934601</v>
      </c>
      <c r="T57" s="215">
        <v>2.25</v>
      </c>
    </row>
    <row r="58" spans="3:20" x14ac:dyDescent="0.25">
      <c r="C58">
        <v>35</v>
      </c>
      <c r="D58" s="220">
        <v>43.830860137939503</v>
      </c>
      <c r="E58" s="221">
        <v>49.141975402832003</v>
      </c>
      <c r="F58" s="223">
        <v>19.7712078094482</v>
      </c>
      <c r="G58" s="222">
        <v>11.734824180603001</v>
      </c>
      <c r="H58" s="214">
        <v>9.8352422714233398</v>
      </c>
      <c r="N58" s="217">
        <v>55</v>
      </c>
      <c r="O58" s="219">
        <f t="shared" si="0"/>
        <v>99.679672241210895</v>
      </c>
      <c r="P58" s="219">
        <f t="shared" si="1"/>
        <v>41.643302917480497</v>
      </c>
      <c r="Q58" s="219">
        <f t="shared" si="2"/>
        <v>20.505311965942401</v>
      </c>
      <c r="R58" s="219">
        <f t="shared" si="3"/>
        <v>95.596572875976605</v>
      </c>
      <c r="S58" s="219">
        <f t="shared" si="4"/>
        <v>11.2217140197754</v>
      </c>
      <c r="T58" s="215">
        <v>2.25</v>
      </c>
    </row>
    <row r="59" spans="3:20" x14ac:dyDescent="0.25">
      <c r="C59">
        <v>37</v>
      </c>
      <c r="D59" s="220">
        <v>45.3526802062988</v>
      </c>
      <c r="E59" s="221">
        <v>48.274459838867202</v>
      </c>
      <c r="F59" s="223">
        <v>12.1928901672363</v>
      </c>
      <c r="G59" s="222">
        <v>6.2171578407287598</v>
      </c>
      <c r="H59" s="214">
        <v>10.100861549377401</v>
      </c>
      <c r="N59" s="217">
        <v>56</v>
      </c>
      <c r="O59" s="219">
        <f t="shared" si="0"/>
        <v>163.19346618652301</v>
      </c>
      <c r="P59" s="219">
        <f t="shared" si="1"/>
        <v>73.686271667480497</v>
      </c>
      <c r="Q59" s="219">
        <f t="shared" si="2"/>
        <v>47.739158630371101</v>
      </c>
      <c r="R59" s="219">
        <f t="shared" si="3"/>
        <v>187.73860168457</v>
      </c>
      <c r="S59" s="219">
        <f t="shared" si="4"/>
        <v>9.7659416198730504</v>
      </c>
      <c r="T59" s="215">
        <v>2.25</v>
      </c>
    </row>
    <row r="60" spans="3:20" x14ac:dyDescent="0.25">
      <c r="C60">
        <v>39</v>
      </c>
      <c r="D60" s="220">
        <v>21.1425895690918</v>
      </c>
      <c r="E60" s="221">
        <v>27.5635890960693</v>
      </c>
      <c r="F60" s="223">
        <v>73.180274963378906</v>
      </c>
      <c r="G60" s="222">
        <v>50.533260345458999</v>
      </c>
      <c r="H60" s="214">
        <v>5.3256239891052202</v>
      </c>
      <c r="N60" s="217">
        <v>57</v>
      </c>
      <c r="O60" s="219">
        <f t="shared" si="0"/>
        <v>100.78488922119099</v>
      </c>
      <c r="P60" s="219">
        <f t="shared" si="1"/>
        <v>42.455978393554702</v>
      </c>
      <c r="Q60" s="219">
        <f t="shared" si="2"/>
        <v>26.7937107086182</v>
      </c>
      <c r="R60" s="219">
        <f t="shared" si="3"/>
        <v>122.81697845459</v>
      </c>
      <c r="S60" s="219">
        <f t="shared" si="4"/>
        <v>11.224449157714799</v>
      </c>
      <c r="T60" s="215">
        <v>2.25</v>
      </c>
    </row>
    <row r="61" spans="3:20" x14ac:dyDescent="0.25">
      <c r="C61">
        <v>38</v>
      </c>
      <c r="D61" s="220">
        <v>25.257347106933601</v>
      </c>
      <c r="E61" s="221">
        <v>20.818841934204102</v>
      </c>
      <c r="F61" s="223">
        <v>61.778629302978501</v>
      </c>
      <c r="G61" s="222">
        <v>39.993812561035199</v>
      </c>
      <c r="H61" s="214">
        <v>9.0183305740356392</v>
      </c>
      <c r="N61" s="217">
        <v>58</v>
      </c>
      <c r="O61" s="219">
        <f t="shared" si="0"/>
        <v>19.739627838134801</v>
      </c>
      <c r="P61" s="219">
        <f t="shared" si="1"/>
        <v>18.986371994018601</v>
      </c>
      <c r="Q61" s="219">
        <f t="shared" si="2"/>
        <v>27.268569946289102</v>
      </c>
      <c r="R61" s="219">
        <f t="shared" si="3"/>
        <v>128.75389099121099</v>
      </c>
      <c r="S61" s="219">
        <f t="shared" si="4"/>
        <v>11.1260318756104</v>
      </c>
      <c r="T61" s="215">
        <v>2.25</v>
      </c>
    </row>
    <row r="62" spans="3:20" x14ac:dyDescent="0.25">
      <c r="C62">
        <v>27</v>
      </c>
      <c r="D62" s="220">
        <v>67.871253967285199</v>
      </c>
      <c r="E62" s="221">
        <v>70.784324645996094</v>
      </c>
      <c r="F62" s="223">
        <v>13.4368324279785</v>
      </c>
      <c r="G62" s="222">
        <v>8.8698015213012695</v>
      </c>
      <c r="H62" s="214">
        <v>23.4917507171631</v>
      </c>
      <c r="N62" s="217">
        <v>59</v>
      </c>
      <c r="O62" s="219">
        <f t="shared" si="0"/>
        <v>20.900680541992202</v>
      </c>
      <c r="P62" s="219">
        <f t="shared" si="1"/>
        <v>26.4549350738525</v>
      </c>
      <c r="Q62" s="219">
        <f t="shared" si="2"/>
        <v>47.6904106140137</v>
      </c>
      <c r="R62" s="219">
        <f t="shared" si="3"/>
        <v>164.54315185546901</v>
      </c>
      <c r="S62" s="219">
        <f t="shared" si="4"/>
        <v>9.9436454772949201</v>
      </c>
      <c r="T62" s="215">
        <v>2.25</v>
      </c>
    </row>
    <row r="63" spans="3:20" x14ac:dyDescent="0.25">
      <c r="C63">
        <v>26</v>
      </c>
      <c r="D63" s="220">
        <v>46.988025665283203</v>
      </c>
      <c r="E63" s="221">
        <v>31.092645645141602</v>
      </c>
      <c r="F63" s="223">
        <v>18.915168762206999</v>
      </c>
      <c r="G63" s="222">
        <v>8.4176406860351598</v>
      </c>
      <c r="H63" s="214">
        <v>10.905998229980501</v>
      </c>
      <c r="N63" s="217">
        <v>60</v>
      </c>
      <c r="O63" s="219">
        <f t="shared" si="0"/>
        <v>19.451980590820298</v>
      </c>
      <c r="P63" s="219">
        <f t="shared" si="1"/>
        <v>19.900505065918001</v>
      </c>
      <c r="Q63" s="219">
        <f t="shared" si="2"/>
        <v>35.045627593994098</v>
      </c>
      <c r="R63" s="219">
        <f t="shared" si="3"/>
        <v>108.403755187988</v>
      </c>
      <c r="S63" s="219">
        <f t="shared" si="4"/>
        <v>11.2366580963135</v>
      </c>
      <c r="T63" s="215">
        <v>2.25</v>
      </c>
    </row>
    <row r="64" spans="3:20" x14ac:dyDescent="0.25">
      <c r="C64">
        <v>28</v>
      </c>
      <c r="D64" s="220">
        <v>49.778499603271499</v>
      </c>
      <c r="E64" s="221">
        <v>37.471031188964801</v>
      </c>
      <c r="F64" s="223">
        <v>10.8896951675415</v>
      </c>
      <c r="G64" s="222">
        <v>5.60707712173462</v>
      </c>
      <c r="H64" s="214">
        <v>10.007599830627401</v>
      </c>
      <c r="N64" s="217">
        <v>61</v>
      </c>
      <c r="O64" s="219">
        <f t="shared" si="0"/>
        <v>12.123640060424799</v>
      </c>
      <c r="P64" s="219">
        <f t="shared" si="1"/>
        <v>10.6853952407837</v>
      </c>
      <c r="Q64" s="219">
        <f t="shared" si="2"/>
        <v>25.484992980956999</v>
      </c>
      <c r="R64" s="219">
        <f t="shared" si="3"/>
        <v>42.612815856933601</v>
      </c>
      <c r="S64" s="219">
        <f t="shared" si="4"/>
        <v>11.559623718261699</v>
      </c>
      <c r="T64" s="215">
        <v>2.25</v>
      </c>
    </row>
    <row r="65" spans="3:20" x14ac:dyDescent="0.25">
      <c r="C65">
        <v>22</v>
      </c>
      <c r="D65" s="220">
        <v>66.569091796875</v>
      </c>
      <c r="E65" s="221">
        <v>71.247825622558594</v>
      </c>
      <c r="F65" s="223">
        <v>13.44642162323</v>
      </c>
      <c r="G65" s="222">
        <v>26.736934661865199</v>
      </c>
      <c r="H65" s="214">
        <v>24.79736328125</v>
      </c>
      <c r="N65" s="217">
        <v>62</v>
      </c>
      <c r="O65" s="219">
        <f t="shared" si="0"/>
        <v>12.166705131530801</v>
      </c>
      <c r="P65" s="219">
        <f t="shared" si="1"/>
        <v>15.9188947677612</v>
      </c>
      <c r="Q65" s="219">
        <f t="shared" si="2"/>
        <v>53.868171691894503</v>
      </c>
      <c r="R65" s="219">
        <f t="shared" si="3"/>
        <v>47.664718627929702</v>
      </c>
      <c r="S65" s="219">
        <f t="shared" si="4"/>
        <v>10.419919967651399</v>
      </c>
      <c r="T65" s="215">
        <v>2.25</v>
      </c>
    </row>
    <row r="66" spans="3:20" x14ac:dyDescent="0.25">
      <c r="C66">
        <v>23</v>
      </c>
      <c r="D66" s="220">
        <v>43.239719390869098</v>
      </c>
      <c r="E66" s="221">
        <v>26.856498718261701</v>
      </c>
      <c r="F66" s="223">
        <v>19.511610031127901</v>
      </c>
      <c r="G66" s="222">
        <v>27.7397155761719</v>
      </c>
      <c r="H66" s="214">
        <v>10.6749620437622</v>
      </c>
      <c r="N66" s="217">
        <v>63</v>
      </c>
      <c r="O66" s="219">
        <f t="shared" si="0"/>
        <v>12.8866634368896</v>
      </c>
      <c r="P66" s="219">
        <f t="shared" si="1"/>
        <v>11.194548606872599</v>
      </c>
      <c r="Q66" s="219">
        <f t="shared" si="2"/>
        <v>43.816616058349602</v>
      </c>
      <c r="R66" s="219">
        <f t="shared" si="3"/>
        <v>35.219879150390597</v>
      </c>
      <c r="S66" s="219">
        <f t="shared" si="4"/>
        <v>11.46897315979</v>
      </c>
      <c r="T66" s="215">
        <v>2.25</v>
      </c>
    </row>
    <row r="67" spans="3:20" x14ac:dyDescent="0.25">
      <c r="C67">
        <v>21</v>
      </c>
      <c r="D67" s="220">
        <v>46.458934783935497</v>
      </c>
      <c r="E67" s="221">
        <v>35.000144958496101</v>
      </c>
      <c r="F67" s="223">
        <v>12.1171779632568</v>
      </c>
      <c r="G67" s="222">
        <v>24.4183540344238</v>
      </c>
      <c r="H67" s="214">
        <v>10.9382886886597</v>
      </c>
      <c r="N67" s="215">
        <v>64</v>
      </c>
      <c r="O67" s="218">
        <v>138.21</v>
      </c>
      <c r="P67" s="218">
        <v>140.25</v>
      </c>
      <c r="Q67" s="218">
        <v>130.21</v>
      </c>
      <c r="R67" s="218">
        <v>129.52000000000001</v>
      </c>
      <c r="S67" s="218">
        <f t="shared" si="4"/>
        <v>5.6080522537231401</v>
      </c>
      <c r="T67" s="215">
        <v>2.25</v>
      </c>
    </row>
    <row r="68" spans="3:20" x14ac:dyDescent="0.25">
      <c r="C68">
        <v>24</v>
      </c>
      <c r="D68" s="220">
        <v>51.8967475891113</v>
      </c>
      <c r="E68" s="221">
        <v>84.323570251464801</v>
      </c>
      <c r="F68" s="223">
        <v>70.310081481933594</v>
      </c>
      <c r="G68" s="222">
        <v>64.665252685546903</v>
      </c>
      <c r="H68" s="214">
        <v>5.1157135963439897</v>
      </c>
      <c r="N68" s="215">
        <v>65</v>
      </c>
      <c r="O68" s="218">
        <f t="shared" si="0"/>
        <v>94.767234802246094</v>
      </c>
      <c r="P68" s="218">
        <f t="shared" si="1"/>
        <v>113.07755279541</v>
      </c>
      <c r="Q68" s="218">
        <f t="shared" si="2"/>
        <v>81.977859497070298</v>
      </c>
      <c r="R68" s="218">
        <f t="shared" si="3"/>
        <v>81.525901794433594</v>
      </c>
      <c r="S68" s="218">
        <f t="shared" si="4"/>
        <v>1.95084524154663</v>
      </c>
      <c r="T68" s="215">
        <v>2.25</v>
      </c>
    </row>
    <row r="69" spans="3:20" x14ac:dyDescent="0.25">
      <c r="C69">
        <v>20</v>
      </c>
      <c r="D69" s="220">
        <v>73.375709533691406</v>
      </c>
      <c r="E69" s="221">
        <v>99.383079528808594</v>
      </c>
      <c r="F69" s="223">
        <v>65.983642578125</v>
      </c>
      <c r="G69" s="222">
        <v>59.287097930908203</v>
      </c>
      <c r="H69" s="214">
        <v>8.6831741333007795</v>
      </c>
      <c r="N69" s="215">
        <v>66</v>
      </c>
      <c r="O69" s="218">
        <f t="shared" ref="O69:O79" si="5">VLOOKUP(N69,$C$4:$H$200,2,0)</f>
        <v>73.786216735839801</v>
      </c>
      <c r="P69" s="218">
        <f t="shared" ref="P69:P79" si="6">VLOOKUP(N69,$C$4:$H$200,3,0)</f>
        <v>126.338417053223</v>
      </c>
      <c r="Q69" s="218">
        <f t="shared" ref="Q69:Q71" si="7">VLOOKUP(N69,$C$4:$H$200,4,0)</f>
        <v>96.309638977050795</v>
      </c>
      <c r="R69" s="218">
        <f t="shared" ref="R69:R79" si="8">VLOOKUP(N69,$C$4:$H$200,5,0)</f>
        <v>78.638771057128906</v>
      </c>
      <c r="S69" s="218">
        <f t="shared" ref="S69:S79" si="9">VLOOKUP(N69,$C$4:$H$200,6,0)</f>
        <v>4.6735491752624503</v>
      </c>
      <c r="T69" s="215">
        <v>2.25</v>
      </c>
    </row>
    <row r="70" spans="3:20" x14ac:dyDescent="0.25">
      <c r="C70">
        <v>25</v>
      </c>
      <c r="D70" s="220">
        <v>57.322891235351598</v>
      </c>
      <c r="E70" s="221">
        <v>89.928092956542997</v>
      </c>
      <c r="F70" s="223">
        <v>74.335632324218807</v>
      </c>
      <c r="G70" s="222">
        <v>49.375720977783203</v>
      </c>
      <c r="H70" s="214">
        <v>5.2974443435668901</v>
      </c>
      <c r="N70" s="215">
        <v>67</v>
      </c>
      <c r="O70" s="218">
        <f t="shared" si="5"/>
        <v>55.9784545898438</v>
      </c>
      <c r="P70" s="218">
        <f t="shared" si="6"/>
        <v>76.662345886230497</v>
      </c>
      <c r="Q70" s="218">
        <f t="shared" si="7"/>
        <v>43.540485382080099</v>
      </c>
      <c r="R70" s="218">
        <f t="shared" si="8"/>
        <v>36.690025329589801</v>
      </c>
      <c r="S70" s="218">
        <f t="shared" si="9"/>
        <v>6.8691663742065403</v>
      </c>
      <c r="T70" s="215">
        <v>2.25</v>
      </c>
    </row>
    <row r="71" spans="3:20" x14ac:dyDescent="0.25">
      <c r="C71">
        <v>29</v>
      </c>
      <c r="D71" s="220">
        <v>66.831359863281307</v>
      </c>
      <c r="E71" s="221">
        <v>91.095375061035199</v>
      </c>
      <c r="F71" s="223">
        <v>62.201805114746101</v>
      </c>
      <c r="G71" s="222">
        <v>38.902854919433601</v>
      </c>
      <c r="H71" s="214">
        <v>9.0790472030639595</v>
      </c>
      <c r="N71" s="215">
        <v>68</v>
      </c>
      <c r="O71" s="218">
        <f t="shared" si="5"/>
        <v>24.271678924560501</v>
      </c>
      <c r="P71" s="218">
        <f t="shared" si="6"/>
        <v>46.772621154785199</v>
      </c>
      <c r="Q71" s="218">
        <f t="shared" si="7"/>
        <v>64.248443603515597</v>
      </c>
      <c r="R71" s="218">
        <f t="shared" si="8"/>
        <v>66.529304504394503</v>
      </c>
      <c r="S71" s="218">
        <f t="shared" si="9"/>
        <v>3.2962887287139901</v>
      </c>
      <c r="T71" s="215">
        <v>2.25</v>
      </c>
    </row>
    <row r="72" spans="3:20" x14ac:dyDescent="0.25">
      <c r="C72">
        <v>14</v>
      </c>
      <c r="D72" s="220">
        <v>12.0100393295288</v>
      </c>
      <c r="E72" s="221">
        <v>3.6069273948669398</v>
      </c>
      <c r="F72" s="223">
        <v>3.69145679473877</v>
      </c>
      <c r="G72" s="222">
        <v>3.0494923591613801</v>
      </c>
      <c r="H72" s="214">
        <v>7.1374340057373002</v>
      </c>
      <c r="N72" s="217">
        <v>69</v>
      </c>
      <c r="O72" s="219">
        <f t="shared" si="5"/>
        <v>19.696485519409201</v>
      </c>
      <c r="P72" s="219">
        <v>140.25</v>
      </c>
      <c r="Q72" s="219">
        <v>132.52000000000001</v>
      </c>
      <c r="R72" s="219">
        <f t="shared" si="8"/>
        <v>39.551460266113303</v>
      </c>
      <c r="S72" s="219">
        <f t="shared" si="9"/>
        <v>7.37660455703735</v>
      </c>
      <c r="T72" s="215">
        <v>2.25</v>
      </c>
    </row>
    <row r="73" spans="3:20" x14ac:dyDescent="0.25">
      <c r="C73">
        <v>15</v>
      </c>
      <c r="D73" s="220">
        <v>19.1433296203613</v>
      </c>
      <c r="E73" s="221">
        <v>2.0512111186981201</v>
      </c>
      <c r="F73" s="223">
        <v>3.4543881416320801</v>
      </c>
      <c r="G73" s="222">
        <v>3.8243980407714799</v>
      </c>
      <c r="H73" s="214">
        <v>10.5574598312378</v>
      </c>
      <c r="N73" s="217">
        <v>70</v>
      </c>
      <c r="O73" s="219">
        <f t="shared" si="5"/>
        <v>20.8338947296143</v>
      </c>
      <c r="P73" s="219">
        <v>141.21</v>
      </c>
      <c r="Q73" s="219">
        <v>131.87</v>
      </c>
      <c r="R73" s="219">
        <f t="shared" si="8"/>
        <v>33.716766357421903</v>
      </c>
      <c r="S73" s="219">
        <f t="shared" si="9"/>
        <v>7.2878699302673304</v>
      </c>
      <c r="T73" s="215">
        <v>2.25</v>
      </c>
    </row>
    <row r="74" spans="3:20" x14ac:dyDescent="0.25">
      <c r="C74">
        <v>18</v>
      </c>
      <c r="D74" s="220">
        <v>4.0548934936523402</v>
      </c>
      <c r="E74" s="221">
        <v>12.7445411682129</v>
      </c>
      <c r="F74" s="223">
        <v>3.7235093116760298</v>
      </c>
      <c r="G74" s="222">
        <v>3.0667767524719198</v>
      </c>
      <c r="H74" s="214">
        <v>7.1869492530822798</v>
      </c>
      <c r="N74" s="217">
        <v>71</v>
      </c>
      <c r="O74" s="219">
        <v>144.21</v>
      </c>
      <c r="P74" s="219">
        <v>142.52000000000001</v>
      </c>
      <c r="Q74" s="219">
        <v>132.01</v>
      </c>
      <c r="R74" s="219">
        <v>132.21</v>
      </c>
      <c r="S74" s="219">
        <f t="shared" si="9"/>
        <v>6.7885084152221697</v>
      </c>
      <c r="T74" s="215">
        <v>2.25</v>
      </c>
    </row>
    <row r="75" spans="3:20" x14ac:dyDescent="0.25">
      <c r="C75">
        <v>17</v>
      </c>
      <c r="D75" s="220">
        <v>3.0646917819976802</v>
      </c>
      <c r="E75" s="221">
        <v>17.9046325683594</v>
      </c>
      <c r="F75" s="223">
        <v>3.43031907081604</v>
      </c>
      <c r="G75" s="222">
        <v>1.0194908380508401</v>
      </c>
      <c r="H75" s="214">
        <v>10.486371994018601</v>
      </c>
      <c r="N75" s="217">
        <v>72</v>
      </c>
      <c r="O75" s="219">
        <v>144.25</v>
      </c>
      <c r="P75" s="219">
        <v>142.01</v>
      </c>
      <c r="Q75" s="219">
        <v>131.97999999999999</v>
      </c>
      <c r="R75" s="219">
        <v>132.41</v>
      </c>
      <c r="S75" s="219">
        <f t="shared" si="9"/>
        <v>5.4144043922424299</v>
      </c>
      <c r="T75" s="215">
        <v>2.25</v>
      </c>
    </row>
    <row r="76" spans="3:20" x14ac:dyDescent="0.25">
      <c r="C76">
        <v>13</v>
      </c>
      <c r="D76" s="220">
        <v>18.847410202026399</v>
      </c>
      <c r="E76" s="221">
        <v>2.06495881080627</v>
      </c>
      <c r="F76" s="223">
        <v>3.39252710342407</v>
      </c>
      <c r="G76" s="222">
        <v>0.98581111431121804</v>
      </c>
      <c r="H76" s="214">
        <v>10.522661209106399</v>
      </c>
      <c r="N76" s="217">
        <v>73</v>
      </c>
      <c r="O76" s="219">
        <f t="shared" si="5"/>
        <v>54.807811737060497</v>
      </c>
      <c r="P76" s="219">
        <f t="shared" si="6"/>
        <v>27.2464694976807</v>
      </c>
      <c r="Q76" s="219">
        <v>124.12</v>
      </c>
      <c r="R76" s="219">
        <v>115.51</v>
      </c>
      <c r="S76" s="219">
        <f t="shared" si="9"/>
        <v>5.0017890930175799</v>
      </c>
      <c r="T76" s="215">
        <v>2.25</v>
      </c>
    </row>
    <row r="77" spans="3:20" x14ac:dyDescent="0.25">
      <c r="C77">
        <v>19</v>
      </c>
      <c r="D77" s="220">
        <v>3.0321629047393799</v>
      </c>
      <c r="E77" s="221">
        <v>17.943078994751001</v>
      </c>
      <c r="F77" s="223">
        <v>3.3932797908782999</v>
      </c>
      <c r="G77" s="222">
        <v>3.7776696681976301</v>
      </c>
      <c r="H77" s="214">
        <v>10.5431156158447</v>
      </c>
      <c r="N77" s="217">
        <v>74</v>
      </c>
      <c r="O77" s="219">
        <f t="shared" si="5"/>
        <v>49.108440399169901</v>
      </c>
      <c r="P77" s="219">
        <f t="shared" si="6"/>
        <v>29.579759597778299</v>
      </c>
      <c r="Q77" s="219">
        <v>122.25</v>
      </c>
      <c r="R77" s="219">
        <v>115.65</v>
      </c>
      <c r="S77" s="219">
        <f t="shared" si="9"/>
        <v>5.8072867393493697</v>
      </c>
      <c r="T77" s="215">
        <v>2.25</v>
      </c>
    </row>
    <row r="78" spans="3:20" x14ac:dyDescent="0.25">
      <c r="C78">
        <v>16</v>
      </c>
      <c r="D78" s="220">
        <v>0.47603842616081199</v>
      </c>
      <c r="E78" s="221">
        <v>13.309582710266101</v>
      </c>
      <c r="F78" s="223">
        <v>0.16937303543090801</v>
      </c>
      <c r="G78" s="222">
        <v>0.147185504436493</v>
      </c>
      <c r="H78" s="214">
        <v>2.03439569473267</v>
      </c>
      <c r="N78" s="217">
        <v>75</v>
      </c>
      <c r="O78" s="219">
        <f t="shared" si="5"/>
        <v>12.4099588394165</v>
      </c>
      <c r="P78" s="219">
        <f t="shared" si="6"/>
        <v>14.337476730346699</v>
      </c>
      <c r="Q78" s="219">
        <v>120.3</v>
      </c>
      <c r="R78" s="219">
        <f t="shared" si="8"/>
        <v>77.633949279785199</v>
      </c>
      <c r="S78" s="219">
        <f t="shared" si="9"/>
        <v>7.3519754409790004</v>
      </c>
      <c r="T78" s="215">
        <v>2.25</v>
      </c>
    </row>
    <row r="79" spans="3:20" x14ac:dyDescent="0.25">
      <c r="C79">
        <v>12</v>
      </c>
      <c r="D79" s="220">
        <v>13.4377737045288</v>
      </c>
      <c r="E79" s="221">
        <v>0.30441072583198497</v>
      </c>
      <c r="F79" s="223">
        <v>0.169110283255577</v>
      </c>
      <c r="G79" s="222">
        <v>0.14744676649570501</v>
      </c>
      <c r="H79" s="214">
        <v>2.03451347351074</v>
      </c>
      <c r="N79" s="217">
        <v>76</v>
      </c>
      <c r="O79" s="219">
        <f t="shared" si="5"/>
        <v>12.7564744949341</v>
      </c>
      <c r="P79" s="219">
        <f t="shared" si="6"/>
        <v>16.272089004516602</v>
      </c>
      <c r="Q79" s="219">
        <v>119.54</v>
      </c>
      <c r="R79" s="219">
        <f t="shared" si="8"/>
        <v>38.333221435546903</v>
      </c>
      <c r="S79" s="219">
        <f t="shared" si="9"/>
        <v>7.8293099403381303</v>
      </c>
      <c r="T79" s="215">
        <v>2.25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3"/>
  <sheetViews>
    <sheetView tabSelected="1" topLeftCell="D1" zoomScale="70" zoomScaleNormal="70" workbookViewId="0">
      <selection activeCell="AF86" sqref="AF86"/>
    </sheetView>
  </sheetViews>
  <sheetFormatPr defaultRowHeight="15" x14ac:dyDescent="0.25"/>
  <cols>
    <col min="2" max="2" width="16" customWidth="1"/>
    <col min="7" max="7" width="14" customWidth="1"/>
    <col min="8" max="8" width="9.5703125" customWidth="1"/>
    <col min="9" max="9" width="10.5703125" customWidth="1"/>
    <col min="12" max="12" width="12.140625" customWidth="1"/>
    <col min="48" max="48" width="12.7109375" bestFit="1" customWidth="1"/>
    <col min="53" max="53" width="24.85546875" customWidth="1"/>
  </cols>
  <sheetData>
    <row r="1" spans="1:54" ht="15.75" thickBot="1" x14ac:dyDescent="0.3">
      <c r="A1" s="259" t="s">
        <v>327</v>
      </c>
      <c r="B1" s="259"/>
      <c r="C1" s="259"/>
      <c r="F1" s="256" t="s">
        <v>329</v>
      </c>
      <c r="G1" s="257"/>
      <c r="H1" s="257"/>
      <c r="I1" s="258"/>
      <c r="K1" s="256" t="s">
        <v>11</v>
      </c>
      <c r="L1" s="257"/>
      <c r="M1" s="257"/>
      <c r="N1" s="258"/>
      <c r="P1" s="256" t="s">
        <v>330</v>
      </c>
      <c r="Q1" s="257"/>
      <c r="R1" s="257"/>
      <c r="S1" s="258"/>
      <c r="U1" s="256" t="s">
        <v>9</v>
      </c>
      <c r="V1" s="257"/>
      <c r="W1" s="257"/>
      <c r="X1" s="258"/>
      <c r="Z1" s="256" t="s">
        <v>335</v>
      </c>
      <c r="AA1" s="257"/>
      <c r="AB1" s="257"/>
      <c r="AC1" s="258"/>
      <c r="AE1" s="256" t="s">
        <v>336</v>
      </c>
      <c r="AF1" s="257"/>
      <c r="AG1" s="257"/>
      <c r="AH1" s="258"/>
      <c r="AJ1" s="256" t="s">
        <v>337</v>
      </c>
      <c r="AK1" s="257"/>
      <c r="AL1" s="257"/>
      <c r="AM1" s="258"/>
      <c r="AO1" s="256" t="s">
        <v>338</v>
      </c>
      <c r="AP1" s="257"/>
      <c r="AQ1" s="257"/>
      <c r="AR1" s="258"/>
      <c r="AT1" s="256" t="s">
        <v>339</v>
      </c>
      <c r="AU1" s="257"/>
      <c r="AV1" s="257"/>
      <c r="AW1" s="258"/>
    </row>
    <row r="2" spans="1:54" ht="19.5" thickBot="1" x14ac:dyDescent="0.3">
      <c r="A2">
        <v>59</v>
      </c>
      <c r="B2">
        <v>345</v>
      </c>
      <c r="C2">
        <v>310.5</v>
      </c>
      <c r="D2" s="194">
        <f>B2/1.1</f>
        <v>313.63636363636363</v>
      </c>
      <c r="F2" s="191" t="s">
        <v>331</v>
      </c>
      <c r="G2" s="192" t="s">
        <v>332</v>
      </c>
      <c r="H2" s="192" t="s">
        <v>333</v>
      </c>
      <c r="I2" s="193" t="s">
        <v>334</v>
      </c>
      <c r="J2" s="188"/>
      <c r="K2" s="191" t="s">
        <v>331</v>
      </c>
      <c r="L2" s="192" t="s">
        <v>332</v>
      </c>
      <c r="M2" s="192" t="s">
        <v>333</v>
      </c>
      <c r="N2" s="193" t="s">
        <v>334</v>
      </c>
      <c r="P2" s="191" t="s">
        <v>331</v>
      </c>
      <c r="Q2" s="192" t="s">
        <v>332</v>
      </c>
      <c r="R2" s="192" t="s">
        <v>333</v>
      </c>
      <c r="S2" s="193" t="s">
        <v>334</v>
      </c>
      <c r="U2" s="191" t="s">
        <v>331</v>
      </c>
      <c r="V2" s="192" t="s">
        <v>332</v>
      </c>
      <c r="W2" s="192" t="s">
        <v>333</v>
      </c>
      <c r="X2" s="193" t="s">
        <v>334</v>
      </c>
      <c r="Z2" s="191" t="s">
        <v>331</v>
      </c>
      <c r="AA2" s="192" t="s">
        <v>332</v>
      </c>
      <c r="AB2" s="192" t="s">
        <v>333</v>
      </c>
      <c r="AC2" s="193" t="s">
        <v>334</v>
      </c>
      <c r="AE2" s="191" t="s">
        <v>331</v>
      </c>
      <c r="AF2" s="192" t="s">
        <v>332</v>
      </c>
      <c r="AG2" s="192" t="s">
        <v>333</v>
      </c>
      <c r="AH2" s="193" t="s">
        <v>334</v>
      </c>
      <c r="AJ2" s="191" t="s">
        <v>331</v>
      </c>
      <c r="AK2" s="192" t="s">
        <v>332</v>
      </c>
      <c r="AL2" s="192" t="s">
        <v>333</v>
      </c>
      <c r="AM2" s="193" t="s">
        <v>334</v>
      </c>
      <c r="AO2" s="191" t="s">
        <v>331</v>
      </c>
      <c r="AP2" s="192" t="s">
        <v>332</v>
      </c>
      <c r="AQ2" s="192" t="s">
        <v>333</v>
      </c>
      <c r="AR2" s="193" t="s">
        <v>334</v>
      </c>
      <c r="AT2" s="191" t="s">
        <v>331</v>
      </c>
      <c r="AU2" s="192" t="s">
        <v>332</v>
      </c>
      <c r="AV2" s="192" t="s">
        <v>333</v>
      </c>
      <c r="AW2" s="193" t="s">
        <v>334</v>
      </c>
    </row>
    <row r="3" spans="1:54" ht="16.5" thickBot="1" x14ac:dyDescent="0.3">
      <c r="A3">
        <v>60</v>
      </c>
      <c r="B3">
        <v>345</v>
      </c>
      <c r="C3">
        <v>310.5</v>
      </c>
      <c r="D3" s="194">
        <f t="shared" ref="D3:D66" si="0">B3/1.1</f>
        <v>313.63636363636363</v>
      </c>
      <c r="F3" s="190">
        <v>1</v>
      </c>
      <c r="G3" s="195">
        <f>Результаты!U4</f>
        <v>115.951866149902</v>
      </c>
      <c r="H3" s="190">
        <f>VLOOKUP(F3,$A$2:$C$200,3,0)</f>
        <v>292.5</v>
      </c>
      <c r="I3" s="195">
        <f>H3/G3</f>
        <v>2.5225984687633871</v>
      </c>
      <c r="J3" s="188"/>
      <c r="K3" s="190">
        <v>1</v>
      </c>
      <c r="L3" s="195">
        <f>Результаты!V4</f>
        <v>108.96778869628901</v>
      </c>
      <c r="M3" s="190">
        <f>VLOOKUP(K3,$A$2:$C$200,3,0)</f>
        <v>292.5</v>
      </c>
      <c r="N3" s="195">
        <f>M3/L3</f>
        <v>2.6842794875396176</v>
      </c>
      <c r="P3" s="190">
        <v>1</v>
      </c>
      <c r="Q3" s="195">
        <f>Результаты!S4</f>
        <v>134.592361450195</v>
      </c>
      <c r="R3" s="190">
        <f>VLOOKUP(P3,$A$2:$C$200,2,0)</f>
        <v>325</v>
      </c>
      <c r="S3" s="195">
        <f>R3/Q3</f>
        <v>2.4146986983378254</v>
      </c>
      <c r="U3" s="190">
        <v>1</v>
      </c>
      <c r="V3" s="195">
        <f>Результаты!T4</f>
        <v>138.76734924316401</v>
      </c>
      <c r="W3" s="190">
        <f>VLOOKUP(U3,$A$2:$C$200,3,0)</f>
        <v>292.5</v>
      </c>
      <c r="X3" s="195">
        <f>W3/V3</f>
        <v>2.1078445440897489</v>
      </c>
      <c r="Z3" s="190">
        <v>1</v>
      </c>
      <c r="AA3" s="195">
        <f>Результаты!W4</f>
        <v>80.460999999999999</v>
      </c>
      <c r="AB3" s="190">
        <f>VLOOKUP(Z3,$A$2:$C$200,3,0)</f>
        <v>292.5</v>
      </c>
      <c r="AC3" s="195">
        <f>AB3/AA3</f>
        <v>3.6353015746759301</v>
      </c>
      <c r="AE3" s="190">
        <v>1</v>
      </c>
      <c r="AF3" s="195">
        <f>Результаты!X4</f>
        <v>80.08</v>
      </c>
      <c r="AG3" s="190">
        <f>VLOOKUP(AE3,$A$2:$C$200,3,0)</f>
        <v>292.5</v>
      </c>
      <c r="AH3" s="195">
        <f>AG3/AF3</f>
        <v>3.6525974025974026</v>
      </c>
      <c r="AJ3" s="190">
        <v>1</v>
      </c>
      <c r="AK3" s="195">
        <f>Результаты!Y4</f>
        <v>79.87</v>
      </c>
      <c r="AL3" s="190">
        <f>VLOOKUP(AJ3,$A$2:$C$200,3,0)</f>
        <v>292.5</v>
      </c>
      <c r="AM3" s="195">
        <f>AL3/AK3</f>
        <v>3.6622010767497182</v>
      </c>
      <c r="AO3" s="190">
        <v>1</v>
      </c>
      <c r="AP3" s="195">
        <f>Результаты!Z4</f>
        <v>3.30484819412231</v>
      </c>
      <c r="AQ3" s="190">
        <f>VLOOKUP(AO3,$A$2:$C$200,3,0)</f>
        <v>292.5</v>
      </c>
      <c r="AR3" s="195">
        <f>AQ3/AP3</f>
        <v>88.506334578457427</v>
      </c>
      <c r="AT3" s="190">
        <v>1</v>
      </c>
      <c r="AU3" s="195">
        <f>Результаты!AA4/1.028469</f>
        <v>178.54917717614433</v>
      </c>
      <c r="AV3" s="195">
        <f>VLOOKUP(AT3,$A$2:$D$200,4,0)</f>
        <v>295.45454545454544</v>
      </c>
      <c r="AW3" s="195">
        <f>AV3/AU3</f>
        <v>1.6547516495305399</v>
      </c>
      <c r="AY3" s="198"/>
      <c r="AZ3" s="200"/>
      <c r="BA3" s="201" t="s">
        <v>340</v>
      </c>
      <c r="BB3" s="198"/>
    </row>
    <row r="4" spans="1:54" ht="16.5" thickBot="1" x14ac:dyDescent="0.3">
      <c r="A4">
        <v>61</v>
      </c>
      <c r="B4">
        <v>345</v>
      </c>
      <c r="C4">
        <v>310.5</v>
      </c>
      <c r="D4" s="194">
        <f t="shared" si="0"/>
        <v>313.63636363636363</v>
      </c>
      <c r="F4" s="189">
        <v>2</v>
      </c>
      <c r="G4" s="196">
        <f>Результаты!U5</f>
        <v>214.46710205078099</v>
      </c>
      <c r="H4" s="189">
        <f t="shared" ref="H4:H67" si="1">VLOOKUP(F4,$A$2:$C$200,3,0)</f>
        <v>292.5</v>
      </c>
      <c r="I4" s="195">
        <f t="shared" ref="I4:I67" si="2">H4/G4</f>
        <v>1.3638455371618841</v>
      </c>
      <c r="J4" s="188"/>
      <c r="K4" s="189">
        <v>2</v>
      </c>
      <c r="L4" s="196">
        <f>Результаты!V5</f>
        <v>213.37368774414099</v>
      </c>
      <c r="M4" s="189">
        <f t="shared" ref="M4:M67" si="3">VLOOKUP(K4,$A$2:$C$200,3,0)</f>
        <v>292.5</v>
      </c>
      <c r="N4" s="195">
        <f t="shared" ref="N4:N67" si="4">M4/L4</f>
        <v>1.3708344411741167</v>
      </c>
      <c r="P4" s="189">
        <v>2</v>
      </c>
      <c r="Q4" s="196">
        <f>Результаты!S5</f>
        <v>222.80513000488301</v>
      </c>
      <c r="R4" s="189">
        <f t="shared" ref="R4:R67" si="5">VLOOKUP(P4,$A$2:$C$200,2,0)</f>
        <v>325</v>
      </c>
      <c r="S4" s="195">
        <f t="shared" ref="S4:S67" si="6">R4/Q4</f>
        <v>1.4586737746697183</v>
      </c>
      <c r="U4" s="189">
        <v>2</v>
      </c>
      <c r="V4" s="196">
        <f>Результаты!T5</f>
        <v>222.30839538574199</v>
      </c>
      <c r="W4" s="189">
        <f t="shared" ref="W4:W67" si="7">VLOOKUP(U4,$A$2:$C$200,3,0)</f>
        <v>292.5</v>
      </c>
      <c r="X4" s="195">
        <f t="shared" ref="X4:X67" si="8">W4/V4</f>
        <v>1.3157397834322178</v>
      </c>
      <c r="Z4" s="189">
        <v>2</v>
      </c>
      <c r="AA4" s="196">
        <v>213.54</v>
      </c>
      <c r="AB4" s="189">
        <f t="shared" ref="AB4:AB67" si="9">VLOOKUP(Z4,$A$2:$C$200,3,0)</f>
        <v>292.5</v>
      </c>
      <c r="AC4" s="195">
        <f t="shared" ref="AC4:AC67" si="10">AB4/AA4</f>
        <v>1.3697667884237146</v>
      </c>
      <c r="AE4" s="189">
        <v>2</v>
      </c>
      <c r="AF4" s="196">
        <v>217.45</v>
      </c>
      <c r="AG4" s="189">
        <f t="shared" ref="AG4:AG67" si="11">VLOOKUP(AE4,$A$2:$C$200,3,0)</f>
        <v>292.5</v>
      </c>
      <c r="AH4" s="195">
        <f t="shared" ref="AH4:AH67" si="12">AG4/AF4</f>
        <v>1.3451368130604737</v>
      </c>
      <c r="AJ4" s="189">
        <v>2</v>
      </c>
      <c r="AK4" s="196">
        <v>216.13</v>
      </c>
      <c r="AL4" s="189">
        <f t="shared" ref="AL4:AL67" si="13">VLOOKUP(AJ4,$A$2:$C$200,3,0)</f>
        <v>292.5</v>
      </c>
      <c r="AM4" s="195">
        <f t="shared" ref="AM4:AM67" si="14">AL4/AK4</f>
        <v>1.3533521491694813</v>
      </c>
      <c r="AO4" s="189">
        <v>2</v>
      </c>
      <c r="AP4" s="196">
        <f>Результаты!Z5</f>
        <v>1.5099006891250599</v>
      </c>
      <c r="AQ4" s="189">
        <f t="shared" ref="AQ4:AQ67" si="15">VLOOKUP(AO4,$A$2:$C$200,3,0)</f>
        <v>292.5</v>
      </c>
      <c r="AR4" s="195">
        <f t="shared" ref="AR4:AR67" si="16">AQ4/AP4</f>
        <v>193.72135009057752</v>
      </c>
      <c r="AT4" s="189">
        <v>2</v>
      </c>
      <c r="AU4" s="202">
        <f>290.1/1.028469</f>
        <v>282.06975611321292</v>
      </c>
      <c r="AV4" s="195">
        <f t="shared" ref="AV4:AV67" si="17">VLOOKUP(AT4,$A$2:$D$200,4,0)</f>
        <v>295.45454545454544</v>
      </c>
      <c r="AW4" s="195">
        <f t="shared" ref="AW4:AW67" si="18">AV4/AU4</f>
        <v>1.0474520541506065</v>
      </c>
      <c r="AY4" s="198"/>
      <c r="AZ4" s="199"/>
      <c r="BA4" s="198"/>
      <c r="BB4" s="198"/>
    </row>
    <row r="5" spans="1:54" ht="16.5" thickBot="1" x14ac:dyDescent="0.3">
      <c r="A5">
        <v>62</v>
      </c>
      <c r="B5">
        <v>345</v>
      </c>
      <c r="C5">
        <v>310.5</v>
      </c>
      <c r="D5" s="194">
        <f t="shared" si="0"/>
        <v>313.63636363636363</v>
      </c>
      <c r="F5" s="189">
        <v>3</v>
      </c>
      <c r="G5" s="196">
        <f>Результаты!U6</f>
        <v>115.900192260742</v>
      </c>
      <c r="H5" s="189">
        <f t="shared" si="1"/>
        <v>292.5</v>
      </c>
      <c r="I5" s="195">
        <f t="shared" si="2"/>
        <v>2.5237231646860376</v>
      </c>
      <c r="J5" s="188"/>
      <c r="K5" s="189">
        <v>3</v>
      </c>
      <c r="L5" s="196">
        <f>Результаты!V6</f>
        <v>108.969245910645</v>
      </c>
      <c r="M5" s="189">
        <f t="shared" si="3"/>
        <v>292.5</v>
      </c>
      <c r="N5" s="195">
        <f t="shared" si="4"/>
        <v>2.6842435914427689</v>
      </c>
      <c r="P5" s="189">
        <v>3</v>
      </c>
      <c r="Q5" s="196">
        <f>Результаты!S6</f>
        <v>134.47801208496099</v>
      </c>
      <c r="R5" s="189">
        <f t="shared" si="5"/>
        <v>325</v>
      </c>
      <c r="S5" s="195">
        <f t="shared" si="6"/>
        <v>2.4167519653299929</v>
      </c>
      <c r="U5" s="189">
        <v>3</v>
      </c>
      <c r="V5" s="196">
        <f>Результаты!T6</f>
        <v>138.747146606445</v>
      </c>
      <c r="W5" s="189">
        <f t="shared" si="7"/>
        <v>292.5</v>
      </c>
      <c r="X5" s="195">
        <f t="shared" si="8"/>
        <v>2.1081514622399662</v>
      </c>
      <c r="Z5" s="189">
        <v>3</v>
      </c>
      <c r="AA5" s="196">
        <f>Результаты!W6</f>
        <v>80.459000000000003</v>
      </c>
      <c r="AB5" s="189">
        <f t="shared" si="9"/>
        <v>292.5</v>
      </c>
      <c r="AC5" s="195">
        <f t="shared" si="10"/>
        <v>3.6353919387514138</v>
      </c>
      <c r="AE5" s="189">
        <v>3</v>
      </c>
      <c r="AF5" s="196">
        <f>Результаты!X6</f>
        <v>80.076999999999998</v>
      </c>
      <c r="AG5" s="189">
        <f t="shared" si="11"/>
        <v>292.5</v>
      </c>
      <c r="AH5" s="195">
        <f t="shared" si="12"/>
        <v>3.6527342432908325</v>
      </c>
      <c r="AJ5" s="189">
        <v>3</v>
      </c>
      <c r="AK5" s="196">
        <f>Результаты!Y6</f>
        <v>79.87</v>
      </c>
      <c r="AL5" s="189">
        <f t="shared" si="13"/>
        <v>292.5</v>
      </c>
      <c r="AM5" s="195">
        <f t="shared" si="14"/>
        <v>3.6622010767497182</v>
      </c>
      <c r="AO5" s="189">
        <v>3</v>
      </c>
      <c r="AP5" s="196">
        <f>Результаты!Z6</f>
        <v>3.3137116432189901</v>
      </c>
      <c r="AQ5" s="189">
        <f t="shared" si="15"/>
        <v>292.5</v>
      </c>
      <c r="AR5" s="195">
        <f t="shared" si="16"/>
        <v>88.269599619072778</v>
      </c>
      <c r="AT5" s="189">
        <v>3</v>
      </c>
      <c r="AU5" s="195">
        <f>Результаты!AA6/1.028469</f>
        <v>178.54306457470085</v>
      </c>
      <c r="AV5" s="195">
        <f t="shared" si="17"/>
        <v>295.45454545454544</v>
      </c>
      <c r="AW5" s="195">
        <f t="shared" si="18"/>
        <v>1.6548083016180661</v>
      </c>
      <c r="AY5" s="198"/>
      <c r="AZ5" s="202"/>
      <c r="BA5" s="201" t="s">
        <v>341</v>
      </c>
      <c r="BB5" s="198"/>
    </row>
    <row r="6" spans="1:54" ht="16.5" thickBot="1" x14ac:dyDescent="0.3">
      <c r="A6">
        <v>63</v>
      </c>
      <c r="B6">
        <v>345</v>
      </c>
      <c r="C6">
        <v>310.5</v>
      </c>
      <c r="D6" s="194">
        <f t="shared" si="0"/>
        <v>313.63636363636363</v>
      </c>
      <c r="F6" s="189">
        <v>4</v>
      </c>
      <c r="G6" s="196">
        <f>Результаты!U7</f>
        <v>214.417724609375</v>
      </c>
      <c r="H6" s="189">
        <f t="shared" si="1"/>
        <v>292.5</v>
      </c>
      <c r="I6" s="195">
        <f t="shared" si="2"/>
        <v>1.3641596119578028</v>
      </c>
      <c r="J6" s="188"/>
      <c r="K6" s="189">
        <v>4</v>
      </c>
      <c r="L6" s="196">
        <f>Результаты!V7</f>
        <v>213.32571411132801</v>
      </c>
      <c r="M6" s="189">
        <f t="shared" si="3"/>
        <v>292.5</v>
      </c>
      <c r="N6" s="195">
        <f t="shared" si="4"/>
        <v>1.3711427205036961</v>
      </c>
      <c r="P6" s="189">
        <v>4</v>
      </c>
      <c r="Q6" s="196">
        <f>Результаты!S7</f>
        <v>221.61198425293</v>
      </c>
      <c r="R6" s="189">
        <f t="shared" si="5"/>
        <v>325</v>
      </c>
      <c r="S6" s="195">
        <f t="shared" si="6"/>
        <v>1.4665271875778672</v>
      </c>
      <c r="U6" s="189">
        <v>4</v>
      </c>
      <c r="V6" s="196">
        <f>Результаты!T7</f>
        <v>223.41114807128901</v>
      </c>
      <c r="W6" s="189">
        <f t="shared" si="7"/>
        <v>292.5</v>
      </c>
      <c r="X6" s="195">
        <f t="shared" si="8"/>
        <v>1.3092453197844236</v>
      </c>
      <c r="Z6" s="189">
        <v>4</v>
      </c>
      <c r="AA6" s="196">
        <v>215.45</v>
      </c>
      <c r="AB6" s="189">
        <f t="shared" si="9"/>
        <v>292.5</v>
      </c>
      <c r="AC6" s="195">
        <f t="shared" si="10"/>
        <v>1.3576235785565096</v>
      </c>
      <c r="AE6" s="189">
        <v>4</v>
      </c>
      <c r="AF6" s="196">
        <v>218.13</v>
      </c>
      <c r="AG6" s="189">
        <f t="shared" si="11"/>
        <v>292.5</v>
      </c>
      <c r="AH6" s="195">
        <f t="shared" si="12"/>
        <v>1.340943474075093</v>
      </c>
      <c r="AJ6" s="189">
        <v>4</v>
      </c>
      <c r="AK6" s="196">
        <v>217.24</v>
      </c>
      <c r="AL6" s="189">
        <f t="shared" si="13"/>
        <v>292.5</v>
      </c>
      <c r="AM6" s="195">
        <f t="shared" si="14"/>
        <v>1.346437120235684</v>
      </c>
      <c r="AO6" s="189">
        <v>4</v>
      </c>
      <c r="AP6" s="196">
        <f>Результаты!Z7</f>
        <v>1.51311194896698</v>
      </c>
      <c r="AQ6" s="189">
        <f t="shared" si="15"/>
        <v>292.5</v>
      </c>
      <c r="AR6" s="195">
        <f t="shared" si="16"/>
        <v>193.31021752864572</v>
      </c>
      <c r="AT6" s="189">
        <v>4</v>
      </c>
      <c r="AU6" s="202">
        <f>289.54/1.028469</f>
        <v>281.52525744577622</v>
      </c>
      <c r="AV6" s="195">
        <f t="shared" si="17"/>
        <v>295.45454545454544</v>
      </c>
      <c r="AW6" s="195">
        <f t="shared" si="18"/>
        <v>1.0494779336502413</v>
      </c>
      <c r="AY6" s="198"/>
      <c r="AZ6" s="199"/>
      <c r="BA6" s="198"/>
      <c r="BB6" s="198"/>
    </row>
    <row r="7" spans="1:54" ht="16.5" thickBot="1" x14ac:dyDescent="0.3">
      <c r="A7">
        <v>64</v>
      </c>
      <c r="B7">
        <v>345</v>
      </c>
      <c r="C7">
        <v>310.5</v>
      </c>
      <c r="D7" s="194">
        <f t="shared" si="0"/>
        <v>313.63636363636363</v>
      </c>
      <c r="F7" s="189">
        <v>5</v>
      </c>
      <c r="G7" s="196">
        <f>Результаты!U8</f>
        <v>232.06919860839801</v>
      </c>
      <c r="H7" s="189">
        <f t="shared" si="1"/>
        <v>292.5</v>
      </c>
      <c r="I7" s="195">
        <f t="shared" si="2"/>
        <v>1.2603999227556912</v>
      </c>
      <c r="J7" s="188"/>
      <c r="K7" s="189">
        <v>5</v>
      </c>
      <c r="L7" s="196">
        <f>Результаты!V8</f>
        <v>235.01139831543</v>
      </c>
      <c r="M7" s="189">
        <f t="shared" si="3"/>
        <v>292.5</v>
      </c>
      <c r="N7" s="195">
        <f t="shared" si="4"/>
        <v>1.244620482651694</v>
      </c>
      <c r="P7" s="189">
        <v>5</v>
      </c>
      <c r="Q7" s="196">
        <f>Результаты!S8</f>
        <v>246.18620300293</v>
      </c>
      <c r="R7" s="189">
        <f t="shared" si="5"/>
        <v>325</v>
      </c>
      <c r="S7" s="195">
        <f t="shared" si="6"/>
        <v>1.3201389681294691</v>
      </c>
      <c r="U7" s="189">
        <v>5</v>
      </c>
      <c r="V7" s="196">
        <f>Результаты!T8</f>
        <v>244.58692932128901</v>
      </c>
      <c r="W7" s="189">
        <f t="shared" si="7"/>
        <v>292.5</v>
      </c>
      <c r="X7" s="195">
        <f t="shared" si="8"/>
        <v>1.1958938313329592</v>
      </c>
      <c r="Z7" s="189">
        <v>5</v>
      </c>
      <c r="AA7" s="196">
        <v>230.15</v>
      </c>
      <c r="AB7" s="189">
        <f t="shared" si="9"/>
        <v>292.5</v>
      </c>
      <c r="AC7" s="195">
        <f t="shared" si="10"/>
        <v>1.2709102759070172</v>
      </c>
      <c r="AE7" s="189">
        <v>5</v>
      </c>
      <c r="AF7" s="196">
        <v>231.21</v>
      </c>
      <c r="AG7" s="189">
        <f t="shared" si="11"/>
        <v>292.5</v>
      </c>
      <c r="AH7" s="195">
        <f t="shared" si="12"/>
        <v>1.2650836901518101</v>
      </c>
      <c r="AJ7" s="189">
        <v>5</v>
      </c>
      <c r="AK7" s="196">
        <v>230.87</v>
      </c>
      <c r="AL7" s="189">
        <f t="shared" si="13"/>
        <v>292.5</v>
      </c>
      <c r="AM7" s="195">
        <f t="shared" si="14"/>
        <v>1.2669467665785941</v>
      </c>
      <c r="AO7" s="189">
        <v>5</v>
      </c>
      <c r="AP7" s="196">
        <f>Результаты!Z8</f>
        <v>1.3477135896682699</v>
      </c>
      <c r="AQ7" s="189">
        <f t="shared" si="15"/>
        <v>292.5</v>
      </c>
      <c r="AR7" s="195">
        <f t="shared" si="16"/>
        <v>217.03424395386321</v>
      </c>
      <c r="AT7" s="189">
        <v>5</v>
      </c>
      <c r="AU7" s="202">
        <f>292.22/1.028469</f>
        <v>284.13107249708059</v>
      </c>
      <c r="AV7" s="195">
        <f t="shared" si="17"/>
        <v>295.45454545454544</v>
      </c>
      <c r="AW7" s="195">
        <f t="shared" si="18"/>
        <v>1.0398529905861711</v>
      </c>
      <c r="AY7" s="198"/>
      <c r="AZ7" s="199"/>
      <c r="BA7" s="198"/>
      <c r="BB7" s="198"/>
    </row>
    <row r="8" spans="1:54" ht="16.5" thickBot="1" x14ac:dyDescent="0.3">
      <c r="A8">
        <v>65</v>
      </c>
      <c r="B8">
        <v>345</v>
      </c>
      <c r="C8">
        <v>310.5</v>
      </c>
      <c r="D8" s="194">
        <f t="shared" si="0"/>
        <v>313.63636363636363</v>
      </c>
      <c r="F8" s="189">
        <v>6</v>
      </c>
      <c r="G8" s="196">
        <f>Результаты!U9</f>
        <v>232.28727722168</v>
      </c>
      <c r="H8" s="189">
        <f t="shared" si="1"/>
        <v>292.5</v>
      </c>
      <c r="I8" s="195">
        <f t="shared" si="2"/>
        <v>1.2592166196035648</v>
      </c>
      <c r="J8" s="188"/>
      <c r="K8" s="189">
        <v>6</v>
      </c>
      <c r="L8" s="196">
        <f>Результаты!V9</f>
        <v>235.09634399414099</v>
      </c>
      <c r="M8" s="189">
        <f t="shared" si="3"/>
        <v>292.5</v>
      </c>
      <c r="N8" s="195">
        <f t="shared" si="4"/>
        <v>1.2441707728440456</v>
      </c>
      <c r="P8" s="189">
        <v>6</v>
      </c>
      <c r="Q8" s="196">
        <f>Результаты!S9</f>
        <v>246.62388610839801</v>
      </c>
      <c r="R8" s="189">
        <f t="shared" si="5"/>
        <v>325</v>
      </c>
      <c r="S8" s="195">
        <f t="shared" si="6"/>
        <v>1.3177961191364631</v>
      </c>
      <c r="U8" s="189">
        <v>6</v>
      </c>
      <c r="V8" s="196">
        <f>Результаты!T9</f>
        <v>244.71859741210901</v>
      </c>
      <c r="W8" s="189">
        <f t="shared" si="7"/>
        <v>292.5</v>
      </c>
      <c r="X8" s="195">
        <f t="shared" si="8"/>
        <v>1.1952503940982735</v>
      </c>
      <c r="Z8" s="189">
        <v>6</v>
      </c>
      <c r="AA8" s="196">
        <v>230.14</v>
      </c>
      <c r="AB8" s="189">
        <f t="shared" si="9"/>
        <v>292.5</v>
      </c>
      <c r="AC8" s="195">
        <f t="shared" si="10"/>
        <v>1.2709654992613193</v>
      </c>
      <c r="AE8" s="189">
        <v>6</v>
      </c>
      <c r="AF8" s="196">
        <v>231.25</v>
      </c>
      <c r="AG8" s="189">
        <f t="shared" si="11"/>
        <v>292.5</v>
      </c>
      <c r="AH8" s="195">
        <f t="shared" si="12"/>
        <v>1.2648648648648648</v>
      </c>
      <c r="AJ8" s="189">
        <v>6</v>
      </c>
      <c r="AK8" s="196">
        <v>230.78</v>
      </c>
      <c r="AL8" s="189">
        <f t="shared" si="13"/>
        <v>292.5</v>
      </c>
      <c r="AM8" s="195">
        <f t="shared" si="14"/>
        <v>1.2674408527602046</v>
      </c>
      <c r="AO8" s="189">
        <v>6</v>
      </c>
      <c r="AP8" s="196">
        <f>Результаты!Z9</f>
        <v>1.3598937988281301</v>
      </c>
      <c r="AQ8" s="189">
        <f t="shared" si="15"/>
        <v>292.5</v>
      </c>
      <c r="AR8" s="195">
        <f t="shared" si="16"/>
        <v>215.09032562105796</v>
      </c>
      <c r="AT8" s="189">
        <v>6</v>
      </c>
      <c r="AU8" s="202">
        <f>291.89/1.028469</f>
        <v>283.81020721091249</v>
      </c>
      <c r="AV8" s="195">
        <f t="shared" si="17"/>
        <v>295.45454545454544</v>
      </c>
      <c r="AW8" s="195">
        <f t="shared" si="18"/>
        <v>1.0410286097813934</v>
      </c>
      <c r="AY8" s="198"/>
      <c r="AZ8" s="199"/>
      <c r="BA8" s="198"/>
      <c r="BB8" s="198"/>
    </row>
    <row r="9" spans="1:54" ht="15.75" x14ac:dyDescent="0.25">
      <c r="A9">
        <v>66</v>
      </c>
      <c r="B9">
        <v>345</v>
      </c>
      <c r="C9">
        <v>310.5</v>
      </c>
      <c r="D9" s="194">
        <f t="shared" si="0"/>
        <v>313.63636363636363</v>
      </c>
      <c r="F9" s="189">
        <v>7</v>
      </c>
      <c r="G9" s="196">
        <f>Результаты!U10</f>
        <v>150.76634216308599</v>
      </c>
      <c r="H9" s="189">
        <f t="shared" si="1"/>
        <v>274.5</v>
      </c>
      <c r="I9" s="195">
        <f t="shared" si="2"/>
        <v>1.8206981482847786</v>
      </c>
      <c r="J9" s="188"/>
      <c r="K9" s="189">
        <v>7</v>
      </c>
      <c r="L9" s="196">
        <f>Результаты!V10</f>
        <v>150.86776733398401</v>
      </c>
      <c r="M9" s="189">
        <f t="shared" si="3"/>
        <v>274.5</v>
      </c>
      <c r="N9" s="195">
        <f t="shared" si="4"/>
        <v>1.8194741318887866</v>
      </c>
      <c r="P9" s="189">
        <v>7</v>
      </c>
      <c r="Q9" s="196">
        <f>Результаты!S10</f>
        <v>164.12272644043</v>
      </c>
      <c r="R9" s="189">
        <f t="shared" si="5"/>
        <v>305</v>
      </c>
      <c r="S9" s="195">
        <f t="shared" si="6"/>
        <v>1.8583654233327815</v>
      </c>
      <c r="U9" s="189">
        <v>7</v>
      </c>
      <c r="V9" s="196">
        <f>Результаты!T10</f>
        <v>151.111251831055</v>
      </c>
      <c r="W9" s="189">
        <f t="shared" si="7"/>
        <v>274.5</v>
      </c>
      <c r="X9" s="195">
        <f t="shared" si="8"/>
        <v>1.816542426019313</v>
      </c>
      <c r="Z9" s="189">
        <v>7</v>
      </c>
      <c r="AA9" s="196">
        <f>Результаты!W10</f>
        <v>150.32829284668</v>
      </c>
      <c r="AB9" s="189">
        <f t="shared" si="9"/>
        <v>274.5</v>
      </c>
      <c r="AC9" s="195">
        <f t="shared" si="10"/>
        <v>1.8260035739244567</v>
      </c>
      <c r="AE9" s="189">
        <v>7</v>
      </c>
      <c r="AF9" s="196">
        <f>Результаты!X10</f>
        <v>150.37445068359401</v>
      </c>
      <c r="AG9" s="189">
        <f t="shared" si="11"/>
        <v>274.5</v>
      </c>
      <c r="AH9" s="195">
        <f t="shared" si="12"/>
        <v>1.8254430772790062</v>
      </c>
      <c r="AJ9" s="189">
        <v>7</v>
      </c>
      <c r="AK9" s="196">
        <f>Результаты!Y10</f>
        <v>150.37429809570301</v>
      </c>
      <c r="AL9" s="189">
        <f t="shared" si="13"/>
        <v>274.5</v>
      </c>
      <c r="AM9" s="195">
        <f t="shared" si="14"/>
        <v>1.8254449295936159</v>
      </c>
      <c r="AO9" s="189">
        <v>7</v>
      </c>
      <c r="AP9" s="196">
        <f>Результаты!Z10</f>
        <v>0.57420521974563599</v>
      </c>
      <c r="AQ9" s="189">
        <f t="shared" si="15"/>
        <v>274.5</v>
      </c>
      <c r="AR9" s="195">
        <f t="shared" si="16"/>
        <v>478.05208061605441</v>
      </c>
      <c r="AT9" s="189">
        <v>7</v>
      </c>
      <c r="AU9" s="195">
        <f>Результаты!AA10/1.028469</f>
        <v>210.47878107094914</v>
      </c>
      <c r="AV9" s="195">
        <f t="shared" si="17"/>
        <v>277.27272727272725</v>
      </c>
      <c r="AW9" s="195">
        <f t="shared" si="18"/>
        <v>1.3173428972836121</v>
      </c>
      <c r="AY9" s="198"/>
      <c r="AZ9" s="199"/>
      <c r="BA9" s="198"/>
      <c r="BB9" s="198"/>
    </row>
    <row r="10" spans="1:54" ht="15.75" x14ac:dyDescent="0.25">
      <c r="A10">
        <v>67</v>
      </c>
      <c r="B10">
        <v>345</v>
      </c>
      <c r="C10">
        <v>310.5</v>
      </c>
      <c r="D10" s="194">
        <f t="shared" si="0"/>
        <v>313.63636363636363</v>
      </c>
      <c r="F10" s="189">
        <v>8</v>
      </c>
      <c r="G10" s="196">
        <f>Результаты!U11</f>
        <v>163.30923461914099</v>
      </c>
      <c r="H10" s="189">
        <f t="shared" si="1"/>
        <v>274.5</v>
      </c>
      <c r="I10" s="195">
        <f t="shared" si="2"/>
        <v>1.6808602443099483</v>
      </c>
      <c r="J10" s="188"/>
      <c r="K10" s="189">
        <v>8</v>
      </c>
      <c r="L10" s="196">
        <f>Результаты!V11</f>
        <v>164.378005981445</v>
      </c>
      <c r="M10" s="189">
        <f t="shared" si="3"/>
        <v>274.5</v>
      </c>
      <c r="N10" s="195">
        <f t="shared" si="4"/>
        <v>1.6699314385830035</v>
      </c>
      <c r="P10" s="189">
        <v>8</v>
      </c>
      <c r="Q10" s="196">
        <f>Результаты!S11</f>
        <v>181.196701049805</v>
      </c>
      <c r="R10" s="189">
        <f t="shared" si="5"/>
        <v>305</v>
      </c>
      <c r="S10" s="195">
        <f t="shared" si="6"/>
        <v>1.6832536035861136</v>
      </c>
      <c r="U10" s="189">
        <v>8</v>
      </c>
      <c r="V10" s="196">
        <f>Результаты!T11</f>
        <v>162.30116271972699</v>
      </c>
      <c r="W10" s="189">
        <f t="shared" si="7"/>
        <v>274.5</v>
      </c>
      <c r="X10" s="195">
        <f t="shared" si="8"/>
        <v>1.6913002679717448</v>
      </c>
      <c r="Z10" s="189">
        <v>8</v>
      </c>
      <c r="AA10" s="196">
        <f>Результаты!W11</f>
        <v>164.90725708007801</v>
      </c>
      <c r="AB10" s="189">
        <f t="shared" si="9"/>
        <v>274.5</v>
      </c>
      <c r="AC10" s="195">
        <f t="shared" si="10"/>
        <v>1.6645719834312955</v>
      </c>
      <c r="AE10" s="189">
        <v>8</v>
      </c>
      <c r="AF10" s="196">
        <f>Результаты!X11</f>
        <v>165.07083129882801</v>
      </c>
      <c r="AG10" s="189">
        <f t="shared" si="11"/>
        <v>274.5</v>
      </c>
      <c r="AH10" s="195">
        <f t="shared" si="12"/>
        <v>1.6629225032681405</v>
      </c>
      <c r="AJ10" s="189">
        <v>8</v>
      </c>
      <c r="AK10" s="196">
        <f>Результаты!Y11</f>
        <v>164.718994140625</v>
      </c>
      <c r="AL10" s="189">
        <f t="shared" si="13"/>
        <v>274.5</v>
      </c>
      <c r="AM10" s="195">
        <f t="shared" si="14"/>
        <v>1.6664744793527091</v>
      </c>
      <c r="AO10" s="189">
        <v>8</v>
      </c>
      <c r="AP10" s="196">
        <f>Результаты!Z11</f>
        <v>0.388616353273392</v>
      </c>
      <c r="AQ10" s="189">
        <f t="shared" si="15"/>
        <v>274.5</v>
      </c>
      <c r="AR10" s="195">
        <f t="shared" si="16"/>
        <v>706.35215859505786</v>
      </c>
      <c r="AT10" s="189">
        <v>8</v>
      </c>
      <c r="AU10" s="195">
        <f>Результаты!AA11/1.028469</f>
        <v>221.01122361361593</v>
      </c>
      <c r="AV10" s="195">
        <f t="shared" si="17"/>
        <v>277.27272727272725</v>
      </c>
      <c r="AW10" s="195">
        <f t="shared" si="18"/>
        <v>1.2545640114525169</v>
      </c>
      <c r="AY10" s="198"/>
      <c r="AZ10" s="199"/>
      <c r="BA10" s="198"/>
      <c r="BB10" s="198"/>
    </row>
    <row r="11" spans="1:54" ht="15.75" x14ac:dyDescent="0.25">
      <c r="A11">
        <v>68</v>
      </c>
      <c r="B11">
        <v>345</v>
      </c>
      <c r="C11">
        <v>310.5</v>
      </c>
      <c r="D11" s="194">
        <f t="shared" si="0"/>
        <v>313.63636363636363</v>
      </c>
      <c r="F11" s="189">
        <v>9</v>
      </c>
      <c r="G11" s="196">
        <f>Результаты!U12</f>
        <v>151.25939941406301</v>
      </c>
      <c r="H11" s="189">
        <f t="shared" si="1"/>
        <v>274.5</v>
      </c>
      <c r="I11" s="195">
        <f t="shared" si="2"/>
        <v>1.8147632548015986</v>
      </c>
      <c r="J11" s="188"/>
      <c r="K11" s="189">
        <v>9</v>
      </c>
      <c r="L11" s="196">
        <f>Результаты!V12</f>
        <v>152.38072204589801</v>
      </c>
      <c r="M11" s="189">
        <f t="shared" si="3"/>
        <v>274.5</v>
      </c>
      <c r="N11" s="195">
        <f t="shared" si="4"/>
        <v>1.8014089729625964</v>
      </c>
      <c r="P11" s="189">
        <v>9</v>
      </c>
      <c r="Q11" s="196">
        <f>Результаты!S12</f>
        <v>163.425369262695</v>
      </c>
      <c r="R11" s="189">
        <f t="shared" si="5"/>
        <v>305</v>
      </c>
      <c r="S11" s="195">
        <f t="shared" si="6"/>
        <v>1.8662953088374765</v>
      </c>
      <c r="U11" s="189">
        <v>9</v>
      </c>
      <c r="V11" s="196">
        <f>Результаты!T12</f>
        <v>154.65716552734401</v>
      </c>
      <c r="W11" s="189">
        <f t="shared" si="7"/>
        <v>274.5</v>
      </c>
      <c r="X11" s="195">
        <f t="shared" si="8"/>
        <v>1.7748935140768973</v>
      </c>
      <c r="Z11" s="189">
        <v>9</v>
      </c>
      <c r="AA11" s="196">
        <f>Результаты!W12</f>
        <v>154.20030212402301</v>
      </c>
      <c r="AB11" s="189">
        <f t="shared" si="9"/>
        <v>274.5</v>
      </c>
      <c r="AC11" s="195">
        <f t="shared" si="10"/>
        <v>1.7801521541716576</v>
      </c>
      <c r="AE11" s="189">
        <v>9</v>
      </c>
      <c r="AF11" s="196">
        <f>Результаты!X12</f>
        <v>154.25933837890599</v>
      </c>
      <c r="AG11" s="189">
        <f t="shared" si="11"/>
        <v>274.5</v>
      </c>
      <c r="AH11" s="195">
        <f t="shared" si="12"/>
        <v>1.7794708760240356</v>
      </c>
      <c r="AJ11" s="189">
        <v>9</v>
      </c>
      <c r="AK11" s="196">
        <f>Результаты!Y12</f>
        <v>153.41618347168</v>
      </c>
      <c r="AL11" s="189">
        <f t="shared" si="13"/>
        <v>274.5</v>
      </c>
      <c r="AM11" s="195">
        <f t="shared" si="14"/>
        <v>1.7892506109088</v>
      </c>
      <c r="AO11" s="189">
        <v>9</v>
      </c>
      <c r="AP11" s="196">
        <f>Результаты!Z12</f>
        <v>4.5059871673584002</v>
      </c>
      <c r="AQ11" s="189">
        <f t="shared" si="15"/>
        <v>274.5</v>
      </c>
      <c r="AR11" s="195">
        <f t="shared" si="16"/>
        <v>60.918948457841147</v>
      </c>
      <c r="AT11" s="189">
        <v>9</v>
      </c>
      <c r="AU11" s="195">
        <f>Результаты!AA12/1.028469</f>
        <v>213.45388211369908</v>
      </c>
      <c r="AV11" s="195">
        <f t="shared" si="17"/>
        <v>277.27272727272725</v>
      </c>
      <c r="AW11" s="195">
        <f t="shared" si="18"/>
        <v>1.298981890266274</v>
      </c>
      <c r="AY11" s="198"/>
      <c r="AZ11" s="199"/>
      <c r="BA11" s="198"/>
      <c r="BB11" s="198"/>
    </row>
    <row r="12" spans="1:54" ht="15.75" x14ac:dyDescent="0.25">
      <c r="A12">
        <v>69</v>
      </c>
      <c r="B12">
        <v>345</v>
      </c>
      <c r="C12">
        <v>310.5</v>
      </c>
      <c r="D12" s="194">
        <f t="shared" si="0"/>
        <v>313.63636363636363</v>
      </c>
      <c r="F12" s="189">
        <v>10</v>
      </c>
      <c r="G12" s="196">
        <f>Результаты!U13</f>
        <v>163.232986450195</v>
      </c>
      <c r="H12" s="189">
        <f t="shared" si="1"/>
        <v>274.5</v>
      </c>
      <c r="I12" s="195">
        <f t="shared" si="2"/>
        <v>1.6816453951466137</v>
      </c>
      <c r="J12" s="188"/>
      <c r="K12" s="189">
        <v>10</v>
      </c>
      <c r="L12" s="196">
        <f>Результаты!V13</f>
        <v>165.79006958007801</v>
      </c>
      <c r="M12" s="189">
        <f t="shared" si="3"/>
        <v>274.5</v>
      </c>
      <c r="N12" s="195">
        <f t="shared" si="4"/>
        <v>1.6557083346141801</v>
      </c>
      <c r="P12" s="189">
        <v>10</v>
      </c>
      <c r="Q12" s="196">
        <f>Результаты!S13</f>
        <v>181.348220825195</v>
      </c>
      <c r="R12" s="189">
        <f t="shared" si="5"/>
        <v>305</v>
      </c>
      <c r="S12" s="195">
        <f t="shared" si="6"/>
        <v>1.6818472142276781</v>
      </c>
      <c r="U12" s="189">
        <v>10</v>
      </c>
      <c r="V12" s="196">
        <f>Результаты!T13</f>
        <v>162.28477478027301</v>
      </c>
      <c r="W12" s="189">
        <f t="shared" si="7"/>
        <v>274.5</v>
      </c>
      <c r="X12" s="195">
        <f t="shared" si="8"/>
        <v>1.691471059880151</v>
      </c>
      <c r="Z12" s="189">
        <v>10</v>
      </c>
      <c r="AA12" s="196">
        <f>Результаты!W13</f>
        <v>164.75181579589801</v>
      </c>
      <c r="AB12" s="189">
        <f t="shared" si="9"/>
        <v>274.5</v>
      </c>
      <c r="AC12" s="195">
        <f t="shared" si="10"/>
        <v>1.666142486344812</v>
      </c>
      <c r="AE12" s="189">
        <v>10</v>
      </c>
      <c r="AF12" s="196">
        <f>Результаты!X13</f>
        <v>164.92076110839801</v>
      </c>
      <c r="AG12" s="189">
        <f t="shared" si="11"/>
        <v>274.5</v>
      </c>
      <c r="AH12" s="195">
        <f t="shared" si="12"/>
        <v>1.6644356850838111</v>
      </c>
      <c r="AJ12" s="189">
        <v>10</v>
      </c>
      <c r="AK12" s="196">
        <f>Результаты!Y13</f>
        <v>164.416748046875</v>
      </c>
      <c r="AL12" s="189">
        <f t="shared" si="13"/>
        <v>274.5</v>
      </c>
      <c r="AM12" s="195">
        <f t="shared" si="14"/>
        <v>1.6695379470815248</v>
      </c>
      <c r="AO12" s="189">
        <v>10</v>
      </c>
      <c r="AP12" s="196">
        <f>Результаты!Z13</f>
        <v>5.9138636589050302</v>
      </c>
      <c r="AQ12" s="189">
        <f t="shared" si="15"/>
        <v>274.5</v>
      </c>
      <c r="AR12" s="195">
        <f t="shared" si="16"/>
        <v>46.416355843216124</v>
      </c>
      <c r="AT12" s="189">
        <v>10</v>
      </c>
      <c r="AU12" s="195">
        <f>Результаты!AA13/1.028469</f>
        <v>220.94489001882701</v>
      </c>
      <c r="AV12" s="195">
        <f t="shared" si="17"/>
        <v>277.27272727272725</v>
      </c>
      <c r="AW12" s="195">
        <f t="shared" si="18"/>
        <v>1.2549406652903377</v>
      </c>
      <c r="AY12" s="198"/>
      <c r="AZ12" s="199"/>
      <c r="BA12" s="198"/>
      <c r="BB12" s="198"/>
    </row>
    <row r="13" spans="1:54" ht="15.75" x14ac:dyDescent="0.25">
      <c r="A13">
        <v>70</v>
      </c>
      <c r="B13">
        <v>345</v>
      </c>
      <c r="C13">
        <v>310.5</v>
      </c>
      <c r="D13" s="194">
        <f t="shared" si="0"/>
        <v>313.63636363636363</v>
      </c>
      <c r="F13" s="189">
        <v>11</v>
      </c>
      <c r="G13" s="196">
        <f>Результаты!U14</f>
        <v>150.76432800293</v>
      </c>
      <c r="H13" s="189">
        <f t="shared" si="1"/>
        <v>274.5</v>
      </c>
      <c r="I13" s="195">
        <f t="shared" si="2"/>
        <v>1.8207224721929267</v>
      </c>
      <c r="J13" s="188"/>
      <c r="K13" s="189">
        <v>11</v>
      </c>
      <c r="L13" s="196">
        <f>Результаты!V14</f>
        <v>150.86546325683599</v>
      </c>
      <c r="M13" s="189">
        <f t="shared" si="3"/>
        <v>274.5</v>
      </c>
      <c r="N13" s="195">
        <f t="shared" si="4"/>
        <v>1.8195019196188489</v>
      </c>
      <c r="P13" s="189">
        <v>11</v>
      </c>
      <c r="Q13" s="196">
        <f>Результаты!S14</f>
        <v>151.17129516601599</v>
      </c>
      <c r="R13" s="189">
        <f t="shared" si="5"/>
        <v>305</v>
      </c>
      <c r="S13" s="195">
        <f t="shared" si="6"/>
        <v>2.0175787980452879</v>
      </c>
      <c r="U13" s="189">
        <v>11</v>
      </c>
      <c r="V13" s="196">
        <f>Результаты!T14</f>
        <v>164.058670043945</v>
      </c>
      <c r="W13" s="189">
        <f t="shared" si="7"/>
        <v>274.5</v>
      </c>
      <c r="X13" s="195">
        <f t="shared" si="8"/>
        <v>1.6731819167281561</v>
      </c>
      <c r="Z13" s="189">
        <v>11</v>
      </c>
      <c r="AA13" s="196">
        <f>Результаты!W14</f>
        <v>150.32614135742199</v>
      </c>
      <c r="AB13" s="189">
        <f t="shared" si="9"/>
        <v>274.5</v>
      </c>
      <c r="AC13" s="195">
        <f t="shared" si="10"/>
        <v>1.8260297079490442</v>
      </c>
      <c r="AE13" s="189">
        <v>11</v>
      </c>
      <c r="AF13" s="196">
        <f>Результаты!X14</f>
        <v>150.32189941406301</v>
      </c>
      <c r="AG13" s="189">
        <f t="shared" si="11"/>
        <v>274.5</v>
      </c>
      <c r="AH13" s="195">
        <f t="shared" si="12"/>
        <v>1.826081236798953</v>
      </c>
      <c r="AJ13" s="189">
        <v>11</v>
      </c>
      <c r="AK13" s="196">
        <f>Результаты!Y14</f>
        <v>150.34169006347699</v>
      </c>
      <c r="AL13" s="189">
        <f t="shared" si="13"/>
        <v>274.5</v>
      </c>
      <c r="AM13" s="195">
        <f t="shared" si="14"/>
        <v>1.8258408554812782</v>
      </c>
      <c r="AO13" s="189">
        <v>11</v>
      </c>
      <c r="AP13" s="196">
        <f>Результаты!Z14</f>
        <v>0.56794232130050704</v>
      </c>
      <c r="AQ13" s="189">
        <f t="shared" si="15"/>
        <v>274.5</v>
      </c>
      <c r="AR13" s="195">
        <f t="shared" si="16"/>
        <v>483.32372796489983</v>
      </c>
      <c r="AT13" s="189">
        <v>11</v>
      </c>
      <c r="AU13" s="195">
        <f>Результаты!AA14/1.028469</f>
        <v>210.47612535333198</v>
      </c>
      <c r="AV13" s="195">
        <f t="shared" si="17"/>
        <v>277.27272727272725</v>
      </c>
      <c r="AW13" s="195">
        <f t="shared" si="18"/>
        <v>1.3173595190773395</v>
      </c>
      <c r="AY13" s="198"/>
      <c r="AZ13" s="199"/>
      <c r="BA13" s="198"/>
      <c r="BB13" s="198"/>
    </row>
    <row r="14" spans="1:54" ht="15.75" x14ac:dyDescent="0.25">
      <c r="A14">
        <v>71</v>
      </c>
      <c r="B14">
        <v>345</v>
      </c>
      <c r="C14">
        <v>310.5</v>
      </c>
      <c r="D14" s="194">
        <f t="shared" si="0"/>
        <v>313.63636363636363</v>
      </c>
      <c r="F14" s="189">
        <v>12</v>
      </c>
      <c r="G14" s="196">
        <f>Результаты!U15</f>
        <v>162.13766479492199</v>
      </c>
      <c r="H14" s="189">
        <f t="shared" si="1"/>
        <v>274.5</v>
      </c>
      <c r="I14" s="195">
        <f t="shared" si="2"/>
        <v>1.6930057574666457</v>
      </c>
      <c r="J14" s="188"/>
      <c r="K14" s="189">
        <v>12</v>
      </c>
      <c r="L14" s="196">
        <f>Результаты!V15</f>
        <v>163.27278137207</v>
      </c>
      <c r="M14" s="189">
        <f t="shared" si="3"/>
        <v>274.5</v>
      </c>
      <c r="N14" s="195">
        <f t="shared" si="4"/>
        <v>1.6812355231118572</v>
      </c>
      <c r="P14" s="189">
        <v>12</v>
      </c>
      <c r="Q14" s="196">
        <f>Результаты!S15</f>
        <v>162.49508666992199</v>
      </c>
      <c r="R14" s="189">
        <f t="shared" si="5"/>
        <v>305</v>
      </c>
      <c r="S14" s="195">
        <f t="shared" si="6"/>
        <v>1.8769798290550763</v>
      </c>
      <c r="U14" s="189">
        <v>12</v>
      </c>
      <c r="V14" s="196">
        <f>Результаты!T15</f>
        <v>179.10154724121099</v>
      </c>
      <c r="W14" s="189">
        <f t="shared" si="7"/>
        <v>274.5</v>
      </c>
      <c r="X14" s="195">
        <f t="shared" si="8"/>
        <v>1.5326500760504762</v>
      </c>
      <c r="Z14" s="189">
        <v>12</v>
      </c>
      <c r="AA14" s="196">
        <f>Результаты!W15</f>
        <v>163.71099853515599</v>
      </c>
      <c r="AB14" s="189">
        <f t="shared" si="9"/>
        <v>274.5</v>
      </c>
      <c r="AC14" s="195">
        <f t="shared" si="10"/>
        <v>1.6767352374376527</v>
      </c>
      <c r="AE14" s="189">
        <v>12</v>
      </c>
      <c r="AF14" s="196">
        <f>Результаты!X15</f>
        <v>162.62342834472699</v>
      </c>
      <c r="AG14" s="189">
        <f t="shared" si="11"/>
        <v>274.5</v>
      </c>
      <c r="AH14" s="195">
        <f t="shared" si="12"/>
        <v>1.6879486725499264</v>
      </c>
      <c r="AJ14" s="189">
        <v>12</v>
      </c>
      <c r="AK14" s="196">
        <f>Результаты!Y15</f>
        <v>162.70431518554699</v>
      </c>
      <c r="AL14" s="189">
        <f t="shared" si="13"/>
        <v>274.5</v>
      </c>
      <c r="AM14" s="195">
        <f t="shared" si="14"/>
        <v>1.6871095255645918</v>
      </c>
      <c r="AO14" s="189">
        <v>12</v>
      </c>
      <c r="AP14" s="196">
        <f>Результаты!Z15</f>
        <v>0.39034366607665999</v>
      </c>
      <c r="AQ14" s="189">
        <f t="shared" si="15"/>
        <v>274.5</v>
      </c>
      <c r="AR14" s="195">
        <f t="shared" si="16"/>
        <v>703.2264741451977</v>
      </c>
      <c r="AT14" s="189">
        <v>12</v>
      </c>
      <c r="AU14" s="195">
        <f>Результаты!AA15/1.028469</f>
        <v>219.45095242240066</v>
      </c>
      <c r="AV14" s="195">
        <f t="shared" si="17"/>
        <v>277.27272727272725</v>
      </c>
      <c r="AW14" s="195">
        <f t="shared" si="18"/>
        <v>1.2634838181929184</v>
      </c>
      <c r="AY14" s="198"/>
      <c r="AZ14" s="199"/>
      <c r="BA14" s="198"/>
      <c r="BB14" s="198"/>
    </row>
    <row r="15" spans="1:54" ht="15.75" x14ac:dyDescent="0.25">
      <c r="A15">
        <v>72</v>
      </c>
      <c r="B15">
        <v>345</v>
      </c>
      <c r="C15">
        <v>310.5</v>
      </c>
      <c r="D15" s="194">
        <f t="shared" si="0"/>
        <v>313.63636363636363</v>
      </c>
      <c r="F15" s="189">
        <v>13</v>
      </c>
      <c r="G15" s="196">
        <f>Результаты!U16</f>
        <v>151.12875366210901</v>
      </c>
      <c r="H15" s="189">
        <f t="shared" si="1"/>
        <v>274.5</v>
      </c>
      <c r="I15" s="195">
        <f t="shared" si="2"/>
        <v>1.81633205692758</v>
      </c>
      <c r="J15" s="188"/>
      <c r="K15" s="189">
        <v>13</v>
      </c>
      <c r="L15" s="196">
        <f>Результаты!V16</f>
        <v>152.31658935546901</v>
      </c>
      <c r="M15" s="189">
        <f t="shared" si="3"/>
        <v>274.5</v>
      </c>
      <c r="N15" s="195">
        <f t="shared" si="4"/>
        <v>1.8021674537327337</v>
      </c>
      <c r="P15" s="189">
        <v>13</v>
      </c>
      <c r="Q15" s="196">
        <f>Результаты!S16</f>
        <v>155.26362609863301</v>
      </c>
      <c r="R15" s="189">
        <f t="shared" si="5"/>
        <v>305</v>
      </c>
      <c r="S15" s="195">
        <f t="shared" si="6"/>
        <v>1.9644008559109989</v>
      </c>
      <c r="U15" s="189">
        <v>13</v>
      </c>
      <c r="V15" s="196">
        <f>Результаты!T16</f>
        <v>162.79586791992199</v>
      </c>
      <c r="W15" s="189">
        <f t="shared" si="7"/>
        <v>274.5</v>
      </c>
      <c r="X15" s="195">
        <f t="shared" si="8"/>
        <v>1.6861607331153172</v>
      </c>
      <c r="Z15" s="189">
        <v>13</v>
      </c>
      <c r="AA15" s="196">
        <f>Результаты!W16</f>
        <v>154.08563232421901</v>
      </c>
      <c r="AB15" s="189">
        <f t="shared" si="9"/>
        <v>274.5</v>
      </c>
      <c r="AC15" s="195">
        <f t="shared" si="10"/>
        <v>1.781476934996842</v>
      </c>
      <c r="AE15" s="189">
        <v>13</v>
      </c>
      <c r="AF15" s="196">
        <f>Результаты!X16</f>
        <v>151.41175842285199</v>
      </c>
      <c r="AG15" s="189">
        <f t="shared" si="11"/>
        <v>274.5</v>
      </c>
      <c r="AH15" s="195">
        <f t="shared" si="12"/>
        <v>1.8129371381672745</v>
      </c>
      <c r="AJ15" s="189">
        <v>13</v>
      </c>
      <c r="AK15" s="196">
        <f>Результаты!Y16</f>
        <v>151.44004821777301</v>
      </c>
      <c r="AL15" s="189">
        <f t="shared" si="13"/>
        <v>274.5</v>
      </c>
      <c r="AM15" s="195">
        <f t="shared" si="14"/>
        <v>1.8125984720056676</v>
      </c>
      <c r="AO15" s="189">
        <v>13</v>
      </c>
      <c r="AP15" s="196">
        <f>Результаты!Z16</f>
        <v>4.4553461074829102</v>
      </c>
      <c r="AQ15" s="189">
        <f t="shared" si="15"/>
        <v>274.5</v>
      </c>
      <c r="AR15" s="195">
        <f t="shared" si="16"/>
        <v>61.611375048723517</v>
      </c>
      <c r="AT15" s="189">
        <v>13</v>
      </c>
      <c r="AU15" s="195">
        <f>Результаты!AA16/1.028469</f>
        <v>213.28618615711312</v>
      </c>
      <c r="AV15" s="195">
        <f t="shared" si="17"/>
        <v>277.27272727272725</v>
      </c>
      <c r="AW15" s="195">
        <f t="shared" si="18"/>
        <v>1.3000032129060608</v>
      </c>
      <c r="AY15" s="198"/>
      <c r="AZ15" s="199"/>
      <c r="BA15" s="198"/>
      <c r="BB15" s="198"/>
    </row>
    <row r="16" spans="1:54" ht="15.75" x14ac:dyDescent="0.25">
      <c r="A16">
        <v>73</v>
      </c>
      <c r="B16">
        <v>345</v>
      </c>
      <c r="C16">
        <v>310.5</v>
      </c>
      <c r="D16" s="194">
        <f t="shared" si="0"/>
        <v>313.63636363636363</v>
      </c>
      <c r="F16" s="189">
        <v>14</v>
      </c>
      <c r="G16" s="196">
        <f>Результаты!U17</f>
        <v>162.115646362305</v>
      </c>
      <c r="H16" s="189">
        <f t="shared" si="1"/>
        <v>274.5</v>
      </c>
      <c r="I16" s="195">
        <f t="shared" si="2"/>
        <v>1.6932357003131717</v>
      </c>
      <c r="J16" s="188"/>
      <c r="K16" s="189">
        <v>14</v>
      </c>
      <c r="L16" s="196">
        <f>Результаты!V17</f>
        <v>164.69003295898401</v>
      </c>
      <c r="M16" s="189">
        <f t="shared" si="3"/>
        <v>274.5</v>
      </c>
      <c r="N16" s="195">
        <f t="shared" si="4"/>
        <v>1.6667675333355731</v>
      </c>
      <c r="P16" s="189">
        <v>14</v>
      </c>
      <c r="Q16" s="196">
        <f>Результаты!S17</f>
        <v>162.272872924805</v>
      </c>
      <c r="R16" s="189">
        <f t="shared" si="5"/>
        <v>305</v>
      </c>
      <c r="S16" s="195">
        <f t="shared" si="6"/>
        <v>1.8795501336895217</v>
      </c>
      <c r="U16" s="189">
        <v>14</v>
      </c>
      <c r="V16" s="196">
        <f>Результаты!T17</f>
        <v>179.12031555175801</v>
      </c>
      <c r="W16" s="189">
        <f t="shared" si="7"/>
        <v>274.5</v>
      </c>
      <c r="X16" s="195">
        <f t="shared" si="8"/>
        <v>1.5324894842577552</v>
      </c>
      <c r="Z16" s="189">
        <v>14</v>
      </c>
      <c r="AA16" s="196">
        <f>Результаты!W17</f>
        <v>163.59410095214801</v>
      </c>
      <c r="AB16" s="189">
        <f t="shared" si="9"/>
        <v>274.5</v>
      </c>
      <c r="AC16" s="195">
        <f t="shared" si="10"/>
        <v>1.6779333631369291</v>
      </c>
      <c r="AE16" s="189">
        <v>14</v>
      </c>
      <c r="AF16" s="196">
        <f>Результаты!X17</f>
        <v>162.51467895507801</v>
      </c>
      <c r="AG16" s="189">
        <f t="shared" si="11"/>
        <v>274.5</v>
      </c>
      <c r="AH16" s="195">
        <f t="shared" si="12"/>
        <v>1.6890781913668043</v>
      </c>
      <c r="AJ16" s="189">
        <v>14</v>
      </c>
      <c r="AK16" s="196">
        <f>Результаты!Y17</f>
        <v>162.59094238281301</v>
      </c>
      <c r="AL16" s="189">
        <f t="shared" si="13"/>
        <v>274.5</v>
      </c>
      <c r="AM16" s="195">
        <f t="shared" si="14"/>
        <v>1.6882859277222355</v>
      </c>
      <c r="AO16" s="189">
        <v>14</v>
      </c>
      <c r="AP16" s="196">
        <f>Результаты!Z17</f>
        <v>5.8727707862854004</v>
      </c>
      <c r="AQ16" s="189">
        <f t="shared" si="15"/>
        <v>274.5</v>
      </c>
      <c r="AR16" s="195">
        <f t="shared" si="16"/>
        <v>46.741139742936333</v>
      </c>
      <c r="AT16" s="189">
        <v>14</v>
      </c>
      <c r="AU16" s="195">
        <f>Результаты!AA17/1.028469</f>
        <v>219.41280800902504</v>
      </c>
      <c r="AV16" s="195">
        <f t="shared" si="17"/>
        <v>277.27272727272725</v>
      </c>
      <c r="AW16" s="195">
        <f t="shared" si="18"/>
        <v>1.2637034719564879</v>
      </c>
      <c r="AY16" s="198"/>
      <c r="AZ16" s="199"/>
      <c r="BA16" s="198"/>
      <c r="BB16" s="198"/>
    </row>
    <row r="17" spans="1:54" ht="15.75" x14ac:dyDescent="0.25">
      <c r="A17">
        <v>74</v>
      </c>
      <c r="B17">
        <v>345</v>
      </c>
      <c r="C17">
        <v>310.5</v>
      </c>
      <c r="D17" s="194">
        <f t="shared" si="0"/>
        <v>313.63636363636363</v>
      </c>
      <c r="F17" s="189">
        <v>15</v>
      </c>
      <c r="G17" s="196">
        <f>Результаты!U18</f>
        <v>171.05073547363301</v>
      </c>
      <c r="H17" s="189">
        <f t="shared" si="1"/>
        <v>274.5</v>
      </c>
      <c r="I17" s="195">
        <f t="shared" si="2"/>
        <v>1.6047870197103795</v>
      </c>
      <c r="J17" s="188"/>
      <c r="K17" s="189">
        <v>15</v>
      </c>
      <c r="L17" s="196">
        <f>Результаты!V18</f>
        <v>170.85476684570301</v>
      </c>
      <c r="M17" s="189">
        <f t="shared" si="3"/>
        <v>274.5</v>
      </c>
      <c r="N17" s="195">
        <f t="shared" si="4"/>
        <v>1.6066276936124224</v>
      </c>
      <c r="P17" s="189">
        <v>15</v>
      </c>
      <c r="Q17" s="196">
        <f>Результаты!S18</f>
        <v>186.34921264648401</v>
      </c>
      <c r="R17" s="189">
        <f t="shared" si="5"/>
        <v>305</v>
      </c>
      <c r="S17" s="195">
        <f t="shared" si="6"/>
        <v>1.6367120400911159</v>
      </c>
      <c r="U17" s="189">
        <v>15</v>
      </c>
      <c r="V17" s="196">
        <f>Результаты!T18</f>
        <v>171.93203735351599</v>
      </c>
      <c r="W17" s="189">
        <f t="shared" si="7"/>
        <v>274.5</v>
      </c>
      <c r="X17" s="195">
        <f t="shared" si="8"/>
        <v>1.5965610843986575</v>
      </c>
      <c r="Z17" s="189">
        <v>15</v>
      </c>
      <c r="AA17" s="196">
        <f>Результаты!W18</f>
        <v>170.73704528808599</v>
      </c>
      <c r="AB17" s="189">
        <f t="shared" si="9"/>
        <v>274.5</v>
      </c>
      <c r="AC17" s="195">
        <f t="shared" si="10"/>
        <v>1.607735448020867</v>
      </c>
      <c r="AE17" s="189">
        <v>15</v>
      </c>
      <c r="AF17" s="196">
        <f>Результаты!X18</f>
        <v>170.65956115722699</v>
      </c>
      <c r="AG17" s="189">
        <f t="shared" si="11"/>
        <v>274.5</v>
      </c>
      <c r="AH17" s="195">
        <f t="shared" si="12"/>
        <v>1.6084654040983137</v>
      </c>
      <c r="AJ17" s="189">
        <v>15</v>
      </c>
      <c r="AK17" s="196">
        <f>Результаты!Y18</f>
        <v>170.60679626464801</v>
      </c>
      <c r="AL17" s="189">
        <f t="shared" si="13"/>
        <v>274.5</v>
      </c>
      <c r="AM17" s="195">
        <f t="shared" si="14"/>
        <v>1.6089628667206854</v>
      </c>
      <c r="AO17" s="189">
        <v>15</v>
      </c>
      <c r="AP17" s="196">
        <f>Результаты!Z18</f>
        <v>0.59638315439224199</v>
      </c>
      <c r="AQ17" s="189">
        <f t="shared" si="15"/>
        <v>274.5</v>
      </c>
      <c r="AR17" s="195">
        <f t="shared" si="16"/>
        <v>460.27457009535345</v>
      </c>
      <c r="AT17" s="189">
        <v>15</v>
      </c>
      <c r="AU17" s="195">
        <f>Результаты!AA18/1.028469</f>
        <v>241.22725826454467</v>
      </c>
      <c r="AV17" s="195">
        <f t="shared" si="17"/>
        <v>277.27272727272725</v>
      </c>
      <c r="AW17" s="195">
        <f t="shared" si="18"/>
        <v>1.149425356269866</v>
      </c>
      <c r="AY17" s="198"/>
      <c r="AZ17" s="199"/>
      <c r="BA17" s="198"/>
      <c r="BB17" s="198"/>
    </row>
    <row r="18" spans="1:54" ht="15.75" x14ac:dyDescent="0.25">
      <c r="A18">
        <v>75</v>
      </c>
      <c r="B18">
        <v>345</v>
      </c>
      <c r="C18">
        <v>310.5</v>
      </c>
      <c r="D18" s="194">
        <f t="shared" si="0"/>
        <v>313.63636363636363</v>
      </c>
      <c r="F18" s="189">
        <v>16</v>
      </c>
      <c r="G18" s="196">
        <f>Результаты!U19</f>
        <v>186.5244140625</v>
      </c>
      <c r="H18" s="189">
        <f t="shared" si="1"/>
        <v>274.5</v>
      </c>
      <c r="I18" s="195">
        <f t="shared" si="2"/>
        <v>1.4716572164543642</v>
      </c>
      <c r="J18" s="188"/>
      <c r="K18" s="189">
        <v>16</v>
      </c>
      <c r="L18" s="196">
        <f>Результаты!V19</f>
        <v>185.07040405273401</v>
      </c>
      <c r="M18" s="189">
        <f t="shared" si="3"/>
        <v>274.5</v>
      </c>
      <c r="N18" s="195">
        <f t="shared" si="4"/>
        <v>1.4832193262072519</v>
      </c>
      <c r="P18" s="189">
        <v>16</v>
      </c>
      <c r="Q18" s="196">
        <f>Результаты!S19</f>
        <v>206.88137817382801</v>
      </c>
      <c r="R18" s="189">
        <f t="shared" si="5"/>
        <v>305</v>
      </c>
      <c r="S18" s="195">
        <f t="shared" si="6"/>
        <v>1.4742747882495724</v>
      </c>
      <c r="U18" s="189">
        <v>16</v>
      </c>
      <c r="V18" s="196">
        <f>Результаты!T19</f>
        <v>182.8330078125</v>
      </c>
      <c r="W18" s="189">
        <f t="shared" si="7"/>
        <v>274.5</v>
      </c>
      <c r="X18" s="195">
        <f t="shared" si="8"/>
        <v>1.5013700386174629</v>
      </c>
      <c r="Z18" s="189">
        <v>16</v>
      </c>
      <c r="AA18" s="196">
        <f>Результаты!W19</f>
        <v>184.95152282714801</v>
      </c>
      <c r="AB18" s="189">
        <f t="shared" si="9"/>
        <v>274.5</v>
      </c>
      <c r="AC18" s="195">
        <f t="shared" si="10"/>
        <v>1.4841726945743625</v>
      </c>
      <c r="AE18" s="189">
        <v>16</v>
      </c>
      <c r="AF18" s="196">
        <f>Результаты!X19</f>
        <v>184.93040466308599</v>
      </c>
      <c r="AG18" s="189">
        <f t="shared" si="11"/>
        <v>274.5</v>
      </c>
      <c r="AH18" s="195">
        <f t="shared" si="12"/>
        <v>1.4843421799681651</v>
      </c>
      <c r="AJ18" s="189">
        <v>16</v>
      </c>
      <c r="AK18" s="196">
        <f>Результаты!Y19</f>
        <v>185.10925292968801</v>
      </c>
      <c r="AL18" s="189">
        <f t="shared" si="13"/>
        <v>274.5</v>
      </c>
      <c r="AM18" s="195">
        <f t="shared" si="14"/>
        <v>1.4829080429829524</v>
      </c>
      <c r="AO18" s="189">
        <v>16</v>
      </c>
      <c r="AP18" s="196">
        <f>Результаты!Z19</f>
        <v>0.53004068136215199</v>
      </c>
      <c r="AQ18" s="189">
        <f t="shared" si="15"/>
        <v>274.5</v>
      </c>
      <c r="AR18" s="195">
        <f t="shared" si="16"/>
        <v>517.88477687139448</v>
      </c>
      <c r="AT18" s="189">
        <v>16</v>
      </c>
      <c r="AU18" s="195">
        <f>Результаты!AA19/1.028469</f>
        <v>250.91685911937162</v>
      </c>
      <c r="AV18" s="195">
        <f t="shared" si="17"/>
        <v>277.27272727272725</v>
      </c>
      <c r="AW18" s="195">
        <f t="shared" si="18"/>
        <v>1.1050382514983461</v>
      </c>
      <c r="AY18" s="198"/>
      <c r="AZ18" s="199"/>
      <c r="BA18" s="198"/>
      <c r="BB18" s="198"/>
    </row>
    <row r="19" spans="1:54" ht="15.75" x14ac:dyDescent="0.25">
      <c r="A19">
        <v>76</v>
      </c>
      <c r="B19">
        <v>345</v>
      </c>
      <c r="C19">
        <v>310.5</v>
      </c>
      <c r="D19" s="194">
        <f t="shared" si="0"/>
        <v>313.63636363636363</v>
      </c>
      <c r="F19" s="189">
        <v>17</v>
      </c>
      <c r="G19" s="196">
        <f>Результаты!U20</f>
        <v>183.03343200683599</v>
      </c>
      <c r="H19" s="189">
        <f t="shared" si="1"/>
        <v>274.5</v>
      </c>
      <c r="I19" s="195">
        <f t="shared" si="2"/>
        <v>1.4997260172106037</v>
      </c>
      <c r="J19" s="188"/>
      <c r="K19" s="189">
        <v>17</v>
      </c>
      <c r="L19" s="196">
        <f>Результаты!V20</f>
        <v>182.805908203125</v>
      </c>
      <c r="M19" s="189">
        <f t="shared" si="3"/>
        <v>274.5</v>
      </c>
      <c r="N19" s="195">
        <f t="shared" si="4"/>
        <v>1.5015926055026023</v>
      </c>
      <c r="P19" s="189">
        <v>17</v>
      </c>
      <c r="Q19" s="196">
        <f>Результаты!S20</f>
        <v>203.43556213378901</v>
      </c>
      <c r="R19" s="189">
        <f t="shared" si="5"/>
        <v>305</v>
      </c>
      <c r="S19" s="195">
        <f t="shared" si="6"/>
        <v>1.4992462320792141</v>
      </c>
      <c r="U19" s="189">
        <v>17</v>
      </c>
      <c r="V19" s="196">
        <f>Результаты!T20</f>
        <v>179.80332946777301</v>
      </c>
      <c r="W19" s="189">
        <f t="shared" si="7"/>
        <v>274.5</v>
      </c>
      <c r="X19" s="195">
        <f t="shared" si="8"/>
        <v>1.5266680589983175</v>
      </c>
      <c r="Z19" s="189">
        <v>17</v>
      </c>
      <c r="AA19" s="196">
        <f>Результаты!W20</f>
        <v>181.98286437988301</v>
      </c>
      <c r="AB19" s="189">
        <f t="shared" si="9"/>
        <v>274.5</v>
      </c>
      <c r="AC19" s="195">
        <f t="shared" si="10"/>
        <v>1.5083837752272689</v>
      </c>
      <c r="AE19" s="189">
        <v>17</v>
      </c>
      <c r="AF19" s="196">
        <f>Результаты!X20</f>
        <v>181.99388122558599</v>
      </c>
      <c r="AG19" s="189">
        <f t="shared" si="11"/>
        <v>274.5</v>
      </c>
      <c r="AH19" s="195">
        <f t="shared" si="12"/>
        <v>1.5082924664909494</v>
      </c>
      <c r="AJ19" s="189">
        <v>17</v>
      </c>
      <c r="AK19" s="196">
        <f>Результаты!Y20</f>
        <v>182.14677429199199</v>
      </c>
      <c r="AL19" s="189">
        <f t="shared" si="13"/>
        <v>274.5</v>
      </c>
      <c r="AM19" s="195">
        <f t="shared" si="14"/>
        <v>1.5070264135447184</v>
      </c>
      <c r="AO19" s="189">
        <v>17</v>
      </c>
      <c r="AP19" s="196">
        <f>Результаты!Z20</f>
        <v>2.2671473026275599</v>
      </c>
      <c r="AQ19" s="189">
        <f t="shared" si="15"/>
        <v>274.5</v>
      </c>
      <c r="AR19" s="195">
        <f t="shared" si="16"/>
        <v>121.07726731380102</v>
      </c>
      <c r="AT19" s="189">
        <v>17</v>
      </c>
      <c r="AU19" s="195">
        <f>Результаты!AA20/1.028469</f>
        <v>246.65563409285451</v>
      </c>
      <c r="AV19" s="195">
        <f t="shared" si="17"/>
        <v>277.27272727272725</v>
      </c>
      <c r="AW19" s="195">
        <f t="shared" si="18"/>
        <v>1.1241289025992685</v>
      </c>
      <c r="AY19" s="198"/>
      <c r="AZ19" s="199"/>
      <c r="BA19" s="198"/>
      <c r="BB19" s="198"/>
    </row>
    <row r="20" spans="1:54" ht="15.75" x14ac:dyDescent="0.25">
      <c r="A20">
        <v>85</v>
      </c>
      <c r="B20">
        <v>345</v>
      </c>
      <c r="C20">
        <v>310.5</v>
      </c>
      <c r="D20" s="194">
        <f t="shared" si="0"/>
        <v>313.63636363636363</v>
      </c>
      <c r="F20" s="189">
        <v>18</v>
      </c>
      <c r="G20" s="196">
        <f>Результаты!U21</f>
        <v>161.51539611816401</v>
      </c>
      <c r="H20" s="189">
        <f t="shared" si="1"/>
        <v>274.5</v>
      </c>
      <c r="I20" s="195">
        <f t="shared" si="2"/>
        <v>1.6995283830352428</v>
      </c>
      <c r="J20" s="188"/>
      <c r="K20" s="189">
        <v>18</v>
      </c>
      <c r="L20" s="196">
        <f>Результаты!V21</f>
        <v>164.56507873535199</v>
      </c>
      <c r="M20" s="189">
        <f t="shared" si="3"/>
        <v>274.5</v>
      </c>
      <c r="N20" s="195">
        <f t="shared" si="4"/>
        <v>1.668033109511901</v>
      </c>
      <c r="P20" s="189">
        <v>18</v>
      </c>
      <c r="Q20" s="196">
        <f>Результаты!S21</f>
        <v>175.80963134765599</v>
      </c>
      <c r="R20" s="189">
        <f t="shared" si="5"/>
        <v>305</v>
      </c>
      <c r="S20" s="195">
        <f t="shared" si="6"/>
        <v>1.7348310081879166</v>
      </c>
      <c r="U20" s="189">
        <v>18</v>
      </c>
      <c r="V20" s="196">
        <f>Результаты!T21</f>
        <v>166.46261596679699</v>
      </c>
      <c r="W20" s="189">
        <f t="shared" si="7"/>
        <v>274.5</v>
      </c>
      <c r="X20" s="195">
        <f t="shared" si="8"/>
        <v>1.6490189007647964</v>
      </c>
      <c r="Z20" s="189">
        <v>18</v>
      </c>
      <c r="AA20" s="196">
        <f>Результаты!W21</f>
        <v>164.39505004882801</v>
      </c>
      <c r="AB20" s="189">
        <f t="shared" si="9"/>
        <v>274.5</v>
      </c>
      <c r="AC20" s="195">
        <f t="shared" si="10"/>
        <v>1.6697583042705302</v>
      </c>
      <c r="AE20" s="189">
        <v>18</v>
      </c>
      <c r="AF20" s="196">
        <f>Результаты!X21</f>
        <v>164.49914550781301</v>
      </c>
      <c r="AG20" s="189">
        <f t="shared" si="11"/>
        <v>274.5</v>
      </c>
      <c r="AH20" s="195">
        <f t="shared" si="12"/>
        <v>1.6687016771583316</v>
      </c>
      <c r="AJ20" s="189">
        <v>18</v>
      </c>
      <c r="AK20" s="196">
        <f>Результаты!Y21</f>
        <v>163.89228820800801</v>
      </c>
      <c r="AL20" s="189">
        <f t="shared" si="13"/>
        <v>274.5</v>
      </c>
      <c r="AM20" s="195">
        <f t="shared" si="14"/>
        <v>1.6748805145219001</v>
      </c>
      <c r="AO20" s="189">
        <v>18</v>
      </c>
      <c r="AP20" s="196">
        <f>Результаты!Z21</f>
        <v>1.92510497570038</v>
      </c>
      <c r="AQ20" s="189">
        <f t="shared" si="15"/>
        <v>274.5</v>
      </c>
      <c r="AR20" s="195">
        <f t="shared" si="16"/>
        <v>142.58962678133076</v>
      </c>
      <c r="AT20" s="189">
        <v>18</v>
      </c>
      <c r="AU20" s="195">
        <f>Результаты!AA21/1.028469</f>
        <v>235.19318594613546</v>
      </c>
      <c r="AV20" s="195">
        <f t="shared" si="17"/>
        <v>277.27272727272725</v>
      </c>
      <c r="AW20" s="195">
        <f t="shared" si="18"/>
        <v>1.1789147978812149</v>
      </c>
      <c r="AY20" s="198"/>
      <c r="AZ20" s="199"/>
      <c r="BA20" s="198"/>
      <c r="BB20" s="198"/>
    </row>
    <row r="21" spans="1:54" ht="15.75" x14ac:dyDescent="0.25">
      <c r="A21">
        <v>86</v>
      </c>
      <c r="B21">
        <v>345</v>
      </c>
      <c r="C21">
        <v>310.5</v>
      </c>
      <c r="D21" s="194">
        <f t="shared" si="0"/>
        <v>313.63636363636363</v>
      </c>
      <c r="F21" s="189">
        <v>19</v>
      </c>
      <c r="G21" s="196">
        <f>Результаты!U22</f>
        <v>171.04975891113301</v>
      </c>
      <c r="H21" s="189">
        <f t="shared" si="1"/>
        <v>274.5</v>
      </c>
      <c r="I21" s="195">
        <f t="shared" si="2"/>
        <v>1.6047961818093728</v>
      </c>
      <c r="J21" s="188"/>
      <c r="K21" s="189">
        <v>19</v>
      </c>
      <c r="L21" s="196">
        <f>Результаты!V22</f>
        <v>170.85737609863301</v>
      </c>
      <c r="M21" s="189">
        <f t="shared" si="3"/>
        <v>274.5</v>
      </c>
      <c r="N21" s="195">
        <f t="shared" si="4"/>
        <v>1.6066031579551818</v>
      </c>
      <c r="P21" s="189">
        <v>19</v>
      </c>
      <c r="Q21" s="196">
        <f>Результаты!S22</f>
        <v>171.81359863281301</v>
      </c>
      <c r="R21" s="189">
        <f t="shared" si="5"/>
        <v>305</v>
      </c>
      <c r="S21" s="195">
        <f t="shared" si="6"/>
        <v>1.7751796273810834</v>
      </c>
      <c r="U21" s="189">
        <v>19</v>
      </c>
      <c r="V21" s="196">
        <f>Результаты!T22</f>
        <v>186.47930908203099</v>
      </c>
      <c r="W21" s="189">
        <f t="shared" si="7"/>
        <v>274.5</v>
      </c>
      <c r="X21" s="195">
        <f t="shared" si="8"/>
        <v>1.4720131758920734</v>
      </c>
      <c r="Z21" s="189">
        <v>19</v>
      </c>
      <c r="AA21" s="196">
        <f>Результаты!W22</f>
        <v>170.73609924316401</v>
      </c>
      <c r="AB21" s="189">
        <f t="shared" si="9"/>
        <v>274.5</v>
      </c>
      <c r="AC21" s="195">
        <f t="shared" si="10"/>
        <v>1.607744356447165</v>
      </c>
      <c r="AE21" s="189">
        <v>19</v>
      </c>
      <c r="AF21" s="196">
        <f>Результаты!X22</f>
        <v>170.61444091796901</v>
      </c>
      <c r="AG21" s="189">
        <f t="shared" si="11"/>
        <v>274.5</v>
      </c>
      <c r="AH21" s="195">
        <f t="shared" si="12"/>
        <v>1.6088907745621539</v>
      </c>
      <c r="AJ21" s="189">
        <v>19</v>
      </c>
      <c r="AK21" s="196">
        <f>Результаты!Y22</f>
        <v>170.578125</v>
      </c>
      <c r="AL21" s="189">
        <f t="shared" si="13"/>
        <v>274.5</v>
      </c>
      <c r="AM21" s="195">
        <f t="shared" si="14"/>
        <v>1.6092333058532564</v>
      </c>
      <c r="AO21" s="189">
        <v>19</v>
      </c>
      <c r="AP21" s="196">
        <f>Результаты!Z22</f>
        <v>0.59618186950683605</v>
      </c>
      <c r="AQ21" s="189">
        <f t="shared" si="15"/>
        <v>274.5</v>
      </c>
      <c r="AR21" s="195">
        <f t="shared" si="16"/>
        <v>460.42996951092704</v>
      </c>
      <c r="AT21" s="189">
        <v>19</v>
      </c>
      <c r="AU21" s="195">
        <f>Результаты!AA22/1.028469</f>
        <v>241.22653128039249</v>
      </c>
      <c r="AV21" s="195">
        <f t="shared" si="17"/>
        <v>277.27272727272725</v>
      </c>
      <c r="AW21" s="195">
        <f t="shared" si="18"/>
        <v>1.1494288202918941</v>
      </c>
      <c r="AY21" s="198"/>
      <c r="AZ21" s="199"/>
      <c r="BA21" s="198"/>
      <c r="BB21" s="198"/>
    </row>
    <row r="22" spans="1:54" ht="15.75" x14ac:dyDescent="0.25">
      <c r="A22">
        <v>87</v>
      </c>
      <c r="B22">
        <v>345</v>
      </c>
      <c r="C22">
        <v>310.5</v>
      </c>
      <c r="D22" s="194">
        <f t="shared" si="0"/>
        <v>313.63636363636363</v>
      </c>
      <c r="F22" s="189">
        <v>20</v>
      </c>
      <c r="G22" s="196">
        <f>Результаты!U23</f>
        <v>184.55131530761699</v>
      </c>
      <c r="H22" s="189">
        <f t="shared" si="1"/>
        <v>274.5</v>
      </c>
      <c r="I22" s="195">
        <f t="shared" si="2"/>
        <v>1.4873911873369918</v>
      </c>
      <c r="J22" s="188"/>
      <c r="K22" s="189">
        <v>20</v>
      </c>
      <c r="L22" s="196">
        <f>Результаты!V23</f>
        <v>183.41401672363301</v>
      </c>
      <c r="M22" s="189">
        <f t="shared" si="3"/>
        <v>274.5</v>
      </c>
      <c r="N22" s="195">
        <f t="shared" si="4"/>
        <v>1.4966140805564208</v>
      </c>
      <c r="P22" s="189">
        <v>20</v>
      </c>
      <c r="Q22" s="196">
        <f>Результаты!S23</f>
        <v>180.708084106445</v>
      </c>
      <c r="R22" s="189">
        <f t="shared" si="5"/>
        <v>305</v>
      </c>
      <c r="S22" s="195">
        <f t="shared" si="6"/>
        <v>1.687804956309213</v>
      </c>
      <c r="U22" s="189">
        <v>20</v>
      </c>
      <c r="V22" s="196">
        <f>Результаты!T23</f>
        <v>205.41874694824199</v>
      </c>
      <c r="W22" s="189">
        <f t="shared" si="7"/>
        <v>274.5</v>
      </c>
      <c r="X22" s="195">
        <f t="shared" si="8"/>
        <v>1.3362947835971561</v>
      </c>
      <c r="Z22" s="189">
        <v>20</v>
      </c>
      <c r="AA22" s="196">
        <f>Результаты!W23</f>
        <v>183.33274841308599</v>
      </c>
      <c r="AB22" s="189">
        <f t="shared" si="9"/>
        <v>274.5</v>
      </c>
      <c r="AC22" s="195">
        <f t="shared" si="10"/>
        <v>1.4972775042977899</v>
      </c>
      <c r="AE22" s="189">
        <v>20</v>
      </c>
      <c r="AF22" s="196">
        <f>Результаты!X23</f>
        <v>183.72445678710901</v>
      </c>
      <c r="AG22" s="189">
        <f t="shared" si="11"/>
        <v>274.5</v>
      </c>
      <c r="AH22" s="195">
        <f t="shared" si="12"/>
        <v>1.4940852448298556</v>
      </c>
      <c r="AJ22" s="189">
        <v>20</v>
      </c>
      <c r="AK22" s="196">
        <f>Результаты!Y23</f>
        <v>183.716232299805</v>
      </c>
      <c r="AL22" s="189">
        <f t="shared" si="13"/>
        <v>274.5</v>
      </c>
      <c r="AM22" s="195">
        <f t="shared" si="14"/>
        <v>1.4941521310541885</v>
      </c>
      <c r="AO22" s="189">
        <v>20</v>
      </c>
      <c r="AP22" s="196">
        <f>Результаты!Z23</f>
        <v>0.50858265161514304</v>
      </c>
      <c r="AQ22" s="189">
        <f t="shared" si="15"/>
        <v>274.5</v>
      </c>
      <c r="AR22" s="195">
        <f t="shared" si="16"/>
        <v>539.7352802504181</v>
      </c>
      <c r="AT22" s="189">
        <v>20</v>
      </c>
      <c r="AU22" s="195">
        <f>Результаты!AA23/1.028469</f>
        <v>248.53637176750294</v>
      </c>
      <c r="AV22" s="195">
        <f t="shared" si="17"/>
        <v>277.27272727272725</v>
      </c>
      <c r="AW22" s="195">
        <f t="shared" si="18"/>
        <v>1.1156223344730651</v>
      </c>
      <c r="AY22" s="198"/>
      <c r="AZ22" s="199"/>
      <c r="BA22" s="198"/>
      <c r="BB22" s="198"/>
    </row>
    <row r="23" spans="1:54" ht="15.75" x14ac:dyDescent="0.25">
      <c r="A23">
        <v>88</v>
      </c>
      <c r="B23">
        <v>345</v>
      </c>
      <c r="C23">
        <v>310.5</v>
      </c>
      <c r="D23" s="194">
        <f t="shared" si="0"/>
        <v>313.63636363636363</v>
      </c>
      <c r="F23" s="189">
        <v>21</v>
      </c>
      <c r="G23" s="196">
        <f>Результаты!U24</f>
        <v>186.673095703125</v>
      </c>
      <c r="H23" s="189">
        <f t="shared" si="1"/>
        <v>274.5</v>
      </c>
      <c r="I23" s="195">
        <f t="shared" si="2"/>
        <v>1.4704850689172169</v>
      </c>
      <c r="J23" s="188"/>
      <c r="K23" s="189">
        <v>21</v>
      </c>
      <c r="L23" s="196">
        <f>Результаты!V24</f>
        <v>185.54075622558599</v>
      </c>
      <c r="M23" s="189">
        <f t="shared" si="3"/>
        <v>274.5</v>
      </c>
      <c r="N23" s="195">
        <f t="shared" si="4"/>
        <v>1.479459314406667</v>
      </c>
      <c r="P23" s="189">
        <v>21</v>
      </c>
      <c r="Q23" s="196">
        <f>Результаты!S24</f>
        <v>182.10716247558599</v>
      </c>
      <c r="R23" s="189">
        <f t="shared" si="5"/>
        <v>305</v>
      </c>
      <c r="S23" s="195">
        <f t="shared" si="6"/>
        <v>1.6748380231386533</v>
      </c>
      <c r="U23" s="189">
        <v>21</v>
      </c>
      <c r="V23" s="196">
        <f>Результаты!T24</f>
        <v>207.718338012695</v>
      </c>
      <c r="W23" s="189">
        <f t="shared" si="7"/>
        <v>274.5</v>
      </c>
      <c r="X23" s="195">
        <f t="shared" si="8"/>
        <v>1.3215010413920389</v>
      </c>
      <c r="Z23" s="189">
        <v>21</v>
      </c>
      <c r="AA23" s="196">
        <f>Результаты!W24</f>
        <v>184.95373535156301</v>
      </c>
      <c r="AB23" s="189">
        <f t="shared" si="9"/>
        <v>274.5</v>
      </c>
      <c r="AC23" s="195">
        <f t="shared" si="10"/>
        <v>1.4841549400352798</v>
      </c>
      <c r="AE23" s="189">
        <v>21</v>
      </c>
      <c r="AF23" s="196">
        <f>Результаты!X24</f>
        <v>185.50938415527301</v>
      </c>
      <c r="AG23" s="189">
        <f t="shared" si="11"/>
        <v>274.5</v>
      </c>
      <c r="AH23" s="195">
        <f t="shared" si="12"/>
        <v>1.4797095103838038</v>
      </c>
      <c r="AJ23" s="189">
        <v>21</v>
      </c>
      <c r="AK23" s="196">
        <f>Результаты!Y24</f>
        <v>185.51202392578099</v>
      </c>
      <c r="AL23" s="189">
        <f t="shared" si="13"/>
        <v>274.5</v>
      </c>
      <c r="AM23" s="195">
        <f t="shared" si="14"/>
        <v>1.4796884546406599</v>
      </c>
      <c r="AO23" s="189">
        <v>21</v>
      </c>
      <c r="AP23" s="196">
        <f>Результаты!Z24</f>
        <v>2.1034579277038601</v>
      </c>
      <c r="AQ23" s="189">
        <f t="shared" si="15"/>
        <v>274.5</v>
      </c>
      <c r="AR23" s="195">
        <f t="shared" si="16"/>
        <v>130.49940119298932</v>
      </c>
      <c r="AT23" s="189">
        <v>21</v>
      </c>
      <c r="AU23" s="195">
        <f>Результаты!AA24/1.028469</f>
        <v>251.03424480533977</v>
      </c>
      <c r="AV23" s="195">
        <f t="shared" si="17"/>
        <v>277.27272727272725</v>
      </c>
      <c r="AW23" s="195">
        <f t="shared" si="18"/>
        <v>1.1045215264862913</v>
      </c>
      <c r="AY23" s="198"/>
      <c r="AZ23" s="199"/>
      <c r="BA23" s="198"/>
      <c r="BB23" s="198"/>
    </row>
    <row r="24" spans="1:54" ht="15.75" x14ac:dyDescent="0.25">
      <c r="A24">
        <v>89</v>
      </c>
      <c r="B24">
        <v>345</v>
      </c>
      <c r="C24">
        <v>310.5</v>
      </c>
      <c r="D24" s="194">
        <f t="shared" si="0"/>
        <v>313.63636363636363</v>
      </c>
      <c r="F24" s="189">
        <v>22</v>
      </c>
      <c r="G24" s="196">
        <f>Результаты!U25</f>
        <v>162.94689941406301</v>
      </c>
      <c r="H24" s="189">
        <f t="shared" si="1"/>
        <v>274.5</v>
      </c>
      <c r="I24" s="195">
        <f t="shared" si="2"/>
        <v>1.6845978719881642</v>
      </c>
      <c r="J24" s="188"/>
      <c r="K24" s="189">
        <v>22</v>
      </c>
      <c r="L24" s="196">
        <f>Результаты!V25</f>
        <v>166.33068847656301</v>
      </c>
      <c r="M24" s="189">
        <f t="shared" si="3"/>
        <v>274.5</v>
      </c>
      <c r="N24" s="195">
        <f t="shared" si="4"/>
        <v>1.6503268429546523</v>
      </c>
      <c r="P24" s="189">
        <v>22</v>
      </c>
      <c r="Q24" s="196">
        <f>Результаты!S25</f>
        <v>170.13267517089801</v>
      </c>
      <c r="R24" s="189">
        <f t="shared" si="5"/>
        <v>305</v>
      </c>
      <c r="S24" s="195">
        <f t="shared" si="6"/>
        <v>1.7927185338949614</v>
      </c>
      <c r="U24" s="189">
        <v>22</v>
      </c>
      <c r="V24" s="196">
        <f>Результаты!T25</f>
        <v>175.68461608886699</v>
      </c>
      <c r="W24" s="189">
        <f t="shared" si="7"/>
        <v>274.5</v>
      </c>
      <c r="X24" s="195">
        <f t="shared" si="8"/>
        <v>1.5624589455296927</v>
      </c>
      <c r="Z24" s="189">
        <v>22</v>
      </c>
      <c r="AA24" s="196">
        <f>Результаты!W25</f>
        <v>165.974685668945</v>
      </c>
      <c r="AB24" s="189">
        <f t="shared" si="9"/>
        <v>274.5</v>
      </c>
      <c r="AC24" s="195">
        <f t="shared" si="10"/>
        <v>1.6538666658331309</v>
      </c>
      <c r="AE24" s="189">
        <v>22</v>
      </c>
      <c r="AF24" s="196">
        <f>Результаты!X25</f>
        <v>164.335372924805</v>
      </c>
      <c r="AG24" s="189">
        <f t="shared" si="11"/>
        <v>274.5</v>
      </c>
      <c r="AH24" s="195">
        <f t="shared" si="12"/>
        <v>1.67036466412866</v>
      </c>
      <c r="AJ24" s="189">
        <v>22</v>
      </c>
      <c r="AK24" s="196">
        <f>Результаты!Y25</f>
        <v>164.38671875</v>
      </c>
      <c r="AL24" s="189">
        <f t="shared" si="13"/>
        <v>274.5</v>
      </c>
      <c r="AM24" s="195">
        <f t="shared" si="14"/>
        <v>1.6698429294489461</v>
      </c>
      <c r="AO24" s="189">
        <v>22</v>
      </c>
      <c r="AP24" s="196">
        <f>Результаты!Z25</f>
        <v>2.0705690383911102</v>
      </c>
      <c r="AQ24" s="189">
        <f t="shared" si="15"/>
        <v>274.5</v>
      </c>
      <c r="AR24" s="195">
        <f t="shared" si="16"/>
        <v>132.57225183531872</v>
      </c>
      <c r="AT24" s="189">
        <v>22</v>
      </c>
      <c r="AU24" s="195">
        <f>Результаты!AA25/1.028469</f>
        <v>237.58741181484029</v>
      </c>
      <c r="AV24" s="195">
        <f t="shared" si="17"/>
        <v>277.27272727272725</v>
      </c>
      <c r="AW24" s="195">
        <f t="shared" si="18"/>
        <v>1.1670345880480193</v>
      </c>
      <c r="AY24" s="198"/>
      <c r="AZ24" s="199"/>
      <c r="BA24" s="198"/>
      <c r="BB24" s="198"/>
    </row>
    <row r="25" spans="1:54" ht="15.75" x14ac:dyDescent="0.25">
      <c r="A25">
        <v>90</v>
      </c>
      <c r="B25">
        <v>345</v>
      </c>
      <c r="C25">
        <v>310.5</v>
      </c>
      <c r="D25" s="194">
        <f t="shared" si="0"/>
        <v>313.63636363636363</v>
      </c>
      <c r="F25" s="189">
        <v>23</v>
      </c>
      <c r="G25" s="196">
        <f>Результаты!U26</f>
        <v>230.37022399902301</v>
      </c>
      <c r="H25" s="189">
        <f t="shared" si="1"/>
        <v>292.5</v>
      </c>
      <c r="I25" s="195">
        <f t="shared" si="2"/>
        <v>1.2696953404934852</v>
      </c>
      <c r="J25" s="188"/>
      <c r="K25" s="189">
        <v>23</v>
      </c>
      <c r="L25" s="196">
        <f>Результаты!V26</f>
        <v>121.45700836181599</v>
      </c>
      <c r="M25" s="189">
        <f t="shared" si="3"/>
        <v>292.5</v>
      </c>
      <c r="N25" s="195">
        <f t="shared" si="4"/>
        <v>2.4082595475153905</v>
      </c>
      <c r="P25" s="189">
        <v>23</v>
      </c>
      <c r="Q25" s="196">
        <f>Результаты!S26</f>
        <v>120.578605651855</v>
      </c>
      <c r="R25" s="189">
        <f t="shared" si="5"/>
        <v>325</v>
      </c>
      <c r="S25" s="195">
        <f t="shared" si="6"/>
        <v>2.6953371889070286</v>
      </c>
      <c r="U25" s="189">
        <v>23</v>
      </c>
      <c r="V25" s="196">
        <f>Результаты!T26</f>
        <v>264.55044555664102</v>
      </c>
      <c r="W25" s="189">
        <f t="shared" si="7"/>
        <v>292.5</v>
      </c>
      <c r="X25" s="195">
        <f t="shared" si="8"/>
        <v>1.105649243510251</v>
      </c>
      <c r="Z25" s="189">
        <v>23</v>
      </c>
      <c r="AA25" s="196">
        <f>Результаты!W26</f>
        <v>182.70932006835901</v>
      </c>
      <c r="AB25" s="189">
        <f t="shared" si="9"/>
        <v>292.5</v>
      </c>
      <c r="AC25" s="195">
        <f t="shared" si="10"/>
        <v>1.6009035548409014</v>
      </c>
      <c r="AE25" s="189">
        <v>23</v>
      </c>
      <c r="AF25" s="196">
        <f>Результаты!X26</f>
        <v>180.10908508300801</v>
      </c>
      <c r="AG25" s="189">
        <f t="shared" si="11"/>
        <v>292.5</v>
      </c>
      <c r="AH25" s="195">
        <f t="shared" si="12"/>
        <v>1.6240158005643839</v>
      </c>
      <c r="AJ25" s="189">
        <v>23</v>
      </c>
      <c r="AK25" s="196">
        <f>Результаты!Y26</f>
        <v>177.99957275390599</v>
      </c>
      <c r="AL25" s="189">
        <f t="shared" si="13"/>
        <v>292.5</v>
      </c>
      <c r="AM25" s="195">
        <f t="shared" si="14"/>
        <v>1.6432623712215142</v>
      </c>
      <c r="AO25" s="189">
        <v>23</v>
      </c>
      <c r="AP25" s="196">
        <f>Результаты!Z26</f>
        <v>14.534827232360801</v>
      </c>
      <c r="AQ25" s="189">
        <f t="shared" si="15"/>
        <v>292.5</v>
      </c>
      <c r="AR25" s="195">
        <f t="shared" si="16"/>
        <v>20.124078210490779</v>
      </c>
      <c r="AT25" s="189">
        <v>23</v>
      </c>
      <c r="AU25" s="195">
        <f>Результаты!AA26/1.028469</f>
        <v>250.9545139311744</v>
      </c>
      <c r="AV25" s="195">
        <f t="shared" si="17"/>
        <v>295.45454545454544</v>
      </c>
      <c r="AW25" s="195">
        <f t="shared" si="18"/>
        <v>1.1773230966292776</v>
      </c>
      <c r="AY25" s="198"/>
      <c r="AZ25" s="199"/>
      <c r="BA25" s="198"/>
      <c r="BB25" s="198"/>
    </row>
    <row r="26" spans="1:54" ht="15.75" x14ac:dyDescent="0.25">
      <c r="A26">
        <v>91</v>
      </c>
      <c r="B26">
        <v>345</v>
      </c>
      <c r="C26">
        <v>310.5</v>
      </c>
      <c r="D26" s="194">
        <f t="shared" si="0"/>
        <v>313.63636363636363</v>
      </c>
      <c r="F26" s="189">
        <v>24</v>
      </c>
      <c r="G26" s="196">
        <f>Результаты!U27</f>
        <v>182.45346069335901</v>
      </c>
      <c r="H26" s="189">
        <f t="shared" si="1"/>
        <v>292.5</v>
      </c>
      <c r="I26" s="195">
        <f t="shared" si="2"/>
        <v>1.6031485447765284</v>
      </c>
      <c r="J26" s="188"/>
      <c r="K26" s="189">
        <v>24</v>
      </c>
      <c r="L26" s="196">
        <f>Результаты!V27</f>
        <v>191.646072387695</v>
      </c>
      <c r="M26" s="189">
        <f t="shared" si="3"/>
        <v>292.5</v>
      </c>
      <c r="N26" s="195">
        <f t="shared" si="4"/>
        <v>1.5262509497626444</v>
      </c>
      <c r="P26" s="189">
        <v>24</v>
      </c>
      <c r="Q26" s="196">
        <f>Результаты!S27</f>
        <v>226.84309387207</v>
      </c>
      <c r="R26" s="189">
        <f t="shared" si="5"/>
        <v>325</v>
      </c>
      <c r="S26" s="195">
        <f t="shared" si="6"/>
        <v>1.4327083732303809</v>
      </c>
      <c r="U26" s="189">
        <v>24</v>
      </c>
      <c r="V26" s="196">
        <f>Результаты!T27</f>
        <v>149.879150390625</v>
      </c>
      <c r="W26" s="189">
        <f t="shared" si="7"/>
        <v>292.5</v>
      </c>
      <c r="X26" s="195">
        <f t="shared" si="8"/>
        <v>1.9515723116768882</v>
      </c>
      <c r="Z26" s="189">
        <v>24</v>
      </c>
      <c r="AA26" s="196">
        <f>Результаты!W27</f>
        <v>182.84490966796901</v>
      </c>
      <c r="AB26" s="189">
        <f t="shared" si="9"/>
        <v>292.5</v>
      </c>
      <c r="AC26" s="195">
        <f t="shared" si="10"/>
        <v>1.5997163964321206</v>
      </c>
      <c r="AE26" s="189">
        <v>24</v>
      </c>
      <c r="AF26" s="196">
        <f>Результаты!X27</f>
        <v>181.94284057617199</v>
      </c>
      <c r="AG26" s="189">
        <f t="shared" si="11"/>
        <v>292.5</v>
      </c>
      <c r="AH26" s="195">
        <f t="shared" si="12"/>
        <v>1.607647759448618</v>
      </c>
      <c r="AJ26" s="189">
        <v>24</v>
      </c>
      <c r="AK26" s="196">
        <f>Результаты!Y27</f>
        <v>179.05480957031301</v>
      </c>
      <c r="AL26" s="189">
        <f t="shared" si="13"/>
        <v>292.5</v>
      </c>
      <c r="AM26" s="195">
        <f t="shared" si="14"/>
        <v>1.6335780127991379</v>
      </c>
      <c r="AO26" s="189">
        <v>24</v>
      </c>
      <c r="AP26" s="196">
        <f>Результаты!Z27</f>
        <v>37.1531372070313</v>
      </c>
      <c r="AQ26" s="189">
        <f t="shared" si="15"/>
        <v>292.5</v>
      </c>
      <c r="AR26" s="195">
        <f t="shared" si="16"/>
        <v>7.8728210317766605</v>
      </c>
      <c r="AT26" s="189">
        <v>24</v>
      </c>
      <c r="AU26" s="195">
        <f>Результаты!AA27/1.028469</f>
        <v>254.42267342966196</v>
      </c>
      <c r="AV26" s="195">
        <f t="shared" si="17"/>
        <v>295.45454545454544</v>
      </c>
      <c r="AW26" s="195">
        <f t="shared" si="18"/>
        <v>1.1612744315267451</v>
      </c>
      <c r="AY26" s="198"/>
      <c r="AZ26" s="199"/>
      <c r="BA26" s="198"/>
      <c r="BB26" s="198"/>
    </row>
    <row r="27" spans="1:54" ht="15.75" x14ac:dyDescent="0.25">
      <c r="A27">
        <v>92</v>
      </c>
      <c r="B27">
        <v>345</v>
      </c>
      <c r="C27">
        <v>310.5</v>
      </c>
      <c r="D27" s="194">
        <f t="shared" si="0"/>
        <v>313.63636363636363</v>
      </c>
      <c r="F27" s="189">
        <v>25</v>
      </c>
      <c r="G27" s="196">
        <f>Результаты!U28</f>
        <v>120.227424621582</v>
      </c>
      <c r="H27" s="189">
        <f t="shared" si="1"/>
        <v>292.5</v>
      </c>
      <c r="I27" s="195">
        <f t="shared" si="2"/>
        <v>2.4328891758319622</v>
      </c>
      <c r="J27" s="188"/>
      <c r="K27" s="189">
        <v>25</v>
      </c>
      <c r="L27" s="196">
        <f>Результаты!V28</f>
        <v>122.992485046387</v>
      </c>
      <c r="M27" s="189">
        <f t="shared" si="3"/>
        <v>292.5</v>
      </c>
      <c r="N27" s="195">
        <f t="shared" si="4"/>
        <v>2.3781940814488194</v>
      </c>
      <c r="P27" s="189">
        <v>25</v>
      </c>
      <c r="Q27" s="196">
        <f>Результаты!S28</f>
        <v>164.87489318847699</v>
      </c>
      <c r="R27" s="189">
        <f t="shared" si="5"/>
        <v>325</v>
      </c>
      <c r="S27" s="195">
        <f t="shared" si="6"/>
        <v>1.9711915726821776</v>
      </c>
      <c r="U27" s="189">
        <v>25</v>
      </c>
      <c r="V27" s="196">
        <f>Результаты!T28</f>
        <v>95.919380187988295</v>
      </c>
      <c r="W27" s="189">
        <f t="shared" si="7"/>
        <v>292.5</v>
      </c>
      <c r="X27" s="195">
        <f t="shared" si="8"/>
        <v>3.0494358848727101</v>
      </c>
      <c r="Z27" s="189">
        <v>25</v>
      </c>
      <c r="AA27" s="196">
        <f>Результаты!W28</f>
        <v>115.748321533203</v>
      </c>
      <c r="AB27" s="189">
        <f t="shared" si="9"/>
        <v>292.5</v>
      </c>
      <c r="AC27" s="195">
        <f t="shared" si="10"/>
        <v>2.5270344841769035</v>
      </c>
      <c r="AE27" s="189">
        <v>25</v>
      </c>
      <c r="AF27" s="196">
        <f>Результаты!X28</f>
        <v>115.87718200683599</v>
      </c>
      <c r="AG27" s="189">
        <f t="shared" si="11"/>
        <v>292.5</v>
      </c>
      <c r="AH27" s="195">
        <f t="shared" si="12"/>
        <v>2.524224311760916</v>
      </c>
      <c r="AJ27" s="189">
        <v>25</v>
      </c>
      <c r="AK27" s="196">
        <f>Результаты!Y28</f>
        <v>114.22564697265599</v>
      </c>
      <c r="AL27" s="189">
        <f t="shared" si="13"/>
        <v>292.5</v>
      </c>
      <c r="AM27" s="195">
        <f t="shared" si="14"/>
        <v>2.5607208867026192</v>
      </c>
      <c r="AO27" s="189">
        <v>25</v>
      </c>
      <c r="AP27" s="196">
        <f>Результаты!Z28</f>
        <v>47.008453369140597</v>
      </c>
      <c r="AQ27" s="189">
        <f t="shared" si="15"/>
        <v>292.5</v>
      </c>
      <c r="AR27" s="195">
        <f t="shared" si="16"/>
        <v>6.2222851218503612</v>
      </c>
      <c r="AT27" s="189">
        <v>25</v>
      </c>
      <c r="AU27" s="195">
        <f>Результаты!AA28/1.028469</f>
        <v>170.79044622964716</v>
      </c>
      <c r="AV27" s="195">
        <f t="shared" si="17"/>
        <v>295.45454545454544</v>
      </c>
      <c r="AW27" s="195">
        <f t="shared" si="18"/>
        <v>1.7299243135489748</v>
      </c>
      <c r="AY27" s="198"/>
      <c r="AZ27" s="199"/>
      <c r="BA27" s="198"/>
      <c r="BB27" s="198"/>
    </row>
    <row r="28" spans="1:54" ht="15.75" x14ac:dyDescent="0.25">
      <c r="A28">
        <v>93</v>
      </c>
      <c r="B28">
        <v>345</v>
      </c>
      <c r="C28">
        <v>310.5</v>
      </c>
      <c r="D28" s="194">
        <f t="shared" si="0"/>
        <v>313.63636363636363</v>
      </c>
      <c r="F28" s="189">
        <v>26</v>
      </c>
      <c r="G28" s="196">
        <f>Результаты!U29</f>
        <v>194.19964599609401</v>
      </c>
      <c r="H28" s="189">
        <f t="shared" si="1"/>
        <v>292.5</v>
      </c>
      <c r="I28" s="195">
        <f t="shared" si="2"/>
        <v>1.5061819422980984</v>
      </c>
      <c r="J28" s="188"/>
      <c r="K28" s="189">
        <v>26</v>
      </c>
      <c r="L28" s="196">
        <f>Результаты!V29</f>
        <v>198.12767028808599</v>
      </c>
      <c r="M28" s="189">
        <f t="shared" si="3"/>
        <v>292.5</v>
      </c>
      <c r="N28" s="195">
        <f t="shared" si="4"/>
        <v>1.4763207964576208</v>
      </c>
      <c r="P28" s="189">
        <v>26</v>
      </c>
      <c r="Q28" s="196">
        <f>Результаты!S29</f>
        <v>228.67652893066401</v>
      </c>
      <c r="R28" s="189">
        <f t="shared" si="5"/>
        <v>325</v>
      </c>
      <c r="S28" s="195">
        <f t="shared" si="6"/>
        <v>1.4212215023542789</v>
      </c>
      <c r="U28" s="189">
        <v>26</v>
      </c>
      <c r="V28" s="196">
        <f>Результаты!T29</f>
        <v>163.20565795898401</v>
      </c>
      <c r="W28" s="189">
        <f t="shared" si="7"/>
        <v>292.5</v>
      </c>
      <c r="X28" s="195">
        <f t="shared" si="8"/>
        <v>1.7922172776234853</v>
      </c>
      <c r="Z28" s="189">
        <v>26</v>
      </c>
      <c r="AA28" s="196">
        <f>Результаты!W29</f>
        <v>189.46478271484401</v>
      </c>
      <c r="AB28" s="189">
        <f t="shared" si="9"/>
        <v>292.5</v>
      </c>
      <c r="AC28" s="195">
        <f t="shared" si="10"/>
        <v>1.5438225289616501</v>
      </c>
      <c r="AE28" s="189">
        <v>26</v>
      </c>
      <c r="AF28" s="196">
        <f>Результаты!X29</f>
        <v>188.84895324707</v>
      </c>
      <c r="AG28" s="189">
        <f t="shared" si="11"/>
        <v>292.5</v>
      </c>
      <c r="AH28" s="195">
        <f t="shared" si="12"/>
        <v>1.5488568772595945</v>
      </c>
      <c r="AJ28" s="189">
        <v>26</v>
      </c>
      <c r="AK28" s="196">
        <f>Результаты!Y29</f>
        <v>185.67610168457</v>
      </c>
      <c r="AL28" s="189">
        <f t="shared" si="13"/>
        <v>292.5</v>
      </c>
      <c r="AM28" s="195">
        <f t="shared" si="14"/>
        <v>1.5753238965394933</v>
      </c>
      <c r="AO28" s="189">
        <v>26</v>
      </c>
      <c r="AP28" s="196">
        <f>Результаты!Z29</f>
        <v>52.839866638183601</v>
      </c>
      <c r="AQ28" s="189">
        <f t="shared" si="15"/>
        <v>292.5</v>
      </c>
      <c r="AR28" s="195">
        <f t="shared" si="16"/>
        <v>5.5355930779096845</v>
      </c>
      <c r="AT28" s="189">
        <v>26</v>
      </c>
      <c r="AU28" s="195">
        <f>Результаты!AA29/1.028469</f>
        <v>258.26557100400885</v>
      </c>
      <c r="AV28" s="195">
        <f t="shared" si="17"/>
        <v>295.45454545454544</v>
      </c>
      <c r="AW28" s="195">
        <f t="shared" si="18"/>
        <v>1.1439950911999779</v>
      </c>
      <c r="AY28" s="198"/>
      <c r="AZ28" s="199"/>
      <c r="BA28" s="198"/>
      <c r="BB28" s="198"/>
    </row>
    <row r="29" spans="1:54" ht="15.75" x14ac:dyDescent="0.25">
      <c r="A29">
        <v>94</v>
      </c>
      <c r="B29">
        <v>345</v>
      </c>
      <c r="C29">
        <v>310.5</v>
      </c>
      <c r="D29" s="194">
        <f t="shared" si="0"/>
        <v>313.63636363636363</v>
      </c>
      <c r="F29" s="189">
        <v>27</v>
      </c>
      <c r="G29" s="196">
        <f>Результаты!U30</f>
        <v>233.91250610351599</v>
      </c>
      <c r="H29" s="189">
        <f t="shared" si="1"/>
        <v>292.5</v>
      </c>
      <c r="I29" s="195">
        <f t="shared" si="2"/>
        <v>1.2504675567477208</v>
      </c>
      <c r="J29" s="188"/>
      <c r="K29" s="189">
        <v>27</v>
      </c>
      <c r="L29" s="196">
        <f>Результаты!V30</f>
        <v>139.59324645996099</v>
      </c>
      <c r="M29" s="189">
        <f t="shared" si="3"/>
        <v>292.5</v>
      </c>
      <c r="N29" s="195">
        <f t="shared" si="4"/>
        <v>2.0953735758548797</v>
      </c>
      <c r="P29" s="189">
        <v>27</v>
      </c>
      <c r="Q29" s="196">
        <f>Результаты!S30</f>
        <v>140.28079223632801</v>
      </c>
      <c r="R29" s="189">
        <f t="shared" si="5"/>
        <v>325</v>
      </c>
      <c r="S29" s="195">
        <f t="shared" si="6"/>
        <v>2.3167818973568353</v>
      </c>
      <c r="U29" s="189">
        <v>27</v>
      </c>
      <c r="V29" s="196">
        <f>Результаты!T30</f>
        <v>254.08511352539099</v>
      </c>
      <c r="W29" s="189">
        <f t="shared" si="7"/>
        <v>292.5</v>
      </c>
      <c r="X29" s="195">
        <f t="shared" si="8"/>
        <v>1.1511890481957345</v>
      </c>
      <c r="Z29" s="189">
        <v>27</v>
      </c>
      <c r="AA29" s="196">
        <f>Результаты!W30</f>
        <v>187.61183166503901</v>
      </c>
      <c r="AB29" s="189">
        <f t="shared" si="9"/>
        <v>292.5</v>
      </c>
      <c r="AC29" s="195">
        <f t="shared" si="10"/>
        <v>1.5590701151632467</v>
      </c>
      <c r="AE29" s="189">
        <v>27</v>
      </c>
      <c r="AF29" s="196">
        <f>Результаты!X30</f>
        <v>186.051193237305</v>
      </c>
      <c r="AG29" s="189">
        <f t="shared" si="11"/>
        <v>292.5</v>
      </c>
      <c r="AH29" s="195">
        <f t="shared" si="12"/>
        <v>1.5721479390187056</v>
      </c>
      <c r="AJ29" s="189">
        <v>27</v>
      </c>
      <c r="AK29" s="196">
        <f>Результаты!Y30</f>
        <v>184.08877563476599</v>
      </c>
      <c r="AL29" s="189">
        <f t="shared" si="13"/>
        <v>292.5</v>
      </c>
      <c r="AM29" s="195">
        <f t="shared" si="14"/>
        <v>1.5889073029651899</v>
      </c>
      <c r="AO29" s="189">
        <v>27</v>
      </c>
      <c r="AP29" s="196">
        <f>Результаты!Z30</f>
        <v>13.543337821960399</v>
      </c>
      <c r="AQ29" s="189">
        <f t="shared" si="15"/>
        <v>292.5</v>
      </c>
      <c r="AR29" s="195">
        <f t="shared" si="16"/>
        <v>21.597334707675525</v>
      </c>
      <c r="AT29" s="189">
        <v>27</v>
      </c>
      <c r="AU29" s="195">
        <f>Результаты!AA30/1.028469</f>
        <v>253.25222894456809</v>
      </c>
      <c r="AV29" s="195">
        <f t="shared" si="17"/>
        <v>295.45454545454544</v>
      </c>
      <c r="AW29" s="195">
        <f t="shared" si="18"/>
        <v>1.1666414415614663</v>
      </c>
      <c r="AY29" s="198"/>
      <c r="AZ29" s="199"/>
      <c r="BA29" s="198"/>
      <c r="BB29" s="198"/>
    </row>
    <row r="30" spans="1:54" ht="15.75" x14ac:dyDescent="0.25">
      <c r="D30" s="194">
        <f t="shared" si="0"/>
        <v>0</v>
      </c>
      <c r="F30" s="189">
        <v>28</v>
      </c>
      <c r="G30" s="196">
        <f>Результаты!U31</f>
        <v>241.56256103515599</v>
      </c>
      <c r="H30" s="189">
        <f t="shared" si="1"/>
        <v>292.5</v>
      </c>
      <c r="I30" s="195">
        <f t="shared" si="2"/>
        <v>1.2108664469633221</v>
      </c>
      <c r="J30" s="188"/>
      <c r="K30" s="189">
        <v>28</v>
      </c>
      <c r="L30" s="196">
        <f>Результаты!V31</f>
        <v>142.72557067871099</v>
      </c>
      <c r="M30" s="189">
        <f t="shared" si="3"/>
        <v>292.5</v>
      </c>
      <c r="N30" s="195">
        <f t="shared" si="4"/>
        <v>2.0493874966416894</v>
      </c>
      <c r="P30" s="189">
        <v>28</v>
      </c>
      <c r="Q30" s="196">
        <f>Результаты!S31</f>
        <v>136.73768615722699</v>
      </c>
      <c r="R30" s="189">
        <f t="shared" si="5"/>
        <v>325</v>
      </c>
      <c r="S30" s="195">
        <f t="shared" si="6"/>
        <v>2.3768136578404637</v>
      </c>
      <c r="U30" s="189">
        <v>28</v>
      </c>
      <c r="V30" s="196">
        <f>Результаты!T31</f>
        <v>262.71261596679699</v>
      </c>
      <c r="W30" s="189">
        <f t="shared" si="7"/>
        <v>292.5</v>
      </c>
      <c r="X30" s="195">
        <f t="shared" si="8"/>
        <v>1.1133839116312849</v>
      </c>
      <c r="Z30" s="189">
        <v>28</v>
      </c>
      <c r="AA30" s="196">
        <f>Результаты!W31</f>
        <v>190.232421875</v>
      </c>
      <c r="AB30" s="189">
        <f t="shared" si="9"/>
        <v>292.5</v>
      </c>
      <c r="AC30" s="195">
        <f t="shared" si="10"/>
        <v>1.537592788426986</v>
      </c>
      <c r="AE30" s="189">
        <v>28</v>
      </c>
      <c r="AF30" s="196">
        <f>Результаты!X31</f>
        <v>188.61184692382801</v>
      </c>
      <c r="AG30" s="189">
        <f t="shared" si="11"/>
        <v>292.5</v>
      </c>
      <c r="AH30" s="195">
        <f t="shared" si="12"/>
        <v>1.5508039647060337</v>
      </c>
      <c r="AJ30" s="189">
        <v>28</v>
      </c>
      <c r="AK30" s="196">
        <f>Результаты!Y31</f>
        <v>187.33148193359401</v>
      </c>
      <c r="AL30" s="189">
        <f t="shared" si="13"/>
        <v>292.5</v>
      </c>
      <c r="AM30" s="195">
        <f t="shared" si="14"/>
        <v>1.5614033315750235</v>
      </c>
      <c r="AO30" s="189">
        <v>28</v>
      </c>
      <c r="AP30" s="196">
        <f>Результаты!Z31</f>
        <v>22.466993331909201</v>
      </c>
      <c r="AQ30" s="189">
        <f t="shared" si="15"/>
        <v>292.5</v>
      </c>
      <c r="AR30" s="195">
        <f t="shared" si="16"/>
        <v>13.019098536187794</v>
      </c>
      <c r="AT30" s="189">
        <v>28</v>
      </c>
      <c r="AU30" s="195">
        <f>Результаты!AA31/1.028469</f>
        <v>256.64757133654194</v>
      </c>
      <c r="AV30" s="195">
        <f t="shared" si="17"/>
        <v>295.45454545454544</v>
      </c>
      <c r="AW30" s="195">
        <f t="shared" si="18"/>
        <v>1.1512072524821049</v>
      </c>
      <c r="AY30" s="198"/>
      <c r="AZ30" s="199"/>
      <c r="BA30" s="198"/>
      <c r="BB30" s="198"/>
    </row>
    <row r="31" spans="1:54" ht="15.75" x14ac:dyDescent="0.25">
      <c r="D31" s="194">
        <f t="shared" si="0"/>
        <v>0</v>
      </c>
      <c r="F31" s="189">
        <v>29</v>
      </c>
      <c r="G31" s="196">
        <f>Результаты!U32</f>
        <v>192.42715454101599</v>
      </c>
      <c r="H31" s="189">
        <f t="shared" si="1"/>
        <v>292.5</v>
      </c>
      <c r="I31" s="195">
        <f t="shared" si="2"/>
        <v>1.5200557358844768</v>
      </c>
      <c r="J31" s="188"/>
      <c r="K31" s="189">
        <v>29</v>
      </c>
      <c r="L31" s="196">
        <f>Результаты!V32</f>
        <v>172.61149597168</v>
      </c>
      <c r="M31" s="189">
        <f t="shared" si="3"/>
        <v>292.5</v>
      </c>
      <c r="N31" s="195">
        <f t="shared" si="4"/>
        <v>1.6945568912049163</v>
      </c>
      <c r="P31" s="189">
        <v>29</v>
      </c>
      <c r="Q31" s="196">
        <f>Результаты!S32</f>
        <v>231.42623901367199</v>
      </c>
      <c r="R31" s="189">
        <f t="shared" si="5"/>
        <v>325</v>
      </c>
      <c r="S31" s="195">
        <f t="shared" si="6"/>
        <v>1.4043351410157081</v>
      </c>
      <c r="U31" s="189">
        <v>29</v>
      </c>
      <c r="V31" s="196">
        <f>Результаты!T32</f>
        <v>160.89527893066401</v>
      </c>
      <c r="W31" s="189">
        <f t="shared" si="7"/>
        <v>292.5</v>
      </c>
      <c r="X31" s="195">
        <f t="shared" si="8"/>
        <v>1.8179526580518846</v>
      </c>
      <c r="Z31" s="189">
        <v>29</v>
      </c>
      <c r="AA31" s="196">
        <f>Результаты!W32</f>
        <v>187.85690307617199</v>
      </c>
      <c r="AB31" s="189">
        <f t="shared" si="9"/>
        <v>292.5</v>
      </c>
      <c r="AC31" s="195">
        <f t="shared" si="10"/>
        <v>1.5570362079342779</v>
      </c>
      <c r="AE31" s="189">
        <v>29</v>
      </c>
      <c r="AF31" s="196">
        <f>Результаты!X32</f>
        <v>186.52992248535199</v>
      </c>
      <c r="AG31" s="189">
        <f t="shared" si="11"/>
        <v>292.5</v>
      </c>
      <c r="AH31" s="195">
        <f t="shared" si="12"/>
        <v>1.5681130196307767</v>
      </c>
      <c r="AJ31" s="189">
        <v>29</v>
      </c>
      <c r="AK31" s="196">
        <f>Результаты!Y32</f>
        <v>184.97149658203099</v>
      </c>
      <c r="AL31" s="189">
        <f t="shared" si="13"/>
        <v>292.5</v>
      </c>
      <c r="AM31" s="195">
        <f t="shared" si="14"/>
        <v>1.581324719780717</v>
      </c>
      <c r="AO31" s="189">
        <v>29</v>
      </c>
      <c r="AP31" s="196">
        <f>Результаты!Z32</f>
        <v>43.740135192871101</v>
      </c>
      <c r="AQ31" s="189">
        <f t="shared" si="15"/>
        <v>292.5</v>
      </c>
      <c r="AR31" s="195">
        <f t="shared" si="16"/>
        <v>6.6872221292921958</v>
      </c>
      <c r="AT31" s="189">
        <v>29</v>
      </c>
      <c r="AU31" s="195">
        <f>Результаты!AA32/1.028469</f>
        <v>256.18838440773419</v>
      </c>
      <c r="AV31" s="195">
        <f t="shared" si="17"/>
        <v>295.45454545454544</v>
      </c>
      <c r="AW31" s="195">
        <f t="shared" si="18"/>
        <v>1.1532706533029911</v>
      </c>
      <c r="AY31" s="198"/>
      <c r="AZ31" s="199"/>
      <c r="BA31" s="198"/>
      <c r="BB31" s="198"/>
    </row>
    <row r="32" spans="1:54" ht="15.75" x14ac:dyDescent="0.25">
      <c r="D32" s="194">
        <f t="shared" si="0"/>
        <v>0</v>
      </c>
      <c r="F32" s="189">
        <v>30</v>
      </c>
      <c r="G32" s="196">
        <f>Результаты!U33</f>
        <v>119.77383422851599</v>
      </c>
      <c r="H32" s="189">
        <f t="shared" si="1"/>
        <v>292.5</v>
      </c>
      <c r="I32" s="195">
        <f t="shared" si="2"/>
        <v>2.4421026669476111</v>
      </c>
      <c r="J32" s="188"/>
      <c r="K32" s="189">
        <v>30</v>
      </c>
      <c r="L32" s="196">
        <f>Результаты!V33</f>
        <v>107.770988464355</v>
      </c>
      <c r="M32" s="189">
        <f t="shared" si="3"/>
        <v>292.5</v>
      </c>
      <c r="N32" s="195">
        <f t="shared" si="4"/>
        <v>2.7140884960588783</v>
      </c>
      <c r="P32" s="189">
        <v>30</v>
      </c>
      <c r="Q32" s="196">
        <f>Результаты!S33</f>
        <v>165.61421203613301</v>
      </c>
      <c r="R32" s="189">
        <f t="shared" si="5"/>
        <v>325</v>
      </c>
      <c r="S32" s="195">
        <f t="shared" si="6"/>
        <v>1.9623919711014468</v>
      </c>
      <c r="U32" s="189">
        <v>30</v>
      </c>
      <c r="V32" s="196">
        <f>Результаты!T33</f>
        <v>96.163421630859403</v>
      </c>
      <c r="W32" s="189">
        <f t="shared" si="7"/>
        <v>292.5</v>
      </c>
      <c r="X32" s="195">
        <f t="shared" si="8"/>
        <v>3.0416970927138376</v>
      </c>
      <c r="Z32" s="189">
        <v>30</v>
      </c>
      <c r="AA32" s="196">
        <f>Результаты!W33</f>
        <v>114.999504089355</v>
      </c>
      <c r="AB32" s="189">
        <f t="shared" si="9"/>
        <v>292.5</v>
      </c>
      <c r="AC32" s="195">
        <f t="shared" si="10"/>
        <v>2.5434892290729056</v>
      </c>
      <c r="AE32" s="189">
        <v>30</v>
      </c>
      <c r="AF32" s="196">
        <f>Результаты!X33</f>
        <v>114.70636749267599</v>
      </c>
      <c r="AG32" s="189">
        <f t="shared" si="11"/>
        <v>292.5</v>
      </c>
      <c r="AH32" s="195">
        <f t="shared" si="12"/>
        <v>2.549989215016125</v>
      </c>
      <c r="AJ32" s="189">
        <v>30</v>
      </c>
      <c r="AK32" s="196">
        <f>Результаты!Y33</f>
        <v>113.629722595215</v>
      </c>
      <c r="AL32" s="189">
        <f t="shared" si="13"/>
        <v>292.5</v>
      </c>
      <c r="AM32" s="195">
        <f t="shared" si="14"/>
        <v>2.5741504363429408</v>
      </c>
      <c r="AO32" s="189">
        <v>30</v>
      </c>
      <c r="AP32" s="196">
        <f>Результаты!Z33</f>
        <v>51.942298889160199</v>
      </c>
      <c r="AQ32" s="189">
        <f t="shared" si="15"/>
        <v>292.5</v>
      </c>
      <c r="AR32" s="195">
        <f t="shared" si="16"/>
        <v>5.6312486404224522</v>
      </c>
      <c r="AT32" s="189">
        <v>30</v>
      </c>
      <c r="AU32" s="195">
        <f>Результаты!AA33/1.028469</f>
        <v>169.06784986272703</v>
      </c>
      <c r="AV32" s="195">
        <f t="shared" si="17"/>
        <v>295.45454545454544</v>
      </c>
      <c r="AW32" s="195">
        <f t="shared" si="18"/>
        <v>1.7475501444800821</v>
      </c>
      <c r="AY32" s="198"/>
      <c r="AZ32" s="199"/>
      <c r="BA32" s="198"/>
      <c r="BB32" s="198"/>
    </row>
    <row r="33" spans="1:54" ht="15.75" x14ac:dyDescent="0.25">
      <c r="D33" s="194">
        <f t="shared" si="0"/>
        <v>0</v>
      </c>
      <c r="F33" s="189">
        <v>31</v>
      </c>
      <c r="G33" s="196">
        <f>Результаты!U34</f>
        <v>180.81799316406301</v>
      </c>
      <c r="H33" s="189">
        <f t="shared" si="1"/>
        <v>292.5</v>
      </c>
      <c r="I33" s="195">
        <f t="shared" si="2"/>
        <v>1.6176487465747045</v>
      </c>
      <c r="J33" s="188"/>
      <c r="K33" s="189">
        <v>31</v>
      </c>
      <c r="L33" s="196">
        <f>Результаты!V34</f>
        <v>175.06790161132801</v>
      </c>
      <c r="M33" s="189">
        <f t="shared" si="3"/>
        <v>292.5</v>
      </c>
      <c r="N33" s="195">
        <f t="shared" si="4"/>
        <v>1.6707802932909168</v>
      </c>
      <c r="P33" s="189">
        <v>31</v>
      </c>
      <c r="Q33" s="196">
        <f>Результаты!S34</f>
        <v>228.704666137695</v>
      </c>
      <c r="R33" s="189">
        <f t="shared" si="5"/>
        <v>325</v>
      </c>
      <c r="S33" s="195">
        <f t="shared" si="6"/>
        <v>1.4210466515113818</v>
      </c>
      <c r="U33" s="189">
        <v>31</v>
      </c>
      <c r="V33" s="196">
        <f>Результаты!T34</f>
        <v>149.43446350097699</v>
      </c>
      <c r="W33" s="189">
        <f t="shared" si="7"/>
        <v>292.5</v>
      </c>
      <c r="X33" s="195">
        <f t="shared" si="8"/>
        <v>1.9573797981219216</v>
      </c>
      <c r="Z33" s="189">
        <v>31</v>
      </c>
      <c r="AA33" s="196">
        <f>Результаты!W34</f>
        <v>181.70677185058599</v>
      </c>
      <c r="AB33" s="189">
        <f t="shared" si="9"/>
        <v>292.5</v>
      </c>
      <c r="AC33" s="195">
        <f t="shared" si="10"/>
        <v>1.6097363737247898</v>
      </c>
      <c r="AE33" s="189">
        <v>31</v>
      </c>
      <c r="AF33" s="196">
        <f>Результаты!X34</f>
        <v>180.49307250976599</v>
      </c>
      <c r="AG33" s="189">
        <f t="shared" si="11"/>
        <v>292.5</v>
      </c>
      <c r="AH33" s="195">
        <f t="shared" si="12"/>
        <v>1.6205608111866654</v>
      </c>
      <c r="AJ33" s="189">
        <v>31</v>
      </c>
      <c r="AK33" s="196">
        <f>Результаты!Y34</f>
        <v>179.32659912109401</v>
      </c>
      <c r="AL33" s="189">
        <f t="shared" si="13"/>
        <v>292.5</v>
      </c>
      <c r="AM33" s="195">
        <f t="shared" si="14"/>
        <v>1.6311021423123253</v>
      </c>
      <c r="AO33" s="189">
        <v>31</v>
      </c>
      <c r="AP33" s="196">
        <f>Результаты!Z34</f>
        <v>30.313594818115199</v>
      </c>
      <c r="AQ33" s="189">
        <f t="shared" si="15"/>
        <v>292.5</v>
      </c>
      <c r="AR33" s="195">
        <f t="shared" si="16"/>
        <v>9.6491360313757308</v>
      </c>
      <c r="AT33" s="189">
        <v>31</v>
      </c>
      <c r="AU33" s="195">
        <f>Результаты!AA34/1.028469</f>
        <v>252.61292798294161</v>
      </c>
      <c r="AV33" s="195">
        <f t="shared" si="17"/>
        <v>295.45454545454544</v>
      </c>
      <c r="AW33" s="195">
        <f t="shared" si="18"/>
        <v>1.1695939230572427</v>
      </c>
      <c r="AY33" s="198"/>
      <c r="AZ33" s="199"/>
      <c r="BA33" s="198"/>
      <c r="BB33" s="198"/>
    </row>
    <row r="34" spans="1:54" ht="15.75" x14ac:dyDescent="0.25">
      <c r="A34" s="259" t="s">
        <v>328</v>
      </c>
      <c r="B34" s="259"/>
      <c r="C34" s="259"/>
      <c r="D34" s="194">
        <f t="shared" si="0"/>
        <v>0</v>
      </c>
      <c r="F34" s="189">
        <v>32</v>
      </c>
      <c r="G34" s="196">
        <f>Результаты!U35</f>
        <v>225.64111328125</v>
      </c>
      <c r="H34" s="189">
        <f t="shared" si="1"/>
        <v>292.5</v>
      </c>
      <c r="I34" s="195">
        <f t="shared" si="2"/>
        <v>1.2963063146892644</v>
      </c>
      <c r="J34" s="188"/>
      <c r="K34" s="189">
        <v>32</v>
      </c>
      <c r="L34" s="196">
        <f>Результаты!V35</f>
        <v>133.69567871093801</v>
      </c>
      <c r="M34" s="189">
        <f t="shared" si="3"/>
        <v>292.5</v>
      </c>
      <c r="N34" s="195">
        <f t="shared" si="4"/>
        <v>2.1878044437951587</v>
      </c>
      <c r="P34" s="189">
        <v>32</v>
      </c>
      <c r="Q34" s="196">
        <f>Результаты!S35</f>
        <v>124.485191345215</v>
      </c>
      <c r="R34" s="189">
        <f t="shared" si="5"/>
        <v>325</v>
      </c>
      <c r="S34" s="195">
        <f t="shared" si="6"/>
        <v>2.6107523030488755</v>
      </c>
      <c r="U34" s="189">
        <v>32</v>
      </c>
      <c r="V34" s="196">
        <f>Результаты!T35</f>
        <v>255.51541137695301</v>
      </c>
      <c r="W34" s="189">
        <f t="shared" si="7"/>
        <v>292.5</v>
      </c>
      <c r="X34" s="195">
        <f t="shared" si="8"/>
        <v>1.1447450407149216</v>
      </c>
      <c r="Z34" s="189">
        <v>32</v>
      </c>
      <c r="AA34" s="196">
        <f>Результаты!W35</f>
        <v>181.14985656738301</v>
      </c>
      <c r="AB34" s="189">
        <f t="shared" si="9"/>
        <v>292.5</v>
      </c>
      <c r="AC34" s="195">
        <f t="shared" si="10"/>
        <v>1.6146852420564719</v>
      </c>
      <c r="AE34" s="189">
        <v>32</v>
      </c>
      <c r="AF34" s="196">
        <f>Результаты!X35</f>
        <v>178.86972045898401</v>
      </c>
      <c r="AG34" s="189">
        <f t="shared" si="11"/>
        <v>292.5</v>
      </c>
      <c r="AH34" s="195">
        <f t="shared" si="12"/>
        <v>1.6352683911476911</v>
      </c>
      <c r="AJ34" s="189">
        <v>32</v>
      </c>
      <c r="AK34" s="196">
        <f>Результаты!Y35</f>
        <v>177.52241516113301</v>
      </c>
      <c r="AL34" s="189">
        <f t="shared" si="13"/>
        <v>292.5</v>
      </c>
      <c r="AM34" s="195">
        <f t="shared" si="14"/>
        <v>1.6476792507273208</v>
      </c>
      <c r="AO34" s="189">
        <v>32</v>
      </c>
      <c r="AP34" s="196">
        <f>Результаты!Z35</f>
        <v>23.623899459838899</v>
      </c>
      <c r="AQ34" s="189">
        <f t="shared" si="15"/>
        <v>292.5</v>
      </c>
      <c r="AR34" s="195">
        <f t="shared" si="16"/>
        <v>12.381529158522531</v>
      </c>
      <c r="AT34" s="189">
        <v>32</v>
      </c>
      <c r="AU34" s="195">
        <f>Результаты!AA35/1.028469</f>
        <v>249.39550383491769</v>
      </c>
      <c r="AV34" s="195">
        <f t="shared" si="17"/>
        <v>295.45454545454544</v>
      </c>
      <c r="AW34" s="195">
        <f t="shared" si="18"/>
        <v>1.184682726478163</v>
      </c>
      <c r="AY34" s="198"/>
      <c r="AZ34" s="199"/>
      <c r="BA34" s="198"/>
      <c r="BB34" s="198"/>
    </row>
    <row r="35" spans="1:54" ht="15.75" x14ac:dyDescent="0.25">
      <c r="A35">
        <v>1</v>
      </c>
      <c r="B35">
        <v>325</v>
      </c>
      <c r="C35">
        <v>292.5</v>
      </c>
      <c r="D35" s="194">
        <f t="shared" si="0"/>
        <v>295.45454545454544</v>
      </c>
      <c r="F35" s="189">
        <v>33</v>
      </c>
      <c r="G35" s="196">
        <f>Результаты!U36</f>
        <v>230.65936279296901</v>
      </c>
      <c r="H35" s="189">
        <f t="shared" si="1"/>
        <v>292.5</v>
      </c>
      <c r="I35" s="195">
        <f t="shared" si="2"/>
        <v>1.2681037372956621</v>
      </c>
      <c r="J35" s="188"/>
      <c r="K35" s="189">
        <v>33</v>
      </c>
      <c r="L35" s="196">
        <f>Результаты!V36</f>
        <v>119.868324279785</v>
      </c>
      <c r="M35" s="189">
        <f t="shared" si="3"/>
        <v>292.5</v>
      </c>
      <c r="N35" s="195">
        <f t="shared" si="4"/>
        <v>2.4401776011924126</v>
      </c>
      <c r="P35" s="189">
        <v>33</v>
      </c>
      <c r="Q35" s="196">
        <f>Результаты!S36</f>
        <v>194.44976806640599</v>
      </c>
      <c r="R35" s="189">
        <f t="shared" si="5"/>
        <v>325</v>
      </c>
      <c r="S35" s="195">
        <f t="shared" si="6"/>
        <v>1.6713828112616218</v>
      </c>
      <c r="U35" s="189">
        <v>33</v>
      </c>
      <c r="V35" s="196">
        <f>Результаты!T36</f>
        <v>177.79570007324199</v>
      </c>
      <c r="W35" s="189">
        <f t="shared" si="7"/>
        <v>292.5</v>
      </c>
      <c r="X35" s="195">
        <f t="shared" si="8"/>
        <v>1.6451466479757733</v>
      </c>
      <c r="Z35" s="189">
        <v>33</v>
      </c>
      <c r="AA35" s="196">
        <f>Результаты!W36</f>
        <v>182.81768798828099</v>
      </c>
      <c r="AB35" s="189">
        <f t="shared" si="9"/>
        <v>292.5</v>
      </c>
      <c r="AC35" s="195">
        <f t="shared" si="10"/>
        <v>1.5999545953056242</v>
      </c>
      <c r="AE35" s="189">
        <v>33</v>
      </c>
      <c r="AF35" s="196">
        <f>Результаты!X36</f>
        <v>180.78207397460901</v>
      </c>
      <c r="AG35" s="189">
        <f t="shared" si="11"/>
        <v>292.5</v>
      </c>
      <c r="AH35" s="195">
        <f t="shared" si="12"/>
        <v>1.6179701536175644</v>
      </c>
      <c r="AJ35" s="189">
        <v>33</v>
      </c>
      <c r="AK35" s="196">
        <f>Результаты!Y36</f>
        <v>180.0126953125</v>
      </c>
      <c r="AL35" s="189">
        <f t="shared" si="13"/>
        <v>292.5</v>
      </c>
      <c r="AM35" s="195">
        <f t="shared" si="14"/>
        <v>1.6248853976227806</v>
      </c>
      <c r="AO35" s="189">
        <v>33</v>
      </c>
      <c r="AP35" s="196">
        <f>Результаты!Z36</f>
        <v>14.9631004333496</v>
      </c>
      <c r="AQ35" s="189">
        <f t="shared" si="15"/>
        <v>292.5</v>
      </c>
      <c r="AR35" s="195">
        <f t="shared" si="16"/>
        <v>19.548087731074709</v>
      </c>
      <c r="AT35" s="189">
        <v>33</v>
      </c>
      <c r="AU35" s="195">
        <f>Результаты!AA36/1.028469</f>
        <v>251.04308730645644</v>
      </c>
      <c r="AV35" s="195">
        <f t="shared" si="17"/>
        <v>295.45454545454544</v>
      </c>
      <c r="AW35" s="195">
        <f t="shared" si="18"/>
        <v>1.1769077118378268</v>
      </c>
      <c r="AY35" s="198"/>
      <c r="AZ35" s="199"/>
      <c r="BA35" s="198"/>
      <c r="BB35" s="198"/>
    </row>
    <row r="36" spans="1:54" ht="15.75" x14ac:dyDescent="0.25">
      <c r="A36">
        <v>2</v>
      </c>
      <c r="B36">
        <v>325</v>
      </c>
      <c r="C36">
        <v>292.5</v>
      </c>
      <c r="D36" s="194">
        <f t="shared" si="0"/>
        <v>295.45454545454544</v>
      </c>
      <c r="F36" s="189">
        <v>34</v>
      </c>
      <c r="G36" s="196">
        <f>Результаты!U37</f>
        <v>180.084716796875</v>
      </c>
      <c r="H36" s="189">
        <f t="shared" si="1"/>
        <v>292.5</v>
      </c>
      <c r="I36" s="195">
        <f t="shared" si="2"/>
        <v>1.6242355553687704</v>
      </c>
      <c r="J36" s="188"/>
      <c r="K36" s="189">
        <v>34</v>
      </c>
      <c r="L36" s="196">
        <f>Результаты!V37</f>
        <v>191.75688171386699</v>
      </c>
      <c r="M36" s="189">
        <f t="shared" si="3"/>
        <v>292.5</v>
      </c>
      <c r="N36" s="195">
        <f t="shared" si="4"/>
        <v>1.525368984861041</v>
      </c>
      <c r="P36" s="189">
        <v>34</v>
      </c>
      <c r="Q36" s="196">
        <f>Результаты!S37</f>
        <v>144.66221618652301</v>
      </c>
      <c r="R36" s="189">
        <f t="shared" si="5"/>
        <v>325</v>
      </c>
      <c r="S36" s="195">
        <f t="shared" si="6"/>
        <v>2.2466128928991038</v>
      </c>
      <c r="U36" s="189">
        <v>34</v>
      </c>
      <c r="V36" s="196">
        <f>Результаты!T37</f>
        <v>225.61810302734401</v>
      </c>
      <c r="W36" s="189">
        <f t="shared" si="7"/>
        <v>292.5</v>
      </c>
      <c r="X36" s="195">
        <f t="shared" si="8"/>
        <v>1.2964385218882466</v>
      </c>
      <c r="Z36" s="189">
        <v>34</v>
      </c>
      <c r="AA36" s="196">
        <f>Результаты!W37</f>
        <v>181.12417602539099</v>
      </c>
      <c r="AB36" s="189">
        <f t="shared" si="9"/>
        <v>292.5</v>
      </c>
      <c r="AC36" s="195">
        <f t="shared" si="10"/>
        <v>1.6149141788724866</v>
      </c>
      <c r="AE36" s="189">
        <v>34</v>
      </c>
      <c r="AF36" s="196">
        <f>Результаты!X37</f>
        <v>177.39874267578099</v>
      </c>
      <c r="AG36" s="189">
        <f t="shared" si="11"/>
        <v>292.5</v>
      </c>
      <c r="AH36" s="195">
        <f t="shared" si="12"/>
        <v>1.6488279205821732</v>
      </c>
      <c r="AJ36" s="189">
        <v>34</v>
      </c>
      <c r="AK36" s="196">
        <f>Результаты!Y37</f>
        <v>176.97850036621099</v>
      </c>
      <c r="AL36" s="189">
        <f t="shared" si="13"/>
        <v>292.5</v>
      </c>
      <c r="AM36" s="195">
        <f t="shared" si="14"/>
        <v>1.6527431263952814</v>
      </c>
      <c r="AO36" s="189">
        <v>34</v>
      </c>
      <c r="AP36" s="196">
        <f>Результаты!Z37</f>
        <v>40.6738891601563</v>
      </c>
      <c r="AQ36" s="189">
        <f t="shared" si="15"/>
        <v>292.5</v>
      </c>
      <c r="AR36" s="195">
        <f t="shared" si="16"/>
        <v>7.1913457512818768</v>
      </c>
      <c r="AT36" s="189">
        <v>34</v>
      </c>
      <c r="AU36" s="195">
        <f>Результаты!AA37/1.028469</f>
        <v>252.83078584603035</v>
      </c>
      <c r="AV36" s="195">
        <f t="shared" si="17"/>
        <v>295.45454545454544</v>
      </c>
      <c r="AW36" s="195">
        <f t="shared" si="18"/>
        <v>1.1685861136961075</v>
      </c>
      <c r="AY36" s="198"/>
      <c r="AZ36" s="199"/>
      <c r="BA36" s="198"/>
      <c r="BB36" s="198"/>
    </row>
    <row r="37" spans="1:54" ht="15.75" x14ac:dyDescent="0.25">
      <c r="A37">
        <v>3</v>
      </c>
      <c r="B37">
        <v>325</v>
      </c>
      <c r="C37">
        <v>292.5</v>
      </c>
      <c r="D37" s="194">
        <f t="shared" si="0"/>
        <v>295.45454545454544</v>
      </c>
      <c r="F37" s="189">
        <v>35</v>
      </c>
      <c r="G37" s="196">
        <f>Результаты!U38</f>
        <v>133.87413024902301</v>
      </c>
      <c r="H37" s="189">
        <f t="shared" si="1"/>
        <v>292.5</v>
      </c>
      <c r="I37" s="195">
        <f t="shared" si="2"/>
        <v>2.184888144228557</v>
      </c>
      <c r="J37" s="188"/>
      <c r="K37" s="189">
        <v>35</v>
      </c>
      <c r="L37" s="196">
        <f>Результаты!V38</f>
        <v>134.41583251953099</v>
      </c>
      <c r="M37" s="189">
        <f t="shared" si="3"/>
        <v>292.5</v>
      </c>
      <c r="N37" s="195">
        <f t="shared" si="4"/>
        <v>2.1760829399133388</v>
      </c>
      <c r="P37" s="189">
        <v>35</v>
      </c>
      <c r="Q37" s="196">
        <f>Результаты!S38</f>
        <v>105.82151031494099</v>
      </c>
      <c r="R37" s="189">
        <f t="shared" si="5"/>
        <v>325</v>
      </c>
      <c r="S37" s="195">
        <f t="shared" si="6"/>
        <v>3.0712092374485143</v>
      </c>
      <c r="U37" s="189">
        <v>35</v>
      </c>
      <c r="V37" s="196">
        <f>Результаты!T38</f>
        <v>170.56840515136699</v>
      </c>
      <c r="W37" s="189">
        <f t="shared" si="7"/>
        <v>292.5</v>
      </c>
      <c r="X37" s="195">
        <f t="shared" si="8"/>
        <v>1.7148545168164504</v>
      </c>
      <c r="Z37" s="189">
        <v>35</v>
      </c>
      <c r="AA37" s="196">
        <f>Результаты!W38</f>
        <v>129.84846496582</v>
      </c>
      <c r="AB37" s="189">
        <f t="shared" si="9"/>
        <v>292.5</v>
      </c>
      <c r="AC37" s="195">
        <f t="shared" si="10"/>
        <v>2.2526257824995835</v>
      </c>
      <c r="AE37" s="189">
        <v>35</v>
      </c>
      <c r="AF37" s="196">
        <f>Результаты!X38</f>
        <v>126.835090637207</v>
      </c>
      <c r="AG37" s="189">
        <f t="shared" si="11"/>
        <v>292.5</v>
      </c>
      <c r="AH37" s="195">
        <f t="shared" si="12"/>
        <v>2.3061441319630775</v>
      </c>
      <c r="AJ37" s="189">
        <v>35</v>
      </c>
      <c r="AK37" s="196">
        <f>Результаты!Y38</f>
        <v>126.616333007813</v>
      </c>
      <c r="AL37" s="189">
        <f t="shared" si="13"/>
        <v>292.5</v>
      </c>
      <c r="AM37" s="195">
        <f t="shared" si="14"/>
        <v>2.3101285043687922</v>
      </c>
      <c r="AO37" s="189">
        <v>35</v>
      </c>
      <c r="AP37" s="196">
        <f>Результаты!Z38</f>
        <v>39.850410461425803</v>
      </c>
      <c r="AQ37" s="189">
        <f t="shared" si="15"/>
        <v>292.5</v>
      </c>
      <c r="AR37" s="195">
        <f t="shared" si="16"/>
        <v>7.3399494914395591</v>
      </c>
      <c r="AT37" s="189">
        <v>35</v>
      </c>
      <c r="AU37" s="195">
        <f>Результаты!AA38/1.028469</f>
        <v>186.7312206089984</v>
      </c>
      <c r="AV37" s="195">
        <f t="shared" si="17"/>
        <v>295.45454545454544</v>
      </c>
      <c r="AW37" s="195">
        <f t="shared" si="18"/>
        <v>1.5822450283940777</v>
      </c>
      <c r="AY37" s="198"/>
      <c r="AZ37" s="199"/>
      <c r="BA37" s="198"/>
      <c r="BB37" s="198"/>
    </row>
    <row r="38" spans="1:54" ht="15.75" x14ac:dyDescent="0.25">
      <c r="A38">
        <v>4</v>
      </c>
      <c r="B38">
        <v>325</v>
      </c>
      <c r="C38">
        <v>292.5</v>
      </c>
      <c r="D38" s="194">
        <f t="shared" si="0"/>
        <v>295.45454545454544</v>
      </c>
      <c r="F38" s="189">
        <v>36</v>
      </c>
      <c r="G38" s="196">
        <f>Результаты!U39</f>
        <v>190.90611267089801</v>
      </c>
      <c r="H38" s="189">
        <f t="shared" si="1"/>
        <v>292.5</v>
      </c>
      <c r="I38" s="195">
        <f t="shared" si="2"/>
        <v>1.5321667593967467</v>
      </c>
      <c r="J38" s="188"/>
      <c r="K38" s="189">
        <v>36</v>
      </c>
      <c r="L38" s="196">
        <f>Результаты!V39</f>
        <v>194.76281738281301</v>
      </c>
      <c r="M38" s="189">
        <f t="shared" si="3"/>
        <v>292.5</v>
      </c>
      <c r="N38" s="195">
        <f t="shared" si="4"/>
        <v>1.5018267035287398</v>
      </c>
      <c r="P38" s="189">
        <v>36</v>
      </c>
      <c r="Q38" s="196">
        <f>Результаты!S39</f>
        <v>147.86785888671901</v>
      </c>
      <c r="R38" s="189">
        <f t="shared" si="5"/>
        <v>325</v>
      </c>
      <c r="S38" s="195">
        <f t="shared" si="6"/>
        <v>2.1979083382074345</v>
      </c>
      <c r="U38" s="189">
        <v>36</v>
      </c>
      <c r="V38" s="196">
        <f>Результаты!T39</f>
        <v>230.04310607910199</v>
      </c>
      <c r="W38" s="189">
        <f t="shared" si="7"/>
        <v>292.5</v>
      </c>
      <c r="X38" s="195">
        <f t="shared" si="8"/>
        <v>1.2715008286291429</v>
      </c>
      <c r="Z38" s="189">
        <v>36</v>
      </c>
      <c r="AA38" s="196">
        <f>Результаты!W39</f>
        <v>186.33636474609401</v>
      </c>
      <c r="AB38" s="189">
        <f t="shared" si="9"/>
        <v>292.5</v>
      </c>
      <c r="AC38" s="195">
        <f t="shared" si="10"/>
        <v>1.5697419041021159</v>
      </c>
      <c r="AE38" s="189">
        <v>36</v>
      </c>
      <c r="AF38" s="196">
        <f>Результаты!X39</f>
        <v>182.19407653808599</v>
      </c>
      <c r="AG38" s="189">
        <f t="shared" si="11"/>
        <v>292.5</v>
      </c>
      <c r="AH38" s="195">
        <f t="shared" si="12"/>
        <v>1.6054308985114318</v>
      </c>
      <c r="AJ38" s="189">
        <v>36</v>
      </c>
      <c r="AK38" s="196">
        <f>Результаты!Y39</f>
        <v>181.67922973632801</v>
      </c>
      <c r="AL38" s="189">
        <f t="shared" si="13"/>
        <v>292.5</v>
      </c>
      <c r="AM38" s="195">
        <f t="shared" si="14"/>
        <v>1.609980405710145</v>
      </c>
      <c r="AO38" s="189">
        <v>36</v>
      </c>
      <c r="AP38" s="196">
        <f>Результаты!Z39</f>
        <v>55.337570190429702</v>
      </c>
      <c r="AQ38" s="189">
        <f t="shared" si="15"/>
        <v>292.5</v>
      </c>
      <c r="AR38" s="195">
        <f t="shared" si="16"/>
        <v>5.2857398507639228</v>
      </c>
      <c r="AT38" s="189">
        <v>36</v>
      </c>
      <c r="AU38" s="195">
        <f>Результаты!AA39/1.028469</f>
        <v>255.87572187662823</v>
      </c>
      <c r="AV38" s="195">
        <f t="shared" si="17"/>
        <v>295.45454545454544</v>
      </c>
      <c r="AW38" s="195">
        <f t="shared" si="18"/>
        <v>1.1546798707108301</v>
      </c>
      <c r="AY38" s="198"/>
      <c r="AZ38" s="199"/>
      <c r="BA38" s="198"/>
      <c r="BB38" s="198"/>
    </row>
    <row r="39" spans="1:54" ht="15.75" x14ac:dyDescent="0.25">
      <c r="A39">
        <v>5</v>
      </c>
      <c r="B39">
        <v>325</v>
      </c>
      <c r="C39">
        <v>292.5</v>
      </c>
      <c r="D39" s="194">
        <f t="shared" si="0"/>
        <v>295.45454545454544</v>
      </c>
      <c r="F39" s="189">
        <v>37</v>
      </c>
      <c r="G39" s="196">
        <f>Результаты!U40</f>
        <v>235.24533081054699</v>
      </c>
      <c r="H39" s="189">
        <f t="shared" si="1"/>
        <v>292.5</v>
      </c>
      <c r="I39" s="195">
        <f t="shared" si="2"/>
        <v>1.2433828080335529</v>
      </c>
      <c r="J39" s="188"/>
      <c r="K39" s="189">
        <v>37</v>
      </c>
      <c r="L39" s="196">
        <f>Результаты!V40</f>
        <v>137.917404174805</v>
      </c>
      <c r="M39" s="189">
        <f t="shared" si="3"/>
        <v>292.5</v>
      </c>
      <c r="N39" s="195">
        <f t="shared" si="4"/>
        <v>2.1208345803062501</v>
      </c>
      <c r="P39" s="189">
        <v>37</v>
      </c>
      <c r="Q39" s="196">
        <f>Результаты!S40</f>
        <v>191.041091918945</v>
      </c>
      <c r="R39" s="189">
        <f t="shared" si="5"/>
        <v>325</v>
      </c>
      <c r="S39" s="195">
        <f t="shared" si="6"/>
        <v>1.7012046818591842</v>
      </c>
      <c r="U39" s="189">
        <v>37</v>
      </c>
      <c r="V39" s="196">
        <f>Результаты!T40</f>
        <v>194.4658203125</v>
      </c>
      <c r="W39" s="189">
        <f t="shared" si="7"/>
        <v>292.5</v>
      </c>
      <c r="X39" s="195">
        <f t="shared" si="8"/>
        <v>1.5041203617682655</v>
      </c>
      <c r="Z39" s="189">
        <v>37</v>
      </c>
      <c r="AA39" s="196">
        <f>Результаты!W40</f>
        <v>187.62040710449199</v>
      </c>
      <c r="AB39" s="189">
        <f t="shared" si="9"/>
        <v>292.5</v>
      </c>
      <c r="AC39" s="195">
        <f t="shared" si="10"/>
        <v>1.558998855796625</v>
      </c>
      <c r="AE39" s="189">
        <v>37</v>
      </c>
      <c r="AF39" s="196">
        <f>Результаты!X40</f>
        <v>185.68911743164099</v>
      </c>
      <c r="AG39" s="189">
        <f t="shared" si="11"/>
        <v>292.5</v>
      </c>
      <c r="AH39" s="195">
        <f t="shared" si="12"/>
        <v>1.575213475327546</v>
      </c>
      <c r="AJ39" s="189">
        <v>37</v>
      </c>
      <c r="AK39" s="196">
        <f>Результаты!Y40</f>
        <v>185.16198730468801</v>
      </c>
      <c r="AL39" s="189">
        <f t="shared" si="13"/>
        <v>292.5</v>
      </c>
      <c r="AM39" s="195">
        <f t="shared" si="14"/>
        <v>1.5796978864710767</v>
      </c>
      <c r="AO39" s="189">
        <v>37</v>
      </c>
      <c r="AP39" s="196">
        <f>Результаты!Z40</f>
        <v>13.6320095062256</v>
      </c>
      <c r="AQ39" s="189">
        <f t="shared" si="15"/>
        <v>292.5</v>
      </c>
      <c r="AR39" s="195">
        <f t="shared" si="16"/>
        <v>21.45685123432596</v>
      </c>
      <c r="AT39" s="189">
        <v>37</v>
      </c>
      <c r="AU39" s="195">
        <f>Результаты!AA40/1.028469</f>
        <v>253.21148815922015</v>
      </c>
      <c r="AV39" s="195">
        <f t="shared" si="17"/>
        <v>295.45454545454544</v>
      </c>
      <c r="AW39" s="195">
        <f t="shared" si="18"/>
        <v>1.1668291498242083</v>
      </c>
      <c r="AY39" s="198"/>
      <c r="AZ39" s="199"/>
      <c r="BA39" s="198"/>
      <c r="BB39" s="198"/>
    </row>
    <row r="40" spans="1:54" ht="15.75" x14ac:dyDescent="0.25">
      <c r="A40">
        <v>6</v>
      </c>
      <c r="B40">
        <v>325</v>
      </c>
      <c r="C40">
        <v>292.5</v>
      </c>
      <c r="D40" s="194">
        <f t="shared" si="0"/>
        <v>295.45454545454544</v>
      </c>
      <c r="F40" s="189">
        <v>38</v>
      </c>
      <c r="G40" s="196">
        <f>Результаты!U41</f>
        <v>240.19187927246099</v>
      </c>
      <c r="H40" s="189">
        <f t="shared" si="1"/>
        <v>292.5</v>
      </c>
      <c r="I40" s="195">
        <f t="shared" si="2"/>
        <v>1.2177763914666051</v>
      </c>
      <c r="J40" s="188"/>
      <c r="K40" s="189">
        <v>38</v>
      </c>
      <c r="L40" s="196">
        <f>Результаты!V41</f>
        <v>141.72833251953099</v>
      </c>
      <c r="M40" s="189">
        <f t="shared" si="3"/>
        <v>292.5</v>
      </c>
      <c r="N40" s="195">
        <f t="shared" si="4"/>
        <v>2.0638075309302875</v>
      </c>
      <c r="P40" s="189">
        <v>38</v>
      </c>
      <c r="Q40" s="196">
        <f>Результаты!S41</f>
        <v>195.25332641601599</v>
      </c>
      <c r="R40" s="189">
        <f t="shared" si="5"/>
        <v>325</v>
      </c>
      <c r="S40" s="195">
        <f t="shared" si="6"/>
        <v>1.6645042927849516</v>
      </c>
      <c r="U40" s="189">
        <v>38</v>
      </c>
      <c r="V40" s="196">
        <f>Результаты!T41</f>
        <v>193.89068603515599</v>
      </c>
      <c r="W40" s="189">
        <f t="shared" si="7"/>
        <v>292.5</v>
      </c>
      <c r="X40" s="195">
        <f t="shared" si="8"/>
        <v>1.5085820055686652</v>
      </c>
      <c r="Z40" s="189">
        <v>38</v>
      </c>
      <c r="AA40" s="196">
        <f>Результаты!W41</f>
        <v>190.25721740722699</v>
      </c>
      <c r="AB40" s="189">
        <f t="shared" si="9"/>
        <v>292.5</v>
      </c>
      <c r="AC40" s="195">
        <f t="shared" si="10"/>
        <v>1.5373923995426273</v>
      </c>
      <c r="AE40" s="189">
        <v>38</v>
      </c>
      <c r="AF40" s="196">
        <f>Результаты!X41</f>
        <v>188.59590148925801</v>
      </c>
      <c r="AG40" s="189">
        <f t="shared" si="11"/>
        <v>292.5</v>
      </c>
      <c r="AH40" s="195">
        <f t="shared" si="12"/>
        <v>1.5509350823122745</v>
      </c>
      <c r="AJ40" s="189">
        <v>38</v>
      </c>
      <c r="AK40" s="196">
        <f>Результаты!Y41</f>
        <v>187.46585083007801</v>
      </c>
      <c r="AL40" s="189">
        <f t="shared" si="13"/>
        <v>292.5</v>
      </c>
      <c r="AM40" s="195">
        <f t="shared" si="14"/>
        <v>1.5602841728498413</v>
      </c>
      <c r="AO40" s="189">
        <v>38</v>
      </c>
      <c r="AP40" s="196">
        <f>Результаты!Z41</f>
        <v>22.453886032104499</v>
      </c>
      <c r="AQ40" s="189">
        <f t="shared" si="15"/>
        <v>292.5</v>
      </c>
      <c r="AR40" s="195">
        <f t="shared" si="16"/>
        <v>13.026698344410601</v>
      </c>
      <c r="AT40" s="189">
        <v>38</v>
      </c>
      <c r="AU40" s="195">
        <f>Результаты!AA41/1.028469</f>
        <v>256.75661895937651</v>
      </c>
      <c r="AV40" s="195">
        <f t="shared" si="17"/>
        <v>295.45454545454544</v>
      </c>
      <c r="AW40" s="195">
        <f t="shared" si="18"/>
        <v>1.1507183209220075</v>
      </c>
      <c r="AY40" s="198"/>
      <c r="AZ40" s="199"/>
      <c r="BA40" s="198"/>
      <c r="BB40" s="198"/>
    </row>
    <row r="41" spans="1:54" ht="15.75" x14ac:dyDescent="0.25">
      <c r="A41">
        <v>23</v>
      </c>
      <c r="B41">
        <v>325</v>
      </c>
      <c r="C41">
        <v>292.5</v>
      </c>
      <c r="D41" s="194">
        <f t="shared" si="0"/>
        <v>295.45454545454544</v>
      </c>
      <c r="F41" s="189">
        <v>39</v>
      </c>
      <c r="G41" s="196">
        <f>Результаты!U42</f>
        <v>193.51338195800801</v>
      </c>
      <c r="H41" s="189">
        <f t="shared" si="1"/>
        <v>292.5</v>
      </c>
      <c r="I41" s="195">
        <f t="shared" si="2"/>
        <v>1.5115233739415079</v>
      </c>
      <c r="J41" s="188"/>
      <c r="K41" s="189">
        <v>39</v>
      </c>
      <c r="L41" s="196">
        <f>Результаты!V42</f>
        <v>171.05358886718801</v>
      </c>
      <c r="M41" s="189">
        <f t="shared" si="3"/>
        <v>292.5</v>
      </c>
      <c r="N41" s="195">
        <f t="shared" si="4"/>
        <v>1.7099904301166533</v>
      </c>
      <c r="P41" s="189">
        <v>39</v>
      </c>
      <c r="Q41" s="196">
        <f>Результаты!S42</f>
        <v>154.528732299805</v>
      </c>
      <c r="R41" s="189">
        <f t="shared" si="5"/>
        <v>325</v>
      </c>
      <c r="S41" s="195">
        <f t="shared" si="6"/>
        <v>2.1031687451461099</v>
      </c>
      <c r="U41" s="189">
        <v>39</v>
      </c>
      <c r="V41" s="196">
        <f>Результаты!T42</f>
        <v>231.09445190429699</v>
      </c>
      <c r="W41" s="189">
        <f t="shared" si="7"/>
        <v>292.5</v>
      </c>
      <c r="X41" s="195">
        <f t="shared" si="8"/>
        <v>1.2657162367581756</v>
      </c>
      <c r="Z41" s="189">
        <v>39</v>
      </c>
      <c r="AA41" s="196">
        <f>Результаты!W42</f>
        <v>189.12951660156301</v>
      </c>
      <c r="AB41" s="189">
        <f t="shared" si="9"/>
        <v>292.5</v>
      </c>
      <c r="AC41" s="195">
        <f t="shared" si="10"/>
        <v>1.5465592322969153</v>
      </c>
      <c r="AE41" s="189">
        <v>39</v>
      </c>
      <c r="AF41" s="196">
        <f>Результаты!X42</f>
        <v>185.30612182617199</v>
      </c>
      <c r="AG41" s="189">
        <f t="shared" si="11"/>
        <v>292.5</v>
      </c>
      <c r="AH41" s="195">
        <f t="shared" si="12"/>
        <v>1.5784691683007761</v>
      </c>
      <c r="AJ41" s="189">
        <v>39</v>
      </c>
      <c r="AK41" s="196">
        <f>Результаты!Y42</f>
        <v>184.80911254882801</v>
      </c>
      <c r="AL41" s="189">
        <f t="shared" si="13"/>
        <v>292.5</v>
      </c>
      <c r="AM41" s="195">
        <f t="shared" si="14"/>
        <v>1.5827141636358393</v>
      </c>
      <c r="AO41" s="189">
        <v>39</v>
      </c>
      <c r="AP41" s="196">
        <f>Результаты!Z42</f>
        <v>42.314022064208999</v>
      </c>
      <c r="AQ41" s="189">
        <f t="shared" si="15"/>
        <v>292.5</v>
      </c>
      <c r="AR41" s="195">
        <f t="shared" si="16"/>
        <v>6.9126021524531218</v>
      </c>
      <c r="AT41" s="189">
        <v>39</v>
      </c>
      <c r="AU41" s="195">
        <f>Результаты!AA42/1.028469</f>
        <v>256.81546016647366</v>
      </c>
      <c r="AV41" s="195">
        <f t="shared" si="17"/>
        <v>295.45454545454544</v>
      </c>
      <c r="AW41" s="195">
        <f t="shared" si="18"/>
        <v>1.1504546699136611</v>
      </c>
      <c r="AY41" s="198"/>
      <c r="AZ41" s="199"/>
      <c r="BA41" s="198"/>
      <c r="BB41" s="198"/>
    </row>
    <row r="42" spans="1:54" ht="15.75" x14ac:dyDescent="0.25">
      <c r="A42">
        <v>24</v>
      </c>
      <c r="B42">
        <v>325</v>
      </c>
      <c r="C42">
        <v>292.5</v>
      </c>
      <c r="D42" s="194">
        <f t="shared" si="0"/>
        <v>295.45454545454544</v>
      </c>
      <c r="F42" s="189">
        <v>40</v>
      </c>
      <c r="G42" s="196">
        <f>Результаты!U43</f>
        <v>119.460456848145</v>
      </c>
      <c r="H42" s="189">
        <f t="shared" si="1"/>
        <v>292.5</v>
      </c>
      <c r="I42" s="195">
        <f t="shared" si="2"/>
        <v>2.448508968719401</v>
      </c>
      <c r="J42" s="188"/>
      <c r="K42" s="189">
        <v>40</v>
      </c>
      <c r="L42" s="196">
        <f>Результаты!V43</f>
        <v>107.100021362305</v>
      </c>
      <c r="M42" s="189">
        <f t="shared" si="3"/>
        <v>292.5</v>
      </c>
      <c r="N42" s="195">
        <f t="shared" si="4"/>
        <v>2.7310918922276564</v>
      </c>
      <c r="P42" s="189">
        <v>40</v>
      </c>
      <c r="Q42" s="196">
        <f>Результаты!S43</f>
        <v>96.390815734863295</v>
      </c>
      <c r="R42" s="189">
        <f t="shared" si="5"/>
        <v>325</v>
      </c>
      <c r="S42" s="195">
        <f t="shared" si="6"/>
        <v>3.3716905238561203</v>
      </c>
      <c r="U42" s="189">
        <v>40</v>
      </c>
      <c r="V42" s="196">
        <f>Результаты!T43</f>
        <v>167.45765686035199</v>
      </c>
      <c r="W42" s="189">
        <f t="shared" si="7"/>
        <v>292.5</v>
      </c>
      <c r="X42" s="195">
        <f t="shared" si="8"/>
        <v>1.7467102160871903</v>
      </c>
      <c r="Z42" s="189">
        <v>40</v>
      </c>
      <c r="AA42" s="196">
        <f>Результаты!W43</f>
        <v>115.388381958008</v>
      </c>
      <c r="AB42" s="189">
        <f t="shared" si="9"/>
        <v>292.5</v>
      </c>
      <c r="AC42" s="195">
        <f t="shared" si="10"/>
        <v>2.5349172510837898</v>
      </c>
      <c r="AE42" s="189">
        <v>40</v>
      </c>
      <c r="AF42" s="196">
        <f>Результаты!X43</f>
        <v>112.788780212402</v>
      </c>
      <c r="AG42" s="189">
        <f t="shared" si="11"/>
        <v>292.5</v>
      </c>
      <c r="AH42" s="195">
        <f t="shared" si="12"/>
        <v>2.5933430563675639</v>
      </c>
      <c r="AJ42" s="189">
        <v>40</v>
      </c>
      <c r="AK42" s="196">
        <f>Результаты!Y43</f>
        <v>112.682975769043</v>
      </c>
      <c r="AL42" s="189">
        <f t="shared" si="13"/>
        <v>292.5</v>
      </c>
      <c r="AM42" s="195">
        <f t="shared" si="14"/>
        <v>2.5957780933964072</v>
      </c>
      <c r="AO42" s="189">
        <v>40</v>
      </c>
      <c r="AP42" s="196">
        <f>Результаты!Z43</f>
        <v>52.356056213378899</v>
      </c>
      <c r="AQ42" s="189">
        <f t="shared" si="15"/>
        <v>292.5</v>
      </c>
      <c r="AR42" s="195">
        <f t="shared" si="16"/>
        <v>5.5867462363457294</v>
      </c>
      <c r="AT42" s="189">
        <v>40</v>
      </c>
      <c r="AU42" s="195">
        <f>Результаты!AA43/1.028469</f>
        <v>169.51003426421991</v>
      </c>
      <c r="AV42" s="195">
        <f t="shared" si="17"/>
        <v>295.45454545454544</v>
      </c>
      <c r="AW42" s="195">
        <f t="shared" si="18"/>
        <v>1.7429914797492896</v>
      </c>
      <c r="AY42" s="198"/>
      <c r="AZ42" s="199"/>
      <c r="BA42" s="198"/>
      <c r="BB42" s="198"/>
    </row>
    <row r="43" spans="1:54" ht="15.75" x14ac:dyDescent="0.25">
      <c r="A43">
        <v>25</v>
      </c>
      <c r="B43">
        <v>325</v>
      </c>
      <c r="C43">
        <v>292.5</v>
      </c>
      <c r="D43" s="194">
        <f t="shared" si="0"/>
        <v>295.45454545454544</v>
      </c>
      <c r="F43" s="189">
        <v>41</v>
      </c>
      <c r="G43" s="196">
        <f>Результаты!U44</f>
        <v>181.76797485351599</v>
      </c>
      <c r="H43" s="189">
        <f t="shared" si="1"/>
        <v>292.5</v>
      </c>
      <c r="I43" s="195">
        <f t="shared" si="2"/>
        <v>1.6091943602041077</v>
      </c>
      <c r="J43" s="188"/>
      <c r="K43" s="189">
        <v>41</v>
      </c>
      <c r="L43" s="196">
        <f>Результаты!V44</f>
        <v>174.08131408691401</v>
      </c>
      <c r="M43" s="189">
        <f t="shared" si="3"/>
        <v>292.5</v>
      </c>
      <c r="N43" s="195">
        <f t="shared" si="4"/>
        <v>1.6802492647428133</v>
      </c>
      <c r="P43" s="189">
        <v>41</v>
      </c>
      <c r="Q43" s="196">
        <f>Результаты!S44</f>
        <v>148.43344116210901</v>
      </c>
      <c r="R43" s="189">
        <f t="shared" si="5"/>
        <v>325</v>
      </c>
      <c r="S43" s="195">
        <f t="shared" si="6"/>
        <v>2.1895335542686563</v>
      </c>
      <c r="U43" s="189">
        <v>41</v>
      </c>
      <c r="V43" s="196">
        <f>Результаты!T44</f>
        <v>224.84223937988301</v>
      </c>
      <c r="W43" s="189">
        <f t="shared" si="7"/>
        <v>292.5</v>
      </c>
      <c r="X43" s="195">
        <f t="shared" si="8"/>
        <v>1.3009121453634234</v>
      </c>
      <c r="Z43" s="189">
        <v>41</v>
      </c>
      <c r="AA43" s="196">
        <f>Результаты!W44</f>
        <v>182.52273559570301</v>
      </c>
      <c r="AB43" s="189">
        <f t="shared" si="9"/>
        <v>292.5</v>
      </c>
      <c r="AC43" s="195">
        <f t="shared" si="10"/>
        <v>1.6025400838167478</v>
      </c>
      <c r="AE43" s="189">
        <v>41</v>
      </c>
      <c r="AF43" s="196">
        <f>Результаты!X44</f>
        <v>178.670486450195</v>
      </c>
      <c r="AG43" s="189">
        <f t="shared" si="11"/>
        <v>292.5</v>
      </c>
      <c r="AH43" s="195">
        <f t="shared" si="12"/>
        <v>1.6370918656536784</v>
      </c>
      <c r="AJ43" s="189">
        <v>41</v>
      </c>
      <c r="AK43" s="196">
        <f>Результаты!Y44</f>
        <v>177.910232543945</v>
      </c>
      <c r="AL43" s="189">
        <f t="shared" si="13"/>
        <v>292.5</v>
      </c>
      <c r="AM43" s="195">
        <f t="shared" si="14"/>
        <v>1.6440875593130966</v>
      </c>
      <c r="AO43" s="189">
        <v>41</v>
      </c>
      <c r="AP43" s="196">
        <f>Результаты!Z44</f>
        <v>28.733901977539102</v>
      </c>
      <c r="AQ43" s="189">
        <f t="shared" si="15"/>
        <v>292.5</v>
      </c>
      <c r="AR43" s="195">
        <f t="shared" si="16"/>
        <v>10.179612926522937</v>
      </c>
      <c r="AT43" s="189">
        <v>41</v>
      </c>
      <c r="AU43" s="195">
        <f>Результаты!AA44/1.028469</f>
        <v>253.26374199971315</v>
      </c>
      <c r="AV43" s="195">
        <f t="shared" si="17"/>
        <v>295.45454545454544</v>
      </c>
      <c r="AW43" s="195">
        <f t="shared" si="18"/>
        <v>1.1665884074905601</v>
      </c>
      <c r="AY43" s="198"/>
      <c r="AZ43" s="199"/>
      <c r="BA43" s="198"/>
      <c r="BB43" s="198"/>
    </row>
    <row r="44" spans="1:54" ht="15.75" x14ac:dyDescent="0.25">
      <c r="A44">
        <v>26</v>
      </c>
      <c r="B44">
        <v>325</v>
      </c>
      <c r="C44">
        <v>292.5</v>
      </c>
      <c r="D44" s="194">
        <f t="shared" si="0"/>
        <v>295.45454545454544</v>
      </c>
      <c r="F44" s="189">
        <v>42</v>
      </c>
      <c r="G44" s="196">
        <f>Результаты!U45</f>
        <v>225.47821044921901</v>
      </c>
      <c r="H44" s="189">
        <f t="shared" si="1"/>
        <v>292.5</v>
      </c>
      <c r="I44" s="195">
        <f t="shared" si="2"/>
        <v>1.2972428662497093</v>
      </c>
      <c r="J44" s="188"/>
      <c r="K44" s="189">
        <v>42</v>
      </c>
      <c r="L44" s="196">
        <f>Результаты!V45</f>
        <v>132.60807800293</v>
      </c>
      <c r="M44" s="189">
        <f t="shared" si="3"/>
        <v>292.5</v>
      </c>
      <c r="N44" s="195">
        <f t="shared" si="4"/>
        <v>2.2057479785925045</v>
      </c>
      <c r="P44" s="189">
        <v>42</v>
      </c>
      <c r="Q44" s="196">
        <f>Результаты!S45</f>
        <v>191.19233703613301</v>
      </c>
      <c r="R44" s="189">
        <f t="shared" si="5"/>
        <v>325</v>
      </c>
      <c r="S44" s="195">
        <f t="shared" si="6"/>
        <v>1.6998589223718676</v>
      </c>
      <c r="U44" s="189">
        <v>42</v>
      </c>
      <c r="V44" s="196">
        <f>Результаты!T45</f>
        <v>176.67893981933599</v>
      </c>
      <c r="W44" s="189">
        <f t="shared" si="7"/>
        <v>292.5</v>
      </c>
      <c r="X44" s="195">
        <f t="shared" si="8"/>
        <v>1.6555453655036501</v>
      </c>
      <c r="Z44" s="189">
        <v>42</v>
      </c>
      <c r="AA44" s="196">
        <f>Результаты!W45</f>
        <v>181.13449096679699</v>
      </c>
      <c r="AB44" s="189">
        <f t="shared" si="9"/>
        <v>292.5</v>
      </c>
      <c r="AC44" s="195">
        <f t="shared" si="10"/>
        <v>1.6148222154642926</v>
      </c>
      <c r="AE44" s="189">
        <v>42</v>
      </c>
      <c r="AF44" s="196">
        <f>Результаты!X45</f>
        <v>179.03300476074199</v>
      </c>
      <c r="AG44" s="189">
        <f t="shared" si="11"/>
        <v>292.5</v>
      </c>
      <c r="AH44" s="195">
        <f t="shared" si="12"/>
        <v>1.6337769697318896</v>
      </c>
      <c r="AJ44" s="189">
        <v>42</v>
      </c>
      <c r="AK44" s="196">
        <f>Результаты!Y45</f>
        <v>177.550857543945</v>
      </c>
      <c r="AL44" s="189">
        <f t="shared" si="13"/>
        <v>292.5</v>
      </c>
      <c r="AM44" s="195">
        <f t="shared" si="14"/>
        <v>1.6474153042465838</v>
      </c>
      <c r="AO44" s="189">
        <v>42</v>
      </c>
      <c r="AP44" s="196">
        <f>Результаты!Z45</f>
        <v>23.925155639648398</v>
      </c>
      <c r="AQ44" s="189">
        <f t="shared" si="15"/>
        <v>292.5</v>
      </c>
      <c r="AR44" s="195">
        <f t="shared" si="16"/>
        <v>12.22562579761335</v>
      </c>
      <c r="AT44" s="189">
        <v>42</v>
      </c>
      <c r="AU44" s="195">
        <f>Результаты!AA45/1.028469</f>
        <v>249.44066587082349</v>
      </c>
      <c r="AV44" s="195">
        <f t="shared" si="17"/>
        <v>295.45454545454544</v>
      </c>
      <c r="AW44" s="195">
        <f t="shared" si="18"/>
        <v>1.1844682358551388</v>
      </c>
      <c r="AY44" s="198"/>
      <c r="AZ44" s="199"/>
      <c r="BA44" s="198"/>
      <c r="BB44" s="198"/>
    </row>
    <row r="45" spans="1:54" ht="15.75" x14ac:dyDescent="0.25">
      <c r="A45">
        <v>27</v>
      </c>
      <c r="B45">
        <v>325</v>
      </c>
      <c r="C45">
        <v>292.5</v>
      </c>
      <c r="D45" s="194">
        <f t="shared" si="0"/>
        <v>295.45454545454544</v>
      </c>
      <c r="F45" s="189">
        <v>43</v>
      </c>
      <c r="G45" s="196">
        <f>Результаты!U46</f>
        <v>31.9940395355225</v>
      </c>
      <c r="H45" s="189">
        <f t="shared" si="1"/>
        <v>292.5</v>
      </c>
      <c r="I45" s="195">
        <f t="shared" si="2"/>
        <v>9.1423278912699235</v>
      </c>
      <c r="J45" s="188"/>
      <c r="K45" s="189">
        <v>43</v>
      </c>
      <c r="L45" s="196">
        <f>Результаты!V46</f>
        <v>47.140830993652301</v>
      </c>
      <c r="M45" s="189">
        <f t="shared" si="3"/>
        <v>292.5</v>
      </c>
      <c r="N45" s="195">
        <f t="shared" si="4"/>
        <v>6.2048121306853137</v>
      </c>
      <c r="P45" s="189">
        <v>43</v>
      </c>
      <c r="Q45" s="196">
        <f>Результаты!S46</f>
        <v>24.200994491577099</v>
      </c>
      <c r="R45" s="189">
        <f t="shared" si="5"/>
        <v>325</v>
      </c>
      <c r="S45" s="195">
        <f t="shared" si="6"/>
        <v>13.429200197252754</v>
      </c>
      <c r="U45" s="189">
        <v>43</v>
      </c>
      <c r="V45" s="196">
        <f>Результаты!T46</f>
        <v>53.201408386230497</v>
      </c>
      <c r="W45" s="189">
        <f t="shared" si="7"/>
        <v>292.5</v>
      </c>
      <c r="X45" s="195">
        <f t="shared" si="8"/>
        <v>5.4979747505275514</v>
      </c>
      <c r="Z45" s="189">
        <v>43</v>
      </c>
      <c r="AA45" s="196">
        <f>Результаты!W46</f>
        <v>28.214950561523398</v>
      </c>
      <c r="AB45" s="189">
        <f t="shared" si="9"/>
        <v>292.5</v>
      </c>
      <c r="AC45" s="195">
        <f t="shared" si="10"/>
        <v>10.366844321140897</v>
      </c>
      <c r="AE45" s="189">
        <v>43</v>
      </c>
      <c r="AF45" s="196">
        <f>Результаты!X46</f>
        <v>29.583488464355501</v>
      </c>
      <c r="AG45" s="189">
        <f t="shared" si="11"/>
        <v>292.5</v>
      </c>
      <c r="AH45" s="195">
        <f t="shared" si="12"/>
        <v>9.8872720961365612</v>
      </c>
      <c r="AJ45" s="189">
        <v>43</v>
      </c>
      <c r="AK45" s="196">
        <f>Результаты!Y46</f>
        <v>23.821599960327099</v>
      </c>
      <c r="AL45" s="189">
        <f t="shared" si="13"/>
        <v>292.5</v>
      </c>
      <c r="AM45" s="195">
        <f t="shared" si="14"/>
        <v>12.278772227186021</v>
      </c>
      <c r="AO45" s="189">
        <v>43</v>
      </c>
      <c r="AP45" s="196">
        <f>Результаты!Z46</f>
        <v>2.0098674297332799</v>
      </c>
      <c r="AQ45" s="189">
        <f t="shared" si="15"/>
        <v>292.5</v>
      </c>
      <c r="AR45" s="195">
        <f t="shared" si="16"/>
        <v>145.53198667377595</v>
      </c>
      <c r="AT45" s="189">
        <v>43</v>
      </c>
      <c r="AU45" s="195">
        <f>Результаты!AA46/1.028469</f>
        <v>119.83093425572088</v>
      </c>
      <c r="AV45" s="195">
        <f t="shared" si="17"/>
        <v>295.45454545454544</v>
      </c>
      <c r="AW45" s="195">
        <f t="shared" si="18"/>
        <v>2.465594942488234</v>
      </c>
      <c r="AY45" s="198"/>
      <c r="AZ45" s="199"/>
      <c r="BA45" s="198"/>
      <c r="BB45" s="198"/>
    </row>
    <row r="46" spans="1:54" ht="15.75" x14ac:dyDescent="0.25">
      <c r="A46">
        <v>28</v>
      </c>
      <c r="B46">
        <v>325</v>
      </c>
      <c r="C46">
        <v>292.5</v>
      </c>
      <c r="D46" s="194">
        <f t="shared" si="0"/>
        <v>295.45454545454544</v>
      </c>
      <c r="F46" s="189">
        <v>44</v>
      </c>
      <c r="G46" s="196">
        <f>Результаты!U47</f>
        <v>68.659652709960895</v>
      </c>
      <c r="H46" s="189">
        <f t="shared" si="1"/>
        <v>292.5</v>
      </c>
      <c r="I46" s="195">
        <f t="shared" si="2"/>
        <v>4.2601438902641746</v>
      </c>
      <c r="J46" s="188"/>
      <c r="K46" s="189">
        <v>44</v>
      </c>
      <c r="L46" s="196">
        <f>Результаты!V47</f>
        <v>44.255332946777301</v>
      </c>
      <c r="M46" s="189">
        <f t="shared" si="3"/>
        <v>292.5</v>
      </c>
      <c r="N46" s="195">
        <f t="shared" si="4"/>
        <v>6.6093729393419922</v>
      </c>
      <c r="P46" s="189">
        <v>44</v>
      </c>
      <c r="Q46" s="196">
        <f>Результаты!S47</f>
        <v>24.746421813964801</v>
      </c>
      <c r="R46" s="189">
        <f t="shared" si="5"/>
        <v>325</v>
      </c>
      <c r="S46" s="195">
        <f t="shared" si="6"/>
        <v>13.133211841422558</v>
      </c>
      <c r="U46" s="189">
        <v>44</v>
      </c>
      <c r="V46" s="196">
        <f>Результаты!T47</f>
        <v>76.861488342285199</v>
      </c>
      <c r="W46" s="189">
        <f t="shared" si="7"/>
        <v>292.5</v>
      </c>
      <c r="X46" s="195">
        <f t="shared" si="8"/>
        <v>3.8055469170388379</v>
      </c>
      <c r="Z46" s="189">
        <v>44</v>
      </c>
      <c r="AA46" s="196">
        <f>Результаты!W47</f>
        <v>27.8083591461182</v>
      </c>
      <c r="AB46" s="189">
        <f t="shared" si="9"/>
        <v>292.5</v>
      </c>
      <c r="AC46" s="195">
        <f t="shared" si="10"/>
        <v>10.51841996369032</v>
      </c>
      <c r="AE46" s="189">
        <v>44</v>
      </c>
      <c r="AF46" s="196">
        <f>Результаты!X47</f>
        <v>27.805583953857401</v>
      </c>
      <c r="AG46" s="189">
        <f t="shared" si="11"/>
        <v>292.5</v>
      </c>
      <c r="AH46" s="195">
        <f t="shared" si="12"/>
        <v>10.519469775761433</v>
      </c>
      <c r="AJ46" s="189">
        <v>44</v>
      </c>
      <c r="AK46" s="196">
        <f>Результаты!Y47</f>
        <v>29.8234348297119</v>
      </c>
      <c r="AL46" s="189">
        <f t="shared" si="13"/>
        <v>292.5</v>
      </c>
      <c r="AM46" s="195">
        <f t="shared" si="14"/>
        <v>9.8077234118115033</v>
      </c>
      <c r="AO46" s="189">
        <v>44</v>
      </c>
      <c r="AP46" s="196">
        <f>Результаты!Z47</f>
        <v>1.93440878391266</v>
      </c>
      <c r="AQ46" s="189">
        <f t="shared" si="15"/>
        <v>292.5</v>
      </c>
      <c r="AR46" s="195">
        <f t="shared" si="16"/>
        <v>151.20899079478465</v>
      </c>
      <c r="AT46" s="189">
        <v>44</v>
      </c>
      <c r="AU46" s="195">
        <f>Результаты!AA47/1.028469</f>
        <v>122.41442080479236</v>
      </c>
      <c r="AV46" s="195">
        <f t="shared" si="17"/>
        <v>295.45454545454544</v>
      </c>
      <c r="AW46" s="195">
        <f t="shared" si="18"/>
        <v>2.4135599671356593</v>
      </c>
      <c r="AY46" s="198"/>
      <c r="AZ46" s="199"/>
      <c r="BA46" s="198"/>
      <c r="BB46" s="198"/>
    </row>
    <row r="47" spans="1:54" ht="15.75" x14ac:dyDescent="0.25">
      <c r="A47">
        <v>29</v>
      </c>
      <c r="B47">
        <v>325</v>
      </c>
      <c r="C47">
        <v>292.5</v>
      </c>
      <c r="D47" s="194">
        <f t="shared" si="0"/>
        <v>295.45454545454544</v>
      </c>
      <c r="F47" s="189">
        <v>45</v>
      </c>
      <c r="G47" s="196">
        <f>Результаты!U48</f>
        <v>79.518096923828097</v>
      </c>
      <c r="H47" s="189">
        <f t="shared" si="1"/>
        <v>292.5</v>
      </c>
      <c r="I47" s="195">
        <f t="shared" si="2"/>
        <v>3.6784079513395715</v>
      </c>
      <c r="J47" s="188"/>
      <c r="K47" s="189">
        <v>45</v>
      </c>
      <c r="L47" s="196">
        <f>Результаты!V48</f>
        <v>41.966476440429702</v>
      </c>
      <c r="M47" s="189">
        <f t="shared" si="3"/>
        <v>292.5</v>
      </c>
      <c r="N47" s="195">
        <f t="shared" si="4"/>
        <v>6.9698489082159654</v>
      </c>
      <c r="P47" s="189">
        <v>45</v>
      </c>
      <c r="Q47" s="196">
        <f>Результаты!S48</f>
        <v>71.281692504882798</v>
      </c>
      <c r="R47" s="189">
        <f t="shared" si="5"/>
        <v>325</v>
      </c>
      <c r="S47" s="195">
        <f t="shared" si="6"/>
        <v>4.5593754662564656</v>
      </c>
      <c r="U47" s="189">
        <v>45</v>
      </c>
      <c r="V47" s="196">
        <f>Результаты!T48</f>
        <v>56.734542846679702</v>
      </c>
      <c r="W47" s="189">
        <f t="shared" si="7"/>
        <v>292.5</v>
      </c>
      <c r="X47" s="195">
        <f t="shared" si="8"/>
        <v>5.1555892640301426</v>
      </c>
      <c r="Z47" s="189">
        <v>45</v>
      </c>
      <c r="AA47" s="196">
        <f>Результаты!W48</f>
        <v>38.791095733642599</v>
      </c>
      <c r="AB47" s="189">
        <f t="shared" si="9"/>
        <v>292.5</v>
      </c>
      <c r="AC47" s="195">
        <f t="shared" si="10"/>
        <v>7.5403902485363847</v>
      </c>
      <c r="AE47" s="189">
        <v>45</v>
      </c>
      <c r="AF47" s="196">
        <f>Результаты!X48</f>
        <v>59.107105255127003</v>
      </c>
      <c r="AG47" s="189">
        <f t="shared" si="11"/>
        <v>292.5</v>
      </c>
      <c r="AH47" s="195">
        <f t="shared" si="12"/>
        <v>4.9486436315476352</v>
      </c>
      <c r="AJ47" s="189">
        <v>45</v>
      </c>
      <c r="AK47" s="196">
        <f>Результаты!Y48</f>
        <v>58.441947937011697</v>
      </c>
      <c r="AL47" s="189">
        <f t="shared" si="13"/>
        <v>292.5</v>
      </c>
      <c r="AM47" s="195">
        <f t="shared" si="14"/>
        <v>5.0049666433989222</v>
      </c>
      <c r="AO47" s="189">
        <v>45</v>
      </c>
      <c r="AP47" s="196">
        <f>Результаты!Z48</f>
        <v>61.147747039794901</v>
      </c>
      <c r="AQ47" s="189">
        <f t="shared" si="15"/>
        <v>292.5</v>
      </c>
      <c r="AR47" s="195">
        <f t="shared" si="16"/>
        <v>4.783495944824284</v>
      </c>
      <c r="AT47" s="189">
        <v>45</v>
      </c>
      <c r="AU47" s="195">
        <f>Результаты!AA48/1.028469</f>
        <v>133.81677406766173</v>
      </c>
      <c r="AV47" s="195">
        <f t="shared" si="17"/>
        <v>295.45454545454544</v>
      </c>
      <c r="AW47" s="195">
        <f t="shared" si="18"/>
        <v>2.2079036616527228</v>
      </c>
      <c r="AY47" s="198"/>
      <c r="AZ47" s="199"/>
      <c r="BA47" s="198"/>
      <c r="BB47" s="198"/>
    </row>
    <row r="48" spans="1:54" ht="15.75" x14ac:dyDescent="0.25">
      <c r="A48">
        <v>30</v>
      </c>
      <c r="B48">
        <v>325</v>
      </c>
      <c r="C48">
        <v>292.5</v>
      </c>
      <c r="D48" s="194">
        <f t="shared" si="0"/>
        <v>295.45454545454544</v>
      </c>
      <c r="F48" s="189">
        <v>46</v>
      </c>
      <c r="G48" s="196">
        <f>Результаты!U49</f>
        <v>46.171916961669901</v>
      </c>
      <c r="H48" s="189">
        <f t="shared" si="1"/>
        <v>292.5</v>
      </c>
      <c r="I48" s="195">
        <f t="shared" si="2"/>
        <v>6.3350196233529124</v>
      </c>
      <c r="J48" s="188"/>
      <c r="K48" s="189">
        <v>46</v>
      </c>
      <c r="L48" s="196">
        <f>Результаты!V49</f>
        <v>39.338741302490199</v>
      </c>
      <c r="M48" s="189">
        <f t="shared" si="3"/>
        <v>292.5</v>
      </c>
      <c r="N48" s="195">
        <f t="shared" si="4"/>
        <v>7.4354183767817794</v>
      </c>
      <c r="P48" s="189">
        <v>46</v>
      </c>
      <c r="Q48" s="196">
        <f>Результаты!S49</f>
        <v>72.185546875</v>
      </c>
      <c r="R48" s="189">
        <f t="shared" si="5"/>
        <v>325</v>
      </c>
      <c r="S48" s="195">
        <f t="shared" si="6"/>
        <v>4.5022863172704888</v>
      </c>
      <c r="U48" s="189">
        <v>46</v>
      </c>
      <c r="V48" s="196">
        <f>Результаты!T49</f>
        <v>36.107192993164098</v>
      </c>
      <c r="W48" s="189">
        <f t="shared" si="7"/>
        <v>292.5</v>
      </c>
      <c r="X48" s="195">
        <f t="shared" si="8"/>
        <v>8.1008789593634933</v>
      </c>
      <c r="Z48" s="189">
        <v>46</v>
      </c>
      <c r="AA48" s="196">
        <f>Результаты!W49</f>
        <v>29.011676788330099</v>
      </c>
      <c r="AB48" s="189">
        <f t="shared" si="9"/>
        <v>292.5</v>
      </c>
      <c r="AC48" s="195">
        <f t="shared" si="10"/>
        <v>10.082147341364896</v>
      </c>
      <c r="AE48" s="189">
        <v>46</v>
      </c>
      <c r="AF48" s="196">
        <f>Результаты!X49</f>
        <v>49.466682434082003</v>
      </c>
      <c r="AG48" s="189">
        <f t="shared" si="11"/>
        <v>292.5</v>
      </c>
      <c r="AH48" s="195">
        <f t="shared" si="12"/>
        <v>5.913070891499097</v>
      </c>
      <c r="AJ48" s="189">
        <v>46</v>
      </c>
      <c r="AK48" s="196">
        <f>Результаты!Y49</f>
        <v>48.641197204589801</v>
      </c>
      <c r="AL48" s="189">
        <f t="shared" si="13"/>
        <v>292.5</v>
      </c>
      <c r="AM48" s="195">
        <f t="shared" si="14"/>
        <v>6.013421067119614</v>
      </c>
      <c r="AO48" s="189">
        <v>46</v>
      </c>
      <c r="AP48" s="196">
        <f>Результаты!Z49</f>
        <v>48.987579345703097</v>
      </c>
      <c r="AQ48" s="189">
        <f t="shared" si="15"/>
        <v>292.5</v>
      </c>
      <c r="AR48" s="195">
        <f t="shared" si="16"/>
        <v>5.9709012755221265</v>
      </c>
      <c r="AT48" s="189">
        <v>46</v>
      </c>
      <c r="AU48" s="195">
        <f>Результаты!AA49/1.028469</f>
        <v>130.74596333580885</v>
      </c>
      <c r="AV48" s="195">
        <f t="shared" si="17"/>
        <v>295.45454545454544</v>
      </c>
      <c r="AW48" s="195">
        <f t="shared" si="18"/>
        <v>2.2597603621283353</v>
      </c>
      <c r="AY48" s="198"/>
      <c r="AZ48" s="199"/>
      <c r="BA48" s="198"/>
      <c r="BB48" s="198"/>
    </row>
    <row r="49" spans="1:54" ht="15.75" x14ac:dyDescent="0.25">
      <c r="A49">
        <v>31</v>
      </c>
      <c r="B49">
        <v>325</v>
      </c>
      <c r="C49">
        <v>292.5</v>
      </c>
      <c r="D49" s="194">
        <f t="shared" si="0"/>
        <v>295.45454545454544</v>
      </c>
      <c r="F49" s="189">
        <v>47</v>
      </c>
      <c r="G49" s="196">
        <f>Результаты!U50</f>
        <v>53.0372924804688</v>
      </c>
      <c r="H49" s="189">
        <f t="shared" si="1"/>
        <v>292.5</v>
      </c>
      <c r="I49" s="195">
        <f t="shared" si="2"/>
        <v>5.514987404527</v>
      </c>
      <c r="J49" s="188"/>
      <c r="K49" s="189">
        <v>47</v>
      </c>
      <c r="L49" s="196">
        <f>Результаты!V50</f>
        <v>64.827110290527301</v>
      </c>
      <c r="M49" s="189">
        <f t="shared" si="3"/>
        <v>292.5</v>
      </c>
      <c r="N49" s="195">
        <f t="shared" si="4"/>
        <v>4.5120012088945574</v>
      </c>
      <c r="P49" s="189">
        <v>47</v>
      </c>
      <c r="Q49" s="196">
        <f>Результаты!S50</f>
        <v>74.090866088867202</v>
      </c>
      <c r="R49" s="189">
        <f t="shared" si="5"/>
        <v>325</v>
      </c>
      <c r="S49" s="195">
        <f t="shared" si="6"/>
        <v>4.3865056133934717</v>
      </c>
      <c r="U49" s="189">
        <v>47</v>
      </c>
      <c r="V49" s="196">
        <f>Результаты!T50</f>
        <v>46.896846771240199</v>
      </c>
      <c r="W49" s="189">
        <f t="shared" si="7"/>
        <v>292.5</v>
      </c>
      <c r="X49" s="195">
        <f t="shared" si="8"/>
        <v>6.2370931126093865</v>
      </c>
      <c r="Z49" s="189">
        <v>47</v>
      </c>
      <c r="AA49" s="196">
        <f>Результаты!W50</f>
        <v>32.907890319824197</v>
      </c>
      <c r="AB49" s="189">
        <f t="shared" si="9"/>
        <v>292.5</v>
      </c>
      <c r="AC49" s="195">
        <f t="shared" si="10"/>
        <v>8.8884458151908241</v>
      </c>
      <c r="AE49" s="189">
        <v>47</v>
      </c>
      <c r="AF49" s="196">
        <f>Результаты!X50</f>
        <v>55.289573669433601</v>
      </c>
      <c r="AG49" s="189">
        <f t="shared" si="11"/>
        <v>292.5</v>
      </c>
      <c r="AH49" s="195">
        <f t="shared" si="12"/>
        <v>5.2903283673121591</v>
      </c>
      <c r="AJ49" s="189">
        <v>47</v>
      </c>
      <c r="AK49" s="196">
        <f>Результаты!Y50</f>
        <v>54.212390899658203</v>
      </c>
      <c r="AL49" s="189">
        <f t="shared" si="13"/>
        <v>292.5</v>
      </c>
      <c r="AM49" s="195">
        <f t="shared" si="14"/>
        <v>5.3954454903379689</v>
      </c>
      <c r="AO49" s="189">
        <v>47</v>
      </c>
      <c r="AP49" s="196">
        <f>Результаты!Z50</f>
        <v>1.97946512699127</v>
      </c>
      <c r="AQ49" s="189">
        <f t="shared" si="15"/>
        <v>292.5</v>
      </c>
      <c r="AR49" s="195">
        <f t="shared" si="16"/>
        <v>147.76719024325101</v>
      </c>
      <c r="AT49" s="189">
        <v>47</v>
      </c>
      <c r="AU49" s="195">
        <f>Результаты!AA50/1.028469</f>
        <v>135.77280652950552</v>
      </c>
      <c r="AV49" s="195">
        <f t="shared" si="17"/>
        <v>295.45454545454544</v>
      </c>
      <c r="AW49" s="195">
        <f t="shared" si="18"/>
        <v>2.1760951475238057</v>
      </c>
      <c r="AY49" s="198"/>
      <c r="AZ49" s="199"/>
      <c r="BA49" s="198"/>
      <c r="BB49" s="198"/>
    </row>
    <row r="50" spans="1:54" ht="15.75" x14ac:dyDescent="0.25">
      <c r="A50">
        <v>32</v>
      </c>
      <c r="B50">
        <v>325</v>
      </c>
      <c r="C50">
        <v>292.5</v>
      </c>
      <c r="D50" s="194">
        <f t="shared" si="0"/>
        <v>295.45454545454544</v>
      </c>
      <c r="F50" s="189">
        <v>48</v>
      </c>
      <c r="G50" s="196">
        <f>Результаты!U51</f>
        <v>74.437751770019503</v>
      </c>
      <c r="H50" s="189">
        <f t="shared" si="1"/>
        <v>292.5</v>
      </c>
      <c r="I50" s="195">
        <f t="shared" si="2"/>
        <v>3.9294577421373318</v>
      </c>
      <c r="J50" s="188"/>
      <c r="K50" s="189">
        <v>48</v>
      </c>
      <c r="L50" s="196">
        <f>Результаты!V51</f>
        <v>48.8110160827637</v>
      </c>
      <c r="M50" s="189">
        <f t="shared" si="3"/>
        <v>292.5</v>
      </c>
      <c r="N50" s="195">
        <f t="shared" si="4"/>
        <v>5.9924997157207001</v>
      </c>
      <c r="P50" s="189">
        <v>48</v>
      </c>
      <c r="Q50" s="196">
        <f>Результаты!S51</f>
        <v>63.997520446777301</v>
      </c>
      <c r="R50" s="189">
        <f t="shared" si="5"/>
        <v>325</v>
      </c>
      <c r="S50" s="195">
        <f t="shared" si="6"/>
        <v>5.0783217495165616</v>
      </c>
      <c r="U50" s="189">
        <v>48</v>
      </c>
      <c r="V50" s="196">
        <f>Результаты!T51</f>
        <v>47.500988006591797</v>
      </c>
      <c r="W50" s="189">
        <f t="shared" si="7"/>
        <v>292.5</v>
      </c>
      <c r="X50" s="195">
        <f t="shared" si="8"/>
        <v>6.1577666544411507</v>
      </c>
      <c r="Z50" s="189">
        <v>48</v>
      </c>
      <c r="AA50" s="196">
        <f>Результаты!W51</f>
        <v>32.364212036132798</v>
      </c>
      <c r="AB50" s="189">
        <f t="shared" si="9"/>
        <v>292.5</v>
      </c>
      <c r="AC50" s="195">
        <f t="shared" si="10"/>
        <v>9.0377605879432625</v>
      </c>
      <c r="AE50" s="189">
        <v>48</v>
      </c>
      <c r="AF50" s="196">
        <f>Результаты!X51</f>
        <v>50.859146118164098</v>
      </c>
      <c r="AG50" s="189">
        <f t="shared" si="11"/>
        <v>292.5</v>
      </c>
      <c r="AH50" s="195">
        <f t="shared" si="12"/>
        <v>5.7511779556899612</v>
      </c>
      <c r="AJ50" s="189">
        <v>48</v>
      </c>
      <c r="AK50" s="196">
        <f>Результаты!Y51</f>
        <v>49.761367797851598</v>
      </c>
      <c r="AL50" s="189">
        <f t="shared" si="13"/>
        <v>292.5</v>
      </c>
      <c r="AM50" s="195">
        <f t="shared" si="14"/>
        <v>5.8780538587331277</v>
      </c>
      <c r="AO50" s="189">
        <v>48</v>
      </c>
      <c r="AP50" s="196">
        <f>Результаты!Z51</f>
        <v>1.9739753007888801</v>
      </c>
      <c r="AQ50" s="189">
        <f t="shared" si="15"/>
        <v>292.5</v>
      </c>
      <c r="AR50" s="195">
        <f t="shared" si="16"/>
        <v>148.17814583754173</v>
      </c>
      <c r="AT50" s="189">
        <v>48</v>
      </c>
      <c r="AU50" s="195">
        <f>Результаты!AA51/1.028469</f>
        <v>127.82703294612671</v>
      </c>
      <c r="AV50" s="195">
        <f t="shared" si="17"/>
        <v>295.45454545454544</v>
      </c>
      <c r="AW50" s="195">
        <f t="shared" si="18"/>
        <v>2.3113619916302532</v>
      </c>
      <c r="AY50" s="198"/>
      <c r="AZ50" s="199"/>
      <c r="BA50" s="198"/>
      <c r="BB50" s="198"/>
    </row>
    <row r="51" spans="1:54" ht="15.75" x14ac:dyDescent="0.25">
      <c r="A51">
        <v>33</v>
      </c>
      <c r="B51">
        <v>325</v>
      </c>
      <c r="C51">
        <v>292.5</v>
      </c>
      <c r="D51" s="194">
        <f t="shared" si="0"/>
        <v>295.45454545454544</v>
      </c>
      <c r="F51" s="189">
        <v>49</v>
      </c>
      <c r="G51" s="196">
        <f>Результаты!U52</f>
        <v>61.459934234619098</v>
      </c>
      <c r="H51" s="189">
        <f t="shared" si="1"/>
        <v>292.5</v>
      </c>
      <c r="I51" s="195">
        <f t="shared" si="2"/>
        <v>4.7591980636263171</v>
      </c>
      <c r="J51" s="188"/>
      <c r="K51" s="189">
        <v>49</v>
      </c>
      <c r="L51" s="196">
        <f>Результаты!V52</f>
        <v>36.054725646972699</v>
      </c>
      <c r="M51" s="189">
        <f t="shared" si="3"/>
        <v>292.5</v>
      </c>
      <c r="N51" s="195">
        <f t="shared" si="4"/>
        <v>8.1126674728853327</v>
      </c>
      <c r="P51" s="189">
        <v>49</v>
      </c>
      <c r="Q51" s="196">
        <f>Результаты!S52</f>
        <v>14.5535020828247</v>
      </c>
      <c r="R51" s="189">
        <f t="shared" si="5"/>
        <v>325</v>
      </c>
      <c r="S51" s="195">
        <f t="shared" si="6"/>
        <v>22.331394749552988</v>
      </c>
      <c r="U51" s="189">
        <v>49</v>
      </c>
      <c r="V51" s="196">
        <f>Результаты!T52</f>
        <v>71.284698486328097</v>
      </c>
      <c r="W51" s="189">
        <f t="shared" si="7"/>
        <v>292.5</v>
      </c>
      <c r="X51" s="195">
        <f t="shared" si="8"/>
        <v>4.1032648830814571</v>
      </c>
      <c r="Z51" s="189">
        <v>49</v>
      </c>
      <c r="AA51" s="196">
        <f>Результаты!W52</f>
        <v>26.462688446044901</v>
      </c>
      <c r="AB51" s="189">
        <f t="shared" si="9"/>
        <v>292.5</v>
      </c>
      <c r="AC51" s="195">
        <f t="shared" si="10"/>
        <v>11.053298707589057</v>
      </c>
      <c r="AE51" s="189">
        <v>49</v>
      </c>
      <c r="AF51" s="196">
        <f>Результаты!X52</f>
        <v>27.2750053405762</v>
      </c>
      <c r="AG51" s="189">
        <f t="shared" si="11"/>
        <v>292.5</v>
      </c>
      <c r="AH51" s="195">
        <f t="shared" si="12"/>
        <v>10.724104224641767</v>
      </c>
      <c r="AJ51" s="189">
        <v>49</v>
      </c>
      <c r="AK51" s="196">
        <f>Результаты!Y52</f>
        <v>27.4664497375488</v>
      </c>
      <c r="AL51" s="189">
        <f t="shared" si="13"/>
        <v>292.5</v>
      </c>
      <c r="AM51" s="195">
        <f t="shared" si="14"/>
        <v>10.649355952259439</v>
      </c>
      <c r="AO51" s="189">
        <v>49</v>
      </c>
      <c r="AP51" s="196">
        <f>Результаты!Z52</f>
        <v>75.371604919433594</v>
      </c>
      <c r="AQ51" s="189">
        <f t="shared" si="15"/>
        <v>292.5</v>
      </c>
      <c r="AR51" s="195">
        <f t="shared" si="16"/>
        <v>3.8807718146994459</v>
      </c>
      <c r="AT51" s="189">
        <v>49</v>
      </c>
      <c r="AU51" s="195">
        <f>Результаты!AA52/1.028469</f>
        <v>114.37186189249358</v>
      </c>
      <c r="AV51" s="195">
        <f t="shared" si="17"/>
        <v>295.45454545454544</v>
      </c>
      <c r="AW51" s="195">
        <f t="shared" si="18"/>
        <v>2.5832800180543063</v>
      </c>
      <c r="AY51" s="198"/>
      <c r="AZ51" s="199"/>
      <c r="BA51" s="198"/>
      <c r="BB51" s="198"/>
    </row>
    <row r="52" spans="1:54" ht="15.75" x14ac:dyDescent="0.25">
      <c r="A52">
        <v>34</v>
      </c>
      <c r="B52">
        <v>325</v>
      </c>
      <c r="C52">
        <v>292.5</v>
      </c>
      <c r="D52" s="194">
        <f t="shared" si="0"/>
        <v>295.45454545454544</v>
      </c>
      <c r="F52" s="189">
        <v>50</v>
      </c>
      <c r="G52" s="196">
        <f>Результаты!U53</f>
        <v>42.415637969970703</v>
      </c>
      <c r="H52" s="189">
        <f t="shared" si="1"/>
        <v>292.5</v>
      </c>
      <c r="I52" s="195">
        <f t="shared" si="2"/>
        <v>6.8960415073111312</v>
      </c>
      <c r="J52" s="188"/>
      <c r="K52" s="189">
        <v>50</v>
      </c>
      <c r="L52" s="196">
        <f>Результаты!V53</f>
        <v>35.290950775146499</v>
      </c>
      <c r="M52" s="189">
        <f t="shared" si="3"/>
        <v>292.5</v>
      </c>
      <c r="N52" s="195">
        <f t="shared" si="4"/>
        <v>8.2882436878405628</v>
      </c>
      <c r="P52" s="189">
        <v>50</v>
      </c>
      <c r="Q52" s="196">
        <f>Результаты!S53</f>
        <v>31.302204132080099</v>
      </c>
      <c r="R52" s="189">
        <f t="shared" si="5"/>
        <v>325</v>
      </c>
      <c r="S52" s="195">
        <f t="shared" si="6"/>
        <v>10.382655439491028</v>
      </c>
      <c r="U52" s="189">
        <v>50</v>
      </c>
      <c r="V52" s="196">
        <f>Результаты!T53</f>
        <v>61.174232482910199</v>
      </c>
      <c r="W52" s="189">
        <f t="shared" si="7"/>
        <v>292.5</v>
      </c>
      <c r="X52" s="195">
        <f t="shared" si="8"/>
        <v>4.7814249256288353</v>
      </c>
      <c r="Z52" s="189">
        <v>50</v>
      </c>
      <c r="AA52" s="196">
        <f>Результаты!W53</f>
        <v>28.0559597015381</v>
      </c>
      <c r="AB52" s="189">
        <f t="shared" si="9"/>
        <v>292.5</v>
      </c>
      <c r="AC52" s="195">
        <f t="shared" si="10"/>
        <v>10.425592391479105</v>
      </c>
      <c r="AE52" s="189">
        <v>50</v>
      </c>
      <c r="AF52" s="196">
        <f>Результаты!X53</f>
        <v>28.401899337768601</v>
      </c>
      <c r="AG52" s="189">
        <f t="shared" si="11"/>
        <v>292.5</v>
      </c>
      <c r="AH52" s="195">
        <f t="shared" si="12"/>
        <v>10.298607023475927</v>
      </c>
      <c r="AJ52" s="189">
        <v>50</v>
      </c>
      <c r="AK52" s="196">
        <f>Результаты!Y53</f>
        <v>32.228256225585902</v>
      </c>
      <c r="AL52" s="189">
        <f t="shared" si="13"/>
        <v>292.5</v>
      </c>
      <c r="AM52" s="195">
        <f t="shared" si="14"/>
        <v>9.0758866366398454</v>
      </c>
      <c r="AO52" s="189">
        <v>50</v>
      </c>
      <c r="AP52" s="196">
        <f>Результаты!Z53</f>
        <v>49.284385681152301</v>
      </c>
      <c r="AQ52" s="189">
        <f t="shared" si="15"/>
        <v>292.5</v>
      </c>
      <c r="AR52" s="195">
        <f t="shared" si="16"/>
        <v>5.9349425980947146</v>
      </c>
      <c r="AT52" s="189">
        <v>50</v>
      </c>
      <c r="AU52" s="195">
        <f>Результаты!AA53/1.028469</f>
        <v>128.10074989764786</v>
      </c>
      <c r="AV52" s="195">
        <f t="shared" si="17"/>
        <v>295.45454545454544</v>
      </c>
      <c r="AW52" s="195">
        <f t="shared" si="18"/>
        <v>2.3064232308601844</v>
      </c>
      <c r="AY52" s="198"/>
      <c r="AZ52" s="199"/>
      <c r="BA52" s="198"/>
      <c r="BB52" s="198"/>
    </row>
    <row r="53" spans="1:54" ht="15.75" x14ac:dyDescent="0.25">
      <c r="A53">
        <v>35</v>
      </c>
      <c r="B53">
        <v>325</v>
      </c>
      <c r="C53">
        <v>292.5</v>
      </c>
      <c r="D53" s="194">
        <f t="shared" si="0"/>
        <v>295.45454545454544</v>
      </c>
      <c r="F53" s="189">
        <v>51</v>
      </c>
      <c r="G53" s="196">
        <f>Результаты!U54</f>
        <v>76.103385925292997</v>
      </c>
      <c r="H53" s="189">
        <f t="shared" si="1"/>
        <v>292.5</v>
      </c>
      <c r="I53" s="195">
        <f t="shared" si="2"/>
        <v>3.8434557995505361</v>
      </c>
      <c r="J53" s="188"/>
      <c r="K53" s="189">
        <v>51</v>
      </c>
      <c r="L53" s="196">
        <f>Результаты!V54</f>
        <v>96.980430603027301</v>
      </c>
      <c r="M53" s="189">
        <f t="shared" si="3"/>
        <v>292.5</v>
      </c>
      <c r="N53" s="195">
        <f t="shared" si="4"/>
        <v>3.0160723991554379</v>
      </c>
      <c r="P53" s="189">
        <v>51</v>
      </c>
      <c r="Q53" s="196">
        <f>Результаты!S54</f>
        <v>63.1809272766113</v>
      </c>
      <c r="R53" s="189">
        <f t="shared" si="5"/>
        <v>325</v>
      </c>
      <c r="S53" s="195">
        <f t="shared" si="6"/>
        <v>5.1439574252704974</v>
      </c>
      <c r="U53" s="189">
        <v>51</v>
      </c>
      <c r="V53" s="196">
        <f>Результаты!T54</f>
        <v>118.142929077148</v>
      </c>
      <c r="W53" s="189">
        <f t="shared" si="7"/>
        <v>292.5</v>
      </c>
      <c r="X53" s="195">
        <f t="shared" si="8"/>
        <v>2.4758146956809903</v>
      </c>
      <c r="Z53" s="189">
        <v>51</v>
      </c>
      <c r="AA53" s="196">
        <f>Результаты!W54</f>
        <v>114.707565307617</v>
      </c>
      <c r="AB53" s="189">
        <f t="shared" si="9"/>
        <v>292.5</v>
      </c>
      <c r="AC53" s="195">
        <f t="shared" si="10"/>
        <v>2.5499625871718936</v>
      </c>
      <c r="AE53" s="189">
        <v>51</v>
      </c>
      <c r="AF53" s="196">
        <f>Результаты!X54</f>
        <v>114.976440429688</v>
      </c>
      <c r="AG53" s="189">
        <f t="shared" si="11"/>
        <v>292.5</v>
      </c>
      <c r="AH53" s="195">
        <f t="shared" si="12"/>
        <v>2.5439994394231893</v>
      </c>
      <c r="AJ53" s="189">
        <v>51</v>
      </c>
      <c r="AK53" s="196">
        <f>Результаты!Y54</f>
        <v>109.507781982422</v>
      </c>
      <c r="AL53" s="189">
        <f t="shared" si="13"/>
        <v>292.5</v>
      </c>
      <c r="AM53" s="195">
        <f t="shared" si="14"/>
        <v>2.6710430501363964</v>
      </c>
      <c r="AO53" s="189">
        <v>51</v>
      </c>
      <c r="AP53" s="196">
        <f>Результаты!Z54</f>
        <v>11.7315874099731</v>
      </c>
      <c r="AQ53" s="189">
        <f t="shared" si="15"/>
        <v>292.5</v>
      </c>
      <c r="AR53" s="195">
        <f t="shared" si="16"/>
        <v>24.932687263732426</v>
      </c>
      <c r="AT53" s="189">
        <v>51</v>
      </c>
      <c r="AU53" s="195">
        <f>Результаты!AA54/1.028469</f>
        <v>181.74442088931895</v>
      </c>
      <c r="AV53" s="195">
        <f t="shared" si="17"/>
        <v>295.45454545454544</v>
      </c>
      <c r="AW53" s="195">
        <f t="shared" si="18"/>
        <v>1.6256595058534158</v>
      </c>
      <c r="AY53" s="198"/>
      <c r="AZ53" s="199"/>
      <c r="BA53" s="198"/>
      <c r="BB53" s="198"/>
    </row>
    <row r="54" spans="1:54" ht="15.75" x14ac:dyDescent="0.25">
      <c r="A54">
        <v>36</v>
      </c>
      <c r="B54">
        <v>325</v>
      </c>
      <c r="C54">
        <v>292.5</v>
      </c>
      <c r="D54" s="194">
        <f t="shared" si="0"/>
        <v>295.45454545454544</v>
      </c>
      <c r="F54" s="189">
        <v>52</v>
      </c>
      <c r="G54" s="196">
        <f>Результаты!U55</f>
        <v>99.527862548828097</v>
      </c>
      <c r="H54" s="189">
        <f t="shared" si="1"/>
        <v>292.5</v>
      </c>
      <c r="I54" s="195">
        <f t="shared" si="2"/>
        <v>2.9388755320300413</v>
      </c>
      <c r="J54" s="188"/>
      <c r="K54" s="189">
        <v>52</v>
      </c>
      <c r="L54" s="196">
        <f>Результаты!V55</f>
        <v>89.854408264160199</v>
      </c>
      <c r="M54" s="189">
        <f t="shared" si="3"/>
        <v>292.5</v>
      </c>
      <c r="N54" s="195">
        <f t="shared" si="4"/>
        <v>3.2552659980808989</v>
      </c>
      <c r="P54" s="189">
        <v>52</v>
      </c>
      <c r="Q54" s="196">
        <f>Результаты!S55</f>
        <v>53.2255249023438</v>
      </c>
      <c r="R54" s="189">
        <f t="shared" si="5"/>
        <v>325</v>
      </c>
      <c r="S54" s="195">
        <f t="shared" si="6"/>
        <v>6.1060929055429298</v>
      </c>
      <c r="U54" s="189">
        <v>52</v>
      </c>
      <c r="V54" s="196">
        <f>Результаты!T55</f>
        <v>148.64065551757801</v>
      </c>
      <c r="W54" s="189">
        <f t="shared" si="7"/>
        <v>292.5</v>
      </c>
      <c r="X54" s="195">
        <f t="shared" si="8"/>
        <v>1.9678330869942202</v>
      </c>
      <c r="Z54" s="189">
        <v>52</v>
      </c>
      <c r="AA54" s="196">
        <f>Результаты!W55</f>
        <v>118.33179473877</v>
      </c>
      <c r="AB54" s="189">
        <f t="shared" si="9"/>
        <v>292.5</v>
      </c>
      <c r="AC54" s="195">
        <f t="shared" si="10"/>
        <v>2.4718631255929551</v>
      </c>
      <c r="AE54" s="189">
        <v>52</v>
      </c>
      <c r="AF54" s="196">
        <f>Результаты!X55</f>
        <v>118.488929748535</v>
      </c>
      <c r="AG54" s="189">
        <f t="shared" si="11"/>
        <v>292.5</v>
      </c>
      <c r="AH54" s="195">
        <f t="shared" si="12"/>
        <v>2.4685850452085503</v>
      </c>
      <c r="AJ54" s="189">
        <v>52</v>
      </c>
      <c r="AK54" s="196">
        <f>Результаты!Y55</f>
        <v>112.95255279541</v>
      </c>
      <c r="AL54" s="189">
        <f t="shared" si="13"/>
        <v>292.5</v>
      </c>
      <c r="AM54" s="195">
        <f t="shared" si="14"/>
        <v>2.5895829068140035</v>
      </c>
      <c r="AO54" s="189">
        <v>52</v>
      </c>
      <c r="AP54" s="196">
        <f>Результаты!Z55</f>
        <v>12.2722673416138</v>
      </c>
      <c r="AQ54" s="189">
        <f t="shared" si="15"/>
        <v>292.5</v>
      </c>
      <c r="AR54" s="195">
        <f t="shared" si="16"/>
        <v>23.834226541673132</v>
      </c>
      <c r="AT54" s="189">
        <v>52</v>
      </c>
      <c r="AU54" s="195">
        <f>Результаты!AA55/1.028469</f>
        <v>179.75031819615663</v>
      </c>
      <c r="AV54" s="195">
        <f t="shared" si="17"/>
        <v>295.45454545454544</v>
      </c>
      <c r="AW54" s="195">
        <f t="shared" si="18"/>
        <v>1.6436941442970017</v>
      </c>
      <c r="AY54" s="198"/>
      <c r="AZ54" s="199"/>
      <c r="BA54" s="198"/>
      <c r="BB54" s="198"/>
    </row>
    <row r="55" spans="1:54" ht="15.75" x14ac:dyDescent="0.25">
      <c r="A55">
        <v>37</v>
      </c>
      <c r="B55">
        <v>325</v>
      </c>
      <c r="C55">
        <v>292.5</v>
      </c>
      <c r="D55" s="194">
        <f t="shared" si="0"/>
        <v>295.45454545454544</v>
      </c>
      <c r="F55" s="189">
        <v>53</v>
      </c>
      <c r="G55" s="196">
        <f>Результаты!U56</f>
        <v>73.860366821289105</v>
      </c>
      <c r="H55" s="189">
        <f t="shared" si="1"/>
        <v>292.5</v>
      </c>
      <c r="I55" s="195">
        <f t="shared" si="2"/>
        <v>3.9601752954697136</v>
      </c>
      <c r="J55" s="188"/>
      <c r="K55" s="189">
        <v>53</v>
      </c>
      <c r="L55" s="196">
        <f>Результаты!V56</f>
        <v>91.212196350097699</v>
      </c>
      <c r="M55" s="189">
        <f t="shared" si="3"/>
        <v>292.5</v>
      </c>
      <c r="N55" s="195">
        <f t="shared" si="4"/>
        <v>3.206807989551133</v>
      </c>
      <c r="P55" s="189">
        <v>53</v>
      </c>
      <c r="Q55" s="196">
        <f>Результаты!S56</f>
        <v>61.293121337890597</v>
      </c>
      <c r="R55" s="189">
        <f t="shared" si="5"/>
        <v>325</v>
      </c>
      <c r="S55" s="195">
        <f t="shared" si="6"/>
        <v>5.3023894509854124</v>
      </c>
      <c r="U55" s="189">
        <v>53</v>
      </c>
      <c r="V55" s="196">
        <f>Результаты!T56</f>
        <v>118.366096496582</v>
      </c>
      <c r="W55" s="189">
        <f t="shared" si="7"/>
        <v>292.5</v>
      </c>
      <c r="X55" s="195">
        <f t="shared" si="8"/>
        <v>2.4711467950490906</v>
      </c>
      <c r="Z55" s="189">
        <v>53</v>
      </c>
      <c r="AA55" s="196">
        <f>Результаты!W56</f>
        <v>114.900253295898</v>
      </c>
      <c r="AB55" s="189">
        <f t="shared" si="9"/>
        <v>292.5</v>
      </c>
      <c r="AC55" s="195">
        <f t="shared" si="10"/>
        <v>2.5456862940653102</v>
      </c>
      <c r="AE55" s="189">
        <v>53</v>
      </c>
      <c r="AF55" s="196">
        <f>Результаты!X56</f>
        <v>115.10271453857401</v>
      </c>
      <c r="AG55" s="189">
        <f t="shared" si="11"/>
        <v>292.5</v>
      </c>
      <c r="AH55" s="195">
        <f t="shared" si="12"/>
        <v>2.5412085298994005</v>
      </c>
      <c r="AJ55" s="189">
        <v>53</v>
      </c>
      <c r="AK55" s="196">
        <f>Результаты!Y56</f>
        <v>101.654541015625</v>
      </c>
      <c r="AL55" s="189">
        <f t="shared" si="13"/>
        <v>292.5</v>
      </c>
      <c r="AM55" s="195">
        <f t="shared" si="14"/>
        <v>2.8773923631708764</v>
      </c>
      <c r="AO55" s="189">
        <v>53</v>
      </c>
      <c r="AP55" s="196">
        <f>Результаты!Z56</f>
        <v>7.83536624908447</v>
      </c>
      <c r="AQ55" s="189">
        <f t="shared" si="15"/>
        <v>292.5</v>
      </c>
      <c r="AR55" s="195">
        <f t="shared" si="16"/>
        <v>37.330737415647597</v>
      </c>
      <c r="AT55" s="189">
        <v>53</v>
      </c>
      <c r="AU55" s="195">
        <f>Результаты!AA56/1.028469</f>
        <v>181.73461402146975</v>
      </c>
      <c r="AV55" s="195">
        <f t="shared" si="17"/>
        <v>295.45454545454544</v>
      </c>
      <c r="AW55" s="195">
        <f t="shared" si="18"/>
        <v>1.6257472306274083</v>
      </c>
      <c r="AY55" s="198"/>
      <c r="AZ55" s="199"/>
      <c r="BA55" s="198"/>
      <c r="BB55" s="198"/>
    </row>
    <row r="56" spans="1:54" ht="15.75" x14ac:dyDescent="0.25">
      <c r="A56">
        <v>38</v>
      </c>
      <c r="B56">
        <v>325</v>
      </c>
      <c r="C56">
        <v>292.5</v>
      </c>
      <c r="D56" s="194">
        <f t="shared" si="0"/>
        <v>295.45454545454544</v>
      </c>
      <c r="F56" s="189">
        <v>54</v>
      </c>
      <c r="G56" s="196">
        <f>Результаты!U57</f>
        <v>93.834854125976605</v>
      </c>
      <c r="H56" s="189">
        <f t="shared" si="1"/>
        <v>292.5</v>
      </c>
      <c r="I56" s="195">
        <f t="shared" si="2"/>
        <v>3.1171786083591968</v>
      </c>
      <c r="J56" s="188"/>
      <c r="K56" s="189">
        <v>54</v>
      </c>
      <c r="L56" s="196">
        <f>Результаты!V57</f>
        <v>79.910926818847699</v>
      </c>
      <c r="M56" s="189">
        <f t="shared" si="3"/>
        <v>292.5</v>
      </c>
      <c r="N56" s="195">
        <f t="shared" si="4"/>
        <v>3.6603254604101436</v>
      </c>
      <c r="P56" s="189">
        <v>54</v>
      </c>
      <c r="Q56" s="196">
        <f>Результаты!S57</f>
        <v>47.6850395202637</v>
      </c>
      <c r="R56" s="189">
        <f t="shared" si="5"/>
        <v>325</v>
      </c>
      <c r="S56" s="195">
        <f t="shared" si="6"/>
        <v>6.8155548001987425</v>
      </c>
      <c r="U56" s="189">
        <v>54</v>
      </c>
      <c r="V56" s="196">
        <f>Результаты!T57</f>
        <v>147.447998046875</v>
      </c>
      <c r="W56" s="189">
        <f t="shared" si="7"/>
        <v>292.5</v>
      </c>
      <c r="X56" s="195">
        <f t="shared" si="8"/>
        <v>1.9837502297387022</v>
      </c>
      <c r="Z56" s="189">
        <v>54</v>
      </c>
      <c r="AA56" s="196">
        <f>Результаты!W57</f>
        <v>114.15780639648401</v>
      </c>
      <c r="AB56" s="189">
        <f t="shared" si="9"/>
        <v>292.5</v>
      </c>
      <c r="AC56" s="195">
        <f t="shared" si="10"/>
        <v>2.5622426466755308</v>
      </c>
      <c r="AE56" s="189">
        <v>54</v>
      </c>
      <c r="AF56" s="196">
        <f>Результаты!X57</f>
        <v>114.19529724121099</v>
      </c>
      <c r="AG56" s="189">
        <f t="shared" si="11"/>
        <v>292.5</v>
      </c>
      <c r="AH56" s="195">
        <f t="shared" si="12"/>
        <v>2.561401450553273</v>
      </c>
      <c r="AJ56" s="189">
        <v>54</v>
      </c>
      <c r="AK56" s="196">
        <f>Результаты!Y57</f>
        <v>101.30101013183599</v>
      </c>
      <c r="AL56" s="189">
        <f t="shared" si="13"/>
        <v>292.5</v>
      </c>
      <c r="AM56" s="195">
        <f t="shared" si="14"/>
        <v>2.8874341886554955</v>
      </c>
      <c r="AO56" s="189">
        <v>54</v>
      </c>
      <c r="AP56" s="196">
        <f>Результаты!Z57</f>
        <v>4.3190855979919398</v>
      </c>
      <c r="AQ56" s="189">
        <f t="shared" si="15"/>
        <v>292.5</v>
      </c>
      <c r="AR56" s="195">
        <f t="shared" si="16"/>
        <v>67.722667996205303</v>
      </c>
      <c r="AT56" s="189">
        <v>54</v>
      </c>
      <c r="AU56" s="195">
        <f>Результаты!AA57/1.028469</f>
        <v>175.67407354535428</v>
      </c>
      <c r="AV56" s="195">
        <f t="shared" si="17"/>
        <v>295.45454545454544</v>
      </c>
      <c r="AW56" s="195">
        <f t="shared" si="18"/>
        <v>1.6818335198350547</v>
      </c>
      <c r="AY56" s="198"/>
      <c r="AZ56" s="199"/>
      <c r="BA56" s="198"/>
      <c r="BB56" s="198"/>
    </row>
    <row r="57" spans="1:54" ht="15.75" x14ac:dyDescent="0.25">
      <c r="A57">
        <v>39</v>
      </c>
      <c r="B57">
        <v>325</v>
      </c>
      <c r="C57">
        <v>292.5</v>
      </c>
      <c r="D57" s="194">
        <f t="shared" si="0"/>
        <v>295.45454545454544</v>
      </c>
      <c r="F57" s="189">
        <v>55</v>
      </c>
      <c r="G57" s="196">
        <f>Результаты!U58</f>
        <v>106.33341217041</v>
      </c>
      <c r="H57" s="189">
        <f t="shared" si="1"/>
        <v>292.5</v>
      </c>
      <c r="I57" s="195">
        <f t="shared" si="2"/>
        <v>2.7507816595901136</v>
      </c>
      <c r="J57" s="188"/>
      <c r="K57" s="189">
        <v>55</v>
      </c>
      <c r="L57" s="196">
        <f>Результаты!V58</f>
        <v>82.737220764160199</v>
      </c>
      <c r="M57" s="189">
        <f t="shared" si="3"/>
        <v>292.5</v>
      </c>
      <c r="N57" s="195">
        <f t="shared" si="4"/>
        <v>3.5352891636735286</v>
      </c>
      <c r="P57" s="189">
        <v>55</v>
      </c>
      <c r="Q57" s="196">
        <f>Результаты!S58</f>
        <v>134.444580078125</v>
      </c>
      <c r="R57" s="189">
        <f t="shared" si="5"/>
        <v>325</v>
      </c>
      <c r="S57" s="195">
        <f t="shared" si="6"/>
        <v>2.4173529331650583</v>
      </c>
      <c r="U57" s="189">
        <v>55</v>
      </c>
      <c r="V57" s="196">
        <f>Результаты!T58</f>
        <v>65.730422973632798</v>
      </c>
      <c r="W57" s="189">
        <f t="shared" si="7"/>
        <v>292.5</v>
      </c>
      <c r="X57" s="195">
        <f t="shared" si="8"/>
        <v>4.4499941848439635</v>
      </c>
      <c r="Z57" s="189">
        <v>55</v>
      </c>
      <c r="AA57" s="196">
        <f>Результаты!W58</f>
        <v>117.90609741210901</v>
      </c>
      <c r="AB57" s="189">
        <f t="shared" si="9"/>
        <v>292.5</v>
      </c>
      <c r="AC57" s="195">
        <f t="shared" si="10"/>
        <v>2.480787732102141</v>
      </c>
      <c r="AE57" s="189">
        <v>55</v>
      </c>
      <c r="AF57" s="196">
        <f>Результаты!X58</f>
        <v>95.267616271972699</v>
      </c>
      <c r="AG57" s="189">
        <f t="shared" si="11"/>
        <v>292.5</v>
      </c>
      <c r="AH57" s="195">
        <f t="shared" si="12"/>
        <v>3.0702982970095807</v>
      </c>
      <c r="AJ57" s="189">
        <v>55</v>
      </c>
      <c r="AK57" s="196">
        <f>Результаты!Y58</f>
        <v>95.581153869628906</v>
      </c>
      <c r="AL57" s="189">
        <f t="shared" si="13"/>
        <v>292.5</v>
      </c>
      <c r="AM57" s="195">
        <f t="shared" si="14"/>
        <v>3.0602267095348639</v>
      </c>
      <c r="AO57" s="189">
        <v>55</v>
      </c>
      <c r="AP57" s="196">
        <f>Результаты!Z58</f>
        <v>3.74466824531555</v>
      </c>
      <c r="AQ57" s="189">
        <f t="shared" si="15"/>
        <v>292.5</v>
      </c>
      <c r="AR57" s="195">
        <f t="shared" si="16"/>
        <v>78.111058400408993</v>
      </c>
      <c r="AT57" s="189">
        <v>55</v>
      </c>
      <c r="AU57" s="195">
        <f>Результаты!AA58/1.028469</f>
        <v>178.90011764832579</v>
      </c>
      <c r="AV57" s="195">
        <f t="shared" si="17"/>
        <v>295.45454545454544</v>
      </c>
      <c r="AW57" s="195">
        <f t="shared" si="18"/>
        <v>1.651505596186009</v>
      </c>
      <c r="AY57" s="198"/>
      <c r="AZ57" s="199"/>
      <c r="BA57" s="198"/>
      <c r="BB57" s="198"/>
    </row>
    <row r="58" spans="1:54" ht="15.75" x14ac:dyDescent="0.25">
      <c r="A58">
        <v>40</v>
      </c>
      <c r="B58">
        <v>325</v>
      </c>
      <c r="C58">
        <v>292.5</v>
      </c>
      <c r="D58" s="194">
        <f t="shared" si="0"/>
        <v>295.45454545454544</v>
      </c>
      <c r="F58" s="189">
        <v>56</v>
      </c>
      <c r="G58" s="196">
        <f>Результаты!U59</f>
        <v>73.509185791015597</v>
      </c>
      <c r="H58" s="189">
        <f t="shared" si="1"/>
        <v>292.5</v>
      </c>
      <c r="I58" s="195">
        <f t="shared" si="2"/>
        <v>3.9790945424367603</v>
      </c>
      <c r="J58" s="188"/>
      <c r="K58" s="189">
        <v>56</v>
      </c>
      <c r="L58" s="196">
        <f>Результаты!V59</f>
        <v>90.8583984375</v>
      </c>
      <c r="M58" s="189">
        <f t="shared" si="3"/>
        <v>292.5</v>
      </c>
      <c r="N58" s="195">
        <f t="shared" si="4"/>
        <v>3.2192951342985201</v>
      </c>
      <c r="P58" s="189">
        <v>56</v>
      </c>
      <c r="Q58" s="196">
        <f>Результаты!S59</f>
        <v>143.80841064453099</v>
      </c>
      <c r="R58" s="189">
        <f t="shared" si="5"/>
        <v>325</v>
      </c>
      <c r="S58" s="195">
        <f t="shared" si="6"/>
        <v>2.259951268103106</v>
      </c>
      <c r="U58" s="189">
        <v>56</v>
      </c>
      <c r="V58" s="196">
        <f>Результаты!T59</f>
        <v>54.582817077636697</v>
      </c>
      <c r="W58" s="189">
        <f t="shared" si="7"/>
        <v>292.5</v>
      </c>
      <c r="X58" s="195">
        <f t="shared" si="8"/>
        <v>5.3588293104029097</v>
      </c>
      <c r="Z58" s="189">
        <v>56</v>
      </c>
      <c r="AA58" s="196">
        <f>Результаты!W59</f>
        <v>115.189781188965</v>
      </c>
      <c r="AB58" s="189">
        <f t="shared" si="9"/>
        <v>292.5</v>
      </c>
      <c r="AC58" s="195">
        <f t="shared" si="10"/>
        <v>2.5392877474101931</v>
      </c>
      <c r="AE58" s="189">
        <v>56</v>
      </c>
      <c r="AF58" s="196">
        <f>Результаты!X59</f>
        <v>85.401283264160199</v>
      </c>
      <c r="AG58" s="189">
        <f t="shared" si="11"/>
        <v>292.5</v>
      </c>
      <c r="AH58" s="195">
        <f t="shared" si="12"/>
        <v>3.4250070820979288</v>
      </c>
      <c r="AJ58" s="189">
        <v>56</v>
      </c>
      <c r="AK58" s="196">
        <f>Результаты!Y59</f>
        <v>85.219757080078097</v>
      </c>
      <c r="AL58" s="189">
        <f t="shared" si="13"/>
        <v>292.5</v>
      </c>
      <c r="AM58" s="195">
        <f t="shared" si="14"/>
        <v>3.4323026727845249</v>
      </c>
      <c r="AO58" s="189">
        <v>56</v>
      </c>
      <c r="AP58" s="196">
        <f>Результаты!Z59</f>
        <v>6.9448094367981001</v>
      </c>
      <c r="AQ58" s="189">
        <f t="shared" si="15"/>
        <v>292.5</v>
      </c>
      <c r="AR58" s="195">
        <f t="shared" si="16"/>
        <v>42.11778633552499</v>
      </c>
      <c r="AT58" s="189">
        <v>56</v>
      </c>
      <c r="AU58" s="195">
        <f>Результаты!AA59/1.028469</f>
        <v>181.23754973468911</v>
      </c>
      <c r="AV58" s="195">
        <f t="shared" si="17"/>
        <v>295.45454545454544</v>
      </c>
      <c r="AW58" s="195">
        <f t="shared" si="18"/>
        <v>1.6302060245631043</v>
      </c>
      <c r="AY58" s="198"/>
      <c r="AZ58" s="199"/>
      <c r="BA58" s="198"/>
      <c r="BB58" s="198"/>
    </row>
    <row r="59" spans="1:54" ht="15.75" x14ac:dyDescent="0.25">
      <c r="A59">
        <v>41</v>
      </c>
      <c r="B59">
        <v>325</v>
      </c>
      <c r="C59">
        <v>292.5</v>
      </c>
      <c r="D59" s="194">
        <f t="shared" si="0"/>
        <v>295.45454545454544</v>
      </c>
      <c r="F59" s="189">
        <v>57</v>
      </c>
      <c r="G59" s="196">
        <f>Результаты!U60</f>
        <v>104.831085205078</v>
      </c>
      <c r="H59" s="189">
        <f t="shared" si="1"/>
        <v>292.5</v>
      </c>
      <c r="I59" s="195">
        <f t="shared" si="2"/>
        <v>2.790202919561414</v>
      </c>
      <c r="J59" s="188"/>
      <c r="K59" s="189">
        <v>57</v>
      </c>
      <c r="L59" s="196">
        <f>Результаты!V60</f>
        <v>87.212158203125</v>
      </c>
      <c r="M59" s="189">
        <f t="shared" si="3"/>
        <v>292.5</v>
      </c>
      <c r="N59" s="195">
        <f t="shared" si="4"/>
        <v>3.3538901688310596</v>
      </c>
      <c r="P59" s="189">
        <v>57</v>
      </c>
      <c r="Q59" s="196">
        <f>Результаты!S60</f>
        <v>132.29936218261699</v>
      </c>
      <c r="R59" s="189">
        <f t="shared" si="5"/>
        <v>325</v>
      </c>
      <c r="S59" s="195">
        <f t="shared" si="6"/>
        <v>2.4565500138344754</v>
      </c>
      <c r="U59" s="189">
        <v>57</v>
      </c>
      <c r="V59" s="196">
        <f>Результаты!T60</f>
        <v>65.921569824218807</v>
      </c>
      <c r="W59" s="189">
        <f t="shared" si="7"/>
        <v>292.5</v>
      </c>
      <c r="X59" s="195">
        <f t="shared" si="8"/>
        <v>4.4370909366988247</v>
      </c>
      <c r="Z59" s="189">
        <v>57</v>
      </c>
      <c r="AA59" s="196">
        <f>Результаты!W60</f>
        <v>117.7099609375</v>
      </c>
      <c r="AB59" s="189">
        <f t="shared" si="9"/>
        <v>292.5</v>
      </c>
      <c r="AC59" s="195">
        <f t="shared" si="10"/>
        <v>2.4849213921267683</v>
      </c>
      <c r="AE59" s="189">
        <v>57</v>
      </c>
      <c r="AF59" s="196">
        <f>Результаты!X60</f>
        <v>94.393424987792997</v>
      </c>
      <c r="AG59" s="189">
        <f t="shared" si="11"/>
        <v>292.5</v>
      </c>
      <c r="AH59" s="195">
        <f t="shared" si="12"/>
        <v>3.0987327776042264</v>
      </c>
      <c r="AJ59" s="189">
        <v>57</v>
      </c>
      <c r="AK59" s="196">
        <f>Результаты!Y60</f>
        <v>94.535575866699205</v>
      </c>
      <c r="AL59" s="189">
        <f t="shared" si="13"/>
        <v>292.5</v>
      </c>
      <c r="AM59" s="195">
        <f t="shared" si="14"/>
        <v>3.0940732874197798</v>
      </c>
      <c r="AO59" s="189">
        <v>57</v>
      </c>
      <c r="AP59" s="196">
        <f>Результаты!Z60</f>
        <v>12.8024244308472</v>
      </c>
      <c r="AQ59" s="189">
        <f t="shared" si="15"/>
        <v>292.5</v>
      </c>
      <c r="AR59" s="195">
        <f t="shared" si="16"/>
        <v>22.847235035828586</v>
      </c>
      <c r="AT59" s="189">
        <v>57</v>
      </c>
      <c r="AU59" s="195">
        <f>Результаты!AA60/1.028469</f>
        <v>178.2933232637921</v>
      </c>
      <c r="AV59" s="195">
        <f t="shared" si="17"/>
        <v>295.45454545454544</v>
      </c>
      <c r="AW59" s="195">
        <f t="shared" si="18"/>
        <v>1.657126245930189</v>
      </c>
      <c r="AY59" s="198"/>
      <c r="AZ59" s="199"/>
      <c r="BA59" s="198"/>
      <c r="BB59" s="198"/>
    </row>
    <row r="60" spans="1:54" ht="15.75" x14ac:dyDescent="0.25">
      <c r="A60">
        <v>42</v>
      </c>
      <c r="B60">
        <v>325</v>
      </c>
      <c r="C60">
        <v>292.5</v>
      </c>
      <c r="D60" s="194">
        <f t="shared" si="0"/>
        <v>295.45454545454544</v>
      </c>
      <c r="F60" s="189">
        <v>58</v>
      </c>
      <c r="G60" s="196">
        <f>Результаты!U61</f>
        <v>72.425567626953097</v>
      </c>
      <c r="H60" s="189">
        <f t="shared" si="1"/>
        <v>292.5</v>
      </c>
      <c r="I60" s="195">
        <f t="shared" si="2"/>
        <v>4.0386290309328059</v>
      </c>
      <c r="J60" s="188"/>
      <c r="K60" s="189">
        <v>58</v>
      </c>
      <c r="L60" s="196">
        <f>Результаты!V61</f>
        <v>99.081558227539105</v>
      </c>
      <c r="M60" s="189">
        <f t="shared" si="3"/>
        <v>292.5</v>
      </c>
      <c r="N60" s="195">
        <f t="shared" si="4"/>
        <v>2.9521134430312324</v>
      </c>
      <c r="P60" s="189">
        <v>58</v>
      </c>
      <c r="Q60" s="196">
        <f>Результаты!S61</f>
        <v>143.24725341796901</v>
      </c>
      <c r="R60" s="189">
        <f t="shared" si="5"/>
        <v>325</v>
      </c>
      <c r="S60" s="195">
        <f t="shared" si="6"/>
        <v>2.2688044080797143</v>
      </c>
      <c r="U60" s="189">
        <v>58</v>
      </c>
      <c r="V60" s="196">
        <f>Результаты!T61</f>
        <v>54.666690826416001</v>
      </c>
      <c r="W60" s="189">
        <f t="shared" si="7"/>
        <v>292.5</v>
      </c>
      <c r="X60" s="195">
        <f t="shared" si="8"/>
        <v>5.3506073914146333</v>
      </c>
      <c r="Z60" s="189">
        <v>58</v>
      </c>
      <c r="AA60" s="196">
        <f>Результаты!W61</f>
        <v>115.999069213867</v>
      </c>
      <c r="AB60" s="189">
        <f t="shared" si="9"/>
        <v>292.5</v>
      </c>
      <c r="AC60" s="195">
        <f t="shared" si="10"/>
        <v>2.5215719572776827</v>
      </c>
      <c r="AE60" s="189">
        <v>58</v>
      </c>
      <c r="AF60" s="196">
        <f>Результаты!X61</f>
        <v>85.509757995605497</v>
      </c>
      <c r="AG60" s="189">
        <f t="shared" si="11"/>
        <v>292.5</v>
      </c>
      <c r="AH60" s="195">
        <f t="shared" si="12"/>
        <v>3.4206622361746377</v>
      </c>
      <c r="AJ60" s="189">
        <v>58</v>
      </c>
      <c r="AK60" s="196">
        <f>Результаты!Y61</f>
        <v>85.285797119140597</v>
      </c>
      <c r="AL60" s="189">
        <f t="shared" si="13"/>
        <v>292.5</v>
      </c>
      <c r="AM60" s="195">
        <f t="shared" si="14"/>
        <v>3.4296449101764277</v>
      </c>
      <c r="AO60" s="189">
        <v>58</v>
      </c>
      <c r="AP60" s="196">
        <f>Результаты!Z61</f>
        <v>12.2292995452881</v>
      </c>
      <c r="AQ60" s="189">
        <f t="shared" si="15"/>
        <v>292.5</v>
      </c>
      <c r="AR60" s="195">
        <f t="shared" si="16"/>
        <v>23.917968393594471</v>
      </c>
      <c r="AT60" s="189">
        <v>58</v>
      </c>
      <c r="AU60" s="195">
        <f>Результаты!AA61/1.028469</f>
        <v>182.45956558535843</v>
      </c>
      <c r="AV60" s="195">
        <f t="shared" si="17"/>
        <v>295.45454545454544</v>
      </c>
      <c r="AW60" s="195">
        <f t="shared" si="18"/>
        <v>1.6192877830585735</v>
      </c>
      <c r="AY60" s="198"/>
      <c r="AZ60" s="199"/>
      <c r="BA60" s="198"/>
      <c r="BB60" s="198"/>
    </row>
    <row r="61" spans="1:54" ht="15.75" x14ac:dyDescent="0.25">
      <c r="A61">
        <v>43</v>
      </c>
      <c r="B61">
        <v>325</v>
      </c>
      <c r="C61">
        <v>292.5</v>
      </c>
      <c r="D61" s="194">
        <f t="shared" si="0"/>
        <v>295.45454545454544</v>
      </c>
      <c r="F61" s="189">
        <v>59</v>
      </c>
      <c r="G61" s="196">
        <f>Результаты!U62</f>
        <v>213.648025512695</v>
      </c>
      <c r="H61" s="189">
        <f t="shared" si="1"/>
        <v>310.5</v>
      </c>
      <c r="I61" s="195">
        <f t="shared" si="2"/>
        <v>1.4533249219359157</v>
      </c>
      <c r="J61" s="188"/>
      <c r="K61" s="189">
        <v>59</v>
      </c>
      <c r="L61" s="196">
        <f>Результаты!V62</f>
        <v>43.307064056396499</v>
      </c>
      <c r="M61" s="189">
        <f t="shared" si="3"/>
        <v>310.5</v>
      </c>
      <c r="N61" s="195">
        <f t="shared" si="4"/>
        <v>7.1697310072936897</v>
      </c>
      <c r="P61" s="189">
        <v>59</v>
      </c>
      <c r="Q61" s="196">
        <f>Результаты!S62</f>
        <v>26.334445953369102</v>
      </c>
      <c r="R61" s="189">
        <f t="shared" si="5"/>
        <v>345</v>
      </c>
      <c r="S61" s="195">
        <f t="shared" si="6"/>
        <v>13.100712299430867</v>
      </c>
      <c r="U61" s="189">
        <v>59</v>
      </c>
      <c r="V61" s="196">
        <f>Результаты!T62</f>
        <v>246.71160888671901</v>
      </c>
      <c r="W61" s="189">
        <f t="shared" si="7"/>
        <v>310.5</v>
      </c>
      <c r="X61" s="195">
        <f t="shared" si="8"/>
        <v>1.2585544774367319</v>
      </c>
      <c r="Z61" s="189">
        <v>59</v>
      </c>
      <c r="AA61" s="196">
        <f>Результаты!W62</f>
        <v>7.2816834449768102</v>
      </c>
      <c r="AB61" s="189">
        <f t="shared" si="9"/>
        <v>310.5</v>
      </c>
      <c r="AC61" s="195">
        <f t="shared" si="10"/>
        <v>42.641238436998385</v>
      </c>
      <c r="AE61" s="189">
        <v>59</v>
      </c>
      <c r="AF61" s="196">
        <f>Результаты!X62</f>
        <v>7.2285599708557102</v>
      </c>
      <c r="AG61" s="189">
        <f t="shared" si="11"/>
        <v>310.5</v>
      </c>
      <c r="AH61" s="195">
        <f t="shared" si="12"/>
        <v>42.954613540163145</v>
      </c>
      <c r="AJ61" s="189">
        <v>59</v>
      </c>
      <c r="AK61" s="196">
        <f>Результаты!Y62</f>
        <v>4.13641262054443</v>
      </c>
      <c r="AL61" s="189">
        <f t="shared" si="13"/>
        <v>310.5</v>
      </c>
      <c r="AM61" s="195">
        <f t="shared" si="14"/>
        <v>75.065045120941619</v>
      </c>
      <c r="AO61" s="189">
        <v>59</v>
      </c>
      <c r="AP61" s="196">
        <f>Результаты!Z62</f>
        <v>4.4847311973571804</v>
      </c>
      <c r="AQ61" s="189">
        <f t="shared" si="15"/>
        <v>310.5</v>
      </c>
      <c r="AR61" s="195">
        <f t="shared" si="16"/>
        <v>69.234918735592316</v>
      </c>
      <c r="AT61" s="189">
        <v>59</v>
      </c>
      <c r="AU61" s="195">
        <f>Результаты!AA62/1.028469</f>
        <v>1.7509503715903152</v>
      </c>
      <c r="AV61" s="195">
        <f t="shared" si="17"/>
        <v>313.63636363636363</v>
      </c>
      <c r="AW61" s="195">
        <f t="shared" si="18"/>
        <v>179.12350271327267</v>
      </c>
      <c r="AY61" s="198"/>
      <c r="AZ61" s="199"/>
      <c r="BA61" s="198"/>
      <c r="BB61" s="198"/>
    </row>
    <row r="62" spans="1:54" ht="15.75" x14ac:dyDescent="0.25">
      <c r="A62">
        <v>44</v>
      </c>
      <c r="B62">
        <v>325</v>
      </c>
      <c r="C62">
        <v>292.5</v>
      </c>
      <c r="D62" s="194">
        <f t="shared" si="0"/>
        <v>295.45454545454544</v>
      </c>
      <c r="F62" s="189">
        <v>60</v>
      </c>
      <c r="G62" s="196">
        <f>Результаты!U63</f>
        <v>180.48114013671901</v>
      </c>
      <c r="H62" s="189">
        <f t="shared" si="1"/>
        <v>310.5</v>
      </c>
      <c r="I62" s="195">
        <f t="shared" si="2"/>
        <v>1.7204013658423725</v>
      </c>
      <c r="J62" s="188"/>
      <c r="K62" s="189">
        <v>60</v>
      </c>
      <c r="L62" s="196">
        <f>Результаты!V63</f>
        <v>31.921260833740199</v>
      </c>
      <c r="M62" s="189">
        <f t="shared" si="3"/>
        <v>310.5</v>
      </c>
      <c r="N62" s="195">
        <f t="shared" si="4"/>
        <v>9.7270593920841328</v>
      </c>
      <c r="P62" s="189">
        <v>60</v>
      </c>
      <c r="Q62" s="196">
        <f>Результаты!S63</f>
        <v>26.795534133911101</v>
      </c>
      <c r="R62" s="189">
        <f t="shared" si="5"/>
        <v>345</v>
      </c>
      <c r="S62" s="195">
        <f t="shared" si="6"/>
        <v>12.875279823714544</v>
      </c>
      <c r="U62" s="189">
        <v>60</v>
      </c>
      <c r="V62" s="196">
        <f>Результаты!T63</f>
        <v>245.54086303710901</v>
      </c>
      <c r="W62" s="189">
        <f t="shared" si="7"/>
        <v>310.5</v>
      </c>
      <c r="X62" s="195">
        <f t="shared" si="8"/>
        <v>1.2645553011397277</v>
      </c>
      <c r="Z62" s="189">
        <v>60</v>
      </c>
      <c r="AA62" s="196">
        <f>Результаты!W63</f>
        <v>7.1071152687072798</v>
      </c>
      <c r="AB62" s="189">
        <f t="shared" si="9"/>
        <v>310.5</v>
      </c>
      <c r="AC62" s="195">
        <f t="shared" si="10"/>
        <v>43.688611801068639</v>
      </c>
      <c r="AE62" s="189">
        <v>60</v>
      </c>
      <c r="AF62" s="196">
        <f>Результаты!X63</f>
        <v>7.0468025207519496</v>
      </c>
      <c r="AG62" s="189">
        <f t="shared" si="11"/>
        <v>310.5</v>
      </c>
      <c r="AH62" s="195">
        <f t="shared" si="12"/>
        <v>44.062537453776578</v>
      </c>
      <c r="AJ62" s="189">
        <v>60</v>
      </c>
      <c r="AK62" s="196">
        <f>Результаты!Y63</f>
        <v>3.0890233516693102</v>
      </c>
      <c r="AL62" s="189">
        <f t="shared" si="13"/>
        <v>310.5</v>
      </c>
      <c r="AM62" s="195">
        <f t="shared" si="14"/>
        <v>100.517207107614</v>
      </c>
      <c r="AO62" s="189">
        <v>60</v>
      </c>
      <c r="AP62" s="196">
        <f>Результаты!Z63</f>
        <v>6.4076194763183603</v>
      </c>
      <c r="AQ62" s="189">
        <f t="shared" si="15"/>
        <v>310.5</v>
      </c>
      <c r="AR62" s="195">
        <f t="shared" si="16"/>
        <v>48.457933737726364</v>
      </c>
      <c r="AT62" s="189">
        <v>60</v>
      </c>
      <c r="AU62" s="195">
        <f>Результаты!AA63/1.028469</f>
        <v>1.6872428215967035</v>
      </c>
      <c r="AV62" s="195">
        <f t="shared" si="17"/>
        <v>313.63636363636363</v>
      </c>
      <c r="AW62" s="195">
        <f t="shared" si="18"/>
        <v>185.88691539938355</v>
      </c>
      <c r="AY62" s="198"/>
      <c r="AZ62" s="199"/>
      <c r="BA62" s="198"/>
      <c r="BB62" s="198"/>
    </row>
    <row r="63" spans="1:54" ht="15.75" x14ac:dyDescent="0.25">
      <c r="A63">
        <v>45</v>
      </c>
      <c r="B63">
        <v>325</v>
      </c>
      <c r="C63">
        <v>292.5</v>
      </c>
      <c r="D63" s="194">
        <f t="shared" si="0"/>
        <v>295.45454545454544</v>
      </c>
      <c r="F63" s="189">
        <v>61</v>
      </c>
      <c r="G63" s="196">
        <f>Результаты!U64</f>
        <v>218.29527282714801</v>
      </c>
      <c r="H63" s="189">
        <f t="shared" si="1"/>
        <v>310.5</v>
      </c>
      <c r="I63" s="195">
        <f t="shared" si="2"/>
        <v>1.4223853589622262</v>
      </c>
      <c r="J63" s="188"/>
      <c r="K63" s="189">
        <v>61</v>
      </c>
      <c r="L63" s="196">
        <f>Результаты!V64</f>
        <v>182.06155395507801</v>
      </c>
      <c r="M63" s="189">
        <f t="shared" si="3"/>
        <v>310.5</v>
      </c>
      <c r="N63" s="195">
        <f t="shared" si="4"/>
        <v>1.7054671524808196</v>
      </c>
      <c r="P63" s="189">
        <v>61</v>
      </c>
      <c r="Q63" s="196">
        <f>Результаты!S64</f>
        <v>176.025634765625</v>
      </c>
      <c r="R63" s="189">
        <f t="shared" si="5"/>
        <v>345</v>
      </c>
      <c r="S63" s="195">
        <f t="shared" si="6"/>
        <v>1.9599418031320346</v>
      </c>
      <c r="U63" s="189">
        <v>61</v>
      </c>
      <c r="V63" s="196">
        <f>Результаты!T64</f>
        <v>258.18167114257801</v>
      </c>
      <c r="W63" s="189">
        <f t="shared" si="7"/>
        <v>310.5</v>
      </c>
      <c r="X63" s="195">
        <f t="shared" si="8"/>
        <v>1.2026415299966424</v>
      </c>
      <c r="Z63" s="189">
        <v>61</v>
      </c>
      <c r="AA63" s="196">
        <f>Результаты!W64</f>
        <v>11.0484275817871</v>
      </c>
      <c r="AB63" s="189">
        <f t="shared" si="9"/>
        <v>310.5</v>
      </c>
      <c r="AC63" s="195">
        <f t="shared" si="10"/>
        <v>28.103546654172497</v>
      </c>
      <c r="AE63" s="189">
        <v>61</v>
      </c>
      <c r="AF63" s="196">
        <f>Результаты!X64</f>
        <v>11.5191383361816</v>
      </c>
      <c r="AG63" s="189">
        <f t="shared" si="11"/>
        <v>310.5</v>
      </c>
      <c r="AH63" s="195">
        <f t="shared" si="12"/>
        <v>26.95514116925915</v>
      </c>
      <c r="AJ63" s="189">
        <v>61</v>
      </c>
      <c r="AK63" s="196">
        <f>Результаты!Y64</f>
        <v>10.091158866882299</v>
      </c>
      <c r="AL63" s="189">
        <f t="shared" si="13"/>
        <v>310.5</v>
      </c>
      <c r="AM63" s="195">
        <f t="shared" si="14"/>
        <v>30.769508645732987</v>
      </c>
      <c r="AO63" s="189">
        <v>61</v>
      </c>
      <c r="AP63" s="196">
        <f>Результаты!Z64</f>
        <v>12.947877883911101</v>
      </c>
      <c r="AQ63" s="189">
        <f t="shared" si="15"/>
        <v>310.5</v>
      </c>
      <c r="AR63" s="195">
        <f t="shared" si="16"/>
        <v>23.980763703820848</v>
      </c>
      <c r="AT63" s="189">
        <v>61</v>
      </c>
      <c r="AU63" s="195">
        <f>Результаты!AA64/1.028469</f>
        <v>1.0253122759520901</v>
      </c>
      <c r="AV63" s="195">
        <f t="shared" si="17"/>
        <v>313.63636363636363</v>
      </c>
      <c r="AW63" s="195">
        <f t="shared" si="18"/>
        <v>305.89350287952561</v>
      </c>
      <c r="AY63" s="198"/>
      <c r="AZ63" s="199"/>
      <c r="BA63" s="198"/>
      <c r="BB63" s="198"/>
    </row>
    <row r="64" spans="1:54" ht="15.75" x14ac:dyDescent="0.25">
      <c r="A64">
        <v>46</v>
      </c>
      <c r="B64">
        <v>325</v>
      </c>
      <c r="C64">
        <v>292.5</v>
      </c>
      <c r="D64" s="194">
        <f t="shared" si="0"/>
        <v>295.45454545454544</v>
      </c>
      <c r="F64" s="189">
        <v>62</v>
      </c>
      <c r="G64" s="196">
        <f>Результаты!U65</f>
        <v>204.91273498535199</v>
      </c>
      <c r="H64" s="189">
        <f t="shared" si="1"/>
        <v>310.5</v>
      </c>
      <c r="I64" s="195">
        <f t="shared" si="2"/>
        <v>1.5152791749238808</v>
      </c>
      <c r="J64" s="188"/>
      <c r="K64" s="189">
        <v>62</v>
      </c>
      <c r="L64" s="196">
        <f>Результаты!V65</f>
        <v>173.06834411621099</v>
      </c>
      <c r="M64" s="189">
        <f t="shared" si="3"/>
        <v>310.5</v>
      </c>
      <c r="N64" s="195">
        <f t="shared" si="4"/>
        <v>1.7940889281953674</v>
      </c>
      <c r="P64" s="189">
        <v>62</v>
      </c>
      <c r="Q64" s="196">
        <f>Результаты!S65</f>
        <v>167.31028747558599</v>
      </c>
      <c r="R64" s="189">
        <f t="shared" si="5"/>
        <v>345</v>
      </c>
      <c r="S64" s="195">
        <f t="shared" si="6"/>
        <v>2.0620369805433665</v>
      </c>
      <c r="U64" s="189">
        <v>62</v>
      </c>
      <c r="V64" s="196">
        <f>Результаты!T65</f>
        <v>244.58987426757801</v>
      </c>
      <c r="W64" s="189">
        <f t="shared" si="7"/>
        <v>310.5</v>
      </c>
      <c r="X64" s="195">
        <f t="shared" si="8"/>
        <v>1.2694720128124242</v>
      </c>
      <c r="Z64" s="189">
        <v>62</v>
      </c>
      <c r="AA64" s="196">
        <f>Результаты!W65</f>
        <v>9.4117717742919904</v>
      </c>
      <c r="AB64" s="189">
        <f t="shared" si="9"/>
        <v>310.5</v>
      </c>
      <c r="AC64" s="195">
        <f t="shared" si="10"/>
        <v>32.990600223448112</v>
      </c>
      <c r="AE64" s="189">
        <v>62</v>
      </c>
      <c r="AF64" s="196">
        <f>Результаты!X65</f>
        <v>10.148399353027299</v>
      </c>
      <c r="AG64" s="189">
        <f t="shared" si="11"/>
        <v>310.5</v>
      </c>
      <c r="AH64" s="195">
        <f t="shared" si="12"/>
        <v>30.59595796329959</v>
      </c>
      <c r="AJ64" s="189">
        <v>62</v>
      </c>
      <c r="AK64" s="196">
        <f>Результаты!Y65</f>
        <v>3.6200819015502899</v>
      </c>
      <c r="AL64" s="189">
        <f t="shared" si="13"/>
        <v>310.5</v>
      </c>
      <c r="AM64" s="195">
        <f t="shared" si="14"/>
        <v>85.771540104390795</v>
      </c>
      <c r="AO64" s="189">
        <v>62</v>
      </c>
      <c r="AP64" s="196">
        <f>Результаты!Z65</f>
        <v>14.754886627197299</v>
      </c>
      <c r="AQ64" s="189">
        <f t="shared" si="15"/>
        <v>310.5</v>
      </c>
      <c r="AR64" s="195">
        <f t="shared" si="16"/>
        <v>21.043875689811362</v>
      </c>
      <c r="AT64" s="189">
        <v>62</v>
      </c>
      <c r="AU64" s="195">
        <f>Результаты!AA65/1.028469</f>
        <v>0.87527112718546096</v>
      </c>
      <c r="AV64" s="195">
        <f t="shared" si="17"/>
        <v>313.63636363636363</v>
      </c>
      <c r="AW64" s="195">
        <f t="shared" si="18"/>
        <v>358.33052627349753</v>
      </c>
      <c r="AY64" s="198"/>
      <c r="AZ64" s="199"/>
      <c r="BA64" s="198"/>
      <c r="BB64" s="198"/>
    </row>
    <row r="65" spans="1:54" ht="15.75" x14ac:dyDescent="0.25">
      <c r="A65">
        <v>47</v>
      </c>
      <c r="B65">
        <v>325</v>
      </c>
      <c r="C65">
        <v>292.5</v>
      </c>
      <c r="D65" s="194">
        <f t="shared" si="0"/>
        <v>295.45454545454544</v>
      </c>
      <c r="F65" s="189">
        <v>63</v>
      </c>
      <c r="G65" s="196">
        <f>Результаты!U66</f>
        <v>206.25190734863301</v>
      </c>
      <c r="H65" s="189">
        <f t="shared" si="1"/>
        <v>310.5</v>
      </c>
      <c r="I65" s="195">
        <f t="shared" si="2"/>
        <v>1.5054406235145923</v>
      </c>
      <c r="J65" s="188"/>
      <c r="K65" s="189">
        <v>63</v>
      </c>
      <c r="L65" s="196">
        <f>Результаты!V66</f>
        <v>189.94573974609401</v>
      </c>
      <c r="M65" s="189">
        <f t="shared" si="3"/>
        <v>310.5</v>
      </c>
      <c r="N65" s="195">
        <f t="shared" si="4"/>
        <v>1.6346773579394536</v>
      </c>
      <c r="P65" s="189">
        <v>63</v>
      </c>
      <c r="Q65" s="196">
        <f>Результаты!S66</f>
        <v>31.869968414306602</v>
      </c>
      <c r="R65" s="189">
        <f t="shared" si="5"/>
        <v>345</v>
      </c>
      <c r="S65" s="195">
        <f t="shared" si="6"/>
        <v>10.825238215332766</v>
      </c>
      <c r="U65" s="189">
        <v>63</v>
      </c>
      <c r="V65" s="196">
        <f>Результаты!T66</f>
        <v>27.354953765869102</v>
      </c>
      <c r="W65" s="189">
        <f t="shared" si="7"/>
        <v>310.5</v>
      </c>
      <c r="X65" s="195">
        <f t="shared" si="8"/>
        <v>11.350777729604948</v>
      </c>
      <c r="Z65" s="189">
        <v>63</v>
      </c>
      <c r="AA65" s="196">
        <f>Результаты!W66</f>
        <v>9.8334999084472692</v>
      </c>
      <c r="AB65" s="189">
        <f t="shared" si="9"/>
        <v>310.5</v>
      </c>
      <c r="AC65" s="195">
        <f t="shared" si="10"/>
        <v>31.575736298453744</v>
      </c>
      <c r="AE65" s="189">
        <v>63</v>
      </c>
      <c r="AF65" s="196">
        <f>Результаты!X66</f>
        <v>16.5014553070068</v>
      </c>
      <c r="AG65" s="189">
        <f t="shared" si="11"/>
        <v>310.5</v>
      </c>
      <c r="AH65" s="195">
        <f t="shared" si="12"/>
        <v>18.816522192933878</v>
      </c>
      <c r="AJ65" s="189">
        <v>63</v>
      </c>
      <c r="AK65" s="196">
        <f>Результаты!Y66</f>
        <v>18.318035125732401</v>
      </c>
      <c r="AL65" s="189">
        <f t="shared" si="13"/>
        <v>310.5</v>
      </c>
      <c r="AM65" s="195">
        <f t="shared" si="14"/>
        <v>16.95050794852024</v>
      </c>
      <c r="AO65" s="189">
        <v>63</v>
      </c>
      <c r="AP65" s="196">
        <f>Результаты!Z66</f>
        <v>10.3384895324707</v>
      </c>
      <c r="AQ65" s="189">
        <f t="shared" si="15"/>
        <v>310.5</v>
      </c>
      <c r="AR65" s="195">
        <f t="shared" si="16"/>
        <v>30.033400819800075</v>
      </c>
      <c r="AT65" s="189">
        <v>63</v>
      </c>
      <c r="AU65" s="195">
        <f>Результаты!AA66/1.028469</f>
        <v>1.1226845703931474</v>
      </c>
      <c r="AV65" s="195">
        <f t="shared" si="17"/>
        <v>313.63636363636363</v>
      </c>
      <c r="AW65" s="195">
        <f t="shared" si="18"/>
        <v>279.36285213800778</v>
      </c>
      <c r="AY65" s="198"/>
      <c r="AZ65" s="199"/>
      <c r="BA65" s="198"/>
      <c r="BB65" s="198"/>
    </row>
    <row r="66" spans="1:54" ht="15.75" x14ac:dyDescent="0.25">
      <c r="A66">
        <v>48</v>
      </c>
      <c r="B66">
        <v>325</v>
      </c>
      <c r="C66">
        <v>292.5</v>
      </c>
      <c r="D66" s="194">
        <f t="shared" si="0"/>
        <v>295.45454545454544</v>
      </c>
      <c r="F66" s="189">
        <v>64</v>
      </c>
      <c r="G66" s="196">
        <f>Результаты!U67</f>
        <v>201.97021484375</v>
      </c>
      <c r="H66" s="189">
        <f t="shared" si="1"/>
        <v>310.5</v>
      </c>
      <c r="I66" s="195">
        <f t="shared" si="2"/>
        <v>1.5373553978749381</v>
      </c>
      <c r="J66" s="188"/>
      <c r="K66" s="189">
        <v>64</v>
      </c>
      <c r="L66" s="196">
        <f>Результаты!V67</f>
        <v>183.84727478027301</v>
      </c>
      <c r="M66" s="189">
        <f t="shared" si="3"/>
        <v>310.5</v>
      </c>
      <c r="N66" s="195">
        <f t="shared" si="4"/>
        <v>1.688901836435146</v>
      </c>
      <c r="P66" s="189">
        <v>64</v>
      </c>
      <c r="Q66" s="196">
        <f>Результаты!S67</f>
        <v>31.530885696411101</v>
      </c>
      <c r="R66" s="189">
        <f t="shared" si="5"/>
        <v>345</v>
      </c>
      <c r="S66" s="195">
        <f t="shared" si="6"/>
        <v>10.941652680542003</v>
      </c>
      <c r="U66" s="189">
        <v>64</v>
      </c>
      <c r="V66" s="196">
        <f>Результаты!T67</f>
        <v>25.052646636962901</v>
      </c>
      <c r="W66" s="189">
        <f t="shared" si="7"/>
        <v>310.5</v>
      </c>
      <c r="X66" s="195">
        <f t="shared" si="8"/>
        <v>12.393900113606581</v>
      </c>
      <c r="Z66" s="189">
        <v>64</v>
      </c>
      <c r="AA66" s="196">
        <f>Результаты!W67</f>
        <v>8.4126939773559606</v>
      </c>
      <c r="AB66" s="189">
        <f t="shared" si="9"/>
        <v>310.5</v>
      </c>
      <c r="AC66" s="195">
        <f t="shared" si="10"/>
        <v>36.908510024940611</v>
      </c>
      <c r="AE66" s="189">
        <v>64</v>
      </c>
      <c r="AF66" s="196">
        <f>Результаты!X67</f>
        <v>16.980369567871101</v>
      </c>
      <c r="AG66" s="189">
        <f t="shared" si="11"/>
        <v>310.5</v>
      </c>
      <c r="AH66" s="195">
        <f t="shared" si="12"/>
        <v>18.285821092345557</v>
      </c>
      <c r="AJ66" s="189">
        <v>64</v>
      </c>
      <c r="AK66" s="196">
        <f>Результаты!Y67</f>
        <v>18.5141696929932</v>
      </c>
      <c r="AL66" s="189">
        <f t="shared" si="13"/>
        <v>310.5</v>
      </c>
      <c r="AM66" s="195">
        <f t="shared" si="14"/>
        <v>16.77093842979686</v>
      </c>
      <c r="AO66" s="189">
        <v>64</v>
      </c>
      <c r="AP66" s="196">
        <f>Результаты!Z67</f>
        <v>19.296365737915</v>
      </c>
      <c r="AQ66" s="189">
        <f t="shared" si="15"/>
        <v>310.5</v>
      </c>
      <c r="AR66" s="195">
        <f t="shared" si="16"/>
        <v>16.091112918216794</v>
      </c>
      <c r="AT66" s="189">
        <v>64</v>
      </c>
      <c r="AU66" s="195">
        <f>Результаты!AA67/1.028469</f>
        <v>0.99859224698311755</v>
      </c>
      <c r="AV66" s="195">
        <f t="shared" si="17"/>
        <v>313.63636363636363</v>
      </c>
      <c r="AW66" s="195">
        <f t="shared" si="18"/>
        <v>314.07850860438941</v>
      </c>
      <c r="AY66" s="198"/>
      <c r="AZ66" s="199"/>
      <c r="BA66" s="198"/>
      <c r="BB66" s="198"/>
    </row>
    <row r="67" spans="1:54" ht="15.75" x14ac:dyDescent="0.25">
      <c r="A67">
        <v>49</v>
      </c>
      <c r="B67">
        <v>325</v>
      </c>
      <c r="C67">
        <v>292.5</v>
      </c>
      <c r="D67" s="194">
        <f t="shared" ref="D67:D130" si="19">B67/1.1</f>
        <v>295.45454545454544</v>
      </c>
      <c r="F67" s="189">
        <v>65</v>
      </c>
      <c r="G67" s="196">
        <f>Результаты!U68</f>
        <v>209.19215393066401</v>
      </c>
      <c r="H67" s="189">
        <f t="shared" si="1"/>
        <v>310.5</v>
      </c>
      <c r="I67" s="195">
        <f t="shared" si="2"/>
        <v>1.4842812895502482</v>
      </c>
      <c r="J67" s="188"/>
      <c r="K67" s="189">
        <v>65</v>
      </c>
      <c r="L67" s="196">
        <f>Результаты!V68</f>
        <v>39.201488494872997</v>
      </c>
      <c r="M67" s="189">
        <f t="shared" si="3"/>
        <v>310.5</v>
      </c>
      <c r="N67" s="195">
        <f t="shared" si="4"/>
        <v>7.9206176071760392</v>
      </c>
      <c r="P67" s="189">
        <v>65</v>
      </c>
      <c r="Q67" s="196">
        <f>Результаты!S68</f>
        <v>5.9671535491943404</v>
      </c>
      <c r="R67" s="189">
        <f t="shared" si="5"/>
        <v>345</v>
      </c>
      <c r="S67" s="195">
        <f t="shared" si="6"/>
        <v>57.816511198472583</v>
      </c>
      <c r="U67" s="189">
        <v>65</v>
      </c>
      <c r="V67" s="196">
        <f>Результаты!T68</f>
        <v>21.700153350830099</v>
      </c>
      <c r="W67" s="189">
        <f t="shared" si="7"/>
        <v>310.5</v>
      </c>
      <c r="X67" s="195">
        <f t="shared" si="8"/>
        <v>14.308654643130547</v>
      </c>
      <c r="Z67" s="189">
        <v>65</v>
      </c>
      <c r="AA67" s="196">
        <f>Результаты!W68</f>
        <v>7.7900137901306197</v>
      </c>
      <c r="AB67" s="189">
        <f t="shared" si="9"/>
        <v>310.5</v>
      </c>
      <c r="AC67" s="195">
        <f t="shared" si="10"/>
        <v>39.858722765469416</v>
      </c>
      <c r="AE67" s="189">
        <v>65</v>
      </c>
      <c r="AF67" s="196">
        <f>Результаты!X68</f>
        <v>10.5237979888916</v>
      </c>
      <c r="AG67" s="189">
        <f t="shared" si="11"/>
        <v>310.5</v>
      </c>
      <c r="AH67" s="195">
        <f t="shared" si="12"/>
        <v>29.504557226179031</v>
      </c>
      <c r="AJ67" s="189">
        <v>65</v>
      </c>
      <c r="AK67" s="196">
        <f>Результаты!Y68</f>
        <v>10.4998111724854</v>
      </c>
      <c r="AL67" s="189">
        <f t="shared" si="13"/>
        <v>310.5</v>
      </c>
      <c r="AM67" s="195">
        <f t="shared" si="14"/>
        <v>29.571960380931486</v>
      </c>
      <c r="AO67" s="189">
        <v>65</v>
      </c>
      <c r="AP67" s="196">
        <f>Результаты!Z68</f>
        <v>7.21181297302246</v>
      </c>
      <c r="AQ67" s="189">
        <f t="shared" si="15"/>
        <v>310.5</v>
      </c>
      <c r="AR67" s="195">
        <f t="shared" si="16"/>
        <v>43.054361110236876</v>
      </c>
      <c r="AT67" s="189">
        <v>65</v>
      </c>
      <c r="AU67" s="195">
        <f>Результаты!AA68/1.028469</f>
        <v>1.8390434180576565</v>
      </c>
      <c r="AV67" s="195">
        <f t="shared" si="17"/>
        <v>313.63636363636363</v>
      </c>
      <c r="AW67" s="195">
        <f t="shared" si="18"/>
        <v>170.54320771154883</v>
      </c>
      <c r="AY67" s="198"/>
      <c r="AZ67" s="199"/>
      <c r="BA67" s="198"/>
      <c r="BB67" s="198"/>
    </row>
    <row r="68" spans="1:54" ht="15.75" x14ac:dyDescent="0.25">
      <c r="A68">
        <v>50</v>
      </c>
      <c r="B68">
        <v>325</v>
      </c>
      <c r="C68">
        <v>292.5</v>
      </c>
      <c r="D68" s="194">
        <f t="shared" si="19"/>
        <v>295.45454545454544</v>
      </c>
      <c r="F68" s="189">
        <v>66</v>
      </c>
      <c r="G68" s="196">
        <f>Результаты!U69</f>
        <v>168.733642578125</v>
      </c>
      <c r="H68" s="189">
        <f t="shared" ref="H68:H104" si="20">VLOOKUP(F68,$A$2:$C$200,3,0)</f>
        <v>310.5</v>
      </c>
      <c r="I68" s="195">
        <f t="shared" ref="I68:I104" si="21">H68/G68</f>
        <v>1.8401783737717632</v>
      </c>
      <c r="J68" s="188"/>
      <c r="K68" s="189">
        <v>66</v>
      </c>
      <c r="L68" s="196">
        <f>Результаты!V69</f>
        <v>82.369209289550795</v>
      </c>
      <c r="M68" s="189">
        <f t="shared" ref="M68:M104" si="22">VLOOKUP(K68,$A$2:$C$200,3,0)</f>
        <v>310.5</v>
      </c>
      <c r="N68" s="195">
        <f t="shared" ref="N68:N104" si="23">M68/L68</f>
        <v>3.7696124884300604</v>
      </c>
      <c r="P68" s="189">
        <v>66</v>
      </c>
      <c r="Q68" s="196">
        <f>Результаты!S69</f>
        <v>6.5491914749145499</v>
      </c>
      <c r="R68" s="189">
        <f t="shared" ref="R68:R104" si="24">VLOOKUP(P68,$A$2:$C$200,2,0)</f>
        <v>345</v>
      </c>
      <c r="S68" s="195">
        <f t="shared" ref="S68:S104" si="25">R68/Q68</f>
        <v>52.678258273782014</v>
      </c>
      <c r="U68" s="189">
        <v>66</v>
      </c>
      <c r="V68" s="196">
        <f>Результаты!T69</f>
        <v>20.435829162597699</v>
      </c>
      <c r="W68" s="189">
        <f t="shared" ref="W68:W104" si="26">VLOOKUP(U68,$A$2:$C$200,3,0)</f>
        <v>310.5</v>
      </c>
      <c r="X68" s="195">
        <f t="shared" ref="X68:X104" si="27">W68/V68</f>
        <v>15.193902705366462</v>
      </c>
      <c r="Z68" s="189">
        <v>66</v>
      </c>
      <c r="AA68" s="196">
        <f>Результаты!W69</f>
        <v>7.1905598640441903</v>
      </c>
      <c r="AB68" s="189">
        <f t="shared" ref="AB68:AB104" si="28">VLOOKUP(Z68,$A$2:$C$200,3,0)</f>
        <v>310.5</v>
      </c>
      <c r="AC68" s="195">
        <f t="shared" ref="AC68:AC104" si="29">AB68/AA68</f>
        <v>43.1816167128557</v>
      </c>
      <c r="AE68" s="189">
        <v>66</v>
      </c>
      <c r="AF68" s="196">
        <f>Результаты!X69</f>
        <v>9.7518005371093803</v>
      </c>
      <c r="AG68" s="189">
        <f t="shared" ref="AG68:AG104" si="30">VLOOKUP(AE68,$A$2:$C$200,3,0)</f>
        <v>310.5</v>
      </c>
      <c r="AH68" s="195">
        <f t="shared" ref="AH68:AH104" si="31">AG68/AF68</f>
        <v>31.84027388772229</v>
      </c>
      <c r="AJ68" s="189">
        <v>66</v>
      </c>
      <c r="AK68" s="196">
        <f>Результаты!Y69</f>
        <v>9.9067459106445295</v>
      </c>
      <c r="AL68" s="189">
        <f t="shared" ref="AL68:AL104" si="32">VLOOKUP(AJ68,$A$2:$C$200,3,0)</f>
        <v>310.5</v>
      </c>
      <c r="AM68" s="195">
        <f t="shared" ref="AM68:AM104" si="33">AL68/AK68</f>
        <v>31.342279573999793</v>
      </c>
      <c r="AO68" s="189">
        <v>66</v>
      </c>
      <c r="AP68" s="196">
        <f>Результаты!Z69</f>
        <v>4.4253005981445304</v>
      </c>
      <c r="AQ68" s="189">
        <f t="shared" ref="AQ68:AQ104" si="34">VLOOKUP(AO68,$A$2:$C$200,3,0)</f>
        <v>310.5</v>
      </c>
      <c r="AR68" s="195">
        <f t="shared" ref="AR68:AR104" si="35">AQ68/AP68</f>
        <v>70.16472511046787</v>
      </c>
      <c r="AT68" s="189">
        <v>66</v>
      </c>
      <c r="AU68" s="195">
        <f>Результаты!AA69/1.028469</f>
        <v>1.7243257361094209</v>
      </c>
      <c r="AV68" s="195">
        <f t="shared" ref="AV68:AV104" si="36">VLOOKUP(AT68,$A$2:$D$200,4,0)</f>
        <v>313.63636363636363</v>
      </c>
      <c r="AW68" s="195">
        <f t="shared" ref="AW68:AW104" si="37">AV68/AU68</f>
        <v>181.88927826596051</v>
      </c>
      <c r="AY68" s="198"/>
      <c r="AZ68" s="199"/>
      <c r="BA68" s="198"/>
      <c r="BB68" s="198"/>
    </row>
    <row r="69" spans="1:54" ht="15.75" x14ac:dyDescent="0.25">
      <c r="A69">
        <v>51</v>
      </c>
      <c r="B69">
        <v>325</v>
      </c>
      <c r="C69">
        <v>292.5</v>
      </c>
      <c r="D69" s="194">
        <f t="shared" si="19"/>
        <v>295.45454545454544</v>
      </c>
      <c r="F69" s="189">
        <v>67</v>
      </c>
      <c r="G69" s="196">
        <f>Результаты!U70</f>
        <v>64.622123718261705</v>
      </c>
      <c r="H69" s="189">
        <f t="shared" si="20"/>
        <v>310.5</v>
      </c>
      <c r="I69" s="195">
        <f t="shared" si="21"/>
        <v>4.8048560173248394</v>
      </c>
      <c r="J69" s="188"/>
      <c r="K69" s="189">
        <v>67</v>
      </c>
      <c r="L69" s="196">
        <f>Результаты!V70</f>
        <v>8.1460847854614293</v>
      </c>
      <c r="M69" s="189">
        <f t="shared" si="22"/>
        <v>310.5</v>
      </c>
      <c r="N69" s="195">
        <f t="shared" si="23"/>
        <v>38.116470448989062</v>
      </c>
      <c r="P69" s="189">
        <v>67</v>
      </c>
      <c r="Q69" s="196">
        <f>Результаты!S70</f>
        <v>7.6022362709045401</v>
      </c>
      <c r="R69" s="189">
        <f t="shared" si="24"/>
        <v>345</v>
      </c>
      <c r="S69" s="195">
        <f t="shared" si="25"/>
        <v>45.381383543733335</v>
      </c>
      <c r="U69" s="189">
        <v>67</v>
      </c>
      <c r="V69" s="196">
        <f>Результаты!T70</f>
        <v>77.268028259277301</v>
      </c>
      <c r="W69" s="189">
        <f t="shared" si="26"/>
        <v>310.5</v>
      </c>
      <c r="X69" s="195">
        <f t="shared" si="27"/>
        <v>4.0184796609290903</v>
      </c>
      <c r="Z69" s="189">
        <v>67</v>
      </c>
      <c r="AA69" s="196">
        <f>Результаты!W70</f>
        <v>1.6205291748046899</v>
      </c>
      <c r="AB69" s="189">
        <f t="shared" si="28"/>
        <v>310.5</v>
      </c>
      <c r="AC69" s="195">
        <f t="shared" si="29"/>
        <v>191.60407898081945</v>
      </c>
      <c r="AE69" s="189">
        <v>67</v>
      </c>
      <c r="AF69" s="196">
        <f>Результаты!X70</f>
        <v>1.6956958770752</v>
      </c>
      <c r="AG69" s="189">
        <f t="shared" si="30"/>
        <v>310.5</v>
      </c>
      <c r="AH69" s="195">
        <f t="shared" si="31"/>
        <v>183.11066518340664</v>
      </c>
      <c r="AJ69" s="189">
        <v>67</v>
      </c>
      <c r="AK69" s="196">
        <f>Результаты!Y70</f>
        <v>0.99871844053268399</v>
      </c>
      <c r="AL69" s="189">
        <f t="shared" si="32"/>
        <v>310.5</v>
      </c>
      <c r="AM69" s="195">
        <f t="shared" si="33"/>
        <v>310.89843483253338</v>
      </c>
      <c r="AO69" s="189">
        <v>67</v>
      </c>
      <c r="AP69" s="196">
        <f>Результаты!Z70</f>
        <v>1.01285099983215</v>
      </c>
      <c r="AQ69" s="189">
        <f t="shared" si="34"/>
        <v>310.5</v>
      </c>
      <c r="AR69" s="195">
        <f t="shared" si="35"/>
        <v>306.56039244810557</v>
      </c>
      <c r="AT69" s="189">
        <v>67</v>
      </c>
      <c r="AU69" s="195">
        <f>Результаты!AA70/1.028469</f>
        <v>0.27665146037453925</v>
      </c>
      <c r="AV69" s="195">
        <f t="shared" si="36"/>
        <v>313.63636363636363</v>
      </c>
      <c r="AW69" s="195">
        <f t="shared" si="37"/>
        <v>1133.6877210471005</v>
      </c>
      <c r="AY69" s="198"/>
      <c r="AZ69" s="199"/>
      <c r="BA69" s="198"/>
      <c r="BB69" s="198"/>
    </row>
    <row r="70" spans="1:54" ht="15.75" x14ac:dyDescent="0.25">
      <c r="A70">
        <v>52</v>
      </c>
      <c r="B70">
        <v>325</v>
      </c>
      <c r="C70">
        <v>292.5</v>
      </c>
      <c r="D70" s="194">
        <f t="shared" si="19"/>
        <v>295.45454545454544</v>
      </c>
      <c r="F70" s="189">
        <v>68</v>
      </c>
      <c r="G70" s="196">
        <f>Результаты!U71</f>
        <v>23.325269699096701</v>
      </c>
      <c r="H70" s="189">
        <f t="shared" si="20"/>
        <v>310.5</v>
      </c>
      <c r="I70" s="195">
        <f t="shared" si="21"/>
        <v>13.311743186919056</v>
      </c>
      <c r="J70" s="188"/>
      <c r="K70" s="189">
        <v>68</v>
      </c>
      <c r="L70" s="196">
        <f>Результаты!V71</f>
        <v>18.088722229003899</v>
      </c>
      <c r="M70" s="189">
        <f t="shared" si="22"/>
        <v>310.5</v>
      </c>
      <c r="N70" s="195">
        <f t="shared" si="23"/>
        <v>17.16539156658267</v>
      </c>
      <c r="P70" s="189">
        <v>68</v>
      </c>
      <c r="Q70" s="196">
        <f>Результаты!S71</f>
        <v>17.454736709594702</v>
      </c>
      <c r="R70" s="189">
        <f t="shared" si="24"/>
        <v>345</v>
      </c>
      <c r="S70" s="195">
        <f t="shared" si="25"/>
        <v>19.765408424084494</v>
      </c>
      <c r="U70" s="189">
        <v>68</v>
      </c>
      <c r="V70" s="196">
        <f>Результаты!T71</f>
        <v>25.4156799316406</v>
      </c>
      <c r="W70" s="189">
        <f t="shared" si="26"/>
        <v>310.5</v>
      </c>
      <c r="X70" s="195">
        <f t="shared" si="27"/>
        <v>12.216867730280589</v>
      </c>
      <c r="Z70" s="189">
        <v>68</v>
      </c>
      <c r="AA70" s="196">
        <f>Результаты!W71</f>
        <v>1.8757228851318399</v>
      </c>
      <c r="AB70" s="189">
        <f t="shared" si="28"/>
        <v>310.5</v>
      </c>
      <c r="AC70" s="195">
        <f t="shared" si="29"/>
        <v>165.53617939047308</v>
      </c>
      <c r="AE70" s="189">
        <v>68</v>
      </c>
      <c r="AF70" s="196">
        <f>Результаты!X71</f>
        <v>1.9581732749939</v>
      </c>
      <c r="AG70" s="189">
        <f t="shared" si="30"/>
        <v>310.5</v>
      </c>
      <c r="AH70" s="195">
        <f t="shared" si="31"/>
        <v>158.56615140504726</v>
      </c>
      <c r="AJ70" s="189">
        <v>68</v>
      </c>
      <c r="AK70" s="196">
        <f>Результаты!Y71</f>
        <v>0.59008032083511397</v>
      </c>
      <c r="AL70" s="189">
        <f t="shared" si="32"/>
        <v>310.5</v>
      </c>
      <c r="AM70" s="195">
        <f t="shared" si="33"/>
        <v>526.19955120781424</v>
      </c>
      <c r="AO70" s="189">
        <v>68</v>
      </c>
      <c r="AP70" s="196">
        <f>Результаты!Z71</f>
        <v>1.61608231067657</v>
      </c>
      <c r="AQ70" s="189">
        <f t="shared" si="34"/>
        <v>310.5</v>
      </c>
      <c r="AR70" s="195">
        <f t="shared" si="35"/>
        <v>192.13130293469379</v>
      </c>
      <c r="AT70" s="189">
        <v>68</v>
      </c>
      <c r="AU70" s="195">
        <f>Результаты!AA71/1.028469</f>
        <v>0.49058709212130452</v>
      </c>
      <c r="AV70" s="195">
        <f t="shared" si="36"/>
        <v>313.63636363636363</v>
      </c>
      <c r="AW70" s="195">
        <f t="shared" si="37"/>
        <v>639.3082261504195</v>
      </c>
      <c r="AY70" s="198"/>
      <c r="AZ70" s="199"/>
      <c r="BA70" s="198"/>
      <c r="BB70" s="198"/>
    </row>
    <row r="71" spans="1:54" ht="15.75" x14ac:dyDescent="0.25">
      <c r="A71">
        <v>53</v>
      </c>
      <c r="B71">
        <v>325</v>
      </c>
      <c r="C71">
        <v>292.5</v>
      </c>
      <c r="D71" s="194">
        <f t="shared" si="19"/>
        <v>295.45454545454544</v>
      </c>
      <c r="F71" s="189">
        <v>69</v>
      </c>
      <c r="G71" s="196">
        <f>Результаты!U72</f>
        <v>64.008613586425795</v>
      </c>
      <c r="H71" s="189">
        <f t="shared" si="20"/>
        <v>310.5</v>
      </c>
      <c r="I71" s="195">
        <f t="shared" si="21"/>
        <v>4.8509096292291396</v>
      </c>
      <c r="J71" s="188"/>
      <c r="K71" s="189">
        <v>69</v>
      </c>
      <c r="L71" s="196">
        <f>Результаты!V72</f>
        <v>32.696052551269503</v>
      </c>
      <c r="M71" s="189">
        <f t="shared" si="22"/>
        <v>310.5</v>
      </c>
      <c r="N71" s="195">
        <f t="shared" si="23"/>
        <v>9.496559241000611</v>
      </c>
      <c r="P71" s="189">
        <v>69</v>
      </c>
      <c r="Q71" s="196">
        <f>Результаты!S72</f>
        <v>27.126178741455099</v>
      </c>
      <c r="R71" s="189">
        <f t="shared" si="24"/>
        <v>345</v>
      </c>
      <c r="S71" s="195">
        <f t="shared" si="25"/>
        <v>12.718341322169344</v>
      </c>
      <c r="U71" s="189">
        <v>69</v>
      </c>
      <c r="V71" s="196">
        <f>Результаты!T72</f>
        <v>70.815841674804702</v>
      </c>
      <c r="W71" s="189">
        <f t="shared" si="26"/>
        <v>310.5</v>
      </c>
      <c r="X71" s="195">
        <f t="shared" si="27"/>
        <v>4.3846121525442747</v>
      </c>
      <c r="Z71" s="189">
        <v>69</v>
      </c>
      <c r="AA71" s="196">
        <f>Результаты!W72</f>
        <v>10.0666599273682</v>
      </c>
      <c r="AB71" s="189">
        <f t="shared" si="28"/>
        <v>310.5</v>
      </c>
      <c r="AC71" s="195">
        <f t="shared" si="29"/>
        <v>30.844391510221236</v>
      </c>
      <c r="AE71" s="189">
        <v>69</v>
      </c>
      <c r="AF71" s="196">
        <f>Результаты!X72</f>
        <v>10.0890464782715</v>
      </c>
      <c r="AG71" s="189">
        <f t="shared" si="30"/>
        <v>310.5</v>
      </c>
      <c r="AH71" s="195">
        <f t="shared" si="31"/>
        <v>30.775950994845275</v>
      </c>
      <c r="AJ71" s="189">
        <v>69</v>
      </c>
      <c r="AK71" s="196">
        <f>Результаты!Y72</f>
        <v>2.1843090057372998</v>
      </c>
      <c r="AL71" s="189">
        <f t="shared" si="32"/>
        <v>310.5</v>
      </c>
      <c r="AM71" s="195">
        <f t="shared" si="33"/>
        <v>142.15021738428106</v>
      </c>
      <c r="AO71" s="189">
        <v>69</v>
      </c>
      <c r="AP71" s="196">
        <f>Результаты!Z72</f>
        <v>1.6536738872528101</v>
      </c>
      <c r="AQ71" s="189">
        <f t="shared" si="34"/>
        <v>310.5</v>
      </c>
      <c r="AR71" s="195">
        <f t="shared" si="35"/>
        <v>187.76374374262065</v>
      </c>
      <c r="AT71" s="189">
        <v>69</v>
      </c>
      <c r="AU71" s="195">
        <f>Результаты!AA72/1.028469</f>
        <v>4.8938880850137529</v>
      </c>
      <c r="AV71" s="195">
        <f t="shared" si="36"/>
        <v>313.63636363636363</v>
      </c>
      <c r="AW71" s="195">
        <f t="shared" si="37"/>
        <v>64.087359209703351</v>
      </c>
      <c r="AY71" s="198"/>
      <c r="AZ71" s="199"/>
      <c r="BA71" s="198"/>
      <c r="BB71" s="198"/>
    </row>
    <row r="72" spans="1:54" ht="15.75" x14ac:dyDescent="0.25">
      <c r="A72">
        <v>54</v>
      </c>
      <c r="B72">
        <v>325</v>
      </c>
      <c r="C72">
        <v>292.5</v>
      </c>
      <c r="D72" s="194">
        <f t="shared" si="19"/>
        <v>295.45454545454544</v>
      </c>
      <c r="F72" s="189">
        <v>70</v>
      </c>
      <c r="G72" s="196">
        <f>Результаты!U73</f>
        <v>70.051490783691406</v>
      </c>
      <c r="H72" s="189">
        <f t="shared" si="20"/>
        <v>310.5</v>
      </c>
      <c r="I72" s="195">
        <f t="shared" si="21"/>
        <v>4.4324538496800567</v>
      </c>
      <c r="J72" s="188"/>
      <c r="K72" s="189">
        <v>70</v>
      </c>
      <c r="L72" s="196">
        <f>Результаты!V73</f>
        <v>165.20382690429699</v>
      </c>
      <c r="M72" s="189">
        <f t="shared" si="22"/>
        <v>310.5</v>
      </c>
      <c r="N72" s="195">
        <f t="shared" si="23"/>
        <v>1.8794964125127287</v>
      </c>
      <c r="P72" s="189">
        <v>70</v>
      </c>
      <c r="Q72" s="196">
        <f>Результаты!S73</f>
        <v>141.04966735839801</v>
      </c>
      <c r="R72" s="189">
        <f t="shared" si="24"/>
        <v>345</v>
      </c>
      <c r="S72" s="195">
        <f t="shared" si="25"/>
        <v>2.4459469239539393</v>
      </c>
      <c r="U72" s="189">
        <v>70</v>
      </c>
      <c r="V72" s="196">
        <f>Результаты!T73</f>
        <v>80.895759582519503</v>
      </c>
      <c r="W72" s="189">
        <f t="shared" si="26"/>
        <v>310.5</v>
      </c>
      <c r="X72" s="195">
        <f t="shared" si="27"/>
        <v>3.838272878608274</v>
      </c>
      <c r="Z72" s="189">
        <v>70</v>
      </c>
      <c r="AA72" s="196">
        <f>Результаты!W73</f>
        <v>9.7586364746093803</v>
      </c>
      <c r="AB72" s="189">
        <f t="shared" si="28"/>
        <v>310.5</v>
      </c>
      <c r="AC72" s="195">
        <f t="shared" si="29"/>
        <v>31.817969734591301</v>
      </c>
      <c r="AE72" s="189">
        <v>70</v>
      </c>
      <c r="AF72" s="196">
        <f>Результаты!X73</f>
        <v>9.6019496917724592</v>
      </c>
      <c r="AG72" s="189">
        <f t="shared" si="30"/>
        <v>310.5</v>
      </c>
      <c r="AH72" s="195">
        <f t="shared" si="31"/>
        <v>32.337182548045995</v>
      </c>
      <c r="AJ72" s="189">
        <v>70</v>
      </c>
      <c r="AK72" s="196">
        <f>Результаты!Y73</f>
        <v>3.4441804885864298</v>
      </c>
      <c r="AL72" s="189">
        <f t="shared" si="32"/>
        <v>310.5</v>
      </c>
      <c r="AM72" s="195">
        <f t="shared" si="33"/>
        <v>90.152069854921066</v>
      </c>
      <c r="AO72" s="189">
        <v>70</v>
      </c>
      <c r="AP72" s="196">
        <f>Результаты!Z73</f>
        <v>4.5431790351867702</v>
      </c>
      <c r="AQ72" s="189">
        <f t="shared" si="34"/>
        <v>310.5</v>
      </c>
      <c r="AR72" s="195">
        <f t="shared" si="35"/>
        <v>68.344213951329635</v>
      </c>
      <c r="AT72" s="189">
        <v>70</v>
      </c>
      <c r="AU72" s="195">
        <f>Результаты!AA73/1.028469</f>
        <v>11.317709682022501</v>
      </c>
      <c r="AV72" s="195">
        <f t="shared" si="36"/>
        <v>313.63636363636363</v>
      </c>
      <c r="AW72" s="195">
        <f t="shared" si="37"/>
        <v>27.711999375152381</v>
      </c>
      <c r="AY72" s="198"/>
      <c r="AZ72" s="199"/>
      <c r="BA72" s="198"/>
      <c r="BB72" s="198"/>
    </row>
    <row r="73" spans="1:54" ht="15.75" x14ac:dyDescent="0.25">
      <c r="A73">
        <v>55</v>
      </c>
      <c r="B73">
        <v>325</v>
      </c>
      <c r="C73">
        <v>292.5</v>
      </c>
      <c r="D73" s="194">
        <f t="shared" si="19"/>
        <v>295.45454545454544</v>
      </c>
      <c r="F73" s="189">
        <v>71</v>
      </c>
      <c r="G73" s="196">
        <f>Результаты!U74</f>
        <v>43.712959289550803</v>
      </c>
      <c r="H73" s="189">
        <f t="shared" si="20"/>
        <v>310.5</v>
      </c>
      <c r="I73" s="195">
        <f t="shared" si="21"/>
        <v>7.1031567079061215</v>
      </c>
      <c r="J73" s="188"/>
      <c r="K73" s="189">
        <v>71</v>
      </c>
      <c r="L73" s="196">
        <f>Результаты!V74</f>
        <v>90.009933471679702</v>
      </c>
      <c r="M73" s="189">
        <f t="shared" si="22"/>
        <v>310.5</v>
      </c>
      <c r="N73" s="195">
        <f t="shared" si="23"/>
        <v>3.4496192589420618</v>
      </c>
      <c r="P73" s="189">
        <v>71</v>
      </c>
      <c r="Q73" s="196">
        <f>Результаты!S74</f>
        <v>79.4893798828125</v>
      </c>
      <c r="R73" s="189">
        <f t="shared" si="24"/>
        <v>345</v>
      </c>
      <c r="S73" s="195">
        <f t="shared" si="25"/>
        <v>4.3402024334397558</v>
      </c>
      <c r="U73" s="189">
        <v>71</v>
      </c>
      <c r="V73" s="196">
        <f>Результаты!T74</f>
        <v>54.734306335449197</v>
      </c>
      <c r="W73" s="189">
        <f t="shared" si="26"/>
        <v>310.5</v>
      </c>
      <c r="X73" s="195">
        <f t="shared" si="27"/>
        <v>5.6728589579092139</v>
      </c>
      <c r="Z73" s="189">
        <v>71</v>
      </c>
      <c r="AA73" s="196">
        <f>Результаты!W74</f>
        <v>1.3137481212616</v>
      </c>
      <c r="AB73" s="189">
        <f t="shared" si="28"/>
        <v>310.5</v>
      </c>
      <c r="AC73" s="195">
        <f t="shared" si="29"/>
        <v>236.34667481147378</v>
      </c>
      <c r="AE73" s="189">
        <v>71</v>
      </c>
      <c r="AF73" s="196">
        <f>Результаты!X74</f>
        <v>1.2504583597183201</v>
      </c>
      <c r="AG73" s="189">
        <f t="shared" si="30"/>
        <v>310.5</v>
      </c>
      <c r="AH73" s="195">
        <f t="shared" si="31"/>
        <v>248.30894814437775</v>
      </c>
      <c r="AJ73" s="189">
        <v>71</v>
      </c>
      <c r="AK73" s="196">
        <f>Результаты!Y74</f>
        <v>2.0728893280029301</v>
      </c>
      <c r="AL73" s="189">
        <f t="shared" si="32"/>
        <v>310.5</v>
      </c>
      <c r="AM73" s="195">
        <f t="shared" si="33"/>
        <v>149.79092024133431</v>
      </c>
      <c r="AO73" s="189">
        <v>71</v>
      </c>
      <c r="AP73" s="196">
        <f>Результаты!Z74</f>
        <v>3.0206770896911599</v>
      </c>
      <c r="AQ73" s="189">
        <f t="shared" si="34"/>
        <v>310.5</v>
      </c>
      <c r="AR73" s="195">
        <f t="shared" si="35"/>
        <v>102.79152348314932</v>
      </c>
      <c r="AT73" s="189">
        <v>71</v>
      </c>
      <c r="AU73" s="195">
        <f>Результаты!AA74/1.028469</f>
        <v>5.2400465963880976</v>
      </c>
      <c r="AV73" s="195">
        <f t="shared" si="36"/>
        <v>313.63636363636363</v>
      </c>
      <c r="AW73" s="195">
        <f t="shared" si="37"/>
        <v>59.853735623753707</v>
      </c>
      <c r="AY73" s="198"/>
      <c r="AZ73" s="199"/>
      <c r="BA73" s="198"/>
      <c r="BB73" s="198"/>
    </row>
    <row r="74" spans="1:54" ht="15.75" x14ac:dyDescent="0.25">
      <c r="A74">
        <v>56</v>
      </c>
      <c r="B74">
        <v>325</v>
      </c>
      <c r="C74">
        <v>292.5</v>
      </c>
      <c r="D74" s="194">
        <f t="shared" si="19"/>
        <v>295.45454545454544</v>
      </c>
      <c r="F74" s="189">
        <v>72</v>
      </c>
      <c r="G74" s="196">
        <f>Результаты!U75</f>
        <v>192.00727844238301</v>
      </c>
      <c r="H74" s="189">
        <f t="shared" si="20"/>
        <v>310.5</v>
      </c>
      <c r="I74" s="195">
        <f t="shared" si="21"/>
        <v>1.6171261970841067</v>
      </c>
      <c r="J74" s="188"/>
      <c r="K74" s="189">
        <v>72</v>
      </c>
      <c r="L74" s="196">
        <f>Результаты!V75</f>
        <v>194.64353942871099</v>
      </c>
      <c r="M74" s="189">
        <f t="shared" si="22"/>
        <v>310.5</v>
      </c>
      <c r="N74" s="195">
        <f t="shared" si="23"/>
        <v>1.5952237660254935</v>
      </c>
      <c r="P74" s="189">
        <v>72</v>
      </c>
      <c r="Q74" s="196">
        <f>Результаты!S75</f>
        <v>261.41781616210898</v>
      </c>
      <c r="R74" s="189">
        <f t="shared" si="24"/>
        <v>345</v>
      </c>
      <c r="S74" s="195">
        <f t="shared" si="25"/>
        <v>1.3197264251724163</v>
      </c>
      <c r="U74" s="189">
        <v>72</v>
      </c>
      <c r="V74" s="196">
        <f>Результаты!T75</f>
        <v>283.54235839843801</v>
      </c>
      <c r="W74" s="189">
        <f t="shared" si="26"/>
        <v>310.5</v>
      </c>
      <c r="X74" s="195">
        <f t="shared" si="27"/>
        <v>1.0950744775977377</v>
      </c>
      <c r="Z74" s="189">
        <v>72</v>
      </c>
      <c r="AA74" s="196">
        <f>Результаты!W75</f>
        <v>18.2926330566406</v>
      </c>
      <c r="AB74" s="189">
        <f t="shared" si="28"/>
        <v>310.5</v>
      </c>
      <c r="AC74" s="195">
        <f t="shared" si="29"/>
        <v>16.974046275272666</v>
      </c>
      <c r="AE74" s="189">
        <v>72</v>
      </c>
      <c r="AF74" s="196">
        <f>Результаты!X75</f>
        <v>18.984935760498001</v>
      </c>
      <c r="AG74" s="189">
        <f t="shared" si="30"/>
        <v>310.5</v>
      </c>
      <c r="AH74" s="195">
        <f t="shared" si="31"/>
        <v>16.355072459400049</v>
      </c>
      <c r="AJ74" s="189">
        <v>72</v>
      </c>
      <c r="AK74" s="196">
        <f>Результаты!Y75</f>
        <v>19.507696151733398</v>
      </c>
      <c r="AL74" s="189">
        <f t="shared" si="32"/>
        <v>310.5</v>
      </c>
      <c r="AM74" s="195">
        <f t="shared" si="33"/>
        <v>15.916794970810013</v>
      </c>
      <c r="AO74" s="189">
        <v>72</v>
      </c>
      <c r="AP74" s="196">
        <f>Результаты!Z75</f>
        <v>88.722526550292997</v>
      </c>
      <c r="AQ74" s="189">
        <f t="shared" si="34"/>
        <v>310.5</v>
      </c>
      <c r="AR74" s="195">
        <f t="shared" si="35"/>
        <v>3.4996749086489425</v>
      </c>
      <c r="AT74" s="189">
        <v>72</v>
      </c>
      <c r="AU74" s="195">
        <f>Результаты!AA75/1.028469</f>
        <v>18.73455407631489</v>
      </c>
      <c r="AV74" s="195">
        <f t="shared" si="36"/>
        <v>313.63636363636363</v>
      </c>
      <c r="AW74" s="195">
        <f t="shared" si="37"/>
        <v>16.741063724216289</v>
      </c>
      <c r="AY74" s="198"/>
      <c r="AZ74" s="199"/>
      <c r="BA74" s="198"/>
      <c r="BB74" s="198"/>
    </row>
    <row r="75" spans="1:54" ht="15.75" x14ac:dyDescent="0.25">
      <c r="A75">
        <v>57</v>
      </c>
      <c r="B75">
        <v>325</v>
      </c>
      <c r="C75">
        <v>292.5</v>
      </c>
      <c r="D75" s="194">
        <f t="shared" si="19"/>
        <v>295.45454545454544</v>
      </c>
      <c r="F75" s="189">
        <v>73</v>
      </c>
      <c r="G75" s="196">
        <f>Результаты!U76</f>
        <v>197.045333862305</v>
      </c>
      <c r="H75" s="189">
        <f t="shared" si="20"/>
        <v>310.5</v>
      </c>
      <c r="I75" s="195">
        <f t="shared" si="21"/>
        <v>1.5757795118202442</v>
      </c>
      <c r="J75" s="188"/>
      <c r="K75" s="189">
        <v>73</v>
      </c>
      <c r="L75" s="196">
        <f>Результаты!V76</f>
        <v>260.01138305664102</v>
      </c>
      <c r="M75" s="189">
        <f t="shared" si="22"/>
        <v>310.5</v>
      </c>
      <c r="N75" s="195">
        <f t="shared" si="23"/>
        <v>1.1941784869178613</v>
      </c>
      <c r="P75" s="189">
        <v>73</v>
      </c>
      <c r="Q75" s="196">
        <f>Результаты!S76</f>
        <v>269.54443359375</v>
      </c>
      <c r="R75" s="189">
        <f t="shared" si="24"/>
        <v>345</v>
      </c>
      <c r="S75" s="195">
        <f t="shared" si="25"/>
        <v>1.2799373943665799</v>
      </c>
      <c r="U75" s="189">
        <v>73</v>
      </c>
      <c r="V75" s="212">
        <v>284.5</v>
      </c>
      <c r="W75" s="189">
        <f t="shared" si="26"/>
        <v>310.5</v>
      </c>
      <c r="X75" s="195">
        <f t="shared" si="27"/>
        <v>1.0913884007029877</v>
      </c>
      <c r="Z75" s="189">
        <v>73</v>
      </c>
      <c r="AA75" s="196">
        <f>Результаты!W76</f>
        <v>17.8907165527344</v>
      </c>
      <c r="AB75" s="189">
        <f t="shared" si="28"/>
        <v>310.5</v>
      </c>
      <c r="AC75" s="195">
        <f t="shared" si="29"/>
        <v>17.35536970164247</v>
      </c>
      <c r="AE75" s="189">
        <v>73</v>
      </c>
      <c r="AF75" s="196">
        <f>Результаты!X76</f>
        <v>17.167665481567401</v>
      </c>
      <c r="AG75" s="189">
        <f t="shared" si="30"/>
        <v>310.5</v>
      </c>
      <c r="AH75" s="195">
        <f t="shared" si="31"/>
        <v>18.086326316957773</v>
      </c>
      <c r="AJ75" s="189">
        <v>73</v>
      </c>
      <c r="AK75" s="196">
        <f>Результаты!Y76</f>
        <v>17.967603683471701</v>
      </c>
      <c r="AL75" s="189">
        <f t="shared" si="32"/>
        <v>310.5</v>
      </c>
      <c r="AM75" s="195">
        <f t="shared" si="33"/>
        <v>17.281102448048053</v>
      </c>
      <c r="AO75" s="189">
        <v>73</v>
      </c>
      <c r="AP75" s="196">
        <f>Результаты!Z76</f>
        <v>91.0518798828125</v>
      </c>
      <c r="AQ75" s="189">
        <f t="shared" si="34"/>
        <v>310.5</v>
      </c>
      <c r="AR75" s="195">
        <f t="shared" si="35"/>
        <v>3.4101437597952531</v>
      </c>
      <c r="AT75" s="189">
        <v>73</v>
      </c>
      <c r="AU75" s="195">
        <f>Результаты!AA76/1.028469</f>
        <v>16.274686360497107</v>
      </c>
      <c r="AV75" s="195">
        <f t="shared" si="36"/>
        <v>313.63636363636363</v>
      </c>
      <c r="AW75" s="195">
        <f t="shared" si="37"/>
        <v>19.271422913417279</v>
      </c>
      <c r="AY75" s="198"/>
      <c r="AZ75" s="199"/>
      <c r="BA75" s="198"/>
      <c r="BB75" s="198"/>
    </row>
    <row r="76" spans="1:54" ht="15.75" x14ac:dyDescent="0.25">
      <c r="A76">
        <v>58</v>
      </c>
      <c r="B76">
        <v>325</v>
      </c>
      <c r="C76">
        <v>292.5</v>
      </c>
      <c r="D76" s="194">
        <f t="shared" si="19"/>
        <v>295.45454545454544</v>
      </c>
      <c r="F76" s="189">
        <v>74</v>
      </c>
      <c r="G76" s="196">
        <f>Результаты!U77</f>
        <v>43.975139617919901</v>
      </c>
      <c r="H76" s="189">
        <f t="shared" si="20"/>
        <v>310.5</v>
      </c>
      <c r="I76" s="195">
        <f t="shared" si="21"/>
        <v>7.0608075994253587</v>
      </c>
      <c r="J76" s="188"/>
      <c r="K76" s="189">
        <v>74</v>
      </c>
      <c r="L76" s="196">
        <f>Результаты!V77</f>
        <v>32.889591217041001</v>
      </c>
      <c r="M76" s="189">
        <f t="shared" si="22"/>
        <v>310.5</v>
      </c>
      <c r="N76" s="195">
        <f t="shared" si="23"/>
        <v>9.4406767767646027</v>
      </c>
      <c r="P76" s="189">
        <v>74</v>
      </c>
      <c r="Q76" s="196">
        <f>Результаты!S77</f>
        <v>38.432506561279297</v>
      </c>
      <c r="R76" s="189">
        <f t="shared" si="24"/>
        <v>345</v>
      </c>
      <c r="S76" s="195">
        <f t="shared" si="25"/>
        <v>8.9767759344530251</v>
      </c>
      <c r="U76" s="189">
        <v>74</v>
      </c>
      <c r="V76" s="196">
        <f>Результаты!T77</f>
        <v>59.248825073242202</v>
      </c>
      <c r="W76" s="189">
        <f t="shared" si="26"/>
        <v>310.5</v>
      </c>
      <c r="X76" s="195">
        <f t="shared" si="27"/>
        <v>5.2406102503495413</v>
      </c>
      <c r="Z76" s="189">
        <v>74</v>
      </c>
      <c r="AA76" s="196">
        <f>Результаты!W77</f>
        <v>5.9992022514343297</v>
      </c>
      <c r="AB76" s="189">
        <f t="shared" si="28"/>
        <v>310.5</v>
      </c>
      <c r="AC76" s="195">
        <f t="shared" si="29"/>
        <v>51.756881496329541</v>
      </c>
      <c r="AE76" s="189">
        <v>74</v>
      </c>
      <c r="AF76" s="196">
        <f>Результаты!X77</f>
        <v>5.9919176101684597</v>
      </c>
      <c r="AG76" s="189">
        <f t="shared" si="30"/>
        <v>310.5</v>
      </c>
      <c r="AH76" s="195">
        <f t="shared" si="31"/>
        <v>51.819804643687426</v>
      </c>
      <c r="AJ76" s="189">
        <v>74</v>
      </c>
      <c r="AK76" s="196">
        <f>Результаты!Y77</f>
        <v>5.71779108047485</v>
      </c>
      <c r="AL76" s="189">
        <f t="shared" si="32"/>
        <v>310.5</v>
      </c>
      <c r="AM76" s="195">
        <f t="shared" si="33"/>
        <v>54.304187688895702</v>
      </c>
      <c r="AO76" s="189">
        <v>74</v>
      </c>
      <c r="AP76" s="196">
        <f>Результаты!Z77</f>
        <v>6.5311617851257298</v>
      </c>
      <c r="AQ76" s="189">
        <f t="shared" si="34"/>
        <v>310.5</v>
      </c>
      <c r="AR76" s="195">
        <f t="shared" si="35"/>
        <v>47.541311977164966</v>
      </c>
      <c r="AT76" s="189">
        <v>74</v>
      </c>
      <c r="AU76" s="195">
        <f>Результаты!AA77/1.028469</f>
        <v>7.6161785342733515</v>
      </c>
      <c r="AV76" s="195">
        <f t="shared" si="36"/>
        <v>313.63636363636363</v>
      </c>
      <c r="AW76" s="195">
        <f t="shared" si="37"/>
        <v>41.180279877234682</v>
      </c>
      <c r="AY76" s="198"/>
      <c r="AZ76" s="199"/>
      <c r="BA76" s="198"/>
      <c r="BB76" s="198"/>
    </row>
    <row r="77" spans="1:54" ht="15.75" x14ac:dyDescent="0.25">
      <c r="A77">
        <v>77</v>
      </c>
      <c r="B77">
        <v>325</v>
      </c>
      <c r="C77">
        <v>292.5</v>
      </c>
      <c r="D77" s="194">
        <f t="shared" si="19"/>
        <v>295.45454545454544</v>
      </c>
      <c r="F77" s="189">
        <v>75</v>
      </c>
      <c r="G77" s="196">
        <f>Результаты!U78</f>
        <v>73.307586669921903</v>
      </c>
      <c r="H77" s="189">
        <f t="shared" si="20"/>
        <v>310.5</v>
      </c>
      <c r="I77" s="195">
        <f t="shared" si="21"/>
        <v>4.2355779818270589</v>
      </c>
      <c r="J77" s="188"/>
      <c r="K77" s="189">
        <v>75</v>
      </c>
      <c r="L77" s="196">
        <f>Результаты!V78</f>
        <v>53.780990600585902</v>
      </c>
      <c r="M77" s="189">
        <f t="shared" si="22"/>
        <v>310.5</v>
      </c>
      <c r="N77" s="195">
        <f t="shared" si="23"/>
        <v>5.7734154118875107</v>
      </c>
      <c r="P77" s="189">
        <v>75</v>
      </c>
      <c r="Q77" s="196">
        <f>Результаты!S78</f>
        <v>19.505416870117202</v>
      </c>
      <c r="R77" s="189">
        <f t="shared" si="24"/>
        <v>345</v>
      </c>
      <c r="S77" s="195">
        <f t="shared" si="25"/>
        <v>17.687394342673539</v>
      </c>
      <c r="U77" s="189">
        <v>75</v>
      </c>
      <c r="V77" s="196">
        <f>Результаты!T78</f>
        <v>44.810470581054702</v>
      </c>
      <c r="W77" s="189">
        <f t="shared" si="26"/>
        <v>310.5</v>
      </c>
      <c r="X77" s="195">
        <f t="shared" si="27"/>
        <v>6.9291840941138307</v>
      </c>
      <c r="Z77" s="189">
        <v>75</v>
      </c>
      <c r="AA77" s="196">
        <f>Результаты!W78</f>
        <v>13.9279689788818</v>
      </c>
      <c r="AB77" s="189">
        <f t="shared" si="28"/>
        <v>310.5</v>
      </c>
      <c r="AC77" s="195">
        <f t="shared" si="29"/>
        <v>22.293271938700737</v>
      </c>
      <c r="AE77" s="189">
        <v>75</v>
      </c>
      <c r="AF77" s="196">
        <f>Результаты!X78</f>
        <v>14.270699501037599</v>
      </c>
      <c r="AG77" s="189">
        <f t="shared" si="30"/>
        <v>310.5</v>
      </c>
      <c r="AH77" s="195">
        <f t="shared" si="31"/>
        <v>21.757868279506834</v>
      </c>
      <c r="AJ77" s="189">
        <v>75</v>
      </c>
      <c r="AK77" s="196">
        <f>Результаты!Y78</f>
        <v>14.3419532775879</v>
      </c>
      <c r="AL77" s="189">
        <f t="shared" si="32"/>
        <v>310.5</v>
      </c>
      <c r="AM77" s="195">
        <f t="shared" si="33"/>
        <v>21.649770710466395</v>
      </c>
      <c r="AO77" s="189">
        <v>75</v>
      </c>
      <c r="AP77" s="196">
        <f>Результаты!Z78</f>
        <v>10.326940536499</v>
      </c>
      <c r="AQ77" s="189">
        <f t="shared" si="34"/>
        <v>310.5</v>
      </c>
      <c r="AR77" s="195">
        <f t="shared" si="35"/>
        <v>30.066988272333415</v>
      </c>
      <c r="AT77" s="189">
        <v>75</v>
      </c>
      <c r="AU77" s="195">
        <f>Результаты!AA78/1.028469</f>
        <v>20.895136140338892</v>
      </c>
      <c r="AV77" s="195">
        <f t="shared" si="36"/>
        <v>313.63636363636363</v>
      </c>
      <c r="AW77" s="195">
        <f t="shared" si="37"/>
        <v>15.010017715600146</v>
      </c>
      <c r="AY77" s="198"/>
      <c r="AZ77" s="199"/>
      <c r="BA77" s="198"/>
      <c r="BB77" s="198"/>
    </row>
    <row r="78" spans="1:54" ht="15.75" x14ac:dyDescent="0.25">
      <c r="A78">
        <v>78</v>
      </c>
      <c r="B78">
        <v>325</v>
      </c>
      <c r="C78">
        <v>292.5</v>
      </c>
      <c r="D78" s="194">
        <f t="shared" si="19"/>
        <v>295.45454545454544</v>
      </c>
      <c r="F78" s="189">
        <v>76</v>
      </c>
      <c r="G78" s="196">
        <f>Результаты!U79</f>
        <v>96.669212341308594</v>
      </c>
      <c r="H78" s="189">
        <f t="shared" si="20"/>
        <v>310.5</v>
      </c>
      <c r="I78" s="195">
        <f t="shared" si="21"/>
        <v>3.2119843793049863</v>
      </c>
      <c r="J78" s="188"/>
      <c r="K78" s="189">
        <v>76</v>
      </c>
      <c r="L78" s="196">
        <f>Результаты!V79</f>
        <v>73.947113037109403</v>
      </c>
      <c r="M78" s="189">
        <f t="shared" si="22"/>
        <v>310.5</v>
      </c>
      <c r="N78" s="195">
        <f t="shared" si="23"/>
        <v>4.1989468857855154</v>
      </c>
      <c r="P78" s="189">
        <v>76</v>
      </c>
      <c r="Q78" s="196">
        <f>Результаты!S79</f>
        <v>24.2546787261963</v>
      </c>
      <c r="R78" s="189">
        <f t="shared" si="24"/>
        <v>345</v>
      </c>
      <c r="S78" s="195">
        <f t="shared" si="25"/>
        <v>14.22405977397599</v>
      </c>
      <c r="U78" s="189">
        <v>76</v>
      </c>
      <c r="V78" s="196">
        <f>Результаты!T79</f>
        <v>56.889900207519503</v>
      </c>
      <c r="W78" s="189">
        <f t="shared" si="26"/>
        <v>310.5</v>
      </c>
      <c r="X78" s="195">
        <f t="shared" si="27"/>
        <v>5.4579107867543639</v>
      </c>
      <c r="Z78" s="189">
        <v>76</v>
      </c>
      <c r="AA78" s="196">
        <f>Результаты!W79</f>
        <v>17.767515182495099</v>
      </c>
      <c r="AB78" s="189">
        <f t="shared" si="28"/>
        <v>310.5</v>
      </c>
      <c r="AC78" s="195">
        <f t="shared" si="29"/>
        <v>17.475713222179241</v>
      </c>
      <c r="AE78" s="189">
        <v>76</v>
      </c>
      <c r="AF78" s="196">
        <f>Результаты!X79</f>
        <v>18.2816982269287</v>
      </c>
      <c r="AG78" s="189">
        <f t="shared" si="30"/>
        <v>310.5</v>
      </c>
      <c r="AH78" s="195">
        <f t="shared" si="31"/>
        <v>16.984198959297863</v>
      </c>
      <c r="AJ78" s="189">
        <v>76</v>
      </c>
      <c r="AK78" s="196">
        <f>Результаты!Y79</f>
        <v>18.3156642913818</v>
      </c>
      <c r="AL78" s="189">
        <f t="shared" si="32"/>
        <v>310.5</v>
      </c>
      <c r="AM78" s="195">
        <f t="shared" si="33"/>
        <v>16.952702072951936</v>
      </c>
      <c r="AO78" s="189">
        <v>76</v>
      </c>
      <c r="AP78" s="196">
        <f>Результаты!Z79</f>
        <v>14.753709793090801</v>
      </c>
      <c r="AQ78" s="189">
        <f t="shared" si="34"/>
        <v>310.5</v>
      </c>
      <c r="AR78" s="195">
        <f t="shared" si="35"/>
        <v>21.045554260895653</v>
      </c>
      <c r="AT78" s="189">
        <v>76</v>
      </c>
      <c r="AU78" s="195">
        <f>Результаты!AA79/1.028469</f>
        <v>27.396726032484494</v>
      </c>
      <c r="AV78" s="195">
        <f t="shared" si="36"/>
        <v>313.63636363636363</v>
      </c>
      <c r="AW78" s="195">
        <f t="shared" si="37"/>
        <v>11.447950505636431</v>
      </c>
      <c r="AY78" s="198"/>
      <c r="AZ78" s="199"/>
      <c r="BA78" s="198"/>
      <c r="BB78" s="198"/>
    </row>
    <row r="79" spans="1:54" ht="15.75" x14ac:dyDescent="0.25">
      <c r="A79">
        <v>79</v>
      </c>
      <c r="B79">
        <v>325</v>
      </c>
      <c r="C79">
        <v>292.5</v>
      </c>
      <c r="D79" s="194">
        <f t="shared" si="19"/>
        <v>295.45454545454544</v>
      </c>
      <c r="F79" s="189">
        <v>77</v>
      </c>
      <c r="G79" s="196">
        <f>Результаты!U80</f>
        <v>142.33515930175801</v>
      </c>
      <c r="H79" s="189">
        <f t="shared" si="20"/>
        <v>292.5</v>
      </c>
      <c r="I79" s="195">
        <f t="shared" si="21"/>
        <v>2.0550087654722375</v>
      </c>
      <c r="J79" s="188"/>
      <c r="K79" s="189">
        <v>77</v>
      </c>
      <c r="L79" s="196">
        <f>Результаты!V80</f>
        <v>54.359592437744098</v>
      </c>
      <c r="M79" s="189">
        <f t="shared" si="22"/>
        <v>292.5</v>
      </c>
      <c r="N79" s="195">
        <f t="shared" si="23"/>
        <v>5.3808350446149635</v>
      </c>
      <c r="P79" s="189">
        <v>77</v>
      </c>
      <c r="Q79" s="196">
        <f>Результаты!S80</f>
        <v>123.707595825195</v>
      </c>
      <c r="R79" s="189">
        <f t="shared" si="24"/>
        <v>325</v>
      </c>
      <c r="S79" s="195">
        <f t="shared" si="25"/>
        <v>2.6271628498806265</v>
      </c>
      <c r="U79" s="189">
        <v>77</v>
      </c>
      <c r="V79" s="196">
        <f>Результаты!T80</f>
        <v>84.251808166503906</v>
      </c>
      <c r="W79" s="189">
        <f t="shared" si="26"/>
        <v>292.5</v>
      </c>
      <c r="X79" s="195">
        <f t="shared" si="27"/>
        <v>3.4717355789200686</v>
      </c>
      <c r="Z79" s="189">
        <v>77</v>
      </c>
      <c r="AA79" s="196">
        <f>Результаты!W80</f>
        <v>57.216098785400398</v>
      </c>
      <c r="AB79" s="189">
        <f t="shared" si="28"/>
        <v>292.5</v>
      </c>
      <c r="AC79" s="195">
        <f t="shared" si="29"/>
        <v>5.1121975494532679</v>
      </c>
      <c r="AE79" s="189">
        <v>77</v>
      </c>
      <c r="AF79" s="196">
        <f>Результаты!X80</f>
        <v>56.814956665039098</v>
      </c>
      <c r="AG79" s="189">
        <f t="shared" si="30"/>
        <v>292.5</v>
      </c>
      <c r="AH79" s="195">
        <f t="shared" si="31"/>
        <v>5.1482922309432819</v>
      </c>
      <c r="AJ79" s="189">
        <v>77</v>
      </c>
      <c r="AK79" s="196">
        <f>Результаты!Y80</f>
        <v>64.956047058105497</v>
      </c>
      <c r="AL79" s="189">
        <f t="shared" si="32"/>
        <v>292.5</v>
      </c>
      <c r="AM79" s="195">
        <f t="shared" si="33"/>
        <v>4.5030449549731424</v>
      </c>
      <c r="AO79" s="189">
        <v>77</v>
      </c>
      <c r="AP79" s="196">
        <f>Результаты!Z80</f>
        <v>0.73088347911834695</v>
      </c>
      <c r="AQ79" s="189">
        <f t="shared" si="34"/>
        <v>292.5</v>
      </c>
      <c r="AR79" s="195">
        <f t="shared" si="35"/>
        <v>400.20059059597031</v>
      </c>
      <c r="AT79" s="189">
        <v>77</v>
      </c>
      <c r="AU79" s="195">
        <f>Результаты!AA80/1.028469</f>
        <v>43.640102001547639</v>
      </c>
      <c r="AV79" s="195">
        <f t="shared" si="36"/>
        <v>295.45454545454544</v>
      </c>
      <c r="AW79" s="195">
        <f t="shared" si="37"/>
        <v>6.7702533198494246</v>
      </c>
      <c r="AY79" s="198"/>
      <c r="AZ79" s="199"/>
      <c r="BA79" s="198"/>
      <c r="BB79" s="198"/>
    </row>
    <row r="80" spans="1:54" ht="15.75" x14ac:dyDescent="0.25">
      <c r="A80">
        <v>80</v>
      </c>
      <c r="B80">
        <v>325</v>
      </c>
      <c r="C80">
        <v>292.5</v>
      </c>
      <c r="D80" s="194">
        <f t="shared" si="19"/>
        <v>295.45454545454544</v>
      </c>
      <c r="F80" s="189">
        <v>78</v>
      </c>
      <c r="G80" s="196">
        <f>Результаты!U81</f>
        <v>36.277454376220703</v>
      </c>
      <c r="H80" s="189">
        <f t="shared" si="20"/>
        <v>292.5</v>
      </c>
      <c r="I80" s="195">
        <f t="shared" si="21"/>
        <v>8.0628590133857116</v>
      </c>
      <c r="J80" s="188"/>
      <c r="K80" s="189">
        <v>78</v>
      </c>
      <c r="L80" s="196">
        <f>Результаты!V81</f>
        <v>59.696548461914098</v>
      </c>
      <c r="M80" s="189">
        <f t="shared" si="22"/>
        <v>292.5</v>
      </c>
      <c r="N80" s="195">
        <f t="shared" si="23"/>
        <v>4.8997807668329862</v>
      </c>
      <c r="P80" s="189">
        <v>78</v>
      </c>
      <c r="Q80" s="196">
        <f>Результаты!S81</f>
        <v>105.62953948974599</v>
      </c>
      <c r="R80" s="189">
        <f t="shared" si="24"/>
        <v>325</v>
      </c>
      <c r="S80" s="195">
        <f t="shared" si="25"/>
        <v>3.0767908443977401</v>
      </c>
      <c r="U80" s="189">
        <v>78</v>
      </c>
      <c r="V80" s="196">
        <f>Результаты!T81</f>
        <v>5.9047346115112296</v>
      </c>
      <c r="W80" s="189">
        <f t="shared" si="26"/>
        <v>292.5</v>
      </c>
      <c r="X80" s="195">
        <f t="shared" si="27"/>
        <v>49.536519292462991</v>
      </c>
      <c r="Z80" s="189">
        <v>78</v>
      </c>
      <c r="AA80" s="196">
        <f>Результаты!W81</f>
        <v>39.405941009521499</v>
      </c>
      <c r="AB80" s="189">
        <f t="shared" si="28"/>
        <v>292.5</v>
      </c>
      <c r="AC80" s="195">
        <f t="shared" si="29"/>
        <v>7.422738615208412</v>
      </c>
      <c r="AE80" s="189">
        <v>78</v>
      </c>
      <c r="AF80" s="196">
        <f>Результаты!X81</f>
        <v>39.369796752929702</v>
      </c>
      <c r="AG80" s="189">
        <f t="shared" si="30"/>
        <v>292.5</v>
      </c>
      <c r="AH80" s="195">
        <f t="shared" si="31"/>
        <v>7.4295532139935068</v>
      </c>
      <c r="AJ80" s="189">
        <v>78</v>
      </c>
      <c r="AK80" s="196">
        <f>Результаты!Y81</f>
        <v>42.859718322753899</v>
      </c>
      <c r="AL80" s="189">
        <f t="shared" si="32"/>
        <v>292.5</v>
      </c>
      <c r="AM80" s="195">
        <f t="shared" si="33"/>
        <v>6.8245898817471691</v>
      </c>
      <c r="AO80" s="189">
        <v>78</v>
      </c>
      <c r="AP80" s="196">
        <f>Результаты!Z81</f>
        <v>2.0458056926727299</v>
      </c>
      <c r="AQ80" s="189">
        <f t="shared" si="34"/>
        <v>292.5</v>
      </c>
      <c r="AR80" s="195">
        <f t="shared" si="35"/>
        <v>142.97545512148088</v>
      </c>
      <c r="AT80" s="189">
        <v>78</v>
      </c>
      <c r="AU80" s="195">
        <f>Результаты!AA81/1.028469</f>
        <v>41.846713698251769</v>
      </c>
      <c r="AV80" s="195">
        <f t="shared" si="36"/>
        <v>295.45454545454544</v>
      </c>
      <c r="AW80" s="195">
        <f t="shared" si="37"/>
        <v>7.060400192593586</v>
      </c>
      <c r="AY80" s="198"/>
      <c r="AZ80" s="199"/>
      <c r="BA80" s="198"/>
      <c r="BB80" s="198"/>
    </row>
    <row r="81" spans="1:54" ht="15.75" x14ac:dyDescent="0.25">
      <c r="A81">
        <v>81</v>
      </c>
      <c r="B81">
        <v>325</v>
      </c>
      <c r="C81">
        <v>292.5</v>
      </c>
      <c r="D81" s="194">
        <f t="shared" si="19"/>
        <v>295.45454545454544</v>
      </c>
      <c r="F81" s="189">
        <v>79</v>
      </c>
      <c r="G81" s="196">
        <f>Результаты!U82</f>
        <v>119.168098449707</v>
      </c>
      <c r="H81" s="189">
        <f t="shared" si="20"/>
        <v>292.5</v>
      </c>
      <c r="I81" s="195">
        <f t="shared" si="21"/>
        <v>2.4545159636280087</v>
      </c>
      <c r="J81" s="188"/>
      <c r="K81" s="189">
        <v>79</v>
      </c>
      <c r="L81" s="196">
        <f>Результаты!V82</f>
        <v>53.647304534912102</v>
      </c>
      <c r="M81" s="189">
        <f t="shared" si="22"/>
        <v>292.5</v>
      </c>
      <c r="N81" s="195">
        <f t="shared" si="23"/>
        <v>5.4522776593491198</v>
      </c>
      <c r="P81" s="189">
        <v>79</v>
      </c>
      <c r="Q81" s="196">
        <f>Результаты!S82</f>
        <v>105.462814331055</v>
      </c>
      <c r="R81" s="189">
        <f t="shared" si="24"/>
        <v>325</v>
      </c>
      <c r="S81" s="195">
        <f t="shared" si="25"/>
        <v>3.0816549137386255</v>
      </c>
      <c r="U81" s="189">
        <v>79</v>
      </c>
      <c r="V81" s="196">
        <f>Результаты!T82</f>
        <v>68.164230346679702</v>
      </c>
      <c r="W81" s="189">
        <f t="shared" si="26"/>
        <v>292.5</v>
      </c>
      <c r="X81" s="195">
        <f t="shared" si="27"/>
        <v>4.2911069121203358</v>
      </c>
      <c r="Z81" s="189">
        <v>79</v>
      </c>
      <c r="AA81" s="196">
        <f>Результаты!W82</f>
        <v>46.714637756347699</v>
      </c>
      <c r="AB81" s="189">
        <f t="shared" si="28"/>
        <v>292.5</v>
      </c>
      <c r="AC81" s="195">
        <f t="shared" si="29"/>
        <v>6.26142070341227</v>
      </c>
      <c r="AE81" s="189">
        <v>79</v>
      </c>
      <c r="AF81" s="196">
        <f>Результаты!X82</f>
        <v>46.3209037780762</v>
      </c>
      <c r="AG81" s="189">
        <f t="shared" si="30"/>
        <v>292.5</v>
      </c>
      <c r="AH81" s="195">
        <f t="shared" si="31"/>
        <v>6.3146436304733973</v>
      </c>
      <c r="AJ81" s="189">
        <v>79</v>
      </c>
      <c r="AK81" s="196">
        <f>Результаты!Y82</f>
        <v>61.415374755859403</v>
      </c>
      <c r="AL81" s="189">
        <f t="shared" si="32"/>
        <v>292.5</v>
      </c>
      <c r="AM81" s="195">
        <f t="shared" si="33"/>
        <v>4.7626510651894005</v>
      </c>
      <c r="AO81" s="189">
        <v>79</v>
      </c>
      <c r="AP81" s="196">
        <f>Результаты!Z82</f>
        <v>1.2652676105499301</v>
      </c>
      <c r="AQ81" s="189">
        <f t="shared" si="34"/>
        <v>292.5</v>
      </c>
      <c r="AR81" s="195">
        <f t="shared" si="35"/>
        <v>231.17639111371005</v>
      </c>
      <c r="AT81" s="189">
        <v>79</v>
      </c>
      <c r="AU81" s="195">
        <f>Результаты!AA82/1.028469</f>
        <v>35.257136469069074</v>
      </c>
      <c r="AV81" s="195">
        <f t="shared" si="36"/>
        <v>295.45454545454544</v>
      </c>
      <c r="AW81" s="195">
        <f t="shared" si="37"/>
        <v>8.3799926779007237</v>
      </c>
      <c r="AY81" s="198"/>
      <c r="AZ81" s="199"/>
      <c r="BA81" s="198"/>
      <c r="BB81" s="198"/>
    </row>
    <row r="82" spans="1:54" ht="15.75" x14ac:dyDescent="0.25">
      <c r="A82">
        <v>82</v>
      </c>
      <c r="B82">
        <v>325</v>
      </c>
      <c r="C82">
        <v>292.5</v>
      </c>
      <c r="D82" s="194">
        <f t="shared" si="19"/>
        <v>295.45454545454544</v>
      </c>
      <c r="F82" s="189">
        <v>80</v>
      </c>
      <c r="G82" s="196">
        <f>Результаты!U83</f>
        <v>36.903861999511697</v>
      </c>
      <c r="H82" s="189">
        <f t="shared" si="20"/>
        <v>292.5</v>
      </c>
      <c r="I82" s="195">
        <f t="shared" si="21"/>
        <v>7.9259997233858694</v>
      </c>
      <c r="J82" s="188"/>
      <c r="K82" s="189">
        <v>80</v>
      </c>
      <c r="L82" s="196">
        <f>Результаты!V83</f>
        <v>64.126510620117202</v>
      </c>
      <c r="M82" s="189">
        <f t="shared" si="22"/>
        <v>292.5</v>
      </c>
      <c r="N82" s="195">
        <f t="shared" si="23"/>
        <v>4.5612960563651734</v>
      </c>
      <c r="P82" s="189">
        <v>80</v>
      </c>
      <c r="Q82" s="196">
        <f>Результаты!S83</f>
        <v>96.325080871582003</v>
      </c>
      <c r="R82" s="189">
        <f t="shared" si="24"/>
        <v>325</v>
      </c>
      <c r="S82" s="195">
        <f t="shared" si="25"/>
        <v>3.3739914574614396</v>
      </c>
      <c r="U82" s="189">
        <v>80</v>
      </c>
      <c r="V82" s="196">
        <f>Результаты!T83</f>
        <v>6.5508494377136204</v>
      </c>
      <c r="W82" s="189">
        <f t="shared" si="26"/>
        <v>292.5</v>
      </c>
      <c r="X82" s="195">
        <f t="shared" si="27"/>
        <v>44.650698017277044</v>
      </c>
      <c r="Z82" s="189">
        <v>80</v>
      </c>
      <c r="AA82" s="196">
        <f>Результаты!W83</f>
        <v>37.996261596679702</v>
      </c>
      <c r="AB82" s="189">
        <f t="shared" si="28"/>
        <v>292.5</v>
      </c>
      <c r="AC82" s="195">
        <f t="shared" si="29"/>
        <v>7.6981257552337743</v>
      </c>
      <c r="AE82" s="189">
        <v>80</v>
      </c>
      <c r="AF82" s="196">
        <f>Результаты!X83</f>
        <v>37.984607696533203</v>
      </c>
      <c r="AG82" s="189">
        <f t="shared" si="30"/>
        <v>292.5</v>
      </c>
      <c r="AH82" s="195">
        <f t="shared" si="31"/>
        <v>7.700487585309352</v>
      </c>
      <c r="AJ82" s="189">
        <v>80</v>
      </c>
      <c r="AK82" s="196">
        <f>Результаты!Y83</f>
        <v>49.838714599609403</v>
      </c>
      <c r="AL82" s="189">
        <f t="shared" si="32"/>
        <v>292.5</v>
      </c>
      <c r="AM82" s="195">
        <f t="shared" si="33"/>
        <v>5.8689314592052577</v>
      </c>
      <c r="AO82" s="189">
        <v>80</v>
      </c>
      <c r="AP82" s="196">
        <f>Результаты!Z83</f>
        <v>8.4098300933837908</v>
      </c>
      <c r="AQ82" s="189">
        <f t="shared" si="34"/>
        <v>292.5</v>
      </c>
      <c r="AR82" s="195">
        <f t="shared" si="35"/>
        <v>34.780726453690967</v>
      </c>
      <c r="AT82" s="189">
        <v>80</v>
      </c>
      <c r="AU82" s="195">
        <f>Результаты!AA83/1.028469</f>
        <v>39.17686439917761</v>
      </c>
      <c r="AV82" s="195">
        <f t="shared" si="36"/>
        <v>295.45454545454544</v>
      </c>
      <c r="AW82" s="195">
        <f t="shared" si="37"/>
        <v>7.5415567321602071</v>
      </c>
      <c r="AY82" s="198"/>
      <c r="AZ82" s="199"/>
      <c r="BA82" s="198"/>
      <c r="BB82" s="198"/>
    </row>
    <row r="83" spans="1:54" ht="15.75" x14ac:dyDescent="0.25">
      <c r="A83">
        <v>83</v>
      </c>
      <c r="B83">
        <v>325</v>
      </c>
      <c r="C83">
        <v>292.5</v>
      </c>
      <c r="D83" s="194">
        <f t="shared" si="19"/>
        <v>295.45454545454544</v>
      </c>
      <c r="F83" s="189">
        <v>81</v>
      </c>
      <c r="G83" s="196">
        <f>Результаты!U84</f>
        <v>106.12791442871099</v>
      </c>
      <c r="H83" s="189">
        <f t="shared" si="20"/>
        <v>292.5</v>
      </c>
      <c r="I83" s="195">
        <f t="shared" si="21"/>
        <v>2.7561080567213088</v>
      </c>
      <c r="J83" s="188"/>
      <c r="K83" s="189">
        <v>81</v>
      </c>
      <c r="L83" s="196">
        <f>Результаты!V84</f>
        <v>76.720588684082003</v>
      </c>
      <c r="M83" s="189">
        <f t="shared" si="22"/>
        <v>292.5</v>
      </c>
      <c r="N83" s="195">
        <f t="shared" si="23"/>
        <v>3.8125359178935487</v>
      </c>
      <c r="P83" s="189">
        <v>81</v>
      </c>
      <c r="Q83" s="196">
        <f>Результаты!S84</f>
        <v>94.185722351074205</v>
      </c>
      <c r="R83" s="189">
        <f t="shared" si="24"/>
        <v>325</v>
      </c>
      <c r="S83" s="195">
        <f t="shared" si="25"/>
        <v>3.4506291599970229</v>
      </c>
      <c r="U83" s="189">
        <v>81</v>
      </c>
      <c r="V83" s="196">
        <f>Результаты!T84</f>
        <v>96.208580017089801</v>
      </c>
      <c r="W83" s="189">
        <f t="shared" si="26"/>
        <v>292.5</v>
      </c>
      <c r="X83" s="195">
        <f t="shared" si="27"/>
        <v>3.040269380839447</v>
      </c>
      <c r="Z83" s="189">
        <v>81</v>
      </c>
      <c r="AA83" s="196">
        <f>Результаты!W84</f>
        <v>103.850387573242</v>
      </c>
      <c r="AB83" s="189">
        <f t="shared" si="28"/>
        <v>292.5</v>
      </c>
      <c r="AC83" s="195">
        <f t="shared" si="29"/>
        <v>2.8165518380344041</v>
      </c>
      <c r="AE83" s="189">
        <v>81</v>
      </c>
      <c r="AF83" s="196">
        <f>Результаты!X84</f>
        <v>103.467277526855</v>
      </c>
      <c r="AG83" s="189">
        <f t="shared" si="30"/>
        <v>292.5</v>
      </c>
      <c r="AH83" s="195">
        <f t="shared" si="31"/>
        <v>2.8269807323777454</v>
      </c>
      <c r="AJ83" s="189">
        <v>81</v>
      </c>
      <c r="AK83" s="196">
        <f>Результаты!Y84</f>
        <v>98.822990417480497</v>
      </c>
      <c r="AL83" s="189">
        <f t="shared" si="32"/>
        <v>292.5</v>
      </c>
      <c r="AM83" s="195">
        <f t="shared" si="33"/>
        <v>2.9598375718476597</v>
      </c>
      <c r="AO83" s="189">
        <v>81</v>
      </c>
      <c r="AP83" s="196">
        <f>Результаты!Z84</f>
        <v>16.2080078125</v>
      </c>
      <c r="AQ83" s="189">
        <f t="shared" si="34"/>
        <v>292.5</v>
      </c>
      <c r="AR83" s="195">
        <f t="shared" si="35"/>
        <v>18.046634934024222</v>
      </c>
      <c r="AT83" s="189">
        <v>81</v>
      </c>
      <c r="AU83" s="195">
        <f>Результаты!AA84/1.028469</f>
        <v>81.912405242001356</v>
      </c>
      <c r="AV83" s="195">
        <f t="shared" si="36"/>
        <v>295.45454545454544</v>
      </c>
      <c r="AW83" s="195">
        <f t="shared" si="37"/>
        <v>3.6069572683363025</v>
      </c>
      <c r="AY83" s="198"/>
      <c r="AZ83" s="199"/>
      <c r="BA83" s="198"/>
      <c r="BB83" s="198"/>
    </row>
    <row r="84" spans="1:54" ht="15.75" x14ac:dyDescent="0.25">
      <c r="A84">
        <v>84</v>
      </c>
      <c r="B84">
        <v>325</v>
      </c>
      <c r="C84">
        <v>292.5</v>
      </c>
      <c r="D84" s="194">
        <f t="shared" si="19"/>
        <v>295.45454545454544</v>
      </c>
      <c r="F84" s="189">
        <v>82</v>
      </c>
      <c r="G84" s="196">
        <f>Результаты!U85</f>
        <v>96.223678588867202</v>
      </c>
      <c r="H84" s="189">
        <f t="shared" si="20"/>
        <v>292.5</v>
      </c>
      <c r="I84" s="195">
        <f t="shared" si="21"/>
        <v>3.0397923285572808</v>
      </c>
      <c r="J84" s="188"/>
      <c r="K84" s="189">
        <v>82</v>
      </c>
      <c r="L84" s="196">
        <f>Результаты!V85</f>
        <v>156.36869812011699</v>
      </c>
      <c r="M84" s="189">
        <f t="shared" si="22"/>
        <v>292.5</v>
      </c>
      <c r="N84" s="195">
        <f t="shared" si="23"/>
        <v>1.8705789810650701</v>
      </c>
      <c r="P84" s="189">
        <v>82</v>
      </c>
      <c r="Q84" s="196">
        <f>Результаты!S85</f>
        <v>156.26138305664099</v>
      </c>
      <c r="R84" s="189">
        <f t="shared" si="24"/>
        <v>325</v>
      </c>
      <c r="S84" s="195">
        <f t="shared" si="25"/>
        <v>2.0798484797884793</v>
      </c>
      <c r="U84" s="189">
        <v>82</v>
      </c>
      <c r="V84" s="196">
        <f>Результаты!T85</f>
        <v>92.483604431152301</v>
      </c>
      <c r="W84" s="189">
        <f t="shared" si="26"/>
        <v>292.5</v>
      </c>
      <c r="X84" s="195">
        <f t="shared" si="27"/>
        <v>3.162722752850168</v>
      </c>
      <c r="Z84" s="189">
        <v>82</v>
      </c>
      <c r="AA84" s="196">
        <f>Результаты!W85</f>
        <v>140.22584533691401</v>
      </c>
      <c r="AB84" s="189">
        <f t="shared" si="28"/>
        <v>292.5</v>
      </c>
      <c r="AC84" s="195">
        <f t="shared" si="29"/>
        <v>2.0859207466157477</v>
      </c>
      <c r="AE84" s="189">
        <v>82</v>
      </c>
      <c r="AF84" s="196">
        <f>Результаты!X85</f>
        <v>142.950607299805</v>
      </c>
      <c r="AG84" s="189">
        <f t="shared" si="30"/>
        <v>292.5</v>
      </c>
      <c r="AH84" s="195">
        <f t="shared" si="31"/>
        <v>2.0461612967236342</v>
      </c>
      <c r="AJ84" s="189">
        <v>82</v>
      </c>
      <c r="AK84" s="196">
        <f>Результаты!Y85</f>
        <v>131.73905944824199</v>
      </c>
      <c r="AL84" s="189">
        <f t="shared" si="32"/>
        <v>292.5</v>
      </c>
      <c r="AM84" s="195">
        <f t="shared" si="33"/>
        <v>2.2202982260923019</v>
      </c>
      <c r="AO84" s="189">
        <v>82</v>
      </c>
      <c r="AP84" s="196">
        <f>Результаты!Z85</f>
        <v>48.7145805358887</v>
      </c>
      <c r="AQ84" s="189">
        <f t="shared" si="34"/>
        <v>292.5</v>
      </c>
      <c r="AR84" s="195">
        <f t="shared" si="35"/>
        <v>6.0043624882392495</v>
      </c>
      <c r="AT84" s="189">
        <v>82</v>
      </c>
      <c r="AU84" s="195">
        <f>Результаты!AA85/1.028469</f>
        <v>121.29671234355726</v>
      </c>
      <c r="AV84" s="195">
        <f t="shared" si="36"/>
        <v>295.45454545454544</v>
      </c>
      <c r="AW84" s="195">
        <f t="shared" si="37"/>
        <v>2.4358001115290628</v>
      </c>
      <c r="AY84" s="198"/>
      <c r="AZ84" s="199"/>
      <c r="BA84" s="198"/>
      <c r="BB84" s="198"/>
    </row>
    <row r="85" spans="1:54" ht="15.75" x14ac:dyDescent="0.25">
      <c r="A85">
        <v>95</v>
      </c>
      <c r="B85">
        <v>325</v>
      </c>
      <c r="C85">
        <v>292.5</v>
      </c>
      <c r="D85" s="194">
        <f t="shared" si="19"/>
        <v>295.45454545454544</v>
      </c>
      <c r="F85" s="189">
        <v>83</v>
      </c>
      <c r="G85" s="196">
        <f>Результаты!U86</f>
        <v>110.135856628418</v>
      </c>
      <c r="H85" s="189">
        <f t="shared" si="20"/>
        <v>292.5</v>
      </c>
      <c r="I85" s="195">
        <f t="shared" si="21"/>
        <v>2.6558108226901207</v>
      </c>
      <c r="J85" s="188"/>
      <c r="K85" s="189">
        <v>83</v>
      </c>
      <c r="L85" s="196">
        <f>Результаты!V86</f>
        <v>64.028915405273395</v>
      </c>
      <c r="M85" s="189">
        <f t="shared" si="22"/>
        <v>292.5</v>
      </c>
      <c r="N85" s="195">
        <f t="shared" si="23"/>
        <v>4.5682485506526298</v>
      </c>
      <c r="P85" s="189">
        <v>83</v>
      </c>
      <c r="Q85" s="196">
        <f>Результаты!S86</f>
        <v>84.519927978515597</v>
      </c>
      <c r="R85" s="189">
        <f t="shared" si="24"/>
        <v>325</v>
      </c>
      <c r="S85" s="195">
        <f t="shared" si="25"/>
        <v>3.8452470059204598</v>
      </c>
      <c r="U85" s="189">
        <v>83</v>
      </c>
      <c r="V85" s="196">
        <f>Результаты!T86</f>
        <v>90.825721740722699</v>
      </c>
      <c r="W85" s="189">
        <f t="shared" si="26"/>
        <v>292.5</v>
      </c>
      <c r="X85" s="195">
        <f t="shared" si="27"/>
        <v>3.2204533516946934</v>
      </c>
      <c r="Z85" s="189">
        <v>83</v>
      </c>
      <c r="AA85" s="196">
        <f>Результаты!W86</f>
        <v>97.757591247558594</v>
      </c>
      <c r="AB85" s="189">
        <f t="shared" si="28"/>
        <v>292.5</v>
      </c>
      <c r="AC85" s="195">
        <f t="shared" si="29"/>
        <v>2.992095000165063</v>
      </c>
      <c r="AE85" s="189">
        <v>83</v>
      </c>
      <c r="AF85" s="196">
        <f>Результаты!X86</f>
        <v>97.431747436523395</v>
      </c>
      <c r="AG85" s="189">
        <f t="shared" si="30"/>
        <v>292.5</v>
      </c>
      <c r="AH85" s="195">
        <f t="shared" si="31"/>
        <v>3.0021015500164689</v>
      </c>
      <c r="AJ85" s="189">
        <v>83</v>
      </c>
      <c r="AK85" s="196">
        <f>Результаты!Y86</f>
        <v>90.547203063964801</v>
      </c>
      <c r="AL85" s="189">
        <f t="shared" si="32"/>
        <v>292.5</v>
      </c>
      <c r="AM85" s="195">
        <f t="shared" si="33"/>
        <v>3.2303593054483497</v>
      </c>
      <c r="AO85" s="189">
        <v>83</v>
      </c>
      <c r="AP85" s="196">
        <f>Результаты!Z86</f>
        <v>0.87969970703125</v>
      </c>
      <c r="AQ85" s="189">
        <f t="shared" si="34"/>
        <v>292.5</v>
      </c>
      <c r="AR85" s="195">
        <f t="shared" si="35"/>
        <v>332.49982654547978</v>
      </c>
      <c r="AT85" s="189">
        <v>83</v>
      </c>
      <c r="AU85" s="195">
        <f>Результаты!AA86/1.028469</f>
        <v>78.538813028949136</v>
      </c>
      <c r="AV85" s="195">
        <f t="shared" si="36"/>
        <v>295.45454545454544</v>
      </c>
      <c r="AW85" s="195">
        <f t="shared" si="37"/>
        <v>3.7618921659236424</v>
      </c>
      <c r="AY85" s="198"/>
      <c r="AZ85" s="199"/>
      <c r="BA85" s="198"/>
      <c r="BB85" s="198"/>
    </row>
    <row r="86" spans="1:54" ht="15.75" x14ac:dyDescent="0.25">
      <c r="A86">
        <v>96</v>
      </c>
      <c r="B86">
        <v>325</v>
      </c>
      <c r="C86">
        <v>292.5</v>
      </c>
      <c r="D86" s="194">
        <f t="shared" si="19"/>
        <v>295.45454545454544</v>
      </c>
      <c r="F86" s="189">
        <v>84</v>
      </c>
      <c r="G86" s="196">
        <f>Результаты!U87</f>
        <v>92.11083984375</v>
      </c>
      <c r="H86" s="189">
        <f t="shared" si="20"/>
        <v>292.5</v>
      </c>
      <c r="I86" s="195">
        <f t="shared" si="21"/>
        <v>3.1755220177796155</v>
      </c>
      <c r="J86" s="188"/>
      <c r="K86" s="189">
        <v>84</v>
      </c>
      <c r="L86" s="196">
        <f>Результаты!V87</f>
        <v>138.73947143554699</v>
      </c>
      <c r="M86" s="189">
        <f t="shared" si="22"/>
        <v>292.5</v>
      </c>
      <c r="N86" s="195">
        <f t="shared" si="23"/>
        <v>2.1082680867490851</v>
      </c>
      <c r="P86" s="189">
        <v>84</v>
      </c>
      <c r="Q86" s="196">
        <f>Результаты!S87</f>
        <v>155.352127075195</v>
      </c>
      <c r="R86" s="189">
        <f t="shared" si="24"/>
        <v>325</v>
      </c>
      <c r="S86" s="195">
        <f t="shared" si="25"/>
        <v>2.0920215649360916</v>
      </c>
      <c r="U86" s="189">
        <v>84</v>
      </c>
      <c r="V86" s="196">
        <f>Результаты!T87</f>
        <v>98.226112365722699</v>
      </c>
      <c r="W86" s="189">
        <f t="shared" si="26"/>
        <v>292.5</v>
      </c>
      <c r="X86" s="195">
        <f t="shared" si="27"/>
        <v>2.9778232381929404</v>
      </c>
      <c r="Z86" s="189">
        <v>84</v>
      </c>
      <c r="AA86" s="196">
        <f>Результаты!W87</f>
        <v>145.21524047851599</v>
      </c>
      <c r="AB86" s="189">
        <f t="shared" si="28"/>
        <v>292.5</v>
      </c>
      <c r="AC86" s="195">
        <f t="shared" si="29"/>
        <v>2.0142513901168257</v>
      </c>
      <c r="AE86" s="189">
        <v>84</v>
      </c>
      <c r="AF86" s="196">
        <f>Результаты!X87</f>
        <v>147.43667602539099</v>
      </c>
      <c r="AG86" s="189">
        <f t="shared" si="30"/>
        <v>292.5</v>
      </c>
      <c r="AH86" s="195">
        <f t="shared" si="31"/>
        <v>1.9839025667509402</v>
      </c>
      <c r="AJ86" s="189">
        <v>84</v>
      </c>
      <c r="AK86" s="196">
        <f>Результаты!Y87</f>
        <v>143.679275512695</v>
      </c>
      <c r="AL86" s="189">
        <f t="shared" si="32"/>
        <v>292.5</v>
      </c>
      <c r="AM86" s="195">
        <f t="shared" si="33"/>
        <v>2.0357842072648515</v>
      </c>
      <c r="AO86" s="189">
        <v>84</v>
      </c>
      <c r="AP86" s="196">
        <f>Результаты!Z87</f>
        <v>0.54792445898055997</v>
      </c>
      <c r="AQ86" s="189">
        <f t="shared" si="34"/>
        <v>292.5</v>
      </c>
      <c r="AR86" s="195">
        <f t="shared" si="35"/>
        <v>533.83271216658306</v>
      </c>
      <c r="AT86" s="189">
        <v>84</v>
      </c>
      <c r="AU86" s="195">
        <f>Результаты!AA87/1.028469</f>
        <v>123.75101825969961</v>
      </c>
      <c r="AV86" s="195">
        <f t="shared" si="36"/>
        <v>295.45454545454544</v>
      </c>
      <c r="AW86" s="195">
        <f t="shared" si="37"/>
        <v>2.3874918332753818</v>
      </c>
      <c r="AY86" s="198"/>
      <c r="AZ86" s="199"/>
      <c r="BA86" s="198"/>
      <c r="BB86" s="198"/>
    </row>
    <row r="87" spans="1:54" ht="15.75" x14ac:dyDescent="0.25">
      <c r="A87">
        <v>97</v>
      </c>
      <c r="B87">
        <v>325</v>
      </c>
      <c r="C87">
        <v>292.5</v>
      </c>
      <c r="D87" s="194">
        <f t="shared" si="19"/>
        <v>295.45454545454544</v>
      </c>
      <c r="F87" s="189">
        <v>85</v>
      </c>
      <c r="G87" s="196">
        <f>Результаты!U88</f>
        <v>97.839340209960895</v>
      </c>
      <c r="H87" s="189">
        <f t="shared" si="20"/>
        <v>310.5</v>
      </c>
      <c r="I87" s="195">
        <f t="shared" si="21"/>
        <v>3.1735700520227792</v>
      </c>
      <c r="J87" s="188"/>
      <c r="K87" s="189">
        <v>85</v>
      </c>
      <c r="L87" s="196">
        <f>Результаты!V88</f>
        <v>74.602592468261705</v>
      </c>
      <c r="M87" s="189">
        <f t="shared" si="22"/>
        <v>310.5</v>
      </c>
      <c r="N87" s="195">
        <f t="shared" si="23"/>
        <v>4.1620537534549689</v>
      </c>
      <c r="P87" s="189">
        <v>85</v>
      </c>
      <c r="Q87" s="196">
        <f>Результаты!S88</f>
        <v>49.7098197937012</v>
      </c>
      <c r="R87" s="189">
        <f t="shared" si="24"/>
        <v>345</v>
      </c>
      <c r="S87" s="195">
        <f t="shared" si="25"/>
        <v>6.9402786296906962</v>
      </c>
      <c r="U87" s="189">
        <v>85</v>
      </c>
      <c r="V87" s="196">
        <f>Результаты!T88</f>
        <v>89.744056701660199</v>
      </c>
      <c r="W87" s="189">
        <f t="shared" si="26"/>
        <v>310.5</v>
      </c>
      <c r="X87" s="195">
        <f t="shared" si="27"/>
        <v>3.4598391404592697</v>
      </c>
      <c r="Z87" s="189">
        <v>85</v>
      </c>
      <c r="AA87" s="196">
        <f>Результаты!W88</f>
        <v>18.0674152374268</v>
      </c>
      <c r="AB87" s="189">
        <f t="shared" si="28"/>
        <v>310.5</v>
      </c>
      <c r="AC87" s="195">
        <f t="shared" si="29"/>
        <v>17.185634797211982</v>
      </c>
      <c r="AE87" s="189">
        <v>85</v>
      </c>
      <c r="AF87" s="196">
        <f>Результаты!X88</f>
        <v>18.894468307495099</v>
      </c>
      <c r="AG87" s="189">
        <f t="shared" si="30"/>
        <v>310.5</v>
      </c>
      <c r="AH87" s="195">
        <f t="shared" si="31"/>
        <v>16.433381185795536</v>
      </c>
      <c r="AJ87" s="189">
        <v>85</v>
      </c>
      <c r="AK87" s="196">
        <f>Результаты!Y88</f>
        <v>18.52174949646</v>
      </c>
      <c r="AL87" s="189">
        <f t="shared" si="32"/>
        <v>310.5</v>
      </c>
      <c r="AM87" s="195">
        <f t="shared" si="33"/>
        <v>16.764075124725384</v>
      </c>
      <c r="AO87" s="189">
        <v>85</v>
      </c>
      <c r="AP87" s="196">
        <f>Результаты!Z88</f>
        <v>14.7168846130371</v>
      </c>
      <c r="AQ87" s="189">
        <f t="shared" si="34"/>
        <v>310.5</v>
      </c>
      <c r="AR87" s="195">
        <f t="shared" si="35"/>
        <v>21.0982152924499</v>
      </c>
      <c r="AT87" s="189">
        <v>85</v>
      </c>
      <c r="AU87" s="195">
        <f>Результаты!AA88/1.028469</f>
        <v>27.848244391217431</v>
      </c>
      <c r="AV87" s="195">
        <f t="shared" si="36"/>
        <v>313.63636363636363</v>
      </c>
      <c r="AW87" s="195">
        <f t="shared" si="37"/>
        <v>11.262338811392933</v>
      </c>
      <c r="AY87" s="198"/>
      <c r="AZ87" s="199"/>
      <c r="BA87" s="198"/>
      <c r="BB87" s="198"/>
    </row>
    <row r="88" spans="1:54" ht="15.75" x14ac:dyDescent="0.25">
      <c r="A88">
        <v>98</v>
      </c>
      <c r="B88">
        <v>325</v>
      </c>
      <c r="C88">
        <v>292.5</v>
      </c>
      <c r="D88" s="194">
        <f t="shared" si="19"/>
        <v>295.45454545454544</v>
      </c>
      <c r="F88" s="189">
        <v>86</v>
      </c>
      <c r="G88" s="196">
        <f>Результаты!U89</f>
        <v>73.341865539550795</v>
      </c>
      <c r="H88" s="189">
        <f t="shared" si="20"/>
        <v>310.5</v>
      </c>
      <c r="I88" s="195">
        <f t="shared" si="21"/>
        <v>4.2335983372628805</v>
      </c>
      <c r="J88" s="188"/>
      <c r="K88" s="189">
        <v>86</v>
      </c>
      <c r="L88" s="196">
        <f>Результаты!V89</f>
        <v>53.378459930419901</v>
      </c>
      <c r="M88" s="189">
        <f t="shared" si="22"/>
        <v>310.5</v>
      </c>
      <c r="N88" s="195">
        <f t="shared" si="23"/>
        <v>5.8169531381149655</v>
      </c>
      <c r="P88" s="189">
        <v>86</v>
      </c>
      <c r="Q88" s="196">
        <f>Результаты!S89</f>
        <v>36.238269805908203</v>
      </c>
      <c r="R88" s="189">
        <f t="shared" si="24"/>
        <v>345</v>
      </c>
      <c r="S88" s="195">
        <f t="shared" si="25"/>
        <v>9.5203220751933362</v>
      </c>
      <c r="U88" s="189">
        <v>86</v>
      </c>
      <c r="V88" s="196">
        <f>Результаты!T89</f>
        <v>67.577072143554702</v>
      </c>
      <c r="W88" s="189">
        <f t="shared" si="26"/>
        <v>310.5</v>
      </c>
      <c r="X88" s="195">
        <f t="shared" si="27"/>
        <v>4.5947536664565982</v>
      </c>
      <c r="Z88" s="189">
        <v>86</v>
      </c>
      <c r="AA88" s="196">
        <f>Результаты!W89</f>
        <v>13.8707599639893</v>
      </c>
      <c r="AB88" s="189">
        <f t="shared" si="28"/>
        <v>310.5</v>
      </c>
      <c r="AC88" s="195">
        <f t="shared" si="29"/>
        <v>22.385219036744015</v>
      </c>
      <c r="AE88" s="189">
        <v>86</v>
      </c>
      <c r="AF88" s="196">
        <f>Результаты!X89</f>
        <v>14.238324165344199</v>
      </c>
      <c r="AG88" s="189">
        <f t="shared" si="30"/>
        <v>310.5</v>
      </c>
      <c r="AH88" s="195">
        <f t="shared" si="31"/>
        <v>21.807341678296023</v>
      </c>
      <c r="AJ88" s="189">
        <v>86</v>
      </c>
      <c r="AK88" s="196">
        <f>Результаты!Y89</f>
        <v>14.0525465011597</v>
      </c>
      <c r="AL88" s="189">
        <f t="shared" si="32"/>
        <v>310.5</v>
      </c>
      <c r="AM88" s="195">
        <f t="shared" si="33"/>
        <v>22.095639389940867</v>
      </c>
      <c r="AO88" s="189">
        <v>86</v>
      </c>
      <c r="AP88" s="196">
        <f>Результаты!Z89</f>
        <v>10.153608322143601</v>
      </c>
      <c r="AQ88" s="189">
        <f t="shared" si="34"/>
        <v>310.5</v>
      </c>
      <c r="AR88" s="195">
        <f t="shared" si="35"/>
        <v>30.580261730486775</v>
      </c>
      <c r="AT88" s="189">
        <v>86</v>
      </c>
      <c r="AU88" s="195">
        <f>Результаты!AA89/1.028469</f>
        <v>20.840041127087542</v>
      </c>
      <c r="AV88" s="195">
        <f t="shared" si="36"/>
        <v>313.63636363636363</v>
      </c>
      <c r="AW88" s="195">
        <f t="shared" si="37"/>
        <v>15.049699840980844</v>
      </c>
      <c r="AY88" s="198"/>
      <c r="AZ88" s="199"/>
      <c r="BA88" s="198"/>
      <c r="BB88" s="198"/>
    </row>
    <row r="89" spans="1:54" ht="15.75" x14ac:dyDescent="0.25">
      <c r="A89">
        <v>99</v>
      </c>
      <c r="B89">
        <v>325</v>
      </c>
      <c r="C89">
        <v>292.5</v>
      </c>
      <c r="D89" s="194">
        <f t="shared" si="19"/>
        <v>295.45454545454544</v>
      </c>
      <c r="F89" s="189">
        <v>87</v>
      </c>
      <c r="G89" s="196">
        <f>Результаты!U90</f>
        <v>31.457048416137699</v>
      </c>
      <c r="H89" s="189">
        <f t="shared" si="20"/>
        <v>310.5</v>
      </c>
      <c r="I89" s="195">
        <f t="shared" si="21"/>
        <v>9.8706018407216867</v>
      </c>
      <c r="J89" s="188"/>
      <c r="K89" s="189">
        <v>87</v>
      </c>
      <c r="L89" s="196">
        <f>Результаты!V90</f>
        <v>24.529468536376999</v>
      </c>
      <c r="M89" s="189">
        <f t="shared" si="22"/>
        <v>310.5</v>
      </c>
      <c r="N89" s="195">
        <f t="shared" si="23"/>
        <v>12.658244084641748</v>
      </c>
      <c r="P89" s="189">
        <v>87</v>
      </c>
      <c r="Q89" s="196">
        <f>Результаты!S90</f>
        <v>18.879219055175799</v>
      </c>
      <c r="R89" s="189">
        <f t="shared" si="24"/>
        <v>345</v>
      </c>
      <c r="S89" s="195">
        <f t="shared" si="25"/>
        <v>18.274060965748323</v>
      </c>
      <c r="U89" s="189">
        <v>87</v>
      </c>
      <c r="V89" s="196">
        <f>Результаты!T90</f>
        <v>20.592954635620099</v>
      </c>
      <c r="W89" s="189">
        <f t="shared" si="26"/>
        <v>310.5</v>
      </c>
      <c r="X89" s="195">
        <f t="shared" si="27"/>
        <v>15.077972320830597</v>
      </c>
      <c r="Z89" s="189">
        <v>87</v>
      </c>
      <c r="AA89" s="196">
        <f>Результаты!W90</f>
        <v>3.9429273605346702</v>
      </c>
      <c r="AB89" s="189">
        <f t="shared" si="28"/>
        <v>310.5</v>
      </c>
      <c r="AC89" s="195">
        <f t="shared" si="29"/>
        <v>78.748597579513984</v>
      </c>
      <c r="AE89" s="189">
        <v>87</v>
      </c>
      <c r="AF89" s="196">
        <f>Результаты!X90</f>
        <v>5.0278410911560103</v>
      </c>
      <c r="AG89" s="189">
        <f t="shared" si="30"/>
        <v>310.5</v>
      </c>
      <c r="AH89" s="195">
        <f t="shared" si="31"/>
        <v>61.756128399954918</v>
      </c>
      <c r="AJ89" s="189">
        <v>87</v>
      </c>
      <c r="AK89" s="196">
        <f>Результаты!Y90</f>
        <v>5.2078366279602104</v>
      </c>
      <c r="AL89" s="189">
        <f t="shared" si="32"/>
        <v>310.5</v>
      </c>
      <c r="AM89" s="195">
        <f t="shared" si="33"/>
        <v>59.621685967060699</v>
      </c>
      <c r="AO89" s="189">
        <v>87</v>
      </c>
      <c r="AP89" s="196">
        <f>Результаты!Z90</f>
        <v>4.4710826873779297</v>
      </c>
      <c r="AQ89" s="189">
        <f t="shared" si="34"/>
        <v>310.5</v>
      </c>
      <c r="AR89" s="195">
        <f t="shared" si="35"/>
        <v>69.446266533284131</v>
      </c>
      <c r="AT89" s="189">
        <v>87</v>
      </c>
      <c r="AU89" s="195">
        <f>Результаты!AA90/1.028469</f>
        <v>7.2170308527722957</v>
      </c>
      <c r="AV89" s="195">
        <f t="shared" si="36"/>
        <v>313.63636363636363</v>
      </c>
      <c r="AW89" s="195">
        <f t="shared" si="37"/>
        <v>43.457811118527466</v>
      </c>
      <c r="AY89" s="198"/>
      <c r="AZ89" s="199"/>
      <c r="BA89" s="198"/>
      <c r="BB89" s="198"/>
    </row>
    <row r="90" spans="1:54" ht="15.75" x14ac:dyDescent="0.25">
      <c r="A90">
        <v>100</v>
      </c>
      <c r="B90">
        <v>325</v>
      </c>
      <c r="C90">
        <v>292.5</v>
      </c>
      <c r="D90" s="194">
        <f t="shared" si="19"/>
        <v>295.45454545454544</v>
      </c>
      <c r="F90" s="189">
        <v>88</v>
      </c>
      <c r="G90" s="196">
        <f>Результаты!U91</f>
        <v>189.94340515136699</v>
      </c>
      <c r="H90" s="189">
        <f t="shared" si="20"/>
        <v>310.5</v>
      </c>
      <c r="I90" s="195">
        <f t="shared" si="21"/>
        <v>1.634697449761737</v>
      </c>
      <c r="J90" s="188"/>
      <c r="K90" s="189">
        <v>88</v>
      </c>
      <c r="L90" s="196">
        <f>Результаты!V91</f>
        <v>246.60748291015599</v>
      </c>
      <c r="M90" s="189">
        <f t="shared" si="22"/>
        <v>310.5</v>
      </c>
      <c r="N90" s="195">
        <f t="shared" si="23"/>
        <v>1.2590858814820365</v>
      </c>
      <c r="P90" s="189">
        <v>88</v>
      </c>
      <c r="Q90" s="196">
        <f>Результаты!S91</f>
        <v>52.361759185791001</v>
      </c>
      <c r="R90" s="189">
        <f t="shared" si="24"/>
        <v>345</v>
      </c>
      <c r="S90" s="195">
        <f t="shared" si="25"/>
        <v>6.5887778669899983</v>
      </c>
      <c r="U90" s="189">
        <v>88</v>
      </c>
      <c r="V90" s="196">
        <f>Результаты!T91</f>
        <v>20.801021575927699</v>
      </c>
      <c r="W90" s="189">
        <f t="shared" si="26"/>
        <v>310.5</v>
      </c>
      <c r="X90" s="195">
        <f t="shared" si="27"/>
        <v>14.927151479873993</v>
      </c>
      <c r="Z90" s="189">
        <v>88</v>
      </c>
      <c r="AA90" s="196">
        <f>Результаты!W91</f>
        <v>17.703710556030298</v>
      </c>
      <c r="AB90" s="189">
        <f t="shared" si="28"/>
        <v>310.5</v>
      </c>
      <c r="AC90" s="195">
        <f t="shared" si="29"/>
        <v>17.538696140410885</v>
      </c>
      <c r="AE90" s="189">
        <v>88</v>
      </c>
      <c r="AF90" s="196">
        <f>Результаты!X91</f>
        <v>17.735712051391602</v>
      </c>
      <c r="AG90" s="189">
        <f t="shared" si="30"/>
        <v>310.5</v>
      </c>
      <c r="AH90" s="195">
        <f t="shared" si="31"/>
        <v>17.507050131411958</v>
      </c>
      <c r="AJ90" s="189">
        <v>88</v>
      </c>
      <c r="AK90" s="196">
        <f>Результаты!Y91</f>
        <v>17.365791320800799</v>
      </c>
      <c r="AL90" s="189">
        <f t="shared" si="32"/>
        <v>310.5</v>
      </c>
      <c r="AM90" s="195">
        <f t="shared" si="33"/>
        <v>17.879979913617994</v>
      </c>
      <c r="AO90" s="189">
        <v>88</v>
      </c>
      <c r="AP90" s="196">
        <f>Результаты!Z91</f>
        <v>82.949089050292997</v>
      </c>
      <c r="AQ90" s="189">
        <f t="shared" si="34"/>
        <v>310.5</v>
      </c>
      <c r="AR90" s="195">
        <f t="shared" si="35"/>
        <v>3.7432599146657322</v>
      </c>
      <c r="AT90" s="189">
        <v>88</v>
      </c>
      <c r="AU90" s="195">
        <f>Результаты!AA91/1.028469</f>
        <v>16.665052741077758</v>
      </c>
      <c r="AV90" s="195">
        <f t="shared" si="36"/>
        <v>313.63636363636363</v>
      </c>
      <c r="AW90" s="195">
        <f t="shared" si="37"/>
        <v>18.820004263369658</v>
      </c>
      <c r="AY90" s="198"/>
      <c r="AZ90" s="199"/>
      <c r="BA90" s="198"/>
      <c r="BB90" s="198"/>
    </row>
    <row r="91" spans="1:54" ht="15.75" x14ac:dyDescent="0.25">
      <c r="A91">
        <v>101</v>
      </c>
      <c r="B91">
        <v>325</v>
      </c>
      <c r="C91">
        <v>292.5</v>
      </c>
      <c r="D91" s="194">
        <f t="shared" si="19"/>
        <v>295.45454545454544</v>
      </c>
      <c r="F91" s="189">
        <v>89</v>
      </c>
      <c r="G91" s="196">
        <f>Результаты!U92</f>
        <v>192.44960021972699</v>
      </c>
      <c r="H91" s="189">
        <f t="shared" si="20"/>
        <v>310.5</v>
      </c>
      <c r="I91" s="195">
        <f t="shared" si="21"/>
        <v>1.6134094310691756</v>
      </c>
      <c r="J91" s="188"/>
      <c r="K91" s="189">
        <v>89</v>
      </c>
      <c r="L91" s="196">
        <f>Результаты!V92</f>
        <v>189.46466064453099</v>
      </c>
      <c r="M91" s="189">
        <f t="shared" si="22"/>
        <v>310.5</v>
      </c>
      <c r="N91" s="195">
        <f t="shared" si="23"/>
        <v>1.6388280481633066</v>
      </c>
      <c r="P91" s="189">
        <v>89</v>
      </c>
      <c r="Q91" s="196">
        <f>Результаты!S92</f>
        <v>51.6686820983887</v>
      </c>
      <c r="R91" s="189">
        <f t="shared" si="24"/>
        <v>345</v>
      </c>
      <c r="S91" s="195">
        <f t="shared" si="25"/>
        <v>6.6771588898482648</v>
      </c>
      <c r="U91" s="189">
        <v>89</v>
      </c>
      <c r="V91" s="196">
        <f>Результаты!T92</f>
        <v>21.934297561645501</v>
      </c>
      <c r="W91" s="189">
        <f t="shared" si="26"/>
        <v>310.5</v>
      </c>
      <c r="X91" s="195">
        <f t="shared" si="27"/>
        <v>14.155912635330658</v>
      </c>
      <c r="Z91" s="189">
        <v>89</v>
      </c>
      <c r="AA91" s="196">
        <f>Результаты!W92</f>
        <v>18.0814418792725</v>
      </c>
      <c r="AB91" s="189">
        <f t="shared" si="28"/>
        <v>310.5</v>
      </c>
      <c r="AC91" s="195">
        <f t="shared" si="29"/>
        <v>17.172303075892355</v>
      </c>
      <c r="AE91" s="189">
        <v>89</v>
      </c>
      <c r="AF91" s="196">
        <f>Результаты!X92</f>
        <v>18.006532669067401</v>
      </c>
      <c r="AG91" s="189">
        <f t="shared" si="30"/>
        <v>310.5</v>
      </c>
      <c r="AH91" s="195">
        <f t="shared" si="31"/>
        <v>17.243741796742121</v>
      </c>
      <c r="AJ91" s="189">
        <v>89</v>
      </c>
      <c r="AK91" s="196">
        <f>Результаты!Y92</f>
        <v>17.377906799316399</v>
      </c>
      <c r="AL91" s="189">
        <f t="shared" si="32"/>
        <v>310.5</v>
      </c>
      <c r="AM91" s="195">
        <f t="shared" si="33"/>
        <v>17.867514401228934</v>
      </c>
      <c r="AO91" s="189">
        <v>89</v>
      </c>
      <c r="AP91" s="196">
        <f>Результаты!Z92</f>
        <v>90.525695800781307</v>
      </c>
      <c r="AQ91" s="189">
        <f t="shared" si="34"/>
        <v>310.5</v>
      </c>
      <c r="AR91" s="195">
        <f t="shared" si="35"/>
        <v>3.4299653513110049</v>
      </c>
      <c r="AT91" s="189">
        <v>89</v>
      </c>
      <c r="AU91" s="195">
        <f>Результаты!AA92/1.028469</f>
        <v>18.53838704650223</v>
      </c>
      <c r="AV91" s="195">
        <f t="shared" si="36"/>
        <v>313.63636363636363</v>
      </c>
      <c r="AW91" s="195">
        <f t="shared" si="37"/>
        <v>16.91821207797793</v>
      </c>
      <c r="AY91" s="198"/>
      <c r="AZ91" s="199"/>
      <c r="BA91" s="198"/>
      <c r="BB91" s="198"/>
    </row>
    <row r="92" spans="1:54" ht="15.75" x14ac:dyDescent="0.25">
      <c r="A92">
        <v>102</v>
      </c>
      <c r="B92">
        <v>325</v>
      </c>
      <c r="C92">
        <v>292.5</v>
      </c>
      <c r="D92" s="194">
        <f t="shared" si="19"/>
        <v>295.45454545454544</v>
      </c>
      <c r="F92" s="189">
        <v>90</v>
      </c>
      <c r="G92" s="196">
        <f>Результаты!U93</f>
        <v>43.875804901122997</v>
      </c>
      <c r="H92" s="189">
        <f t="shared" si="20"/>
        <v>310.5</v>
      </c>
      <c r="I92" s="195">
        <f t="shared" si="21"/>
        <v>7.0767932508527673</v>
      </c>
      <c r="J92" s="188"/>
      <c r="K92" s="189">
        <v>90</v>
      </c>
      <c r="L92" s="196">
        <f>Результаты!V93</f>
        <v>81.785354614257798</v>
      </c>
      <c r="M92" s="189">
        <f t="shared" si="22"/>
        <v>310.5</v>
      </c>
      <c r="N92" s="195">
        <f t="shared" si="23"/>
        <v>3.7965232463009939</v>
      </c>
      <c r="P92" s="189">
        <v>90</v>
      </c>
      <c r="Q92" s="196">
        <f>Результаты!S93</f>
        <v>2.2563669681549099</v>
      </c>
      <c r="R92" s="189">
        <f t="shared" si="24"/>
        <v>345</v>
      </c>
      <c r="S92" s="195">
        <f t="shared" si="25"/>
        <v>152.90066060580364</v>
      </c>
      <c r="U92" s="189">
        <v>90</v>
      </c>
      <c r="V92" s="196">
        <f>Результаты!T93</f>
        <v>18.5813083648682</v>
      </c>
      <c r="W92" s="189">
        <f t="shared" si="26"/>
        <v>310.5</v>
      </c>
      <c r="X92" s="195">
        <f t="shared" si="27"/>
        <v>16.710341053650687</v>
      </c>
      <c r="Z92" s="189">
        <v>90</v>
      </c>
      <c r="AA92" s="196">
        <f>Результаты!W93</f>
        <v>1.3921947479248</v>
      </c>
      <c r="AB92" s="189">
        <f t="shared" si="28"/>
        <v>310.5</v>
      </c>
      <c r="AC92" s="195">
        <f t="shared" si="29"/>
        <v>223.02914190908282</v>
      </c>
      <c r="AE92" s="189">
        <v>90</v>
      </c>
      <c r="AF92" s="196">
        <f>Результаты!X93</f>
        <v>2.4005315303802499</v>
      </c>
      <c r="AG92" s="189">
        <f t="shared" si="30"/>
        <v>310.5</v>
      </c>
      <c r="AH92" s="195">
        <f t="shared" si="31"/>
        <v>129.3463535348007</v>
      </c>
      <c r="AJ92" s="189">
        <v>90</v>
      </c>
      <c r="AK92" s="196">
        <f>Результаты!Y93</f>
        <v>3.25305080413818</v>
      </c>
      <c r="AL92" s="189">
        <f t="shared" si="32"/>
        <v>310.5</v>
      </c>
      <c r="AM92" s="195">
        <f t="shared" si="33"/>
        <v>95.44886283516243</v>
      </c>
      <c r="AO92" s="189">
        <v>90</v>
      </c>
      <c r="AP92" s="196">
        <f>Результаты!Z93</f>
        <v>3.40724754333496</v>
      </c>
      <c r="AQ92" s="189">
        <f t="shared" si="34"/>
        <v>310.5</v>
      </c>
      <c r="AR92" s="195">
        <f t="shared" si="35"/>
        <v>91.129275478495913</v>
      </c>
      <c r="AT92" s="189">
        <v>90</v>
      </c>
      <c r="AU92" s="195">
        <f>Результаты!AA93/1.028469</f>
        <v>5.3712431266977712</v>
      </c>
      <c r="AV92" s="195">
        <f t="shared" si="36"/>
        <v>313.63636363636363</v>
      </c>
      <c r="AW92" s="195">
        <f t="shared" si="37"/>
        <v>58.391764483241069</v>
      </c>
      <c r="AY92" s="198"/>
      <c r="AZ92" s="199"/>
      <c r="BA92" s="198"/>
      <c r="BB92" s="198"/>
    </row>
    <row r="93" spans="1:54" ht="15.75" x14ac:dyDescent="0.25">
      <c r="D93" s="194">
        <f t="shared" si="19"/>
        <v>0</v>
      </c>
      <c r="F93" s="189">
        <v>91</v>
      </c>
      <c r="G93" s="196">
        <f>Результаты!U94</f>
        <v>70.722274780273395</v>
      </c>
      <c r="H93" s="189">
        <f t="shared" si="20"/>
        <v>310.5</v>
      </c>
      <c r="I93" s="195">
        <f t="shared" si="21"/>
        <v>4.3904130765687412</v>
      </c>
      <c r="J93" s="188"/>
      <c r="K93" s="189">
        <v>91</v>
      </c>
      <c r="L93" s="196">
        <f>Результаты!V94</f>
        <v>147.80978393554699</v>
      </c>
      <c r="M93" s="189">
        <f t="shared" si="22"/>
        <v>310.5</v>
      </c>
      <c r="N93" s="195">
        <f t="shared" si="23"/>
        <v>2.1006728494738529</v>
      </c>
      <c r="P93" s="189">
        <v>91</v>
      </c>
      <c r="Q93" s="196">
        <f>Результаты!S94</f>
        <v>10.6812887191772</v>
      </c>
      <c r="R93" s="189">
        <f t="shared" si="24"/>
        <v>345</v>
      </c>
      <c r="S93" s="195">
        <f t="shared" si="25"/>
        <v>32.299473319224724</v>
      </c>
      <c r="U93" s="189">
        <v>91</v>
      </c>
      <c r="V93" s="196">
        <f>Результаты!T94</f>
        <v>47.7035942077637</v>
      </c>
      <c r="W93" s="189">
        <f t="shared" si="26"/>
        <v>310.5</v>
      </c>
      <c r="X93" s="195">
        <f t="shared" si="27"/>
        <v>6.5089435116288685</v>
      </c>
      <c r="Z93" s="189">
        <v>91</v>
      </c>
      <c r="AA93" s="196">
        <f>Результаты!W94</f>
        <v>9.8188190460205096</v>
      </c>
      <c r="AB93" s="189">
        <f t="shared" si="28"/>
        <v>310.5</v>
      </c>
      <c r="AC93" s="195">
        <f t="shared" si="29"/>
        <v>31.622947581037582</v>
      </c>
      <c r="AE93" s="189">
        <v>91</v>
      </c>
      <c r="AF93" s="196">
        <f>Результаты!X94</f>
        <v>16.234289169311499</v>
      </c>
      <c r="AG93" s="189">
        <f t="shared" si="30"/>
        <v>310.5</v>
      </c>
      <c r="AH93" s="195">
        <f t="shared" si="31"/>
        <v>19.126183891497629</v>
      </c>
      <c r="AJ93" s="189">
        <v>91</v>
      </c>
      <c r="AK93" s="196">
        <f>Результаты!Y94</f>
        <v>17.014471054077099</v>
      </c>
      <c r="AL93" s="189">
        <f t="shared" si="32"/>
        <v>310.5</v>
      </c>
      <c r="AM93" s="195">
        <f t="shared" si="33"/>
        <v>18.249171485445405</v>
      </c>
      <c r="AO93" s="189">
        <v>91</v>
      </c>
      <c r="AP93" s="196">
        <f>Результаты!Z94</f>
        <v>3.86456370353699</v>
      </c>
      <c r="AQ93" s="189">
        <f t="shared" si="34"/>
        <v>310.5</v>
      </c>
      <c r="AR93" s="195">
        <f t="shared" si="35"/>
        <v>80.345421584283642</v>
      </c>
      <c r="AT93" s="189">
        <v>91</v>
      </c>
      <c r="AU93" s="195">
        <f>Результаты!AA94/1.028469</f>
        <v>11.721197941095745</v>
      </c>
      <c r="AV93" s="195">
        <f t="shared" si="36"/>
        <v>313.63636363636363</v>
      </c>
      <c r="AW93" s="195">
        <f t="shared" si="37"/>
        <v>26.758046849180982</v>
      </c>
      <c r="AY93" s="198"/>
      <c r="AZ93" s="199"/>
      <c r="BA93" s="198"/>
      <c r="BB93" s="198"/>
    </row>
    <row r="94" spans="1:54" ht="15.75" x14ac:dyDescent="0.25">
      <c r="A94">
        <v>7</v>
      </c>
      <c r="B94">
        <v>305</v>
      </c>
      <c r="C94">
        <v>274.5</v>
      </c>
      <c r="D94" s="194">
        <f t="shared" si="19"/>
        <v>277.27272727272725</v>
      </c>
      <c r="F94" s="189">
        <v>92</v>
      </c>
      <c r="G94" s="196">
        <f>Результаты!U95</f>
        <v>63.035980224609403</v>
      </c>
      <c r="H94" s="189">
        <f t="shared" si="20"/>
        <v>310.5</v>
      </c>
      <c r="I94" s="195">
        <f t="shared" si="21"/>
        <v>4.9257582557394741</v>
      </c>
      <c r="J94" s="188"/>
      <c r="K94" s="189">
        <v>92</v>
      </c>
      <c r="L94" s="196">
        <f>Результаты!V95</f>
        <v>43.919242858886697</v>
      </c>
      <c r="M94" s="189">
        <f t="shared" si="22"/>
        <v>310.5</v>
      </c>
      <c r="N94" s="195">
        <f t="shared" si="23"/>
        <v>7.0697940080078787</v>
      </c>
      <c r="P94" s="189">
        <v>92</v>
      </c>
      <c r="Q94" s="196">
        <f>Результаты!S95</f>
        <v>8.8867435455322301</v>
      </c>
      <c r="R94" s="189">
        <f t="shared" si="24"/>
        <v>345</v>
      </c>
      <c r="S94" s="195">
        <f t="shared" si="25"/>
        <v>38.821869702029062</v>
      </c>
      <c r="U94" s="189">
        <v>92</v>
      </c>
      <c r="V94" s="196">
        <f>Результаты!T95</f>
        <v>26.7164707183838</v>
      </c>
      <c r="W94" s="189">
        <f t="shared" si="26"/>
        <v>310.5</v>
      </c>
      <c r="X94" s="195">
        <f t="shared" si="27"/>
        <v>11.622044066858827</v>
      </c>
      <c r="Z94" s="189">
        <v>92</v>
      </c>
      <c r="AA94" s="196">
        <f>Результаты!W95</f>
        <v>9.8162193298339808</v>
      </c>
      <c r="AB94" s="189">
        <f t="shared" si="28"/>
        <v>310.5</v>
      </c>
      <c r="AC94" s="195">
        <f t="shared" si="29"/>
        <v>31.631322565940611</v>
      </c>
      <c r="AE94" s="189">
        <v>92</v>
      </c>
      <c r="AF94" s="196">
        <f>Результаты!X95</f>
        <v>13.2363986968994</v>
      </c>
      <c r="AG94" s="189">
        <f t="shared" si="30"/>
        <v>310.5</v>
      </c>
      <c r="AH94" s="195">
        <f t="shared" si="31"/>
        <v>23.458042259843232</v>
      </c>
      <c r="AJ94" s="189">
        <v>92</v>
      </c>
      <c r="AK94" s="196">
        <f>Результаты!Y95</f>
        <v>13.2904605865479</v>
      </c>
      <c r="AL94" s="189">
        <f t="shared" si="32"/>
        <v>310.5</v>
      </c>
      <c r="AM94" s="195">
        <f t="shared" si="33"/>
        <v>23.362621481626931</v>
      </c>
      <c r="AO94" s="189">
        <v>92</v>
      </c>
      <c r="AP94" s="196">
        <f>Результаты!Z95</f>
        <v>1.6448825597763099</v>
      </c>
      <c r="AQ94" s="189">
        <f t="shared" si="34"/>
        <v>310.5</v>
      </c>
      <c r="AR94" s="195">
        <f t="shared" si="35"/>
        <v>188.76727590948826</v>
      </c>
      <c r="AT94" s="189">
        <v>92</v>
      </c>
      <c r="AU94" s="195">
        <f>Результаты!AA95/1.028469</f>
        <v>4.8123258413323393</v>
      </c>
      <c r="AV94" s="195">
        <f t="shared" si="36"/>
        <v>313.63636363636363</v>
      </c>
      <c r="AW94" s="195">
        <f t="shared" si="37"/>
        <v>65.173550997438355</v>
      </c>
      <c r="AY94" s="198"/>
      <c r="AZ94" s="199"/>
      <c r="BA94" s="198"/>
      <c r="BB94" s="198"/>
    </row>
    <row r="95" spans="1:54" ht="15.75" x14ac:dyDescent="0.25">
      <c r="A95">
        <v>8</v>
      </c>
      <c r="B95">
        <v>305</v>
      </c>
      <c r="C95">
        <v>274.5</v>
      </c>
      <c r="D95" s="194">
        <f t="shared" si="19"/>
        <v>277.27272727272725</v>
      </c>
      <c r="F95" s="189">
        <v>93</v>
      </c>
      <c r="G95" s="196">
        <f>Результаты!U96</f>
        <v>29.140443801879901</v>
      </c>
      <c r="H95" s="189">
        <f t="shared" si="20"/>
        <v>310.5</v>
      </c>
      <c r="I95" s="195">
        <f t="shared" si="21"/>
        <v>10.65529413728315</v>
      </c>
      <c r="J95" s="188"/>
      <c r="K95" s="189">
        <v>93</v>
      </c>
      <c r="L95" s="196">
        <f>Результаты!V96</f>
        <v>9.0840559005737305</v>
      </c>
      <c r="M95" s="189">
        <f t="shared" si="22"/>
        <v>310.5</v>
      </c>
      <c r="N95" s="195">
        <f t="shared" si="23"/>
        <v>34.180767203379872</v>
      </c>
      <c r="P95" s="189">
        <v>93</v>
      </c>
      <c r="Q95" s="196">
        <f>Результаты!S96</f>
        <v>0.88598936796188399</v>
      </c>
      <c r="R95" s="189">
        <f t="shared" si="24"/>
        <v>345</v>
      </c>
      <c r="S95" s="195">
        <f t="shared" si="25"/>
        <v>389.39519194641417</v>
      </c>
      <c r="U95" s="189">
        <v>93</v>
      </c>
      <c r="V95" s="196">
        <f>Результаты!T96</f>
        <v>7.4466180801391602</v>
      </c>
      <c r="W95" s="189">
        <f t="shared" si="26"/>
        <v>310.5</v>
      </c>
      <c r="X95" s="195">
        <f t="shared" si="27"/>
        <v>41.696780559772911</v>
      </c>
      <c r="Z95" s="189">
        <v>93</v>
      </c>
      <c r="AA95" s="196">
        <f>Результаты!W96</f>
        <v>1.8860511779785201</v>
      </c>
      <c r="AB95" s="189">
        <f t="shared" si="28"/>
        <v>310.5</v>
      </c>
      <c r="AC95" s="195">
        <f t="shared" si="29"/>
        <v>164.62967899566522</v>
      </c>
      <c r="AE95" s="189">
        <v>93</v>
      </c>
      <c r="AF95" s="196">
        <f>Результаты!X96</f>
        <v>2.5178866386413601</v>
      </c>
      <c r="AG95" s="189">
        <f t="shared" si="30"/>
        <v>310.5</v>
      </c>
      <c r="AH95" s="195">
        <f t="shared" si="31"/>
        <v>123.31770431394177</v>
      </c>
      <c r="AJ95" s="189">
        <v>93</v>
      </c>
      <c r="AK95" s="196">
        <f>Результаты!Y96</f>
        <v>2.5297925472259499</v>
      </c>
      <c r="AL95" s="189">
        <f t="shared" si="32"/>
        <v>310.5</v>
      </c>
      <c r="AM95" s="195">
        <f t="shared" si="33"/>
        <v>122.73733683834254</v>
      </c>
      <c r="AO95" s="189">
        <v>93</v>
      </c>
      <c r="AP95" s="196">
        <f>Результаты!Z96</f>
        <v>1.6323102712631199</v>
      </c>
      <c r="AQ95" s="189">
        <f t="shared" si="34"/>
        <v>310.5</v>
      </c>
      <c r="AR95" s="195">
        <f t="shared" si="35"/>
        <v>190.22118862226347</v>
      </c>
      <c r="AT95" s="189">
        <v>93</v>
      </c>
      <c r="AU95" s="195">
        <f>Результаты!AA96/1.028469</f>
        <v>0.49437304291281797</v>
      </c>
      <c r="AV95" s="195">
        <f t="shared" si="36"/>
        <v>313.63636363636363</v>
      </c>
      <c r="AW95" s="195">
        <f t="shared" si="37"/>
        <v>634.41234940407742</v>
      </c>
      <c r="AY95" s="198"/>
      <c r="AZ95" s="199"/>
      <c r="BA95" s="198"/>
      <c r="BB95" s="198"/>
    </row>
    <row r="96" spans="1:54" ht="15.75" x14ac:dyDescent="0.25">
      <c r="A96">
        <v>9</v>
      </c>
      <c r="B96">
        <v>305</v>
      </c>
      <c r="C96">
        <v>274.5</v>
      </c>
      <c r="D96" s="194">
        <f t="shared" si="19"/>
        <v>277.27272727272725</v>
      </c>
      <c r="F96" s="189">
        <v>94</v>
      </c>
      <c r="G96" s="196">
        <f>Результаты!U97</f>
        <v>48.600154876708999</v>
      </c>
      <c r="H96" s="189">
        <f t="shared" si="20"/>
        <v>310.5</v>
      </c>
      <c r="I96" s="195">
        <f t="shared" si="21"/>
        <v>6.3888685290754728</v>
      </c>
      <c r="J96" s="188"/>
      <c r="K96" s="189">
        <v>94</v>
      </c>
      <c r="L96" s="196">
        <f>Результаты!V97</f>
        <v>3.79375171661377</v>
      </c>
      <c r="M96" s="189">
        <f t="shared" si="22"/>
        <v>310.5</v>
      </c>
      <c r="N96" s="195">
        <f t="shared" si="23"/>
        <v>81.84510299929336</v>
      </c>
      <c r="P96" s="189">
        <v>94</v>
      </c>
      <c r="Q96" s="196">
        <f>Результаты!S97</f>
        <v>0.30470284819603</v>
      </c>
      <c r="R96" s="189">
        <f t="shared" si="24"/>
        <v>345</v>
      </c>
      <c r="S96" s="195">
        <f t="shared" si="25"/>
        <v>1132.2506568039853</v>
      </c>
      <c r="U96" s="189">
        <v>94</v>
      </c>
      <c r="V96" s="196">
        <f>Результаты!T97</f>
        <v>7.3084678649902299</v>
      </c>
      <c r="W96" s="189">
        <f t="shared" si="26"/>
        <v>310.5</v>
      </c>
      <c r="X96" s="195">
        <f t="shared" si="27"/>
        <v>42.484964801909967</v>
      </c>
      <c r="Z96" s="189">
        <v>94</v>
      </c>
      <c r="AA96" s="196">
        <f>Результаты!W97</f>
        <v>1.5983302593231199</v>
      </c>
      <c r="AB96" s="189">
        <f t="shared" si="28"/>
        <v>310.5</v>
      </c>
      <c r="AC96" s="195">
        <f t="shared" si="29"/>
        <v>194.26523285087168</v>
      </c>
      <c r="AE96" s="189">
        <v>94</v>
      </c>
      <c r="AF96" s="196">
        <f>Результаты!X97</f>
        <v>1.72010290622711</v>
      </c>
      <c r="AG96" s="189">
        <f t="shared" si="30"/>
        <v>310.5</v>
      </c>
      <c r="AH96" s="195">
        <f t="shared" si="31"/>
        <v>180.51245589780069</v>
      </c>
      <c r="AJ96" s="189">
        <v>94</v>
      </c>
      <c r="AK96" s="196">
        <f>Результаты!Y97</f>
        <v>1.7297211885452299</v>
      </c>
      <c r="AL96" s="189">
        <f t="shared" si="32"/>
        <v>310.5</v>
      </c>
      <c r="AM96" s="195">
        <f t="shared" si="33"/>
        <v>179.50869889102987</v>
      </c>
      <c r="AO96" s="189">
        <v>94</v>
      </c>
      <c r="AP96" s="196">
        <f>Результаты!Z97</f>
        <v>0.99705290794372603</v>
      </c>
      <c r="AQ96" s="189">
        <f t="shared" si="34"/>
        <v>310.5</v>
      </c>
      <c r="AR96" s="195">
        <f t="shared" si="35"/>
        <v>311.41777685635589</v>
      </c>
      <c r="AT96" s="189">
        <v>94</v>
      </c>
      <c r="AU96" s="195">
        <f>Результаты!AA97/1.028469</f>
        <v>0.26704699942488103</v>
      </c>
      <c r="AV96" s="195">
        <f t="shared" si="36"/>
        <v>313.63636363636363</v>
      </c>
      <c r="AW96" s="195">
        <f t="shared" si="37"/>
        <v>1174.4612907533826</v>
      </c>
      <c r="AY96" s="198"/>
      <c r="AZ96" s="199"/>
      <c r="BA96" s="198"/>
      <c r="BB96" s="198"/>
    </row>
    <row r="97" spans="1:54" ht="15.75" x14ac:dyDescent="0.25">
      <c r="A97">
        <v>10</v>
      </c>
      <c r="B97">
        <v>305</v>
      </c>
      <c r="C97">
        <v>274.5</v>
      </c>
      <c r="D97" s="194">
        <f t="shared" si="19"/>
        <v>277.27272727272725</v>
      </c>
      <c r="F97" s="189">
        <v>95</v>
      </c>
      <c r="G97" s="196">
        <f>Результаты!U98</f>
        <v>35.394798278808601</v>
      </c>
      <c r="H97" s="189">
        <f t="shared" si="20"/>
        <v>292.5</v>
      </c>
      <c r="I97" s="195">
        <f t="shared" si="21"/>
        <v>8.263926176268793</v>
      </c>
      <c r="K97" s="189">
        <v>95</v>
      </c>
      <c r="L97" s="196">
        <f>Результаты!V98</f>
        <v>76.921134948730497</v>
      </c>
      <c r="M97" s="189">
        <f t="shared" si="22"/>
        <v>292.5</v>
      </c>
      <c r="N97" s="195">
        <f t="shared" si="23"/>
        <v>3.8025959990704403</v>
      </c>
      <c r="P97" s="189">
        <v>95</v>
      </c>
      <c r="Q97" s="196">
        <f>Результаты!S98</f>
        <v>32.173728942871101</v>
      </c>
      <c r="R97" s="189">
        <f t="shared" si="24"/>
        <v>325</v>
      </c>
      <c r="S97" s="195">
        <f t="shared" si="25"/>
        <v>10.101409152078157</v>
      </c>
      <c r="U97" s="189">
        <v>95</v>
      </c>
      <c r="V97" s="196">
        <f>Результаты!T98</f>
        <v>100.26335906982401</v>
      </c>
      <c r="W97" s="189">
        <f t="shared" si="26"/>
        <v>292.5</v>
      </c>
      <c r="X97" s="195">
        <f t="shared" si="27"/>
        <v>2.917316981134666</v>
      </c>
      <c r="Z97" s="189">
        <v>95</v>
      </c>
      <c r="AA97" s="196">
        <f>Результаты!W98</f>
        <v>40.101619720458999</v>
      </c>
      <c r="AB97" s="189">
        <f t="shared" si="28"/>
        <v>292.5</v>
      </c>
      <c r="AC97" s="195">
        <f t="shared" si="29"/>
        <v>7.293969720898148</v>
      </c>
      <c r="AE97" s="189">
        <v>95</v>
      </c>
      <c r="AF97" s="196">
        <f>Результаты!X98</f>
        <v>56.727149963378899</v>
      </c>
      <c r="AG97" s="189">
        <f t="shared" si="30"/>
        <v>292.5</v>
      </c>
      <c r="AH97" s="195">
        <f t="shared" si="31"/>
        <v>5.1562611587013976</v>
      </c>
      <c r="AJ97" s="189">
        <v>95</v>
      </c>
      <c r="AK97" s="196">
        <f>Результаты!Y98</f>
        <v>55.822498321533203</v>
      </c>
      <c r="AL97" s="189">
        <f t="shared" si="32"/>
        <v>292.5</v>
      </c>
      <c r="AM97" s="195">
        <f t="shared" si="33"/>
        <v>5.2398228097069932</v>
      </c>
      <c r="AO97" s="189">
        <v>95</v>
      </c>
      <c r="AP97" s="196">
        <f>Результаты!Z98</f>
        <v>7.6043343544006303</v>
      </c>
      <c r="AQ97" s="189">
        <f t="shared" si="34"/>
        <v>292.5</v>
      </c>
      <c r="AR97" s="195">
        <f t="shared" si="35"/>
        <v>38.464905193277062</v>
      </c>
      <c r="AT97" s="189">
        <v>95</v>
      </c>
      <c r="AU97" s="195">
        <f>Результаты!AA98/1.028469</f>
        <v>41.826584397261165</v>
      </c>
      <c r="AV97" s="195">
        <f t="shared" si="36"/>
        <v>295.45454545454544</v>
      </c>
      <c r="AW97" s="195">
        <f t="shared" si="37"/>
        <v>7.0637980536104212</v>
      </c>
      <c r="AY97" s="198"/>
      <c r="AZ97" s="199"/>
      <c r="BA97" s="198"/>
      <c r="BB97" s="198"/>
    </row>
    <row r="98" spans="1:54" ht="15.75" x14ac:dyDescent="0.25">
      <c r="A98">
        <v>11</v>
      </c>
      <c r="B98">
        <v>305</v>
      </c>
      <c r="C98">
        <v>274.5</v>
      </c>
      <c r="D98" s="194">
        <f t="shared" si="19"/>
        <v>277.27272727272725</v>
      </c>
      <c r="F98" s="189">
        <v>96</v>
      </c>
      <c r="G98" s="196">
        <f>Результаты!U99</f>
        <v>125.733352661133</v>
      </c>
      <c r="H98" s="189">
        <f t="shared" si="20"/>
        <v>292.5</v>
      </c>
      <c r="I98" s="195">
        <f t="shared" si="21"/>
        <v>2.3263517102603939</v>
      </c>
      <c r="J98" s="188"/>
      <c r="K98" s="189">
        <v>96</v>
      </c>
      <c r="L98" s="196">
        <f>Результаты!V99</f>
        <v>50.145668029785199</v>
      </c>
      <c r="M98" s="189">
        <f t="shared" si="22"/>
        <v>292.5</v>
      </c>
      <c r="N98" s="195">
        <f t="shared" si="23"/>
        <v>5.8330063491479009</v>
      </c>
      <c r="P98" s="189">
        <v>96</v>
      </c>
      <c r="Q98" s="196">
        <f>Результаты!S99</f>
        <v>11.401043891906699</v>
      </c>
      <c r="R98" s="189">
        <f t="shared" si="24"/>
        <v>325</v>
      </c>
      <c r="S98" s="195">
        <f t="shared" si="25"/>
        <v>28.506161635840112</v>
      </c>
      <c r="U98" s="189">
        <v>96</v>
      </c>
      <c r="V98" s="196">
        <f>Результаты!T99</f>
        <v>139.61488342285199</v>
      </c>
      <c r="W98" s="189">
        <f t="shared" si="26"/>
        <v>292.5</v>
      </c>
      <c r="X98" s="195">
        <f t="shared" si="27"/>
        <v>2.0950488431387679</v>
      </c>
      <c r="Z98" s="189">
        <v>96</v>
      </c>
      <c r="AA98" s="196">
        <f>Результаты!W99</f>
        <v>50.534049987792997</v>
      </c>
      <c r="AB98" s="189">
        <f t="shared" si="28"/>
        <v>292.5</v>
      </c>
      <c r="AC98" s="195">
        <f t="shared" si="29"/>
        <v>5.7881764883411542</v>
      </c>
      <c r="AE98" s="189">
        <v>96</v>
      </c>
      <c r="AF98" s="196">
        <f>Результаты!X99</f>
        <v>83.263023376464801</v>
      </c>
      <c r="AG98" s="189">
        <f t="shared" si="30"/>
        <v>292.5</v>
      </c>
      <c r="AH98" s="195">
        <f t="shared" si="31"/>
        <v>3.512963956130835</v>
      </c>
      <c r="AJ98" s="189">
        <v>96</v>
      </c>
      <c r="AK98" s="196">
        <f>Результаты!Y99</f>
        <v>84.009902954101605</v>
      </c>
      <c r="AL98" s="189">
        <f t="shared" si="32"/>
        <v>292.5</v>
      </c>
      <c r="AM98" s="195">
        <f t="shared" si="33"/>
        <v>3.48173238766632</v>
      </c>
      <c r="AO98" s="189">
        <v>96</v>
      </c>
      <c r="AP98" s="196">
        <f>Результаты!Z99</f>
        <v>0.67836666107177701</v>
      </c>
      <c r="AQ98" s="189">
        <f t="shared" si="34"/>
        <v>292.5</v>
      </c>
      <c r="AR98" s="195">
        <f t="shared" si="35"/>
        <v>431.18274641897676</v>
      </c>
      <c r="AT98" s="189">
        <v>96</v>
      </c>
      <c r="AU98" s="195">
        <f>Результаты!AA99/1.028469</f>
        <v>38.85896461489417</v>
      </c>
      <c r="AV98" s="195">
        <f t="shared" si="36"/>
        <v>295.45454545454544</v>
      </c>
      <c r="AW98" s="195">
        <f t="shared" si="37"/>
        <v>7.6032531587653596</v>
      </c>
      <c r="AY98" s="198"/>
      <c r="AZ98" s="199"/>
      <c r="BA98" s="198"/>
      <c r="BB98" s="198"/>
    </row>
    <row r="99" spans="1:54" ht="15.75" x14ac:dyDescent="0.25">
      <c r="A99">
        <v>12</v>
      </c>
      <c r="B99">
        <v>305</v>
      </c>
      <c r="C99">
        <v>274.5</v>
      </c>
      <c r="D99" s="194">
        <f t="shared" si="19"/>
        <v>277.27272727272725</v>
      </c>
      <c r="F99" s="189">
        <v>97</v>
      </c>
      <c r="G99" s="196">
        <f>Результаты!U100</f>
        <v>38.624713897705099</v>
      </c>
      <c r="H99" s="189">
        <f t="shared" si="20"/>
        <v>292.5</v>
      </c>
      <c r="I99" s="195">
        <f t="shared" si="21"/>
        <v>7.5728716275974532</v>
      </c>
      <c r="J99" s="188"/>
      <c r="K99" s="189">
        <v>97</v>
      </c>
      <c r="L99" s="196">
        <f>Результаты!V100</f>
        <v>67.432952880859403</v>
      </c>
      <c r="M99" s="189">
        <f t="shared" si="22"/>
        <v>292.5</v>
      </c>
      <c r="N99" s="195">
        <f t="shared" si="23"/>
        <v>4.3376418724653689</v>
      </c>
      <c r="P99" s="189">
        <v>97</v>
      </c>
      <c r="Q99" s="196">
        <f>Результаты!S100</f>
        <v>35.998699188232401</v>
      </c>
      <c r="R99" s="189">
        <f t="shared" si="24"/>
        <v>325</v>
      </c>
      <c r="S99" s="195">
        <f t="shared" si="25"/>
        <v>9.0281039962199277</v>
      </c>
      <c r="U99" s="189">
        <v>97</v>
      </c>
      <c r="V99" s="196">
        <f>Результаты!T100</f>
        <v>102.607536315918</v>
      </c>
      <c r="W99" s="189">
        <f t="shared" si="26"/>
        <v>292.5</v>
      </c>
      <c r="X99" s="195">
        <f t="shared" si="27"/>
        <v>2.8506678018213276</v>
      </c>
      <c r="Z99" s="189">
        <v>97</v>
      </c>
      <c r="AA99" s="196">
        <f>Результаты!W100</f>
        <v>43.238151550292997</v>
      </c>
      <c r="AB99" s="189">
        <f t="shared" si="28"/>
        <v>292.5</v>
      </c>
      <c r="AC99" s="195">
        <f t="shared" si="29"/>
        <v>6.7648590310289967</v>
      </c>
      <c r="AE99" s="189">
        <v>97</v>
      </c>
      <c r="AF99" s="196">
        <f>Результаты!X100</f>
        <v>60.003383636474602</v>
      </c>
      <c r="AG99" s="189">
        <f t="shared" si="30"/>
        <v>292.5</v>
      </c>
      <c r="AH99" s="195">
        <f t="shared" si="31"/>
        <v>4.8747250950394125</v>
      </c>
      <c r="AJ99" s="189">
        <v>97</v>
      </c>
      <c r="AK99" s="196">
        <f>Результаты!Y100</f>
        <v>59.479846954345703</v>
      </c>
      <c r="AL99" s="189">
        <f t="shared" si="32"/>
        <v>292.5</v>
      </c>
      <c r="AM99" s="195">
        <f t="shared" si="33"/>
        <v>4.9176320212207516</v>
      </c>
      <c r="AO99" s="189">
        <v>97</v>
      </c>
      <c r="AP99" s="196">
        <f>Результаты!Z100</f>
        <v>1.8467441797256501</v>
      </c>
      <c r="AQ99" s="189">
        <f t="shared" si="34"/>
        <v>292.5</v>
      </c>
      <c r="AR99" s="195">
        <f t="shared" si="35"/>
        <v>158.38685358329025</v>
      </c>
      <c r="AT99" s="189">
        <v>97</v>
      </c>
      <c r="AU99" s="195">
        <f>Результаты!AA100/1.028469</f>
        <v>44.35893725489013</v>
      </c>
      <c r="AV99" s="195">
        <f t="shared" si="36"/>
        <v>295.45454545454544</v>
      </c>
      <c r="AW99" s="195">
        <f t="shared" si="37"/>
        <v>6.660541567009127</v>
      </c>
      <c r="AY99" s="198"/>
      <c r="AZ99" s="199"/>
      <c r="BA99" s="198"/>
      <c r="BB99" s="198"/>
    </row>
    <row r="100" spans="1:54" ht="15.75" x14ac:dyDescent="0.25">
      <c r="A100">
        <v>13</v>
      </c>
      <c r="B100">
        <v>305</v>
      </c>
      <c r="C100">
        <v>274.5</v>
      </c>
      <c r="D100" s="194">
        <f t="shared" si="19"/>
        <v>277.27272727272725</v>
      </c>
      <c r="F100" s="189">
        <v>98</v>
      </c>
      <c r="G100" s="196">
        <f>Результаты!U101</f>
        <v>121.24358367919901</v>
      </c>
      <c r="H100" s="189">
        <f t="shared" si="20"/>
        <v>292.5</v>
      </c>
      <c r="I100" s="195">
        <f t="shared" si="21"/>
        <v>2.4124987988967073</v>
      </c>
      <c r="J100" s="188"/>
      <c r="K100" s="189">
        <v>98</v>
      </c>
      <c r="L100" s="196">
        <f>Результаты!V101</f>
        <v>36.378498077392599</v>
      </c>
      <c r="M100" s="189">
        <f t="shared" si="22"/>
        <v>292.5</v>
      </c>
      <c r="N100" s="195">
        <f t="shared" si="23"/>
        <v>8.0404638854998254</v>
      </c>
      <c r="P100" s="189">
        <v>98</v>
      </c>
      <c r="Q100" s="196">
        <f>Результаты!S101</f>
        <v>12.219815254211399</v>
      </c>
      <c r="R100" s="189">
        <f t="shared" si="24"/>
        <v>325</v>
      </c>
      <c r="S100" s="195">
        <f t="shared" si="25"/>
        <v>26.596146769730666</v>
      </c>
      <c r="U100" s="189">
        <v>98</v>
      </c>
      <c r="V100" s="196">
        <f>Результаты!T101</f>
        <v>133.65090942382801</v>
      </c>
      <c r="W100" s="189">
        <f t="shared" si="26"/>
        <v>292.5</v>
      </c>
      <c r="X100" s="195">
        <f t="shared" si="27"/>
        <v>2.1885372966108041</v>
      </c>
      <c r="Z100" s="189">
        <v>98</v>
      </c>
      <c r="AA100" s="196">
        <f>Результаты!W101</f>
        <v>47.160121917724602</v>
      </c>
      <c r="AB100" s="189">
        <f t="shared" si="28"/>
        <v>292.5</v>
      </c>
      <c r="AC100" s="195">
        <f t="shared" si="29"/>
        <v>6.2022740422574518</v>
      </c>
      <c r="AE100" s="189">
        <v>98</v>
      </c>
      <c r="AF100" s="196">
        <f>Результаты!X101</f>
        <v>80.171958923339801</v>
      </c>
      <c r="AG100" s="189">
        <f t="shared" si="30"/>
        <v>292.5</v>
      </c>
      <c r="AH100" s="195">
        <f t="shared" si="31"/>
        <v>3.648407796542525</v>
      </c>
      <c r="AJ100" s="189">
        <v>98</v>
      </c>
      <c r="AK100" s="196">
        <f>Результаты!Y101</f>
        <v>80.610191345214801</v>
      </c>
      <c r="AL100" s="189">
        <f t="shared" si="32"/>
        <v>292.5</v>
      </c>
      <c r="AM100" s="195">
        <f t="shared" si="33"/>
        <v>3.6285734485775221</v>
      </c>
      <c r="AO100" s="189">
        <v>98</v>
      </c>
      <c r="AP100" s="196">
        <f>Результаты!Z101</f>
        <v>0.87569898366928101</v>
      </c>
      <c r="AQ100" s="189">
        <f t="shared" si="34"/>
        <v>292.5</v>
      </c>
      <c r="AR100" s="195">
        <f t="shared" si="35"/>
        <v>334.01888714588983</v>
      </c>
      <c r="AT100" s="189">
        <v>98</v>
      </c>
      <c r="AU100" s="195">
        <f>Результаты!AA101/1.028469</f>
        <v>36.169831690271749</v>
      </c>
      <c r="AV100" s="195">
        <f t="shared" si="36"/>
        <v>295.45454545454544</v>
      </c>
      <c r="AW100" s="195">
        <f t="shared" si="37"/>
        <v>8.1685352584599116</v>
      </c>
      <c r="AY100" s="198"/>
      <c r="AZ100" s="199"/>
      <c r="BA100" s="198"/>
      <c r="BB100" s="198"/>
    </row>
    <row r="101" spans="1:54" ht="15.75" x14ac:dyDescent="0.25">
      <c r="A101">
        <v>14</v>
      </c>
      <c r="B101">
        <v>305</v>
      </c>
      <c r="C101">
        <v>274.5</v>
      </c>
      <c r="D101" s="194">
        <f t="shared" si="19"/>
        <v>277.27272727272725</v>
      </c>
      <c r="F101" s="189">
        <v>99</v>
      </c>
      <c r="G101" s="196">
        <f>Результаты!U102</f>
        <v>86.473297119140597</v>
      </c>
      <c r="H101" s="189">
        <f t="shared" si="20"/>
        <v>292.5</v>
      </c>
      <c r="I101" s="195">
        <f t="shared" si="21"/>
        <v>3.382547095399882</v>
      </c>
      <c r="J101" s="188"/>
      <c r="K101" s="189">
        <v>99</v>
      </c>
      <c r="L101" s="196">
        <f>Результаты!V102</f>
        <v>158.40222167968801</v>
      </c>
      <c r="M101" s="189">
        <f t="shared" si="22"/>
        <v>292.5</v>
      </c>
      <c r="N101" s="195">
        <f t="shared" si="23"/>
        <v>1.8465650096213733</v>
      </c>
      <c r="P101" s="189">
        <v>99</v>
      </c>
      <c r="Q101" s="196">
        <f>Результаты!S102</f>
        <v>130.87228393554699</v>
      </c>
      <c r="R101" s="189">
        <f t="shared" si="24"/>
        <v>325</v>
      </c>
      <c r="S101" s="195">
        <f t="shared" si="25"/>
        <v>2.4833371148321866</v>
      </c>
      <c r="U101" s="189">
        <v>99</v>
      </c>
      <c r="V101" s="196">
        <f>Результаты!T102</f>
        <v>128.21934509277301</v>
      </c>
      <c r="W101" s="189">
        <f t="shared" si="26"/>
        <v>292.5</v>
      </c>
      <c r="X101" s="195">
        <f t="shared" si="27"/>
        <v>2.2812470285849757</v>
      </c>
      <c r="Z101" s="189">
        <v>99</v>
      </c>
      <c r="AA101" s="196">
        <f>Результаты!W102</f>
        <v>135.58399963378901</v>
      </c>
      <c r="AB101" s="189">
        <f t="shared" si="28"/>
        <v>292.5</v>
      </c>
      <c r="AC101" s="195">
        <f t="shared" si="29"/>
        <v>2.1573342045524511</v>
      </c>
      <c r="AE101" s="189">
        <v>99</v>
      </c>
      <c r="AF101" s="196">
        <f>Результаты!X102</f>
        <v>119.29705047607401</v>
      </c>
      <c r="AG101" s="189">
        <f t="shared" si="30"/>
        <v>292.5</v>
      </c>
      <c r="AH101" s="195">
        <f t="shared" si="31"/>
        <v>2.4518627982228551</v>
      </c>
      <c r="AJ101" s="189">
        <v>99</v>
      </c>
      <c r="AK101" s="196">
        <f>Результаты!Y102</f>
        <v>119.76821136474599</v>
      </c>
      <c r="AL101" s="189">
        <f t="shared" si="32"/>
        <v>292.5</v>
      </c>
      <c r="AM101" s="195">
        <f t="shared" si="33"/>
        <v>2.4422173184937281</v>
      </c>
      <c r="AO101" s="189">
        <v>99</v>
      </c>
      <c r="AP101" s="196">
        <f>Результаты!Z102</f>
        <v>50.590156555175803</v>
      </c>
      <c r="AQ101" s="189">
        <f t="shared" si="34"/>
        <v>292.5</v>
      </c>
      <c r="AR101" s="195">
        <f t="shared" si="35"/>
        <v>5.7817571622057917</v>
      </c>
      <c r="AT101" s="189">
        <v>99</v>
      </c>
      <c r="AU101" s="195">
        <f>Результаты!AA102/1.028469</f>
        <v>117.01984973956142</v>
      </c>
      <c r="AV101" s="195">
        <f t="shared" si="36"/>
        <v>295.45454545454544</v>
      </c>
      <c r="AW101" s="195">
        <f t="shared" si="37"/>
        <v>2.5248241739508899</v>
      </c>
      <c r="AY101" s="198"/>
      <c r="AZ101" s="199"/>
      <c r="BA101" s="198"/>
      <c r="BB101" s="198"/>
    </row>
    <row r="102" spans="1:54" ht="15.75" x14ac:dyDescent="0.25">
      <c r="A102">
        <v>15</v>
      </c>
      <c r="B102">
        <v>305</v>
      </c>
      <c r="C102">
        <v>274.5</v>
      </c>
      <c r="D102" s="194">
        <f t="shared" si="19"/>
        <v>277.27272727272725</v>
      </c>
      <c r="F102" s="189">
        <v>100</v>
      </c>
      <c r="G102" s="196">
        <f>Результаты!U103</f>
        <v>123.898231506348</v>
      </c>
      <c r="H102" s="189">
        <f t="shared" si="20"/>
        <v>292.5</v>
      </c>
      <c r="I102" s="195">
        <f t="shared" si="21"/>
        <v>2.3608085155357008</v>
      </c>
      <c r="J102" s="188"/>
      <c r="K102" s="189">
        <v>100</v>
      </c>
      <c r="L102" s="196">
        <f>Результаты!V103</f>
        <v>85.199287414550795</v>
      </c>
      <c r="M102" s="189">
        <f t="shared" si="22"/>
        <v>292.5</v>
      </c>
      <c r="N102" s="195">
        <f t="shared" si="23"/>
        <v>3.4331273051239775</v>
      </c>
      <c r="P102" s="189">
        <v>100</v>
      </c>
      <c r="Q102" s="196">
        <f>Результаты!S103</f>
        <v>73.742362976074205</v>
      </c>
      <c r="R102" s="189">
        <f t="shared" si="24"/>
        <v>325</v>
      </c>
      <c r="S102" s="195">
        <f t="shared" si="25"/>
        <v>4.4072360429438184</v>
      </c>
      <c r="U102" s="189">
        <v>100</v>
      </c>
      <c r="V102" s="196">
        <f>Результаты!T103</f>
        <v>121.254341125488</v>
      </c>
      <c r="W102" s="189">
        <f t="shared" si="26"/>
        <v>292.5</v>
      </c>
      <c r="X102" s="195">
        <f t="shared" si="27"/>
        <v>2.4122847667555853</v>
      </c>
      <c r="Z102" s="189">
        <v>100</v>
      </c>
      <c r="AA102" s="196">
        <f>Результаты!W103</f>
        <v>118.738006591797</v>
      </c>
      <c r="AB102" s="189">
        <f t="shared" si="28"/>
        <v>292.5</v>
      </c>
      <c r="AC102" s="195">
        <f t="shared" si="29"/>
        <v>2.4634066917223056</v>
      </c>
      <c r="AE102" s="189">
        <v>100</v>
      </c>
      <c r="AF102" s="196">
        <f>Результаты!X103</f>
        <v>99.117050170898395</v>
      </c>
      <c r="AG102" s="189">
        <f t="shared" si="30"/>
        <v>292.5</v>
      </c>
      <c r="AH102" s="195">
        <f t="shared" si="31"/>
        <v>2.9510563469722837</v>
      </c>
      <c r="AJ102" s="189">
        <v>100</v>
      </c>
      <c r="AK102" s="196">
        <f>Результаты!Y103</f>
        <v>100.019485473633</v>
      </c>
      <c r="AL102" s="189">
        <f t="shared" si="32"/>
        <v>292.5</v>
      </c>
      <c r="AM102" s="195">
        <f t="shared" si="33"/>
        <v>2.9244301609320762</v>
      </c>
      <c r="AO102" s="189">
        <v>100</v>
      </c>
      <c r="AP102" s="196">
        <f>Результаты!Z103</f>
        <v>21.957239151001001</v>
      </c>
      <c r="AQ102" s="189">
        <f t="shared" si="34"/>
        <v>292.5</v>
      </c>
      <c r="AR102" s="195">
        <f t="shared" si="35"/>
        <v>13.321346913811125</v>
      </c>
      <c r="AT102" s="189">
        <v>100</v>
      </c>
      <c r="AU102" s="195">
        <f>Результаты!AA103/1.028469</f>
        <v>93.147804368849023</v>
      </c>
      <c r="AV102" s="195">
        <f t="shared" si="36"/>
        <v>295.45454545454544</v>
      </c>
      <c r="AW102" s="195">
        <f t="shared" si="37"/>
        <v>3.1718895303704322</v>
      </c>
      <c r="AY102" s="198"/>
      <c r="AZ102" s="199"/>
      <c r="BA102" s="198"/>
      <c r="BB102" s="198"/>
    </row>
    <row r="103" spans="1:54" ht="15.75" x14ac:dyDescent="0.25">
      <c r="A103">
        <v>16</v>
      </c>
      <c r="B103">
        <v>305</v>
      </c>
      <c r="C103">
        <v>274.5</v>
      </c>
      <c r="D103" s="194">
        <f t="shared" si="19"/>
        <v>277.27272727272725</v>
      </c>
      <c r="F103" s="189">
        <v>101</v>
      </c>
      <c r="G103" s="196">
        <f>Результаты!U104</f>
        <v>87.2144775390625</v>
      </c>
      <c r="H103" s="189">
        <f t="shared" si="20"/>
        <v>292.5</v>
      </c>
      <c r="I103" s="195">
        <f t="shared" si="21"/>
        <v>3.3538009772401853</v>
      </c>
      <c r="J103" s="188"/>
      <c r="K103" s="189">
        <v>101</v>
      </c>
      <c r="L103" s="196">
        <f>Результаты!V104</f>
        <v>130.541748046875</v>
      </c>
      <c r="M103" s="189">
        <f t="shared" si="22"/>
        <v>292.5</v>
      </c>
      <c r="N103" s="195">
        <f t="shared" si="23"/>
        <v>2.2406625035767789</v>
      </c>
      <c r="P103" s="189">
        <v>101</v>
      </c>
      <c r="Q103" s="196">
        <f>Результаты!S104</f>
        <v>124.967323303223</v>
      </c>
      <c r="R103" s="189">
        <f t="shared" si="24"/>
        <v>325</v>
      </c>
      <c r="S103" s="195">
        <f t="shared" si="25"/>
        <v>2.6006798530157686</v>
      </c>
      <c r="U103" s="189">
        <v>101</v>
      </c>
      <c r="V103" s="196">
        <f>Результаты!T104</f>
        <v>122.86993408203099</v>
      </c>
      <c r="W103" s="189">
        <f t="shared" si="26"/>
        <v>292.5</v>
      </c>
      <c r="X103" s="195">
        <f t="shared" si="27"/>
        <v>2.3805661017504884</v>
      </c>
      <c r="Z103" s="189">
        <v>101</v>
      </c>
      <c r="AA103" s="196">
        <f>Результаты!W104</f>
        <v>128.97302246093801</v>
      </c>
      <c r="AB103" s="189">
        <f t="shared" si="28"/>
        <v>292.5</v>
      </c>
      <c r="AC103" s="195">
        <f t="shared" si="29"/>
        <v>2.2679161457086061</v>
      </c>
      <c r="AE103" s="189">
        <v>101</v>
      </c>
      <c r="AF103" s="196">
        <f>Результаты!X104</f>
        <v>113.36383819580099</v>
      </c>
      <c r="AG103" s="189">
        <f t="shared" si="30"/>
        <v>292.5</v>
      </c>
      <c r="AH103" s="195">
        <f t="shared" si="31"/>
        <v>2.5801878681524233</v>
      </c>
      <c r="AJ103" s="189">
        <v>101</v>
      </c>
      <c r="AK103" s="196">
        <f>Результаты!Y104</f>
        <v>114.27049255371099</v>
      </c>
      <c r="AL103" s="189">
        <f t="shared" si="32"/>
        <v>292.5</v>
      </c>
      <c r="AM103" s="195">
        <f t="shared" si="33"/>
        <v>2.559715928961408</v>
      </c>
      <c r="AO103" s="189">
        <v>101</v>
      </c>
      <c r="AP103" s="196">
        <f>Результаты!Z104</f>
        <v>0.58935111761093095</v>
      </c>
      <c r="AQ103" s="189">
        <f t="shared" si="34"/>
        <v>292.5</v>
      </c>
      <c r="AR103" s="195">
        <f t="shared" si="35"/>
        <v>496.30855233755284</v>
      </c>
      <c r="AT103" s="189">
        <v>101</v>
      </c>
      <c r="AU103" s="195">
        <f>Результаты!AA104/1.028469</f>
        <v>109.59099156124296</v>
      </c>
      <c r="AV103" s="195">
        <f t="shared" si="36"/>
        <v>295.45454545454544</v>
      </c>
      <c r="AW103" s="195">
        <f t="shared" si="37"/>
        <v>2.6959747443240896</v>
      </c>
      <c r="AY103" s="198"/>
      <c r="AZ103" s="199"/>
      <c r="BA103" s="198"/>
      <c r="BB103" s="198"/>
    </row>
    <row r="104" spans="1:54" ht="15.75" x14ac:dyDescent="0.25">
      <c r="A104">
        <v>17</v>
      </c>
      <c r="B104">
        <v>305</v>
      </c>
      <c r="C104">
        <v>274.5</v>
      </c>
      <c r="D104" s="194">
        <f t="shared" si="19"/>
        <v>277.27272727272725</v>
      </c>
      <c r="F104" s="189">
        <v>102</v>
      </c>
      <c r="G104" s="196">
        <f>Результаты!U105</f>
        <v>125.227752685547</v>
      </c>
      <c r="H104" s="189">
        <f t="shared" si="20"/>
        <v>292.5</v>
      </c>
      <c r="I104" s="195">
        <f t="shared" si="21"/>
        <v>2.3357442238421524</v>
      </c>
      <c r="J104" s="188"/>
      <c r="K104" s="189">
        <v>102</v>
      </c>
      <c r="L104" s="196">
        <f>Результаты!V105</f>
        <v>87.886070251464801</v>
      </c>
      <c r="M104" s="189">
        <f t="shared" si="22"/>
        <v>292.5</v>
      </c>
      <c r="N104" s="195">
        <f t="shared" si="23"/>
        <v>3.3281724756048572</v>
      </c>
      <c r="P104" s="189">
        <v>102</v>
      </c>
      <c r="Q104" s="196">
        <f>Результаты!S105</f>
        <v>84.620849609375</v>
      </c>
      <c r="R104" s="189">
        <f t="shared" si="24"/>
        <v>325</v>
      </c>
      <c r="S104" s="195">
        <f t="shared" si="25"/>
        <v>3.840661036851535</v>
      </c>
      <c r="U104" s="189">
        <v>102</v>
      </c>
      <c r="V104" s="196">
        <f>Результаты!T105</f>
        <v>126.643905639648</v>
      </c>
      <c r="W104" s="189">
        <f t="shared" si="26"/>
        <v>292.5</v>
      </c>
      <c r="X104" s="195">
        <f t="shared" si="27"/>
        <v>2.3096255482855859</v>
      </c>
      <c r="Z104" s="189">
        <v>102</v>
      </c>
      <c r="AA104" s="196">
        <f>Результаты!W105</f>
        <v>130.62554931640599</v>
      </c>
      <c r="AB104" s="189">
        <f t="shared" si="28"/>
        <v>292.5</v>
      </c>
      <c r="AC104" s="195">
        <f t="shared" si="29"/>
        <v>2.2392250331632733</v>
      </c>
      <c r="AE104" s="189">
        <v>102</v>
      </c>
      <c r="AF104" s="196">
        <f>Результаты!X105</f>
        <v>107.844345092773</v>
      </c>
      <c r="AG104" s="189">
        <f t="shared" si="30"/>
        <v>292.5</v>
      </c>
      <c r="AH104" s="195">
        <f t="shared" si="31"/>
        <v>2.7122423502908486</v>
      </c>
      <c r="AJ104" s="189">
        <v>102</v>
      </c>
      <c r="AK104" s="196">
        <f>Результаты!Y105</f>
        <v>108.60073852539099</v>
      </c>
      <c r="AL104" s="189">
        <f t="shared" si="32"/>
        <v>292.5</v>
      </c>
      <c r="AM104" s="195">
        <f t="shared" si="33"/>
        <v>2.6933518498275508</v>
      </c>
      <c r="AO104" s="189">
        <v>102</v>
      </c>
      <c r="AP104" s="196">
        <f>Результаты!Z105</f>
        <v>0.78846693038940396</v>
      </c>
      <c r="AQ104" s="189">
        <f t="shared" si="34"/>
        <v>292.5</v>
      </c>
      <c r="AR104" s="195">
        <f t="shared" si="35"/>
        <v>370.97307284091369</v>
      </c>
      <c r="AT104" s="189">
        <v>102</v>
      </c>
      <c r="AU104" s="195">
        <f>Результаты!AA105/1.028469</f>
        <v>102.98768323342949</v>
      </c>
      <c r="AV104" s="195">
        <f t="shared" si="36"/>
        <v>295.45454545454544</v>
      </c>
      <c r="AW104" s="195">
        <f t="shared" si="37"/>
        <v>2.8688337884528874</v>
      </c>
      <c r="AY104" s="198"/>
      <c r="AZ104" s="199"/>
      <c r="BA104" s="198"/>
      <c r="BB104" s="198"/>
    </row>
    <row r="105" spans="1:54" ht="15.75" x14ac:dyDescent="0.25">
      <c r="A105">
        <v>18</v>
      </c>
      <c r="B105">
        <v>305</v>
      </c>
      <c r="C105">
        <v>274.5</v>
      </c>
      <c r="D105" s="194">
        <f t="shared" si="19"/>
        <v>277.27272727272725</v>
      </c>
      <c r="F105" s="189"/>
      <c r="G105" s="196"/>
      <c r="H105" s="189"/>
      <c r="I105" s="195"/>
      <c r="J105" s="188"/>
      <c r="K105" s="189"/>
      <c r="L105" s="196"/>
      <c r="M105" s="189"/>
      <c r="N105" s="195"/>
      <c r="P105" s="189"/>
      <c r="Q105" s="196"/>
      <c r="R105" s="189"/>
      <c r="S105" s="195"/>
      <c r="U105" s="189"/>
      <c r="V105" s="196"/>
      <c r="W105" s="189"/>
      <c r="X105" s="195"/>
      <c r="Z105" s="189"/>
      <c r="AA105" s="196"/>
      <c r="AB105" s="189"/>
      <c r="AC105" s="195"/>
      <c r="AE105" s="189"/>
      <c r="AF105" s="196"/>
      <c r="AG105" s="189"/>
      <c r="AH105" s="195"/>
      <c r="AJ105" s="189"/>
      <c r="AK105" s="196"/>
      <c r="AL105" s="189"/>
      <c r="AM105" s="195"/>
      <c r="AO105" s="189"/>
      <c r="AP105" s="196"/>
      <c r="AQ105" s="189"/>
      <c r="AR105" s="195"/>
      <c r="AT105" s="189"/>
      <c r="AU105" s="196"/>
      <c r="AV105" s="189"/>
      <c r="AW105" s="195"/>
      <c r="AY105" s="198"/>
      <c r="AZ105" s="199"/>
      <c r="BA105" s="198"/>
      <c r="BB105" s="198"/>
    </row>
    <row r="106" spans="1:54" ht="15.75" x14ac:dyDescent="0.25">
      <c r="A106">
        <v>19</v>
      </c>
      <c r="B106">
        <v>305</v>
      </c>
      <c r="C106">
        <v>274.5</v>
      </c>
      <c r="D106" s="194">
        <f t="shared" si="19"/>
        <v>277.27272727272725</v>
      </c>
      <c r="F106" s="189"/>
      <c r="G106" s="196"/>
      <c r="H106" s="189"/>
      <c r="I106" s="195"/>
      <c r="J106" s="188"/>
      <c r="K106" s="189"/>
      <c r="L106" s="196"/>
      <c r="M106" s="189"/>
      <c r="N106" s="195"/>
      <c r="P106" s="189"/>
      <c r="Q106" s="196"/>
      <c r="R106" s="189"/>
      <c r="S106" s="195"/>
      <c r="U106" s="189"/>
      <c r="V106" s="196"/>
      <c r="W106" s="189"/>
      <c r="X106" s="195"/>
      <c r="Z106" s="189"/>
      <c r="AA106" s="196"/>
      <c r="AB106" s="189"/>
      <c r="AC106" s="195"/>
      <c r="AE106" s="189"/>
      <c r="AF106" s="196"/>
      <c r="AG106" s="189"/>
      <c r="AH106" s="195"/>
      <c r="AJ106" s="189"/>
      <c r="AK106" s="196"/>
      <c r="AL106" s="189"/>
      <c r="AM106" s="195"/>
      <c r="AO106" s="189"/>
      <c r="AP106" s="196"/>
      <c r="AQ106" s="189"/>
      <c r="AR106" s="195"/>
      <c r="AT106" s="189"/>
      <c r="AU106" s="196"/>
      <c r="AV106" s="189"/>
      <c r="AW106" s="195"/>
      <c r="AY106" s="198"/>
      <c r="AZ106" s="199"/>
      <c r="BA106" s="198"/>
      <c r="BB106" s="198"/>
    </row>
    <row r="107" spans="1:54" ht="15.75" x14ac:dyDescent="0.25">
      <c r="A107">
        <v>20</v>
      </c>
      <c r="B107">
        <v>305</v>
      </c>
      <c r="C107">
        <v>274.5</v>
      </c>
      <c r="D107" s="194">
        <f t="shared" si="19"/>
        <v>277.27272727272725</v>
      </c>
      <c r="F107" s="189"/>
      <c r="G107" s="196"/>
      <c r="H107" s="189"/>
      <c r="I107" s="195"/>
      <c r="J107" s="188"/>
      <c r="K107" s="189"/>
      <c r="L107" s="196"/>
      <c r="M107" s="189"/>
      <c r="N107" s="195"/>
      <c r="P107" s="189"/>
      <c r="Q107" s="196"/>
      <c r="R107" s="189"/>
      <c r="S107" s="195"/>
      <c r="U107" s="189"/>
      <c r="V107" s="196"/>
      <c r="W107" s="189"/>
      <c r="X107" s="195"/>
      <c r="Z107" s="189"/>
      <c r="AA107" s="196"/>
      <c r="AB107" s="189"/>
      <c r="AC107" s="195"/>
      <c r="AE107" s="189"/>
      <c r="AF107" s="196"/>
      <c r="AG107" s="189"/>
      <c r="AH107" s="195"/>
      <c r="AJ107" s="189"/>
      <c r="AK107" s="196"/>
      <c r="AL107" s="189"/>
      <c r="AM107" s="195"/>
      <c r="AO107" s="189"/>
      <c r="AP107" s="196"/>
      <c r="AQ107" s="189"/>
      <c r="AR107" s="195"/>
      <c r="AT107" s="189"/>
      <c r="AU107" s="196"/>
      <c r="AV107" s="189"/>
      <c r="AW107" s="195"/>
      <c r="AY107" s="198"/>
      <c r="AZ107" s="199"/>
      <c r="BA107" s="198"/>
      <c r="BB107" s="198"/>
    </row>
    <row r="108" spans="1:54" ht="15.75" x14ac:dyDescent="0.25">
      <c r="A108">
        <v>21</v>
      </c>
      <c r="B108">
        <v>305</v>
      </c>
      <c r="C108">
        <v>274.5</v>
      </c>
      <c r="D108" s="194">
        <f t="shared" si="19"/>
        <v>277.27272727272725</v>
      </c>
      <c r="F108" s="189"/>
      <c r="G108" s="196"/>
      <c r="H108" s="189"/>
      <c r="I108" s="195"/>
      <c r="J108" s="188"/>
      <c r="K108" s="189"/>
      <c r="L108" s="196"/>
      <c r="M108" s="189"/>
      <c r="N108" s="195"/>
      <c r="P108" s="189"/>
      <c r="Q108" s="196"/>
      <c r="R108" s="189"/>
      <c r="S108" s="195"/>
      <c r="U108" s="189"/>
      <c r="V108" s="196"/>
      <c r="W108" s="189"/>
      <c r="X108" s="195"/>
      <c r="Z108" s="189"/>
      <c r="AA108" s="196"/>
      <c r="AB108" s="189"/>
      <c r="AC108" s="195"/>
      <c r="AE108" s="189"/>
      <c r="AF108" s="196"/>
      <c r="AG108" s="189"/>
      <c r="AH108" s="195"/>
      <c r="AJ108" s="189"/>
      <c r="AK108" s="196"/>
      <c r="AL108" s="189"/>
      <c r="AM108" s="195"/>
      <c r="AO108" s="189"/>
      <c r="AP108" s="196"/>
      <c r="AQ108" s="189"/>
      <c r="AR108" s="195"/>
      <c r="AT108" s="189"/>
      <c r="AU108" s="196"/>
      <c r="AV108" s="189"/>
      <c r="AW108" s="195"/>
      <c r="AY108" s="198"/>
      <c r="AZ108" s="199"/>
      <c r="BA108" s="198"/>
      <c r="BB108" s="198"/>
    </row>
    <row r="109" spans="1:54" ht="15.75" x14ac:dyDescent="0.25">
      <c r="A109">
        <v>22</v>
      </c>
      <c r="B109">
        <v>305</v>
      </c>
      <c r="C109">
        <v>274.5</v>
      </c>
      <c r="D109" s="194">
        <f t="shared" si="19"/>
        <v>277.27272727272725</v>
      </c>
      <c r="F109" s="189"/>
      <c r="G109" s="196"/>
      <c r="H109" s="189"/>
      <c r="I109" s="195"/>
      <c r="J109" s="188"/>
      <c r="K109" s="189"/>
      <c r="L109" s="196"/>
      <c r="M109" s="189"/>
      <c r="N109" s="195"/>
      <c r="P109" s="189"/>
      <c r="Q109" s="196"/>
      <c r="R109" s="189"/>
      <c r="S109" s="195"/>
      <c r="U109" s="189"/>
      <c r="V109" s="196"/>
      <c r="W109" s="189"/>
      <c r="X109" s="195"/>
      <c r="Z109" s="189"/>
      <c r="AA109" s="196"/>
      <c r="AB109" s="189"/>
      <c r="AC109" s="195"/>
      <c r="AE109" s="189"/>
      <c r="AF109" s="196"/>
      <c r="AG109" s="189"/>
      <c r="AH109" s="195"/>
      <c r="AJ109" s="189"/>
      <c r="AK109" s="196"/>
      <c r="AL109" s="189"/>
      <c r="AM109" s="195"/>
      <c r="AO109" s="189"/>
      <c r="AP109" s="196"/>
      <c r="AQ109" s="189"/>
      <c r="AR109" s="195"/>
      <c r="AT109" s="189"/>
      <c r="AU109" s="196"/>
      <c r="AV109" s="189"/>
      <c r="AW109" s="195"/>
      <c r="AY109" s="198"/>
      <c r="AZ109" s="199"/>
      <c r="BA109" s="198"/>
      <c r="BB109" s="198"/>
    </row>
    <row r="110" spans="1:54" ht="15.75" x14ac:dyDescent="0.25">
      <c r="D110" s="194">
        <f t="shared" si="19"/>
        <v>0</v>
      </c>
      <c r="F110" s="189"/>
      <c r="G110" s="196"/>
      <c r="H110" s="189"/>
      <c r="I110" s="195"/>
      <c r="J110" s="188"/>
      <c r="K110" s="189"/>
      <c r="L110" s="196"/>
      <c r="M110" s="189"/>
      <c r="N110" s="195"/>
      <c r="P110" s="189"/>
      <c r="Q110" s="196"/>
      <c r="R110" s="189"/>
      <c r="S110" s="195"/>
      <c r="U110" s="189"/>
      <c r="V110" s="196"/>
      <c r="W110" s="189"/>
      <c r="X110" s="195"/>
      <c r="Z110" s="189"/>
      <c r="AA110" s="196"/>
      <c r="AB110" s="189"/>
      <c r="AC110" s="195"/>
      <c r="AE110" s="189"/>
      <c r="AF110" s="196"/>
      <c r="AG110" s="189"/>
      <c r="AH110" s="195"/>
      <c r="AJ110" s="189"/>
      <c r="AK110" s="196"/>
      <c r="AL110" s="189"/>
      <c r="AM110" s="195"/>
      <c r="AO110" s="189"/>
      <c r="AP110" s="196"/>
      <c r="AQ110" s="189"/>
      <c r="AR110" s="195"/>
      <c r="AT110" s="189"/>
      <c r="AU110" s="196"/>
      <c r="AV110" s="189"/>
      <c r="AW110" s="195"/>
      <c r="AY110" s="198"/>
      <c r="AZ110" s="199"/>
      <c r="BA110" s="198"/>
      <c r="BB110" s="198"/>
    </row>
    <row r="111" spans="1:54" ht="15.75" x14ac:dyDescent="0.25">
      <c r="D111" s="194">
        <f t="shared" si="19"/>
        <v>0</v>
      </c>
      <c r="F111" s="189"/>
      <c r="G111" s="196"/>
      <c r="H111" s="189"/>
      <c r="I111" s="195"/>
      <c r="J111" s="188"/>
      <c r="K111" s="189"/>
      <c r="L111" s="196"/>
      <c r="M111" s="189"/>
      <c r="N111" s="195"/>
      <c r="P111" s="189"/>
      <c r="Q111" s="196"/>
      <c r="R111" s="189"/>
      <c r="S111" s="195"/>
      <c r="U111" s="189"/>
      <c r="V111" s="196"/>
      <c r="W111" s="189"/>
      <c r="X111" s="195"/>
      <c r="Z111" s="189"/>
      <c r="AA111" s="196"/>
      <c r="AB111" s="189"/>
      <c r="AC111" s="195"/>
      <c r="AE111" s="189"/>
      <c r="AF111" s="196"/>
      <c r="AG111" s="189"/>
      <c r="AH111" s="195"/>
      <c r="AJ111" s="189"/>
      <c r="AK111" s="196"/>
      <c r="AL111" s="189"/>
      <c r="AM111" s="195"/>
      <c r="AO111" s="189"/>
      <c r="AP111" s="196"/>
      <c r="AQ111" s="189"/>
      <c r="AR111" s="195"/>
      <c r="AT111" s="189"/>
      <c r="AU111" s="196"/>
      <c r="AV111" s="189"/>
      <c r="AW111" s="195"/>
      <c r="AY111" s="198"/>
      <c r="AZ111" s="199"/>
      <c r="BA111" s="198"/>
      <c r="BB111" s="198"/>
    </row>
    <row r="112" spans="1:54" ht="15.75" x14ac:dyDescent="0.25">
      <c r="D112" s="194">
        <f t="shared" si="19"/>
        <v>0</v>
      </c>
      <c r="F112" s="189"/>
      <c r="G112" s="196"/>
      <c r="H112" s="189"/>
      <c r="I112" s="195"/>
      <c r="J112" s="188"/>
      <c r="K112" s="189"/>
      <c r="L112" s="196"/>
      <c r="M112" s="189"/>
      <c r="N112" s="195"/>
      <c r="P112" s="189"/>
      <c r="Q112" s="196"/>
      <c r="R112" s="189"/>
      <c r="S112" s="195"/>
      <c r="U112" s="189"/>
      <c r="V112" s="196"/>
      <c r="W112" s="189"/>
      <c r="X112" s="195"/>
      <c r="Z112" s="189"/>
      <c r="AA112" s="196"/>
      <c r="AB112" s="189"/>
      <c r="AC112" s="195"/>
      <c r="AE112" s="189"/>
      <c r="AF112" s="196"/>
      <c r="AG112" s="189"/>
      <c r="AH112" s="195"/>
      <c r="AJ112" s="189"/>
      <c r="AK112" s="196"/>
      <c r="AL112" s="189"/>
      <c r="AM112" s="195"/>
      <c r="AO112" s="189"/>
      <c r="AP112" s="196"/>
      <c r="AQ112" s="189"/>
      <c r="AR112" s="195"/>
      <c r="AT112" s="189"/>
      <c r="AU112" s="196"/>
      <c r="AV112" s="189"/>
      <c r="AW112" s="195"/>
      <c r="AY112" s="198"/>
      <c r="AZ112" s="199"/>
      <c r="BA112" s="198"/>
      <c r="BB112" s="198"/>
    </row>
    <row r="113" spans="4:54" ht="15.75" x14ac:dyDescent="0.25">
      <c r="D113" s="194">
        <f t="shared" si="19"/>
        <v>0</v>
      </c>
      <c r="F113" s="189"/>
      <c r="G113" s="196"/>
      <c r="H113" s="189"/>
      <c r="I113" s="195"/>
      <c r="J113" s="188"/>
      <c r="K113" s="189"/>
      <c r="L113" s="196"/>
      <c r="M113" s="189"/>
      <c r="N113" s="195"/>
      <c r="P113" s="189"/>
      <c r="Q113" s="196"/>
      <c r="R113" s="189"/>
      <c r="S113" s="195"/>
      <c r="U113" s="189"/>
      <c r="V113" s="196"/>
      <c r="W113" s="189"/>
      <c r="X113" s="195"/>
      <c r="Z113" s="189"/>
      <c r="AA113" s="196"/>
      <c r="AB113" s="189"/>
      <c r="AC113" s="195"/>
      <c r="AE113" s="189"/>
      <c r="AF113" s="196"/>
      <c r="AG113" s="189"/>
      <c r="AH113" s="195"/>
      <c r="AJ113" s="189"/>
      <c r="AK113" s="196"/>
      <c r="AL113" s="189"/>
      <c r="AM113" s="195"/>
      <c r="AO113" s="189"/>
      <c r="AP113" s="196"/>
      <c r="AQ113" s="189"/>
      <c r="AR113" s="195"/>
      <c r="AT113" s="189"/>
      <c r="AU113" s="196"/>
      <c r="AV113" s="189"/>
      <c r="AW113" s="195"/>
      <c r="AY113" s="198"/>
      <c r="AZ113" s="199"/>
      <c r="BA113" s="198"/>
      <c r="BB113" s="198"/>
    </row>
    <row r="114" spans="4:54" ht="15.75" x14ac:dyDescent="0.25">
      <c r="D114" s="194">
        <f t="shared" si="19"/>
        <v>0</v>
      </c>
      <c r="F114" s="189"/>
      <c r="G114" s="196"/>
      <c r="H114" s="189"/>
      <c r="I114" s="195"/>
      <c r="J114" s="188"/>
      <c r="K114" s="189"/>
      <c r="L114" s="196"/>
      <c r="M114" s="189"/>
      <c r="N114" s="195"/>
      <c r="P114" s="189"/>
      <c r="Q114" s="196"/>
      <c r="R114" s="189"/>
      <c r="S114" s="195"/>
      <c r="U114" s="189"/>
      <c r="V114" s="196"/>
      <c r="W114" s="189"/>
      <c r="X114" s="195"/>
      <c r="Z114" s="189"/>
      <c r="AA114" s="196"/>
      <c r="AB114" s="189"/>
      <c r="AC114" s="195"/>
      <c r="AE114" s="189"/>
      <c r="AF114" s="196"/>
      <c r="AG114" s="189"/>
      <c r="AH114" s="195"/>
      <c r="AJ114" s="189"/>
      <c r="AK114" s="196"/>
      <c r="AL114" s="189"/>
      <c r="AM114" s="195"/>
      <c r="AO114" s="189"/>
      <c r="AP114" s="196"/>
      <c r="AQ114" s="189"/>
      <c r="AR114" s="195"/>
      <c r="AT114" s="189"/>
      <c r="AU114" s="196"/>
      <c r="AV114" s="189"/>
      <c r="AW114" s="195"/>
      <c r="AY114" s="198"/>
      <c r="AZ114" s="199"/>
      <c r="BA114" s="198"/>
      <c r="BB114" s="198"/>
    </row>
    <row r="115" spans="4:54" ht="15.75" x14ac:dyDescent="0.25">
      <c r="D115" s="194">
        <f t="shared" si="19"/>
        <v>0</v>
      </c>
      <c r="F115" s="189" t="s">
        <v>342</v>
      </c>
      <c r="G115" s="196">
        <f>MAX(G3:G96)</f>
        <v>241.56256103515599</v>
      </c>
      <c r="H115" s="189"/>
      <c r="I115" s="195"/>
      <c r="J115" s="188"/>
      <c r="K115" s="189" t="s">
        <v>342</v>
      </c>
      <c r="L115" s="196">
        <f>MAX(L3:L96)</f>
        <v>260.01138305664102</v>
      </c>
      <c r="M115" s="189"/>
      <c r="N115" s="195"/>
      <c r="P115" s="189" t="s">
        <v>342</v>
      </c>
      <c r="Q115" s="196">
        <f>MAX(Q3:Q96)</f>
        <v>269.54443359375</v>
      </c>
      <c r="R115" s="189"/>
      <c r="S115" s="195"/>
      <c r="U115" s="189" t="s">
        <v>342</v>
      </c>
      <c r="V115" s="196">
        <f>MAX(V3:V96)</f>
        <v>284.5</v>
      </c>
      <c r="W115" s="189"/>
      <c r="X115" s="195"/>
      <c r="Z115" s="189" t="s">
        <v>342</v>
      </c>
      <c r="AA115" s="196">
        <f>MAX(AA3:AA96)</f>
        <v>230.15</v>
      </c>
      <c r="AB115" s="189"/>
      <c r="AC115" s="195"/>
      <c r="AE115" s="189" t="s">
        <v>342</v>
      </c>
      <c r="AF115" s="196">
        <f>MAX(AF3:AF96)</f>
        <v>231.25</v>
      </c>
      <c r="AG115" s="189"/>
      <c r="AH115" s="195"/>
      <c r="AJ115" s="189" t="s">
        <v>342</v>
      </c>
      <c r="AK115" s="196">
        <f>MAX(AK3:AK96)</f>
        <v>230.87</v>
      </c>
      <c r="AL115" s="189"/>
      <c r="AM115" s="195"/>
      <c r="AO115" s="189" t="s">
        <v>342</v>
      </c>
      <c r="AP115" s="196">
        <f>MAX(AP3:AP96)</f>
        <v>91.0518798828125</v>
      </c>
      <c r="AQ115" s="189"/>
      <c r="AR115" s="195"/>
      <c r="AT115" s="189" t="s">
        <v>342</v>
      </c>
      <c r="AU115" s="196">
        <f>MAX(AU3:AU96)</f>
        <v>284.13107249708059</v>
      </c>
      <c r="AV115" s="189"/>
      <c r="AW115" s="195"/>
      <c r="AY115" s="198"/>
      <c r="AZ115" s="199"/>
      <c r="BA115" s="198"/>
      <c r="BB115" s="198"/>
    </row>
    <row r="116" spans="4:54" ht="15.75" x14ac:dyDescent="0.25">
      <c r="D116" s="194">
        <f t="shared" si="19"/>
        <v>0</v>
      </c>
      <c r="F116" s="189"/>
      <c r="G116" s="196"/>
      <c r="H116" s="189"/>
      <c r="I116" s="195"/>
      <c r="J116" s="188"/>
      <c r="K116" s="189"/>
      <c r="L116" s="196"/>
      <c r="M116" s="189"/>
      <c r="N116" s="195"/>
      <c r="P116" s="189"/>
      <c r="Q116" s="196"/>
      <c r="R116" s="189"/>
      <c r="S116" s="195"/>
      <c r="U116" s="189"/>
      <c r="V116" s="196"/>
      <c r="W116" s="189"/>
      <c r="X116" s="195"/>
      <c r="Z116" s="189"/>
      <c r="AA116" s="196"/>
      <c r="AB116" s="189"/>
      <c r="AC116" s="195"/>
      <c r="AE116" s="189"/>
      <c r="AF116" s="196"/>
      <c r="AG116" s="189"/>
      <c r="AH116" s="195"/>
      <c r="AJ116" s="189"/>
      <c r="AK116" s="196"/>
      <c r="AL116" s="189"/>
      <c r="AM116" s="195"/>
      <c r="AO116" s="189"/>
      <c r="AP116" s="196"/>
      <c r="AQ116" s="189"/>
      <c r="AR116" s="195"/>
      <c r="AT116" s="189"/>
      <c r="AU116" s="196"/>
      <c r="AV116" s="189"/>
      <c r="AW116" s="195"/>
      <c r="AY116" s="198"/>
      <c r="AZ116" s="199"/>
      <c r="BA116" s="198"/>
      <c r="BB116" s="198"/>
    </row>
    <row r="117" spans="4:54" ht="15.75" x14ac:dyDescent="0.25">
      <c r="D117" s="194">
        <f t="shared" si="19"/>
        <v>0</v>
      </c>
      <c r="F117" s="189"/>
      <c r="G117" s="196"/>
      <c r="H117" s="189"/>
      <c r="I117" s="195"/>
      <c r="J117" s="188"/>
      <c r="K117" s="189"/>
      <c r="L117" s="196"/>
      <c r="M117" s="189"/>
      <c r="N117" s="195"/>
      <c r="P117" s="189"/>
      <c r="Q117" s="196"/>
      <c r="R117" s="189"/>
      <c r="S117" s="195"/>
      <c r="U117" s="189"/>
      <c r="V117" s="196"/>
      <c r="W117" s="189"/>
      <c r="X117" s="195"/>
      <c r="Z117" s="189"/>
      <c r="AA117" s="196"/>
      <c r="AB117" s="189"/>
      <c r="AC117" s="195"/>
      <c r="AE117" s="189"/>
      <c r="AF117" s="196"/>
      <c r="AG117" s="189"/>
      <c r="AH117" s="195"/>
      <c r="AJ117" s="189"/>
      <c r="AK117" s="196"/>
      <c r="AL117" s="189"/>
      <c r="AM117" s="195"/>
      <c r="AO117" s="189"/>
      <c r="AP117" s="196"/>
      <c r="AQ117" s="189"/>
      <c r="AR117" s="195"/>
      <c r="AT117" s="189"/>
      <c r="AU117" s="196"/>
      <c r="AV117" s="189"/>
      <c r="AW117" s="195"/>
      <c r="AY117" s="198"/>
      <c r="AZ117" s="199"/>
      <c r="BA117" s="198"/>
      <c r="BB117" s="198"/>
    </row>
    <row r="118" spans="4:54" ht="15.75" x14ac:dyDescent="0.25">
      <c r="D118" s="194">
        <f t="shared" si="19"/>
        <v>0</v>
      </c>
      <c r="F118" s="189"/>
      <c r="G118" s="196"/>
      <c r="H118" s="189"/>
      <c r="I118" s="195"/>
      <c r="J118" s="188"/>
      <c r="K118" s="189"/>
      <c r="L118" s="196"/>
      <c r="M118" s="189"/>
      <c r="N118" s="195"/>
      <c r="P118" s="189"/>
      <c r="Q118" s="196"/>
      <c r="R118" s="189"/>
      <c r="S118" s="195"/>
      <c r="U118" s="189"/>
      <c r="V118" s="196"/>
      <c r="W118" s="189"/>
      <c r="X118" s="195"/>
      <c r="Z118" s="189"/>
      <c r="AA118" s="196"/>
      <c r="AB118" s="189"/>
      <c r="AC118" s="195"/>
      <c r="AE118" s="189"/>
      <c r="AF118" s="196"/>
      <c r="AG118" s="189"/>
      <c r="AH118" s="195"/>
      <c r="AJ118" s="189"/>
      <c r="AK118" s="196"/>
      <c r="AL118" s="189"/>
      <c r="AM118" s="195"/>
      <c r="AO118" s="189"/>
      <c r="AP118" s="196"/>
      <c r="AQ118" s="189"/>
      <c r="AR118" s="195"/>
      <c r="AT118" s="189"/>
      <c r="AU118" s="196"/>
      <c r="AV118" s="189"/>
      <c r="AW118" s="195"/>
      <c r="AY118" s="198"/>
      <c r="AZ118" s="199"/>
      <c r="BA118" s="198"/>
      <c r="BB118" s="198"/>
    </row>
    <row r="119" spans="4:54" ht="15.75" x14ac:dyDescent="0.25">
      <c r="D119" s="194">
        <f t="shared" si="19"/>
        <v>0</v>
      </c>
      <c r="F119" s="189"/>
      <c r="G119" s="196"/>
      <c r="H119" s="189"/>
      <c r="I119" s="195"/>
      <c r="J119" s="188"/>
      <c r="K119" s="189"/>
      <c r="L119" s="196"/>
      <c r="M119" s="189"/>
      <c r="N119" s="195"/>
      <c r="P119" s="189"/>
      <c r="Q119" s="196"/>
      <c r="R119" s="189"/>
      <c r="S119" s="195"/>
      <c r="U119" s="189"/>
      <c r="V119" s="196"/>
      <c r="W119" s="189"/>
      <c r="X119" s="195"/>
      <c r="Z119" s="189"/>
      <c r="AA119" s="196"/>
      <c r="AB119" s="189"/>
      <c r="AC119" s="195"/>
      <c r="AE119" s="189"/>
      <c r="AF119" s="196"/>
      <c r="AG119" s="189"/>
      <c r="AH119" s="195"/>
      <c r="AJ119" s="189"/>
      <c r="AK119" s="196"/>
      <c r="AL119" s="189"/>
      <c r="AM119" s="195"/>
      <c r="AO119" s="189"/>
      <c r="AP119" s="196"/>
      <c r="AQ119" s="189"/>
      <c r="AR119" s="195"/>
      <c r="AT119" s="189"/>
      <c r="AU119" s="196"/>
      <c r="AV119" s="189"/>
      <c r="AW119" s="195"/>
      <c r="AY119" s="198"/>
      <c r="AZ119" s="199"/>
      <c r="BA119" s="198"/>
      <c r="BB119" s="198"/>
    </row>
    <row r="120" spans="4:54" ht="15.75" x14ac:dyDescent="0.25">
      <c r="D120" s="194">
        <f t="shared" si="19"/>
        <v>0</v>
      </c>
      <c r="F120" s="189"/>
      <c r="G120" s="196"/>
      <c r="H120" s="189"/>
      <c r="I120" s="195"/>
      <c r="J120" s="188"/>
      <c r="K120" s="189"/>
      <c r="L120" s="196"/>
      <c r="M120" s="189"/>
      <c r="N120" s="195"/>
      <c r="P120" s="189"/>
      <c r="Q120" s="196"/>
      <c r="R120" s="189"/>
      <c r="S120" s="195"/>
      <c r="U120" s="189"/>
      <c r="V120" s="196"/>
      <c r="W120" s="189"/>
      <c r="X120" s="195"/>
      <c r="Z120" s="189"/>
      <c r="AA120" s="196"/>
      <c r="AB120" s="189"/>
      <c r="AC120" s="195"/>
      <c r="AE120" s="189"/>
      <c r="AF120" s="196"/>
      <c r="AG120" s="189"/>
      <c r="AH120" s="195"/>
      <c r="AJ120" s="189"/>
      <c r="AK120" s="196"/>
      <c r="AL120" s="189"/>
      <c r="AM120" s="195"/>
      <c r="AO120" s="189"/>
      <c r="AP120" s="196"/>
      <c r="AQ120" s="189"/>
      <c r="AR120" s="195"/>
      <c r="AT120" s="189"/>
      <c r="AU120" s="196"/>
      <c r="AV120" s="189"/>
      <c r="AW120" s="195"/>
      <c r="AY120" s="198"/>
      <c r="AZ120" s="199"/>
      <c r="BA120" s="198"/>
      <c r="BB120" s="198"/>
    </row>
    <row r="121" spans="4:54" ht="15.75" x14ac:dyDescent="0.25">
      <c r="D121" s="194">
        <f t="shared" si="19"/>
        <v>0</v>
      </c>
      <c r="F121" s="189"/>
      <c r="G121" s="196"/>
      <c r="H121" s="189"/>
      <c r="I121" s="195"/>
      <c r="J121" s="188"/>
      <c r="K121" s="189"/>
      <c r="L121" s="196"/>
      <c r="M121" s="189"/>
      <c r="N121" s="195"/>
      <c r="P121" s="189"/>
      <c r="Q121" s="196"/>
      <c r="R121" s="189"/>
      <c r="S121" s="195"/>
      <c r="U121" s="189"/>
      <c r="V121" s="196"/>
      <c r="W121" s="189"/>
      <c r="X121" s="195"/>
      <c r="Z121" s="189"/>
      <c r="AA121" s="196"/>
      <c r="AB121" s="189"/>
      <c r="AC121" s="195"/>
      <c r="AE121" s="189"/>
      <c r="AF121" s="196"/>
      <c r="AG121" s="189"/>
      <c r="AH121" s="195"/>
      <c r="AJ121" s="189"/>
      <c r="AK121" s="196"/>
      <c r="AL121" s="189"/>
      <c r="AM121" s="195"/>
      <c r="AO121" s="189"/>
      <c r="AP121" s="196"/>
      <c r="AQ121" s="189"/>
      <c r="AR121" s="195"/>
      <c r="AT121" s="189"/>
      <c r="AU121" s="196"/>
      <c r="AV121" s="189"/>
      <c r="AW121" s="195"/>
      <c r="AY121" s="198"/>
      <c r="AZ121" s="199"/>
      <c r="BA121" s="198"/>
      <c r="BB121" s="198"/>
    </row>
    <row r="122" spans="4:54" ht="15.75" x14ac:dyDescent="0.25">
      <c r="D122" s="194">
        <f t="shared" si="19"/>
        <v>0</v>
      </c>
      <c r="F122" s="189"/>
      <c r="G122" s="196"/>
      <c r="H122" s="189"/>
      <c r="I122" s="195"/>
      <c r="J122" s="188"/>
      <c r="K122" s="189"/>
      <c r="L122" s="196"/>
      <c r="M122" s="189"/>
      <c r="N122" s="195"/>
      <c r="P122" s="189"/>
      <c r="Q122" s="196"/>
      <c r="R122" s="189"/>
      <c r="S122" s="195"/>
      <c r="U122" s="189"/>
      <c r="V122" s="196"/>
      <c r="W122" s="189"/>
      <c r="X122" s="195"/>
      <c r="Z122" s="189"/>
      <c r="AA122" s="196"/>
      <c r="AB122" s="189"/>
      <c r="AC122" s="195"/>
      <c r="AE122" s="189"/>
      <c r="AF122" s="196"/>
      <c r="AG122" s="189"/>
      <c r="AH122" s="195"/>
      <c r="AJ122" s="189"/>
      <c r="AK122" s="196"/>
      <c r="AL122" s="189"/>
      <c r="AM122" s="195"/>
      <c r="AO122" s="189"/>
      <c r="AP122" s="196"/>
      <c r="AQ122" s="189"/>
      <c r="AR122" s="195"/>
      <c r="AT122" s="189"/>
      <c r="AU122" s="196"/>
      <c r="AV122" s="189"/>
      <c r="AW122" s="195"/>
      <c r="AY122" s="198"/>
      <c r="AZ122" s="199"/>
      <c r="BA122" s="198"/>
      <c r="BB122" s="198"/>
    </row>
    <row r="123" spans="4:54" ht="15.75" x14ac:dyDescent="0.25">
      <c r="D123" s="194">
        <f t="shared" si="19"/>
        <v>0</v>
      </c>
      <c r="F123" s="189"/>
      <c r="G123" s="196"/>
      <c r="H123" s="189"/>
      <c r="I123" s="195"/>
      <c r="J123" s="188"/>
      <c r="K123" s="189"/>
      <c r="L123" s="196"/>
      <c r="M123" s="189"/>
      <c r="N123" s="195"/>
      <c r="P123" s="189"/>
      <c r="Q123" s="196"/>
      <c r="R123" s="189"/>
      <c r="S123" s="195"/>
      <c r="U123" s="189"/>
      <c r="V123" s="196"/>
      <c r="W123" s="189"/>
      <c r="X123" s="195"/>
      <c r="Z123" s="189"/>
      <c r="AA123" s="196"/>
      <c r="AB123" s="189"/>
      <c r="AC123" s="195"/>
      <c r="AE123" s="189"/>
      <c r="AF123" s="196"/>
      <c r="AG123" s="189"/>
      <c r="AH123" s="195"/>
      <c r="AJ123" s="189"/>
      <c r="AK123" s="196"/>
      <c r="AL123" s="189"/>
      <c r="AM123" s="195"/>
      <c r="AO123" s="189"/>
      <c r="AP123" s="196"/>
      <c r="AQ123" s="189"/>
      <c r="AR123" s="195"/>
      <c r="AT123" s="189"/>
      <c r="AU123" s="196"/>
      <c r="AV123" s="189"/>
      <c r="AW123" s="195"/>
      <c r="AY123" s="198"/>
      <c r="AZ123" s="199"/>
      <c r="BA123" s="198"/>
      <c r="BB123" s="198"/>
    </row>
    <row r="124" spans="4:54" ht="15.75" x14ac:dyDescent="0.25">
      <c r="D124" s="194">
        <f t="shared" si="19"/>
        <v>0</v>
      </c>
      <c r="F124" s="189"/>
      <c r="G124" s="196"/>
      <c r="H124" s="189"/>
      <c r="I124" s="195"/>
      <c r="J124" s="188"/>
      <c r="K124" s="189"/>
      <c r="L124" s="196"/>
      <c r="M124" s="189"/>
      <c r="N124" s="195"/>
      <c r="P124" s="189"/>
      <c r="Q124" s="196"/>
      <c r="R124" s="189"/>
      <c r="S124" s="195"/>
      <c r="U124" s="189"/>
      <c r="V124" s="196"/>
      <c r="W124" s="189"/>
      <c r="X124" s="195"/>
      <c r="Z124" s="189"/>
      <c r="AA124" s="196"/>
      <c r="AB124" s="189"/>
      <c r="AC124" s="195"/>
      <c r="AE124" s="189"/>
      <c r="AF124" s="196"/>
      <c r="AG124" s="189"/>
      <c r="AH124" s="195"/>
      <c r="AJ124" s="189"/>
      <c r="AK124" s="196"/>
      <c r="AL124" s="189"/>
      <c r="AM124" s="195"/>
      <c r="AO124" s="189"/>
      <c r="AP124" s="196"/>
      <c r="AQ124" s="189"/>
      <c r="AR124" s="195"/>
      <c r="AT124" s="189"/>
      <c r="AU124" s="196"/>
      <c r="AV124" s="189"/>
      <c r="AW124" s="195"/>
      <c r="AY124" s="198"/>
      <c r="AZ124" s="199"/>
      <c r="BA124" s="198"/>
      <c r="BB124" s="198"/>
    </row>
    <row r="125" spans="4:54" ht="15.75" x14ac:dyDescent="0.25">
      <c r="D125" s="194">
        <f t="shared" si="19"/>
        <v>0</v>
      </c>
      <c r="F125" s="189"/>
      <c r="G125" s="196"/>
      <c r="H125" s="189"/>
      <c r="I125" s="195"/>
      <c r="J125" s="188"/>
      <c r="K125" s="189"/>
      <c r="L125" s="196"/>
      <c r="M125" s="189"/>
      <c r="N125" s="195"/>
      <c r="P125" s="189"/>
      <c r="Q125" s="196"/>
      <c r="R125" s="189"/>
      <c r="S125" s="195"/>
      <c r="U125" s="189"/>
      <c r="V125" s="196"/>
      <c r="W125" s="189"/>
      <c r="X125" s="195"/>
      <c r="Z125" s="189"/>
      <c r="AA125" s="196"/>
      <c r="AB125" s="189"/>
      <c r="AC125" s="195"/>
      <c r="AE125" s="189"/>
      <c r="AF125" s="196"/>
      <c r="AG125" s="189"/>
      <c r="AH125" s="195"/>
      <c r="AJ125" s="189"/>
      <c r="AK125" s="196"/>
      <c r="AL125" s="189"/>
      <c r="AM125" s="195"/>
      <c r="AO125" s="189"/>
      <c r="AP125" s="196"/>
      <c r="AQ125" s="189"/>
      <c r="AR125" s="195"/>
      <c r="AT125" s="189"/>
      <c r="AU125" s="196"/>
      <c r="AV125" s="189"/>
      <c r="AW125" s="195"/>
      <c r="AY125" s="198"/>
      <c r="AZ125" s="199"/>
      <c r="BA125" s="198"/>
      <c r="BB125" s="198"/>
    </row>
    <row r="126" spans="4:54" ht="15.75" x14ac:dyDescent="0.25">
      <c r="D126" s="194">
        <f t="shared" si="19"/>
        <v>0</v>
      </c>
      <c r="F126" s="189"/>
      <c r="G126" s="196"/>
      <c r="H126" s="189"/>
      <c r="I126" s="195"/>
      <c r="J126" s="188"/>
      <c r="K126" s="189"/>
      <c r="L126" s="196"/>
      <c r="M126" s="189"/>
      <c r="N126" s="195"/>
      <c r="P126" s="189"/>
      <c r="Q126" s="196"/>
      <c r="R126" s="189"/>
      <c r="S126" s="195"/>
      <c r="U126" s="189"/>
      <c r="V126" s="196"/>
      <c r="W126" s="189"/>
      <c r="X126" s="195"/>
      <c r="Z126" s="189"/>
      <c r="AA126" s="196"/>
      <c r="AB126" s="189"/>
      <c r="AC126" s="195"/>
      <c r="AE126" s="189"/>
      <c r="AF126" s="196"/>
      <c r="AG126" s="189"/>
      <c r="AH126" s="195"/>
      <c r="AJ126" s="189"/>
      <c r="AK126" s="196"/>
      <c r="AL126" s="189"/>
      <c r="AM126" s="195"/>
      <c r="AO126" s="189"/>
      <c r="AP126" s="196"/>
      <c r="AQ126" s="189"/>
      <c r="AR126" s="195"/>
      <c r="AT126" s="189"/>
      <c r="AU126" s="196"/>
      <c r="AV126" s="189"/>
      <c r="AW126" s="195"/>
      <c r="AY126" s="198"/>
      <c r="AZ126" s="199"/>
      <c r="BA126" s="198"/>
      <c r="BB126" s="198"/>
    </row>
    <row r="127" spans="4:54" ht="15.75" x14ac:dyDescent="0.25">
      <c r="D127" s="194">
        <f t="shared" si="19"/>
        <v>0</v>
      </c>
      <c r="F127" s="189"/>
      <c r="G127" s="196"/>
      <c r="H127" s="189"/>
      <c r="I127" s="195"/>
      <c r="J127" s="188"/>
      <c r="K127" s="189"/>
      <c r="L127" s="196"/>
      <c r="M127" s="189"/>
      <c r="N127" s="195"/>
      <c r="P127" s="189"/>
      <c r="Q127" s="196"/>
      <c r="R127" s="189"/>
      <c r="S127" s="195"/>
      <c r="U127" s="189"/>
      <c r="V127" s="196"/>
      <c r="W127" s="189"/>
      <c r="X127" s="195"/>
      <c r="Z127" s="189"/>
      <c r="AA127" s="196"/>
      <c r="AB127" s="189"/>
      <c r="AC127" s="195"/>
      <c r="AE127" s="189"/>
      <c r="AF127" s="196"/>
      <c r="AG127" s="189"/>
      <c r="AH127" s="195"/>
      <c r="AJ127" s="189"/>
      <c r="AK127" s="196"/>
      <c r="AL127" s="189"/>
      <c r="AM127" s="195"/>
      <c r="AO127" s="189"/>
      <c r="AP127" s="196"/>
      <c r="AQ127" s="189"/>
      <c r="AR127" s="195"/>
      <c r="AT127" s="189"/>
      <c r="AU127" s="196"/>
      <c r="AV127" s="189"/>
      <c r="AW127" s="195"/>
      <c r="AY127" s="198"/>
      <c r="AZ127" s="199"/>
      <c r="BA127" s="198"/>
      <c r="BB127" s="198"/>
    </row>
    <row r="128" spans="4:54" ht="15.75" x14ac:dyDescent="0.25">
      <c r="D128" s="194">
        <f t="shared" si="19"/>
        <v>0</v>
      </c>
      <c r="F128" s="189"/>
      <c r="G128" s="196"/>
      <c r="H128" s="189"/>
      <c r="I128" s="195"/>
      <c r="J128" s="188"/>
      <c r="K128" s="189"/>
      <c r="L128" s="196"/>
      <c r="M128" s="189"/>
      <c r="N128" s="195"/>
      <c r="P128" s="189"/>
      <c r="Q128" s="196"/>
      <c r="R128" s="189"/>
      <c r="S128" s="195"/>
      <c r="U128" s="189"/>
      <c r="V128" s="196"/>
      <c r="W128" s="189"/>
      <c r="X128" s="195"/>
      <c r="Z128" s="189"/>
      <c r="AA128" s="196"/>
      <c r="AB128" s="189"/>
      <c r="AC128" s="195"/>
      <c r="AE128" s="189"/>
      <c r="AF128" s="196"/>
      <c r="AG128" s="189"/>
      <c r="AH128" s="195"/>
      <c r="AJ128" s="189"/>
      <c r="AK128" s="196"/>
      <c r="AL128" s="189"/>
      <c r="AM128" s="195"/>
      <c r="AO128" s="189"/>
      <c r="AP128" s="196"/>
      <c r="AQ128" s="189"/>
      <c r="AR128" s="195"/>
      <c r="AT128" s="189"/>
      <c r="AU128" s="196"/>
      <c r="AV128" s="189"/>
      <c r="AW128" s="195"/>
      <c r="AY128" s="198"/>
      <c r="AZ128" s="199"/>
      <c r="BA128" s="198"/>
      <c r="BB128" s="198"/>
    </row>
    <row r="129" spans="4:54" ht="15.75" x14ac:dyDescent="0.25">
      <c r="D129" s="194">
        <f t="shared" si="19"/>
        <v>0</v>
      </c>
      <c r="F129" s="189"/>
      <c r="G129" s="196"/>
      <c r="H129" s="189"/>
      <c r="I129" s="195"/>
      <c r="J129" s="188"/>
      <c r="K129" s="189"/>
      <c r="L129" s="196"/>
      <c r="M129" s="189"/>
      <c r="N129" s="195"/>
      <c r="P129" s="189"/>
      <c r="Q129" s="196"/>
      <c r="R129" s="189"/>
      <c r="S129" s="195"/>
      <c r="U129" s="189"/>
      <c r="V129" s="196"/>
      <c r="W129" s="189"/>
      <c r="X129" s="195"/>
      <c r="Z129" s="189"/>
      <c r="AA129" s="196"/>
      <c r="AB129" s="189"/>
      <c r="AC129" s="195"/>
      <c r="AE129" s="189"/>
      <c r="AF129" s="196"/>
      <c r="AG129" s="189"/>
      <c r="AH129" s="195"/>
      <c r="AJ129" s="189"/>
      <c r="AK129" s="196"/>
      <c r="AL129" s="189"/>
      <c r="AM129" s="195"/>
      <c r="AO129" s="189"/>
      <c r="AP129" s="196"/>
      <c r="AQ129" s="189"/>
      <c r="AR129" s="195"/>
      <c r="AT129" s="189"/>
      <c r="AU129" s="196"/>
      <c r="AV129" s="189"/>
      <c r="AW129" s="195"/>
      <c r="AY129" s="198"/>
      <c r="AZ129" s="199"/>
      <c r="BA129" s="198"/>
      <c r="BB129" s="198"/>
    </row>
    <row r="130" spans="4:54" ht="15.75" x14ac:dyDescent="0.25">
      <c r="D130" s="194">
        <f t="shared" si="19"/>
        <v>0</v>
      </c>
      <c r="F130" s="189"/>
      <c r="G130" s="196"/>
      <c r="H130" s="189"/>
      <c r="I130" s="195"/>
      <c r="J130" s="188"/>
      <c r="K130" s="189"/>
      <c r="L130" s="196"/>
      <c r="M130" s="189"/>
      <c r="N130" s="195"/>
      <c r="P130" s="189"/>
      <c r="Q130" s="196"/>
      <c r="R130" s="189"/>
      <c r="S130" s="195"/>
      <c r="U130" s="189"/>
      <c r="V130" s="196"/>
      <c r="W130" s="189"/>
      <c r="X130" s="195"/>
      <c r="Z130" s="189"/>
      <c r="AA130" s="196"/>
      <c r="AB130" s="189"/>
      <c r="AC130" s="195"/>
      <c r="AE130" s="189"/>
      <c r="AF130" s="196"/>
      <c r="AG130" s="189"/>
      <c r="AH130" s="195"/>
      <c r="AJ130" s="189"/>
      <c r="AK130" s="196"/>
      <c r="AL130" s="189"/>
      <c r="AM130" s="195"/>
      <c r="AO130" s="189"/>
      <c r="AP130" s="196"/>
      <c r="AQ130" s="189"/>
      <c r="AR130" s="195"/>
      <c r="AT130" s="189"/>
      <c r="AU130" s="196"/>
      <c r="AV130" s="189"/>
      <c r="AW130" s="195"/>
      <c r="AY130" s="198"/>
      <c r="AZ130" s="199"/>
      <c r="BA130" s="198"/>
      <c r="BB130" s="198"/>
    </row>
    <row r="131" spans="4:54" ht="15.75" x14ac:dyDescent="0.25">
      <c r="D131" s="194">
        <f t="shared" ref="D131:D184" si="38">B131/1.1</f>
        <v>0</v>
      </c>
      <c r="F131" s="189"/>
      <c r="G131" s="196"/>
      <c r="H131" s="189"/>
      <c r="I131" s="195"/>
      <c r="J131" s="188"/>
      <c r="K131" s="189"/>
      <c r="L131" s="196"/>
      <c r="M131" s="189"/>
      <c r="N131" s="195"/>
      <c r="P131" s="189"/>
      <c r="Q131" s="196"/>
      <c r="R131" s="189"/>
      <c r="S131" s="195"/>
      <c r="U131" s="189"/>
      <c r="V131" s="196"/>
      <c r="W131" s="189"/>
      <c r="X131" s="195"/>
      <c r="Z131" s="189"/>
      <c r="AA131" s="196"/>
      <c r="AB131" s="189"/>
      <c r="AC131" s="195"/>
      <c r="AE131" s="189"/>
      <c r="AF131" s="196"/>
      <c r="AG131" s="189"/>
      <c r="AH131" s="195"/>
      <c r="AJ131" s="189"/>
      <c r="AK131" s="196"/>
      <c r="AL131" s="189"/>
      <c r="AM131" s="195"/>
      <c r="AO131" s="189"/>
      <c r="AP131" s="196"/>
      <c r="AQ131" s="189"/>
      <c r="AR131" s="195"/>
      <c r="AT131" s="189"/>
      <c r="AU131" s="196"/>
      <c r="AV131" s="189"/>
      <c r="AW131" s="195"/>
      <c r="AY131" s="198"/>
      <c r="AZ131" s="199"/>
      <c r="BA131" s="198"/>
      <c r="BB131" s="198"/>
    </row>
    <row r="132" spans="4:54" ht="15.75" x14ac:dyDescent="0.25">
      <c r="D132" s="194">
        <f t="shared" si="38"/>
        <v>0</v>
      </c>
      <c r="F132" s="189"/>
      <c r="G132" s="196"/>
      <c r="H132" s="189"/>
      <c r="I132" s="195"/>
      <c r="J132" s="188"/>
      <c r="K132" s="189"/>
      <c r="L132" s="196"/>
      <c r="M132" s="189"/>
      <c r="N132" s="195"/>
      <c r="P132" s="189"/>
      <c r="Q132" s="196"/>
      <c r="R132" s="189"/>
      <c r="S132" s="195"/>
      <c r="U132" s="189"/>
      <c r="V132" s="196"/>
      <c r="W132" s="189"/>
      <c r="X132" s="195"/>
      <c r="Z132" s="189"/>
      <c r="AA132" s="196"/>
      <c r="AB132" s="189"/>
      <c r="AC132" s="195"/>
      <c r="AE132" s="189"/>
      <c r="AF132" s="196"/>
      <c r="AG132" s="189"/>
      <c r="AH132" s="195"/>
      <c r="AJ132" s="189"/>
      <c r="AK132" s="196"/>
      <c r="AL132" s="189"/>
      <c r="AM132" s="195"/>
      <c r="AO132" s="189"/>
      <c r="AP132" s="196"/>
      <c r="AQ132" s="189"/>
      <c r="AR132" s="195"/>
      <c r="AT132" s="189"/>
      <c r="AU132" s="196"/>
      <c r="AV132" s="189"/>
      <c r="AW132" s="195"/>
      <c r="AY132" s="198"/>
      <c r="AZ132" s="199"/>
      <c r="BA132" s="198"/>
      <c r="BB132" s="198"/>
    </row>
    <row r="133" spans="4:54" ht="15.75" x14ac:dyDescent="0.25">
      <c r="D133" s="194">
        <f t="shared" si="38"/>
        <v>0</v>
      </c>
      <c r="F133" s="189"/>
      <c r="G133" s="196"/>
      <c r="H133" s="189"/>
      <c r="I133" s="195"/>
      <c r="J133" s="188"/>
      <c r="K133" s="189"/>
      <c r="L133" s="196"/>
      <c r="M133" s="189"/>
      <c r="N133" s="195"/>
      <c r="P133" s="189"/>
      <c r="Q133" s="196"/>
      <c r="R133" s="189"/>
      <c r="S133" s="195"/>
      <c r="U133" s="189"/>
      <c r="V133" s="196"/>
      <c r="W133" s="189"/>
      <c r="X133" s="195"/>
      <c r="Z133" s="189"/>
      <c r="AA133" s="196"/>
      <c r="AB133" s="189"/>
      <c r="AC133" s="195"/>
      <c r="AE133" s="189"/>
      <c r="AF133" s="196"/>
      <c r="AG133" s="189"/>
      <c r="AH133" s="195"/>
      <c r="AJ133" s="189"/>
      <c r="AK133" s="196"/>
      <c r="AL133" s="189"/>
      <c r="AM133" s="195"/>
      <c r="AO133" s="189"/>
      <c r="AP133" s="196"/>
      <c r="AQ133" s="189"/>
      <c r="AR133" s="195"/>
      <c r="AT133" s="189"/>
      <c r="AU133" s="196"/>
      <c r="AV133" s="189"/>
      <c r="AW133" s="195"/>
      <c r="AY133" s="198"/>
      <c r="AZ133" s="199"/>
      <c r="BA133" s="198"/>
      <c r="BB133" s="198"/>
    </row>
    <row r="134" spans="4:54" ht="15.75" x14ac:dyDescent="0.25">
      <c r="D134" s="194">
        <f t="shared" si="38"/>
        <v>0</v>
      </c>
      <c r="F134" s="189"/>
      <c r="G134" s="196"/>
      <c r="H134" s="189"/>
      <c r="I134" s="195"/>
      <c r="J134" s="188"/>
      <c r="K134" s="189"/>
      <c r="L134" s="196"/>
      <c r="M134" s="189"/>
      <c r="N134" s="195"/>
      <c r="P134" s="189"/>
      <c r="Q134" s="196"/>
      <c r="R134" s="189"/>
      <c r="S134" s="195"/>
      <c r="U134" s="189"/>
      <c r="V134" s="196"/>
      <c r="W134" s="189"/>
      <c r="X134" s="195"/>
      <c r="Z134" s="189"/>
      <c r="AA134" s="196"/>
      <c r="AB134" s="189"/>
      <c r="AC134" s="195"/>
      <c r="AE134" s="189"/>
      <c r="AF134" s="196"/>
      <c r="AG134" s="189"/>
      <c r="AH134" s="195"/>
      <c r="AJ134" s="189"/>
      <c r="AK134" s="196"/>
      <c r="AL134" s="189"/>
      <c r="AM134" s="195"/>
      <c r="AO134" s="189"/>
      <c r="AP134" s="196"/>
      <c r="AQ134" s="189"/>
      <c r="AR134" s="195"/>
      <c r="AT134" s="189"/>
      <c r="AU134" s="196"/>
      <c r="AV134" s="189"/>
      <c r="AW134" s="195"/>
      <c r="AY134" s="198"/>
      <c r="AZ134" s="199"/>
      <c r="BA134" s="198"/>
      <c r="BB134" s="198"/>
    </row>
    <row r="135" spans="4:54" ht="15.75" x14ac:dyDescent="0.25">
      <c r="D135" s="194">
        <f t="shared" si="38"/>
        <v>0</v>
      </c>
      <c r="F135" s="189"/>
      <c r="G135" s="196"/>
      <c r="H135" s="189"/>
      <c r="I135" s="195"/>
      <c r="J135" s="188"/>
      <c r="K135" s="189"/>
      <c r="L135" s="196"/>
      <c r="M135" s="189"/>
      <c r="N135" s="195"/>
      <c r="P135" s="189"/>
      <c r="Q135" s="196"/>
      <c r="R135" s="189"/>
      <c r="S135" s="195"/>
      <c r="U135" s="189"/>
      <c r="V135" s="196"/>
      <c r="W135" s="189"/>
      <c r="X135" s="195"/>
      <c r="Z135" s="189"/>
      <c r="AA135" s="196"/>
      <c r="AB135" s="189"/>
      <c r="AC135" s="195"/>
      <c r="AE135" s="189"/>
      <c r="AF135" s="196"/>
      <c r="AG135" s="189"/>
      <c r="AH135" s="195"/>
      <c r="AJ135" s="189"/>
      <c r="AK135" s="196"/>
      <c r="AL135" s="189"/>
      <c r="AM135" s="195"/>
      <c r="AO135" s="189"/>
      <c r="AP135" s="196"/>
      <c r="AQ135" s="189"/>
      <c r="AR135" s="195"/>
      <c r="AT135" s="189"/>
      <c r="AU135" s="196"/>
      <c r="AV135" s="189"/>
      <c r="AW135" s="195"/>
      <c r="AY135" s="198"/>
      <c r="AZ135" s="199"/>
      <c r="BA135" s="198"/>
      <c r="BB135" s="198"/>
    </row>
    <row r="136" spans="4:54" ht="15.75" x14ac:dyDescent="0.25">
      <c r="D136" s="194">
        <f t="shared" si="38"/>
        <v>0</v>
      </c>
      <c r="F136" s="189"/>
      <c r="G136" s="196"/>
      <c r="H136" s="189"/>
      <c r="I136" s="195"/>
      <c r="J136" s="188"/>
      <c r="K136" s="189"/>
      <c r="L136" s="196"/>
      <c r="M136" s="189"/>
      <c r="N136" s="195"/>
      <c r="P136" s="189"/>
      <c r="Q136" s="196"/>
      <c r="R136" s="189"/>
      <c r="S136" s="195"/>
      <c r="U136" s="189"/>
      <c r="V136" s="196"/>
      <c r="W136" s="189"/>
      <c r="X136" s="195"/>
      <c r="Z136" s="189"/>
      <c r="AA136" s="196"/>
      <c r="AB136" s="189"/>
      <c r="AC136" s="195"/>
      <c r="AE136" s="189"/>
      <c r="AF136" s="196"/>
      <c r="AG136" s="189"/>
      <c r="AH136" s="195"/>
      <c r="AJ136" s="189"/>
      <c r="AK136" s="196"/>
      <c r="AL136" s="189"/>
      <c r="AM136" s="195"/>
      <c r="AO136" s="189"/>
      <c r="AP136" s="196"/>
      <c r="AQ136" s="189"/>
      <c r="AR136" s="195"/>
      <c r="AT136" s="189"/>
      <c r="AU136" s="196"/>
      <c r="AV136" s="189"/>
      <c r="AW136" s="195"/>
      <c r="AY136" s="198"/>
      <c r="AZ136" s="199"/>
      <c r="BA136" s="198"/>
      <c r="BB136" s="198"/>
    </row>
    <row r="137" spans="4:54" ht="15.75" x14ac:dyDescent="0.25">
      <c r="D137" s="194">
        <f t="shared" si="38"/>
        <v>0</v>
      </c>
      <c r="F137" s="189"/>
      <c r="G137" s="196"/>
      <c r="H137" s="189"/>
      <c r="I137" s="195"/>
      <c r="J137" s="188"/>
      <c r="K137" s="189"/>
      <c r="L137" s="196"/>
      <c r="M137" s="189"/>
      <c r="N137" s="195"/>
      <c r="P137" s="189"/>
      <c r="Q137" s="196"/>
      <c r="R137" s="189"/>
      <c r="S137" s="195"/>
      <c r="U137" s="189"/>
      <c r="V137" s="196"/>
      <c r="W137" s="189"/>
      <c r="X137" s="195"/>
      <c r="Z137" s="189"/>
      <c r="AA137" s="196"/>
      <c r="AB137" s="189"/>
      <c r="AC137" s="195"/>
      <c r="AE137" s="189"/>
      <c r="AF137" s="196"/>
      <c r="AG137" s="189"/>
      <c r="AH137" s="195"/>
      <c r="AJ137" s="189"/>
      <c r="AK137" s="196"/>
      <c r="AL137" s="189"/>
      <c r="AM137" s="195"/>
      <c r="AO137" s="189"/>
      <c r="AP137" s="196"/>
      <c r="AQ137" s="189"/>
      <c r="AR137" s="195"/>
      <c r="AT137" s="189"/>
      <c r="AU137" s="196"/>
      <c r="AV137" s="189"/>
      <c r="AW137" s="195"/>
      <c r="AY137" s="198"/>
      <c r="AZ137" s="199"/>
      <c r="BA137" s="198"/>
      <c r="BB137" s="198"/>
    </row>
    <row r="138" spans="4:54" ht="15.75" x14ac:dyDescent="0.25">
      <c r="D138" s="194">
        <f t="shared" si="38"/>
        <v>0</v>
      </c>
      <c r="F138" s="189"/>
      <c r="G138" s="196"/>
      <c r="H138" s="189"/>
      <c r="I138" s="195"/>
      <c r="J138" s="188"/>
      <c r="K138" s="189"/>
      <c r="L138" s="196"/>
      <c r="M138" s="189"/>
      <c r="N138" s="195"/>
      <c r="P138" s="189"/>
      <c r="Q138" s="196"/>
      <c r="R138" s="189"/>
      <c r="S138" s="195"/>
      <c r="U138" s="189"/>
      <c r="V138" s="196"/>
      <c r="W138" s="189"/>
      <c r="X138" s="195"/>
      <c r="Z138" s="189"/>
      <c r="AA138" s="196"/>
      <c r="AB138" s="189"/>
      <c r="AC138" s="195"/>
      <c r="AE138" s="189"/>
      <c r="AF138" s="196"/>
      <c r="AG138" s="189"/>
      <c r="AH138" s="195"/>
      <c r="AJ138" s="189"/>
      <c r="AK138" s="196"/>
      <c r="AL138" s="189"/>
      <c r="AM138" s="195"/>
      <c r="AO138" s="189"/>
      <c r="AP138" s="196"/>
      <c r="AQ138" s="189"/>
      <c r="AR138" s="195"/>
      <c r="AT138" s="189"/>
      <c r="AU138" s="196"/>
      <c r="AV138" s="189"/>
      <c r="AW138" s="195"/>
      <c r="AY138" s="198"/>
      <c r="AZ138" s="199"/>
      <c r="BA138" s="198"/>
      <c r="BB138" s="198"/>
    </row>
    <row r="139" spans="4:54" ht="15.75" x14ac:dyDescent="0.25">
      <c r="D139" s="194">
        <f t="shared" si="38"/>
        <v>0</v>
      </c>
      <c r="F139" s="189"/>
      <c r="G139" s="196"/>
      <c r="H139" s="189"/>
      <c r="I139" s="195"/>
      <c r="J139" s="188"/>
      <c r="K139" s="189"/>
      <c r="L139" s="196"/>
      <c r="M139" s="189"/>
      <c r="N139" s="195"/>
      <c r="P139" s="189"/>
      <c r="Q139" s="196"/>
      <c r="R139" s="189"/>
      <c r="S139" s="195"/>
      <c r="U139" s="189"/>
      <c r="V139" s="196"/>
      <c r="W139" s="189"/>
      <c r="X139" s="195"/>
      <c r="Z139" s="189"/>
      <c r="AA139" s="196"/>
      <c r="AB139" s="189"/>
      <c r="AC139" s="195"/>
      <c r="AE139" s="189"/>
      <c r="AF139" s="196"/>
      <c r="AG139" s="189"/>
      <c r="AH139" s="195"/>
      <c r="AJ139" s="189"/>
      <c r="AK139" s="196"/>
      <c r="AL139" s="189"/>
      <c r="AM139" s="195"/>
      <c r="AO139" s="189"/>
      <c r="AP139" s="196"/>
      <c r="AQ139" s="189"/>
      <c r="AR139" s="195"/>
      <c r="AT139" s="189"/>
      <c r="AU139" s="196"/>
      <c r="AV139" s="189"/>
      <c r="AW139" s="195"/>
      <c r="AY139" s="198"/>
      <c r="AZ139" s="199"/>
      <c r="BA139" s="198"/>
      <c r="BB139" s="198"/>
    </row>
    <row r="140" spans="4:54" ht="15.75" x14ac:dyDescent="0.25">
      <c r="D140" s="194">
        <f t="shared" si="38"/>
        <v>0</v>
      </c>
      <c r="F140" s="189"/>
      <c r="G140" s="196"/>
      <c r="H140" s="189"/>
      <c r="I140" s="195"/>
      <c r="J140" s="188"/>
      <c r="K140" s="189"/>
      <c r="L140" s="196"/>
      <c r="M140" s="189"/>
      <c r="N140" s="195"/>
      <c r="P140" s="189"/>
      <c r="Q140" s="196"/>
      <c r="R140" s="189"/>
      <c r="S140" s="195"/>
      <c r="U140" s="189"/>
      <c r="V140" s="196"/>
      <c r="W140" s="189"/>
      <c r="X140" s="195"/>
      <c r="Z140" s="189"/>
      <c r="AA140" s="196"/>
      <c r="AB140" s="189"/>
      <c r="AC140" s="195"/>
      <c r="AE140" s="189"/>
      <c r="AF140" s="196"/>
      <c r="AG140" s="189"/>
      <c r="AH140" s="195"/>
      <c r="AJ140" s="189"/>
      <c r="AK140" s="196"/>
      <c r="AL140" s="189"/>
      <c r="AM140" s="195"/>
      <c r="AO140" s="189"/>
      <c r="AP140" s="196"/>
      <c r="AQ140" s="189"/>
      <c r="AR140" s="195"/>
      <c r="AT140" s="189"/>
      <c r="AU140" s="196"/>
      <c r="AV140" s="189"/>
      <c r="AW140" s="195"/>
      <c r="AY140" s="198"/>
      <c r="AZ140" s="199"/>
      <c r="BA140" s="198"/>
      <c r="BB140" s="198"/>
    </row>
    <row r="141" spans="4:54" ht="15.75" x14ac:dyDescent="0.25">
      <c r="D141" s="194">
        <f t="shared" si="38"/>
        <v>0</v>
      </c>
      <c r="F141" s="189"/>
      <c r="G141" s="196"/>
      <c r="H141" s="189"/>
      <c r="I141" s="195"/>
      <c r="J141" s="188"/>
      <c r="K141" s="189"/>
      <c r="L141" s="196"/>
      <c r="M141" s="189"/>
      <c r="N141" s="195"/>
      <c r="P141" s="189"/>
      <c r="Q141" s="196"/>
      <c r="R141" s="189"/>
      <c r="S141" s="195"/>
      <c r="U141" s="189"/>
      <c r="V141" s="196"/>
      <c r="W141" s="189"/>
      <c r="X141" s="195"/>
      <c r="Z141" s="189"/>
      <c r="AA141" s="196"/>
      <c r="AB141" s="189"/>
      <c r="AC141" s="195"/>
      <c r="AE141" s="189"/>
      <c r="AF141" s="196"/>
      <c r="AG141" s="189"/>
      <c r="AH141" s="195"/>
      <c r="AJ141" s="189"/>
      <c r="AK141" s="196"/>
      <c r="AL141" s="189"/>
      <c r="AM141" s="195"/>
      <c r="AO141" s="189"/>
      <c r="AP141" s="196"/>
      <c r="AQ141" s="189"/>
      <c r="AR141" s="195"/>
      <c r="AT141" s="189"/>
      <c r="AU141" s="196"/>
      <c r="AV141" s="189"/>
      <c r="AW141" s="195"/>
      <c r="AY141" s="198"/>
      <c r="AZ141" s="199"/>
      <c r="BA141" s="198"/>
      <c r="BB141" s="198"/>
    </row>
    <row r="142" spans="4:54" ht="15.75" x14ac:dyDescent="0.25">
      <c r="D142" s="194">
        <f t="shared" si="38"/>
        <v>0</v>
      </c>
      <c r="F142" s="189"/>
      <c r="G142" s="196"/>
      <c r="H142" s="189"/>
      <c r="I142" s="195"/>
      <c r="J142" s="188"/>
      <c r="K142" s="189"/>
      <c r="L142" s="196"/>
      <c r="M142" s="189"/>
      <c r="N142" s="195"/>
      <c r="P142" s="189"/>
      <c r="Q142" s="196"/>
      <c r="R142" s="189"/>
      <c r="S142" s="195"/>
      <c r="U142" s="189"/>
      <c r="V142" s="196"/>
      <c r="W142" s="189"/>
      <c r="X142" s="195"/>
      <c r="Z142" s="189"/>
      <c r="AA142" s="196"/>
      <c r="AB142" s="189"/>
      <c r="AC142" s="195"/>
      <c r="AE142" s="189"/>
      <c r="AF142" s="196"/>
      <c r="AG142" s="189"/>
      <c r="AH142" s="195"/>
      <c r="AJ142" s="189"/>
      <c r="AK142" s="196"/>
      <c r="AL142" s="189"/>
      <c r="AM142" s="195"/>
      <c r="AO142" s="189"/>
      <c r="AP142" s="196"/>
      <c r="AQ142" s="189"/>
      <c r="AR142" s="195"/>
      <c r="AT142" s="189"/>
      <c r="AU142" s="196"/>
      <c r="AV142" s="189"/>
      <c r="AW142" s="195"/>
      <c r="AY142" s="198"/>
      <c r="AZ142" s="199"/>
      <c r="BA142" s="198"/>
      <c r="BB142" s="198"/>
    </row>
    <row r="143" spans="4:54" ht="15.75" x14ac:dyDescent="0.25">
      <c r="D143" s="194">
        <f t="shared" si="38"/>
        <v>0</v>
      </c>
      <c r="F143" s="189"/>
      <c r="G143" s="196"/>
      <c r="H143" s="189"/>
      <c r="I143" s="195"/>
      <c r="J143" s="188"/>
      <c r="K143" s="189"/>
      <c r="L143" s="196"/>
      <c r="M143" s="189"/>
      <c r="N143" s="195"/>
      <c r="P143" s="189"/>
      <c r="Q143" s="196"/>
      <c r="R143" s="189"/>
      <c r="S143" s="195"/>
      <c r="U143" s="189"/>
      <c r="V143" s="196"/>
      <c r="W143" s="189"/>
      <c r="X143" s="195"/>
      <c r="Z143" s="189"/>
      <c r="AA143" s="196"/>
      <c r="AB143" s="189"/>
      <c r="AC143" s="195"/>
      <c r="AE143" s="189"/>
      <c r="AF143" s="196"/>
      <c r="AG143" s="189"/>
      <c r="AH143" s="195"/>
      <c r="AJ143" s="189"/>
      <c r="AK143" s="196"/>
      <c r="AL143" s="189"/>
      <c r="AM143" s="195"/>
      <c r="AO143" s="189"/>
      <c r="AP143" s="196"/>
      <c r="AQ143" s="189"/>
      <c r="AR143" s="195"/>
      <c r="AT143" s="189"/>
      <c r="AU143" s="196"/>
      <c r="AV143" s="189"/>
      <c r="AW143" s="195"/>
      <c r="AY143" s="198"/>
      <c r="AZ143" s="199"/>
      <c r="BA143" s="198"/>
      <c r="BB143" s="198"/>
    </row>
    <row r="144" spans="4:54" ht="15.75" x14ac:dyDescent="0.25">
      <c r="D144" s="194">
        <f t="shared" si="38"/>
        <v>0</v>
      </c>
      <c r="F144" s="189"/>
      <c r="G144" s="196"/>
      <c r="H144" s="189"/>
      <c r="I144" s="195"/>
      <c r="J144" s="188"/>
      <c r="K144" s="189"/>
      <c r="L144" s="196"/>
      <c r="M144" s="189"/>
      <c r="N144" s="195"/>
      <c r="P144" s="189"/>
      <c r="Q144" s="196"/>
      <c r="R144" s="189"/>
      <c r="S144" s="195"/>
      <c r="U144" s="189"/>
      <c r="V144" s="196"/>
      <c r="W144" s="189"/>
      <c r="X144" s="195"/>
      <c r="Z144" s="189"/>
      <c r="AA144" s="196"/>
      <c r="AB144" s="189"/>
      <c r="AC144" s="195"/>
      <c r="AE144" s="189"/>
      <c r="AF144" s="196"/>
      <c r="AG144" s="189"/>
      <c r="AH144" s="195"/>
      <c r="AJ144" s="189"/>
      <c r="AK144" s="196"/>
      <c r="AL144" s="189"/>
      <c r="AM144" s="195"/>
      <c r="AO144" s="189"/>
      <c r="AP144" s="196"/>
      <c r="AQ144" s="189"/>
      <c r="AR144" s="195"/>
      <c r="AT144" s="189"/>
      <c r="AU144" s="196"/>
      <c r="AV144" s="189"/>
      <c r="AW144" s="195"/>
      <c r="AY144" s="198"/>
      <c r="AZ144" s="199"/>
      <c r="BA144" s="198"/>
      <c r="BB144" s="198"/>
    </row>
    <row r="145" spans="4:54" ht="15.75" x14ac:dyDescent="0.25">
      <c r="D145" s="194">
        <f t="shared" si="38"/>
        <v>0</v>
      </c>
      <c r="F145" s="189"/>
      <c r="G145" s="196"/>
      <c r="H145" s="189"/>
      <c r="I145" s="195"/>
      <c r="J145" s="188"/>
      <c r="K145" s="189"/>
      <c r="L145" s="196"/>
      <c r="M145" s="189"/>
      <c r="N145" s="195"/>
      <c r="P145" s="189"/>
      <c r="Q145" s="196"/>
      <c r="R145" s="189"/>
      <c r="S145" s="195"/>
      <c r="U145" s="189"/>
      <c r="V145" s="196"/>
      <c r="W145" s="189"/>
      <c r="X145" s="195"/>
      <c r="Z145" s="189"/>
      <c r="AA145" s="196"/>
      <c r="AB145" s="189"/>
      <c r="AC145" s="195"/>
      <c r="AE145" s="189"/>
      <c r="AF145" s="196"/>
      <c r="AG145" s="189"/>
      <c r="AH145" s="195"/>
      <c r="AJ145" s="189"/>
      <c r="AK145" s="196"/>
      <c r="AL145" s="189"/>
      <c r="AM145" s="195"/>
      <c r="AO145" s="189"/>
      <c r="AP145" s="196"/>
      <c r="AQ145" s="189"/>
      <c r="AR145" s="195"/>
      <c r="AT145" s="189"/>
      <c r="AU145" s="196"/>
      <c r="AV145" s="189"/>
      <c r="AW145" s="195"/>
      <c r="AY145" s="198"/>
      <c r="AZ145" s="199"/>
      <c r="BA145" s="198"/>
      <c r="BB145" s="198"/>
    </row>
    <row r="146" spans="4:54" ht="15.75" x14ac:dyDescent="0.25">
      <c r="D146" s="194">
        <f t="shared" si="38"/>
        <v>0</v>
      </c>
      <c r="F146" s="189"/>
      <c r="G146" s="196"/>
      <c r="H146" s="189"/>
      <c r="I146" s="195"/>
      <c r="J146" s="188"/>
      <c r="K146" s="189"/>
      <c r="L146" s="196"/>
      <c r="M146" s="189"/>
      <c r="N146" s="195"/>
      <c r="P146" s="189"/>
      <c r="Q146" s="196"/>
      <c r="R146" s="189"/>
      <c r="S146" s="195"/>
      <c r="U146" s="189"/>
      <c r="V146" s="196"/>
      <c r="W146" s="189"/>
      <c r="X146" s="195"/>
      <c r="Z146" s="189"/>
      <c r="AA146" s="196"/>
      <c r="AB146" s="189"/>
      <c r="AC146" s="195"/>
      <c r="AE146" s="189"/>
      <c r="AF146" s="196"/>
      <c r="AG146" s="189"/>
      <c r="AH146" s="195"/>
      <c r="AJ146" s="189"/>
      <c r="AK146" s="196"/>
      <c r="AL146" s="189"/>
      <c r="AM146" s="195"/>
      <c r="AO146" s="189"/>
      <c r="AP146" s="196"/>
      <c r="AQ146" s="189"/>
      <c r="AR146" s="195"/>
      <c r="AT146" s="189"/>
      <c r="AU146" s="196"/>
      <c r="AV146" s="189"/>
      <c r="AW146" s="195"/>
      <c r="AY146" s="198"/>
      <c r="AZ146" s="199"/>
      <c r="BA146" s="198"/>
      <c r="BB146" s="198"/>
    </row>
    <row r="147" spans="4:54" ht="15.75" x14ac:dyDescent="0.25">
      <c r="D147" s="194">
        <f t="shared" si="38"/>
        <v>0</v>
      </c>
      <c r="F147" s="189"/>
      <c r="G147" s="196"/>
      <c r="H147" s="189"/>
      <c r="I147" s="195"/>
      <c r="J147" s="188"/>
      <c r="K147" s="189"/>
      <c r="L147" s="196"/>
      <c r="M147" s="189"/>
      <c r="N147" s="195"/>
      <c r="P147" s="189"/>
      <c r="Q147" s="196"/>
      <c r="R147" s="189"/>
      <c r="S147" s="195"/>
      <c r="U147" s="189"/>
      <c r="V147" s="196"/>
      <c r="W147" s="189"/>
      <c r="X147" s="195"/>
      <c r="Z147" s="189"/>
      <c r="AA147" s="196"/>
      <c r="AB147" s="189"/>
      <c r="AC147" s="195"/>
      <c r="AE147" s="189"/>
      <c r="AF147" s="196"/>
      <c r="AG147" s="189"/>
      <c r="AH147" s="195"/>
      <c r="AJ147" s="189"/>
      <c r="AK147" s="196"/>
      <c r="AL147" s="189"/>
      <c r="AM147" s="195"/>
      <c r="AO147" s="189"/>
      <c r="AP147" s="196"/>
      <c r="AQ147" s="189"/>
      <c r="AR147" s="195"/>
      <c r="AT147" s="189"/>
      <c r="AU147" s="196"/>
      <c r="AV147" s="189"/>
      <c r="AW147" s="195"/>
      <c r="AY147" s="198"/>
      <c r="AZ147" s="199"/>
      <c r="BA147" s="198"/>
      <c r="BB147" s="198"/>
    </row>
    <row r="148" spans="4:54" ht="15.75" x14ac:dyDescent="0.25">
      <c r="D148" s="194">
        <f t="shared" si="38"/>
        <v>0</v>
      </c>
      <c r="F148" s="189"/>
      <c r="G148" s="196"/>
      <c r="H148" s="189"/>
      <c r="I148" s="195"/>
      <c r="J148" s="188"/>
      <c r="K148" s="189"/>
      <c r="L148" s="196"/>
      <c r="M148" s="189"/>
      <c r="N148" s="195"/>
      <c r="P148" s="189"/>
      <c r="Q148" s="196"/>
      <c r="R148" s="189"/>
      <c r="S148" s="195"/>
      <c r="U148" s="189"/>
      <c r="V148" s="196"/>
      <c r="W148" s="189"/>
      <c r="X148" s="195"/>
      <c r="Z148" s="189"/>
      <c r="AA148" s="196"/>
      <c r="AB148" s="189"/>
      <c r="AC148" s="195"/>
      <c r="AE148" s="189"/>
      <c r="AF148" s="196"/>
      <c r="AG148" s="189"/>
      <c r="AH148" s="195"/>
      <c r="AJ148" s="189"/>
      <c r="AK148" s="196"/>
      <c r="AL148" s="189"/>
      <c r="AM148" s="195"/>
      <c r="AO148" s="189"/>
      <c r="AP148" s="196"/>
      <c r="AQ148" s="189"/>
      <c r="AR148" s="195"/>
      <c r="AT148" s="189"/>
      <c r="AU148" s="196"/>
      <c r="AV148" s="189"/>
      <c r="AW148" s="195"/>
      <c r="AY148" s="198"/>
      <c r="AZ148" s="199"/>
      <c r="BA148" s="198"/>
      <c r="BB148" s="198"/>
    </row>
    <row r="149" spans="4:54" ht="15.75" x14ac:dyDescent="0.25">
      <c r="D149" s="194">
        <f t="shared" si="38"/>
        <v>0</v>
      </c>
      <c r="F149" s="189"/>
      <c r="G149" s="196"/>
      <c r="H149" s="189"/>
      <c r="I149" s="195"/>
      <c r="J149" s="188"/>
      <c r="K149" s="189"/>
      <c r="L149" s="196"/>
      <c r="M149" s="189"/>
      <c r="N149" s="195"/>
      <c r="P149" s="189"/>
      <c r="Q149" s="196"/>
      <c r="R149" s="189"/>
      <c r="S149" s="195"/>
      <c r="U149" s="189"/>
      <c r="V149" s="196"/>
      <c r="W149" s="189"/>
      <c r="X149" s="195"/>
      <c r="Z149" s="189"/>
      <c r="AA149" s="196"/>
      <c r="AB149" s="189"/>
      <c r="AC149" s="195"/>
      <c r="AE149" s="189"/>
      <c r="AF149" s="196"/>
      <c r="AG149" s="189"/>
      <c r="AH149" s="195"/>
      <c r="AJ149" s="189"/>
      <c r="AK149" s="196"/>
      <c r="AL149" s="189"/>
      <c r="AM149" s="195"/>
      <c r="AO149" s="189"/>
      <c r="AP149" s="196"/>
      <c r="AQ149" s="189"/>
      <c r="AR149" s="195"/>
      <c r="AT149" s="189"/>
      <c r="AU149" s="196"/>
      <c r="AV149" s="189"/>
      <c r="AW149" s="195"/>
      <c r="AY149" s="198"/>
      <c r="AZ149" s="199"/>
      <c r="BA149" s="198"/>
      <c r="BB149" s="198"/>
    </row>
    <row r="150" spans="4:54" ht="15.75" x14ac:dyDescent="0.25">
      <c r="D150" s="194">
        <f t="shared" si="38"/>
        <v>0</v>
      </c>
      <c r="F150" s="189"/>
      <c r="G150" s="196"/>
      <c r="H150" s="189"/>
      <c r="I150" s="195"/>
      <c r="J150" s="188"/>
      <c r="K150" s="189"/>
      <c r="L150" s="196"/>
      <c r="M150" s="189"/>
      <c r="N150" s="195"/>
      <c r="P150" s="189"/>
      <c r="Q150" s="196"/>
      <c r="R150" s="189"/>
      <c r="S150" s="195"/>
      <c r="U150" s="189"/>
      <c r="V150" s="196"/>
      <c r="W150" s="189"/>
      <c r="X150" s="195"/>
      <c r="Z150" s="189"/>
      <c r="AA150" s="196"/>
      <c r="AB150" s="189"/>
      <c r="AC150" s="195"/>
      <c r="AE150" s="189"/>
      <c r="AF150" s="196"/>
      <c r="AG150" s="189"/>
      <c r="AH150" s="195"/>
      <c r="AJ150" s="189"/>
      <c r="AK150" s="196"/>
      <c r="AL150" s="189"/>
      <c r="AM150" s="195"/>
      <c r="AO150" s="189"/>
      <c r="AP150" s="196"/>
      <c r="AQ150" s="189"/>
      <c r="AR150" s="195"/>
      <c r="AT150" s="189"/>
      <c r="AU150" s="196"/>
      <c r="AV150" s="189"/>
      <c r="AW150" s="195"/>
      <c r="AY150" s="198"/>
      <c r="AZ150" s="199"/>
      <c r="BA150" s="198"/>
      <c r="BB150" s="198"/>
    </row>
    <row r="151" spans="4:54" ht="15.75" x14ac:dyDescent="0.25">
      <c r="D151" s="194">
        <f t="shared" si="38"/>
        <v>0</v>
      </c>
      <c r="F151" s="189"/>
      <c r="G151" s="196"/>
      <c r="H151" s="189"/>
      <c r="I151" s="195"/>
      <c r="J151" s="188"/>
      <c r="K151" s="189"/>
      <c r="L151" s="196"/>
      <c r="M151" s="189"/>
      <c r="N151" s="195"/>
      <c r="P151" s="189"/>
      <c r="Q151" s="196"/>
      <c r="R151" s="189"/>
      <c r="S151" s="195"/>
      <c r="U151" s="189"/>
      <c r="V151" s="196"/>
      <c r="W151" s="189"/>
      <c r="X151" s="195"/>
      <c r="Z151" s="189"/>
      <c r="AA151" s="196"/>
      <c r="AB151" s="189"/>
      <c r="AC151" s="195"/>
      <c r="AE151" s="189"/>
      <c r="AF151" s="196"/>
      <c r="AG151" s="189"/>
      <c r="AH151" s="195"/>
      <c r="AJ151" s="189"/>
      <c r="AK151" s="196"/>
      <c r="AL151" s="189"/>
      <c r="AM151" s="195"/>
      <c r="AO151" s="189"/>
      <c r="AP151" s="196"/>
      <c r="AQ151" s="189"/>
      <c r="AR151" s="195"/>
      <c r="AT151" s="189"/>
      <c r="AU151" s="196"/>
      <c r="AV151" s="189"/>
      <c r="AW151" s="195"/>
      <c r="AY151" s="198"/>
      <c r="AZ151" s="199"/>
      <c r="BA151" s="198"/>
      <c r="BB151" s="198"/>
    </row>
    <row r="152" spans="4:54" ht="15.75" x14ac:dyDescent="0.25">
      <c r="D152" s="194">
        <f t="shared" si="38"/>
        <v>0</v>
      </c>
      <c r="F152" s="189"/>
      <c r="G152" s="196"/>
      <c r="H152" s="189"/>
      <c r="I152" s="195"/>
      <c r="J152" s="188"/>
      <c r="K152" s="189"/>
      <c r="L152" s="196"/>
      <c r="M152" s="189"/>
      <c r="N152" s="195"/>
      <c r="P152" s="189"/>
      <c r="Q152" s="196"/>
      <c r="R152" s="189"/>
      <c r="S152" s="195"/>
      <c r="U152" s="189"/>
      <c r="V152" s="196"/>
      <c r="W152" s="189"/>
      <c r="X152" s="195"/>
      <c r="Z152" s="189"/>
      <c r="AA152" s="196"/>
      <c r="AB152" s="189"/>
      <c r="AC152" s="195"/>
      <c r="AE152" s="189"/>
      <c r="AF152" s="196"/>
      <c r="AG152" s="189"/>
      <c r="AH152" s="195"/>
      <c r="AJ152" s="189"/>
      <c r="AK152" s="196"/>
      <c r="AL152" s="189"/>
      <c r="AM152" s="195"/>
      <c r="AO152" s="189"/>
      <c r="AP152" s="196"/>
      <c r="AQ152" s="189"/>
      <c r="AR152" s="195"/>
      <c r="AT152" s="189"/>
      <c r="AU152" s="196"/>
      <c r="AV152" s="189"/>
      <c r="AW152" s="195"/>
      <c r="AY152" s="198"/>
      <c r="AZ152" s="199"/>
      <c r="BA152" s="198"/>
      <c r="BB152" s="198"/>
    </row>
    <row r="153" spans="4:54" ht="15.75" x14ac:dyDescent="0.25">
      <c r="D153" s="194">
        <f t="shared" si="38"/>
        <v>0</v>
      </c>
      <c r="F153" s="189"/>
      <c r="G153" s="196"/>
      <c r="H153" s="189"/>
      <c r="I153" s="195"/>
      <c r="J153" s="188"/>
      <c r="K153" s="189"/>
      <c r="L153" s="196"/>
      <c r="M153" s="189"/>
      <c r="N153" s="195"/>
      <c r="P153" s="189"/>
      <c r="Q153" s="196"/>
      <c r="R153" s="189"/>
      <c r="S153" s="195"/>
      <c r="U153" s="189"/>
      <c r="V153" s="196"/>
      <c r="W153" s="189"/>
      <c r="X153" s="195"/>
      <c r="Z153" s="189"/>
      <c r="AA153" s="196"/>
      <c r="AB153" s="189"/>
      <c r="AC153" s="195"/>
      <c r="AE153" s="189"/>
      <c r="AF153" s="196"/>
      <c r="AG153" s="189"/>
      <c r="AH153" s="195"/>
      <c r="AJ153" s="189"/>
      <c r="AK153" s="196"/>
      <c r="AL153" s="189"/>
      <c r="AM153" s="195"/>
      <c r="AO153" s="189"/>
      <c r="AP153" s="196"/>
      <c r="AQ153" s="189"/>
      <c r="AR153" s="195"/>
      <c r="AT153" s="189"/>
      <c r="AU153" s="196"/>
      <c r="AV153" s="189"/>
      <c r="AW153" s="195"/>
      <c r="AY153" s="198"/>
      <c r="AZ153" s="199"/>
      <c r="BA153" s="198"/>
      <c r="BB153" s="198"/>
    </row>
    <row r="154" spans="4:54" ht="15.75" x14ac:dyDescent="0.25">
      <c r="D154" s="194">
        <f t="shared" si="38"/>
        <v>0</v>
      </c>
      <c r="F154" s="189"/>
      <c r="G154" s="196"/>
      <c r="H154" s="189"/>
      <c r="I154" s="195"/>
      <c r="J154" s="188"/>
      <c r="K154" s="189"/>
      <c r="L154" s="196"/>
      <c r="M154" s="189"/>
      <c r="N154" s="195"/>
      <c r="P154" s="189"/>
      <c r="Q154" s="196"/>
      <c r="R154" s="189"/>
      <c r="S154" s="195"/>
      <c r="U154" s="189"/>
      <c r="V154" s="196"/>
      <c r="W154" s="189"/>
      <c r="X154" s="195"/>
      <c r="Z154" s="189"/>
      <c r="AA154" s="196"/>
      <c r="AB154" s="189"/>
      <c r="AC154" s="195"/>
      <c r="AE154" s="189"/>
      <c r="AF154" s="196"/>
      <c r="AG154" s="189"/>
      <c r="AH154" s="195"/>
      <c r="AJ154" s="189"/>
      <c r="AK154" s="196"/>
      <c r="AL154" s="189"/>
      <c r="AM154" s="195"/>
      <c r="AO154" s="189"/>
      <c r="AP154" s="196"/>
      <c r="AQ154" s="189"/>
      <c r="AR154" s="195"/>
      <c r="AT154" s="189"/>
      <c r="AU154" s="196"/>
      <c r="AV154" s="189"/>
      <c r="AW154" s="195"/>
      <c r="AY154" s="198"/>
      <c r="AZ154" s="199"/>
      <c r="BA154" s="198"/>
      <c r="BB154" s="198"/>
    </row>
    <row r="155" spans="4:54" ht="15.75" x14ac:dyDescent="0.25">
      <c r="D155" s="194">
        <f t="shared" si="38"/>
        <v>0</v>
      </c>
      <c r="F155" s="189"/>
      <c r="G155" s="196"/>
      <c r="H155" s="189"/>
      <c r="I155" s="195"/>
      <c r="J155" s="188"/>
      <c r="K155" s="189"/>
      <c r="L155" s="196"/>
      <c r="M155" s="189"/>
      <c r="N155" s="195"/>
      <c r="P155" s="189"/>
      <c r="Q155" s="196"/>
      <c r="R155" s="189"/>
      <c r="S155" s="195"/>
      <c r="U155" s="189"/>
      <c r="V155" s="196"/>
      <c r="W155" s="189"/>
      <c r="X155" s="195"/>
      <c r="Z155" s="189"/>
      <c r="AA155" s="196"/>
      <c r="AB155" s="189"/>
      <c r="AC155" s="195"/>
      <c r="AE155" s="189"/>
      <c r="AF155" s="196"/>
      <c r="AG155" s="189"/>
      <c r="AH155" s="195"/>
      <c r="AJ155" s="189"/>
      <c r="AK155" s="196"/>
      <c r="AL155" s="189"/>
      <c r="AM155" s="195"/>
      <c r="AO155" s="189"/>
      <c r="AP155" s="196"/>
      <c r="AQ155" s="189"/>
      <c r="AR155" s="195"/>
      <c r="AT155" s="189"/>
      <c r="AU155" s="196"/>
      <c r="AV155" s="189"/>
      <c r="AW155" s="195"/>
      <c r="AY155" s="198"/>
      <c r="AZ155" s="199"/>
      <c r="BA155" s="198"/>
      <c r="BB155" s="198"/>
    </row>
    <row r="156" spans="4:54" ht="15.75" x14ac:dyDescent="0.25">
      <c r="D156" s="194">
        <f t="shared" si="38"/>
        <v>0</v>
      </c>
      <c r="F156" s="189"/>
      <c r="G156" s="196"/>
      <c r="H156" s="189"/>
      <c r="I156" s="195"/>
      <c r="J156" s="188"/>
      <c r="K156" s="189"/>
      <c r="L156" s="196"/>
      <c r="M156" s="189"/>
      <c r="N156" s="195"/>
      <c r="P156" s="189"/>
      <c r="Q156" s="196"/>
      <c r="R156" s="189"/>
      <c r="S156" s="195"/>
      <c r="U156" s="189"/>
      <c r="V156" s="196"/>
      <c r="W156" s="189"/>
      <c r="X156" s="195"/>
      <c r="Z156" s="189"/>
      <c r="AA156" s="196"/>
      <c r="AB156" s="189"/>
      <c r="AC156" s="195"/>
      <c r="AE156" s="189"/>
      <c r="AF156" s="196"/>
      <c r="AG156" s="189"/>
      <c r="AH156" s="195"/>
      <c r="AJ156" s="189"/>
      <c r="AK156" s="196"/>
      <c r="AL156" s="189"/>
      <c r="AM156" s="195"/>
      <c r="AO156" s="189"/>
      <c r="AP156" s="196"/>
      <c r="AQ156" s="189"/>
      <c r="AR156" s="195"/>
      <c r="AT156" s="189"/>
      <c r="AU156" s="196"/>
      <c r="AV156" s="189"/>
      <c r="AW156" s="195"/>
      <c r="AY156" s="198"/>
      <c r="AZ156" s="199"/>
      <c r="BA156" s="198"/>
      <c r="BB156" s="198"/>
    </row>
    <row r="157" spans="4:54" ht="15.75" x14ac:dyDescent="0.25">
      <c r="D157" s="194">
        <f t="shared" si="38"/>
        <v>0</v>
      </c>
      <c r="F157" s="189"/>
      <c r="G157" s="196"/>
      <c r="H157" s="189"/>
      <c r="I157" s="195"/>
      <c r="J157" s="188"/>
      <c r="K157" s="189"/>
      <c r="L157" s="196"/>
      <c r="M157" s="189"/>
      <c r="N157" s="195"/>
      <c r="P157" s="189"/>
      <c r="Q157" s="196"/>
      <c r="R157" s="189"/>
      <c r="S157" s="195"/>
      <c r="U157" s="189"/>
      <c r="V157" s="196"/>
      <c r="W157" s="189"/>
      <c r="X157" s="195"/>
      <c r="Z157" s="189"/>
      <c r="AA157" s="196"/>
      <c r="AB157" s="189"/>
      <c r="AC157" s="195"/>
      <c r="AE157" s="189"/>
      <c r="AF157" s="196"/>
      <c r="AG157" s="189"/>
      <c r="AH157" s="195"/>
      <c r="AJ157" s="189"/>
      <c r="AK157" s="196"/>
      <c r="AL157" s="189"/>
      <c r="AM157" s="195"/>
      <c r="AO157" s="189"/>
      <c r="AP157" s="196"/>
      <c r="AQ157" s="189"/>
      <c r="AR157" s="195"/>
      <c r="AT157" s="189"/>
      <c r="AU157" s="196"/>
      <c r="AV157" s="189"/>
      <c r="AW157" s="195"/>
      <c r="AY157" s="198"/>
      <c r="AZ157" s="199"/>
      <c r="BA157" s="198"/>
      <c r="BB157" s="198"/>
    </row>
    <row r="158" spans="4:54" ht="15.75" x14ac:dyDescent="0.25">
      <c r="D158" s="194">
        <f t="shared" si="38"/>
        <v>0</v>
      </c>
      <c r="F158" s="189"/>
      <c r="G158" s="196"/>
      <c r="H158" s="189"/>
      <c r="I158" s="195"/>
      <c r="J158" s="188"/>
      <c r="K158" s="189"/>
      <c r="L158" s="196"/>
      <c r="M158" s="189"/>
      <c r="N158" s="195"/>
      <c r="P158" s="189"/>
      <c r="Q158" s="196"/>
      <c r="R158" s="189"/>
      <c r="S158" s="195"/>
      <c r="U158" s="189"/>
      <c r="V158" s="196"/>
      <c r="W158" s="189"/>
      <c r="X158" s="195"/>
      <c r="Z158" s="189"/>
      <c r="AA158" s="196"/>
      <c r="AB158" s="189"/>
      <c r="AC158" s="195"/>
      <c r="AE158" s="189"/>
      <c r="AF158" s="196"/>
      <c r="AG158" s="189"/>
      <c r="AH158" s="195"/>
      <c r="AJ158" s="189"/>
      <c r="AK158" s="196"/>
      <c r="AL158" s="189"/>
      <c r="AM158" s="195"/>
      <c r="AO158" s="189"/>
      <c r="AP158" s="196"/>
      <c r="AQ158" s="189"/>
      <c r="AR158" s="195"/>
      <c r="AT158" s="189"/>
      <c r="AU158" s="196"/>
      <c r="AV158" s="189"/>
      <c r="AW158" s="195"/>
      <c r="AY158" s="198"/>
      <c r="AZ158" s="199"/>
      <c r="BA158" s="198"/>
      <c r="BB158" s="198"/>
    </row>
    <row r="159" spans="4:54" ht="15.75" x14ac:dyDescent="0.25">
      <c r="D159" s="194">
        <f t="shared" si="38"/>
        <v>0</v>
      </c>
      <c r="F159" s="189"/>
      <c r="G159" s="196"/>
      <c r="H159" s="189"/>
      <c r="I159" s="195"/>
      <c r="J159" s="188"/>
      <c r="K159" s="189"/>
      <c r="L159" s="196"/>
      <c r="M159" s="189"/>
      <c r="N159" s="195"/>
      <c r="P159" s="189"/>
      <c r="Q159" s="196"/>
      <c r="R159" s="189"/>
      <c r="S159" s="195"/>
      <c r="U159" s="189"/>
      <c r="V159" s="196"/>
      <c r="W159" s="189"/>
      <c r="X159" s="195"/>
      <c r="Z159" s="189"/>
      <c r="AA159" s="196"/>
      <c r="AB159" s="189"/>
      <c r="AC159" s="195"/>
      <c r="AE159" s="189"/>
      <c r="AF159" s="196"/>
      <c r="AG159" s="189"/>
      <c r="AH159" s="195"/>
      <c r="AJ159" s="189"/>
      <c r="AK159" s="196"/>
      <c r="AL159" s="189"/>
      <c r="AM159" s="195"/>
      <c r="AO159" s="189"/>
      <c r="AP159" s="196"/>
      <c r="AQ159" s="189"/>
      <c r="AR159" s="195"/>
      <c r="AT159" s="189"/>
      <c r="AU159" s="196"/>
      <c r="AV159" s="189"/>
      <c r="AW159" s="195"/>
      <c r="AY159" s="198"/>
      <c r="AZ159" s="199"/>
      <c r="BA159" s="198"/>
      <c r="BB159" s="198"/>
    </row>
    <row r="160" spans="4:54" ht="15.75" x14ac:dyDescent="0.25">
      <c r="D160" s="194">
        <f t="shared" si="38"/>
        <v>0</v>
      </c>
      <c r="F160" s="189"/>
      <c r="G160" s="196"/>
      <c r="H160" s="189"/>
      <c r="I160" s="195"/>
      <c r="J160" s="188"/>
      <c r="K160" s="189"/>
      <c r="L160" s="196"/>
      <c r="M160" s="189"/>
      <c r="N160" s="195"/>
      <c r="P160" s="189"/>
      <c r="Q160" s="196"/>
      <c r="R160" s="189"/>
      <c r="S160" s="195"/>
      <c r="U160" s="189"/>
      <c r="V160" s="196"/>
      <c r="W160" s="189"/>
      <c r="X160" s="195"/>
      <c r="Z160" s="189"/>
      <c r="AA160" s="196"/>
      <c r="AB160" s="189"/>
      <c r="AC160" s="195"/>
      <c r="AE160" s="189"/>
      <c r="AF160" s="196"/>
      <c r="AG160" s="189"/>
      <c r="AH160" s="195"/>
      <c r="AJ160" s="189"/>
      <c r="AK160" s="196"/>
      <c r="AL160" s="189"/>
      <c r="AM160" s="195"/>
      <c r="AO160" s="189"/>
      <c r="AP160" s="196"/>
      <c r="AQ160" s="189"/>
      <c r="AR160" s="195"/>
      <c r="AT160" s="189"/>
      <c r="AU160" s="196"/>
      <c r="AV160" s="189"/>
      <c r="AW160" s="195"/>
      <c r="AY160" s="198"/>
      <c r="AZ160" s="199"/>
      <c r="BA160" s="198"/>
      <c r="BB160" s="198"/>
    </row>
    <row r="161" spans="4:54" ht="15.75" x14ac:dyDescent="0.25">
      <c r="D161" s="194">
        <f t="shared" si="38"/>
        <v>0</v>
      </c>
      <c r="F161" s="189"/>
      <c r="G161" s="196"/>
      <c r="H161" s="189"/>
      <c r="I161" s="195"/>
      <c r="J161" s="188"/>
      <c r="K161" s="189"/>
      <c r="L161" s="196"/>
      <c r="M161" s="189"/>
      <c r="N161" s="195"/>
      <c r="P161" s="189"/>
      <c r="Q161" s="196"/>
      <c r="R161" s="189"/>
      <c r="S161" s="195"/>
      <c r="U161" s="189"/>
      <c r="V161" s="196"/>
      <c r="W161" s="189"/>
      <c r="X161" s="195"/>
      <c r="Z161" s="189"/>
      <c r="AA161" s="196"/>
      <c r="AB161" s="189"/>
      <c r="AC161" s="195"/>
      <c r="AE161" s="189"/>
      <c r="AF161" s="196"/>
      <c r="AG161" s="189"/>
      <c r="AH161" s="195"/>
      <c r="AJ161" s="189"/>
      <c r="AK161" s="196"/>
      <c r="AL161" s="189"/>
      <c r="AM161" s="195"/>
      <c r="AO161" s="189"/>
      <c r="AP161" s="196"/>
      <c r="AQ161" s="189"/>
      <c r="AR161" s="195"/>
      <c r="AT161" s="189"/>
      <c r="AU161" s="196"/>
      <c r="AV161" s="189"/>
      <c r="AW161" s="195"/>
      <c r="AY161" s="198"/>
      <c r="AZ161" s="199"/>
      <c r="BA161" s="198"/>
      <c r="BB161" s="198"/>
    </row>
    <row r="162" spans="4:54" ht="15.75" x14ac:dyDescent="0.25">
      <c r="D162" s="194">
        <f t="shared" si="38"/>
        <v>0</v>
      </c>
      <c r="F162" s="189"/>
      <c r="G162" s="196"/>
      <c r="H162" s="189"/>
      <c r="I162" s="195"/>
      <c r="J162" s="188"/>
      <c r="K162" s="189"/>
      <c r="L162" s="196"/>
      <c r="M162" s="189"/>
      <c r="N162" s="195"/>
      <c r="P162" s="189"/>
      <c r="Q162" s="196"/>
      <c r="R162" s="189"/>
      <c r="S162" s="195"/>
      <c r="U162" s="189"/>
      <c r="V162" s="196"/>
      <c r="W162" s="189"/>
      <c r="X162" s="195"/>
      <c r="Z162" s="189"/>
      <c r="AA162" s="196"/>
      <c r="AB162" s="189"/>
      <c r="AC162" s="195"/>
      <c r="AE162" s="189"/>
      <c r="AF162" s="196"/>
      <c r="AG162" s="189"/>
      <c r="AH162" s="195"/>
      <c r="AJ162" s="189"/>
      <c r="AK162" s="196"/>
      <c r="AL162" s="189"/>
      <c r="AM162" s="195"/>
      <c r="AO162" s="189"/>
      <c r="AP162" s="196"/>
      <c r="AQ162" s="189"/>
      <c r="AR162" s="195"/>
      <c r="AT162" s="189"/>
      <c r="AU162" s="196"/>
      <c r="AV162" s="189"/>
      <c r="AW162" s="195"/>
      <c r="AY162" s="198"/>
      <c r="AZ162" s="199"/>
      <c r="BA162" s="198"/>
      <c r="BB162" s="198"/>
    </row>
    <row r="163" spans="4:54" ht="15.75" x14ac:dyDescent="0.25">
      <c r="D163" s="194">
        <f t="shared" si="38"/>
        <v>0</v>
      </c>
      <c r="F163" s="189"/>
      <c r="G163" s="196"/>
      <c r="H163" s="189"/>
      <c r="I163" s="195"/>
      <c r="J163" s="188"/>
      <c r="K163" s="189"/>
      <c r="L163" s="196"/>
      <c r="M163" s="189"/>
      <c r="N163" s="195"/>
      <c r="P163" s="189"/>
      <c r="Q163" s="196"/>
      <c r="R163" s="189"/>
      <c r="S163" s="195"/>
      <c r="U163" s="189"/>
      <c r="V163" s="196"/>
      <c r="W163" s="189"/>
      <c r="X163" s="195"/>
      <c r="Z163" s="189"/>
      <c r="AA163" s="196"/>
      <c r="AB163" s="189"/>
      <c r="AC163" s="195"/>
      <c r="AE163" s="189"/>
      <c r="AF163" s="196"/>
      <c r="AG163" s="189"/>
      <c r="AH163" s="195"/>
      <c r="AJ163" s="189"/>
      <c r="AK163" s="196"/>
      <c r="AL163" s="189"/>
      <c r="AM163" s="195"/>
      <c r="AO163" s="189"/>
      <c r="AP163" s="196"/>
      <c r="AQ163" s="189"/>
      <c r="AR163" s="195"/>
      <c r="AT163" s="189"/>
      <c r="AU163" s="196"/>
      <c r="AV163" s="189"/>
      <c r="AW163" s="195"/>
      <c r="AY163" s="198"/>
      <c r="AZ163" s="199"/>
      <c r="BA163" s="198"/>
      <c r="BB163" s="198"/>
    </row>
    <row r="164" spans="4:54" ht="15.75" x14ac:dyDescent="0.25">
      <c r="D164" s="194">
        <f t="shared" si="38"/>
        <v>0</v>
      </c>
      <c r="F164" s="189"/>
      <c r="G164" s="196"/>
      <c r="H164" s="189"/>
      <c r="I164" s="195"/>
      <c r="J164" s="188"/>
      <c r="K164" s="189"/>
      <c r="L164" s="196"/>
      <c r="M164" s="189"/>
      <c r="N164" s="195"/>
      <c r="P164" s="189"/>
      <c r="Q164" s="196"/>
      <c r="R164" s="189"/>
      <c r="S164" s="195"/>
      <c r="U164" s="189"/>
      <c r="V164" s="196"/>
      <c r="W164" s="189"/>
      <c r="X164" s="195"/>
      <c r="Z164" s="189"/>
      <c r="AA164" s="196"/>
      <c r="AB164" s="189"/>
      <c r="AC164" s="195"/>
      <c r="AE164" s="189"/>
      <c r="AF164" s="196"/>
      <c r="AG164" s="189"/>
      <c r="AH164" s="195"/>
      <c r="AJ164" s="189"/>
      <c r="AK164" s="196"/>
      <c r="AL164" s="189"/>
      <c r="AM164" s="195"/>
      <c r="AO164" s="189"/>
      <c r="AP164" s="196"/>
      <c r="AQ164" s="189"/>
      <c r="AR164" s="195"/>
      <c r="AT164" s="189"/>
      <c r="AU164" s="196"/>
      <c r="AV164" s="189"/>
      <c r="AW164" s="195"/>
      <c r="AY164" s="198"/>
      <c r="AZ164" s="199"/>
      <c r="BA164" s="198"/>
      <c r="BB164" s="198"/>
    </row>
    <row r="165" spans="4:54" ht="15.75" x14ac:dyDescent="0.25">
      <c r="D165" s="194">
        <f t="shared" si="38"/>
        <v>0</v>
      </c>
      <c r="F165" s="189"/>
      <c r="G165" s="196"/>
      <c r="H165" s="189"/>
      <c r="I165" s="195"/>
      <c r="J165" s="188"/>
      <c r="K165" s="189"/>
      <c r="L165" s="196"/>
      <c r="M165" s="189"/>
      <c r="N165" s="195"/>
      <c r="P165" s="189"/>
      <c r="Q165" s="196"/>
      <c r="R165" s="189"/>
      <c r="S165" s="195"/>
      <c r="U165" s="189"/>
      <c r="V165" s="196"/>
      <c r="W165" s="189"/>
      <c r="X165" s="195"/>
      <c r="Z165" s="189"/>
      <c r="AA165" s="196"/>
      <c r="AB165" s="189"/>
      <c r="AC165" s="195"/>
      <c r="AE165" s="189"/>
      <c r="AF165" s="196"/>
      <c r="AG165" s="189"/>
      <c r="AH165" s="195"/>
      <c r="AJ165" s="189"/>
      <c r="AK165" s="196"/>
      <c r="AL165" s="189"/>
      <c r="AM165" s="195"/>
      <c r="AO165" s="189"/>
      <c r="AP165" s="196"/>
      <c r="AQ165" s="189"/>
      <c r="AR165" s="195"/>
      <c r="AT165" s="189"/>
      <c r="AU165" s="196"/>
      <c r="AV165" s="189"/>
      <c r="AW165" s="195"/>
      <c r="AY165" s="198"/>
      <c r="AZ165" s="199"/>
      <c r="BA165" s="198"/>
      <c r="BB165" s="198"/>
    </row>
    <row r="166" spans="4:54" ht="15.75" x14ac:dyDescent="0.25">
      <c r="D166" s="194">
        <f t="shared" si="38"/>
        <v>0</v>
      </c>
      <c r="F166" s="189"/>
      <c r="G166" s="196"/>
      <c r="H166" s="189"/>
      <c r="I166" s="195"/>
      <c r="J166" s="188"/>
      <c r="K166" s="189"/>
      <c r="L166" s="196"/>
      <c r="M166" s="189"/>
      <c r="N166" s="195"/>
      <c r="P166" s="189"/>
      <c r="Q166" s="196"/>
      <c r="R166" s="189"/>
      <c r="S166" s="195"/>
      <c r="U166" s="189"/>
      <c r="V166" s="196"/>
      <c r="W166" s="189"/>
      <c r="X166" s="195"/>
      <c r="Z166" s="189"/>
      <c r="AA166" s="196"/>
      <c r="AB166" s="189"/>
      <c r="AC166" s="195"/>
      <c r="AE166" s="189"/>
      <c r="AF166" s="196"/>
      <c r="AG166" s="189"/>
      <c r="AH166" s="195"/>
      <c r="AJ166" s="189"/>
      <c r="AK166" s="196"/>
      <c r="AL166" s="189"/>
      <c r="AM166" s="195"/>
      <c r="AO166" s="189"/>
      <c r="AP166" s="196"/>
      <c r="AQ166" s="189"/>
      <c r="AR166" s="195"/>
      <c r="AT166" s="189"/>
      <c r="AU166" s="196"/>
      <c r="AV166" s="189"/>
      <c r="AW166" s="195"/>
      <c r="AY166" s="198"/>
      <c r="AZ166" s="199"/>
      <c r="BA166" s="198"/>
      <c r="BB166" s="198"/>
    </row>
    <row r="167" spans="4:54" ht="15.75" x14ac:dyDescent="0.25">
      <c r="D167" s="194">
        <f t="shared" si="38"/>
        <v>0</v>
      </c>
      <c r="F167" s="189"/>
      <c r="G167" s="196"/>
      <c r="H167" s="189"/>
      <c r="I167" s="195"/>
      <c r="J167" s="188"/>
      <c r="K167" s="189"/>
      <c r="L167" s="196"/>
      <c r="M167" s="189"/>
      <c r="N167" s="195"/>
      <c r="P167" s="189"/>
      <c r="Q167" s="196"/>
      <c r="R167" s="189"/>
      <c r="S167" s="195"/>
      <c r="U167" s="189"/>
      <c r="V167" s="196"/>
      <c r="W167" s="189"/>
      <c r="X167" s="195"/>
      <c r="Z167" s="189"/>
      <c r="AA167" s="196"/>
      <c r="AB167" s="189"/>
      <c r="AC167" s="195"/>
      <c r="AE167" s="189"/>
      <c r="AF167" s="196"/>
      <c r="AG167" s="189"/>
      <c r="AH167" s="195"/>
      <c r="AJ167" s="189"/>
      <c r="AK167" s="196"/>
      <c r="AL167" s="189"/>
      <c r="AM167" s="195"/>
      <c r="AO167" s="189"/>
      <c r="AP167" s="196"/>
      <c r="AQ167" s="189"/>
      <c r="AR167" s="195"/>
      <c r="AT167" s="189"/>
      <c r="AU167" s="196"/>
      <c r="AV167" s="189"/>
      <c r="AW167" s="195"/>
      <c r="AY167" s="198"/>
      <c r="AZ167" s="199"/>
      <c r="BA167" s="198"/>
      <c r="BB167" s="198"/>
    </row>
    <row r="168" spans="4:54" ht="15.75" x14ac:dyDescent="0.25">
      <c r="D168" s="194">
        <f t="shared" si="38"/>
        <v>0</v>
      </c>
      <c r="F168" s="189"/>
      <c r="G168" s="196"/>
      <c r="H168" s="189"/>
      <c r="I168" s="195"/>
      <c r="J168" s="188"/>
      <c r="K168" s="189"/>
      <c r="L168" s="196"/>
      <c r="M168" s="189"/>
      <c r="N168" s="195"/>
      <c r="P168" s="189"/>
      <c r="Q168" s="196"/>
      <c r="R168" s="189"/>
      <c r="S168" s="195"/>
      <c r="U168" s="189"/>
      <c r="V168" s="196"/>
      <c r="W168" s="189"/>
      <c r="X168" s="195"/>
      <c r="Z168" s="189"/>
      <c r="AA168" s="196"/>
      <c r="AB168" s="189"/>
      <c r="AC168" s="195"/>
      <c r="AE168" s="189"/>
      <c r="AF168" s="196"/>
      <c r="AG168" s="189"/>
      <c r="AH168" s="195"/>
      <c r="AJ168" s="189"/>
      <c r="AK168" s="196"/>
      <c r="AL168" s="189"/>
      <c r="AM168" s="195"/>
      <c r="AO168" s="189"/>
      <c r="AP168" s="196"/>
      <c r="AQ168" s="189"/>
      <c r="AR168" s="195"/>
      <c r="AT168" s="189"/>
      <c r="AU168" s="196"/>
      <c r="AV168" s="189"/>
      <c r="AW168" s="195"/>
      <c r="AY168" s="198"/>
      <c r="AZ168" s="199"/>
      <c r="BA168" s="198"/>
      <c r="BB168" s="198"/>
    </row>
    <row r="169" spans="4:54" ht="15.75" x14ac:dyDescent="0.25">
      <c r="D169" s="194">
        <f t="shared" si="38"/>
        <v>0</v>
      </c>
      <c r="F169" s="189"/>
      <c r="G169" s="196"/>
      <c r="H169" s="189"/>
      <c r="I169" s="195"/>
      <c r="J169" s="188"/>
      <c r="K169" s="189"/>
      <c r="L169" s="196"/>
      <c r="M169" s="189"/>
      <c r="N169" s="195"/>
      <c r="P169" s="189"/>
      <c r="Q169" s="196"/>
      <c r="R169" s="189"/>
      <c r="S169" s="195"/>
      <c r="U169" s="189"/>
      <c r="V169" s="196"/>
      <c r="W169" s="189"/>
      <c r="X169" s="195"/>
      <c r="Z169" s="189"/>
      <c r="AA169" s="196"/>
      <c r="AB169" s="189"/>
      <c r="AC169" s="195"/>
      <c r="AE169" s="189"/>
      <c r="AF169" s="196"/>
      <c r="AG169" s="189"/>
      <c r="AH169" s="195"/>
      <c r="AJ169" s="189"/>
      <c r="AK169" s="196"/>
      <c r="AL169" s="189"/>
      <c r="AM169" s="195"/>
      <c r="AO169" s="189"/>
      <c r="AP169" s="196"/>
      <c r="AQ169" s="189"/>
      <c r="AR169" s="195"/>
      <c r="AT169" s="189"/>
      <c r="AU169" s="196"/>
      <c r="AV169" s="189"/>
      <c r="AW169" s="195"/>
      <c r="AY169" s="198"/>
      <c r="AZ169" s="199"/>
      <c r="BA169" s="198"/>
      <c r="BB169" s="198"/>
    </row>
    <row r="170" spans="4:54" ht="15.75" x14ac:dyDescent="0.25">
      <c r="D170" s="194">
        <f t="shared" si="38"/>
        <v>0</v>
      </c>
      <c r="F170" s="189"/>
      <c r="G170" s="196"/>
      <c r="H170" s="189"/>
      <c r="I170" s="195"/>
      <c r="J170" s="188"/>
      <c r="K170" s="189"/>
      <c r="L170" s="196"/>
      <c r="M170" s="189"/>
      <c r="N170" s="195"/>
      <c r="P170" s="189"/>
      <c r="Q170" s="196"/>
      <c r="R170" s="189"/>
      <c r="S170" s="195"/>
      <c r="U170" s="189"/>
      <c r="V170" s="196"/>
      <c r="W170" s="189"/>
      <c r="X170" s="195"/>
      <c r="Z170" s="189"/>
      <c r="AA170" s="196"/>
      <c r="AB170" s="189"/>
      <c r="AC170" s="195"/>
      <c r="AE170" s="189"/>
      <c r="AF170" s="196"/>
      <c r="AG170" s="189"/>
      <c r="AH170" s="195"/>
      <c r="AJ170" s="189"/>
      <c r="AK170" s="196"/>
      <c r="AL170" s="189"/>
      <c r="AM170" s="195"/>
      <c r="AO170" s="189"/>
      <c r="AP170" s="196"/>
      <c r="AQ170" s="189"/>
      <c r="AR170" s="195"/>
      <c r="AT170" s="189"/>
      <c r="AU170" s="196"/>
      <c r="AV170" s="189"/>
      <c r="AW170" s="195"/>
      <c r="AY170" s="198"/>
      <c r="AZ170" s="199"/>
      <c r="BA170" s="198"/>
      <c r="BB170" s="198"/>
    </row>
    <row r="171" spans="4:54" ht="15.75" x14ac:dyDescent="0.25">
      <c r="D171" s="194">
        <f t="shared" si="38"/>
        <v>0</v>
      </c>
      <c r="F171" s="189"/>
      <c r="G171" s="196"/>
      <c r="H171" s="189"/>
      <c r="I171" s="195"/>
      <c r="J171" s="188"/>
      <c r="K171" s="189"/>
      <c r="L171" s="196"/>
      <c r="M171" s="189"/>
      <c r="N171" s="195"/>
      <c r="P171" s="189"/>
      <c r="Q171" s="196"/>
      <c r="R171" s="189"/>
      <c r="S171" s="195"/>
      <c r="U171" s="189"/>
      <c r="V171" s="196"/>
      <c r="W171" s="189"/>
      <c r="X171" s="195"/>
      <c r="Z171" s="189"/>
      <c r="AA171" s="196"/>
      <c r="AB171" s="189"/>
      <c r="AC171" s="195"/>
      <c r="AE171" s="189"/>
      <c r="AF171" s="196"/>
      <c r="AG171" s="189"/>
      <c r="AH171" s="195"/>
      <c r="AJ171" s="189"/>
      <c r="AK171" s="196"/>
      <c r="AL171" s="189"/>
      <c r="AM171" s="195"/>
      <c r="AO171" s="189"/>
      <c r="AP171" s="196"/>
      <c r="AQ171" s="189"/>
      <c r="AR171" s="195"/>
      <c r="AT171" s="189"/>
      <c r="AU171" s="196"/>
      <c r="AV171" s="189"/>
      <c r="AW171" s="195"/>
      <c r="AY171" s="198"/>
      <c r="AZ171" s="199"/>
      <c r="BA171" s="198"/>
      <c r="BB171" s="198"/>
    </row>
    <row r="172" spans="4:54" ht="15.75" x14ac:dyDescent="0.25">
      <c r="D172" s="194">
        <f t="shared" si="38"/>
        <v>0</v>
      </c>
      <c r="F172" s="189"/>
      <c r="G172" s="196"/>
      <c r="H172" s="189"/>
      <c r="I172" s="195"/>
      <c r="J172" s="188"/>
      <c r="K172" s="189"/>
      <c r="L172" s="196"/>
      <c r="M172" s="189"/>
      <c r="N172" s="195"/>
      <c r="P172" s="189"/>
      <c r="Q172" s="196"/>
      <c r="R172" s="189"/>
      <c r="S172" s="195"/>
      <c r="U172" s="189"/>
      <c r="V172" s="196"/>
      <c r="W172" s="189"/>
      <c r="X172" s="195"/>
      <c r="Z172" s="189"/>
      <c r="AA172" s="196"/>
      <c r="AB172" s="189"/>
      <c r="AC172" s="195"/>
      <c r="AE172" s="189"/>
      <c r="AF172" s="196"/>
      <c r="AG172" s="189"/>
      <c r="AH172" s="195"/>
      <c r="AJ172" s="189"/>
      <c r="AK172" s="196"/>
      <c r="AL172" s="189"/>
      <c r="AM172" s="195"/>
      <c r="AO172" s="189"/>
      <c r="AP172" s="196"/>
      <c r="AQ172" s="189"/>
      <c r="AR172" s="195"/>
      <c r="AT172" s="189"/>
      <c r="AU172" s="196"/>
      <c r="AV172" s="189"/>
      <c r="AW172" s="195"/>
      <c r="AY172" s="198"/>
      <c r="AZ172" s="199"/>
      <c r="BA172" s="198"/>
      <c r="BB172" s="198"/>
    </row>
    <row r="173" spans="4:54" ht="15.75" x14ac:dyDescent="0.25">
      <c r="D173" s="194">
        <f t="shared" si="38"/>
        <v>0</v>
      </c>
      <c r="F173" s="189"/>
      <c r="G173" s="196"/>
      <c r="H173" s="189"/>
      <c r="I173" s="195"/>
      <c r="J173" s="188"/>
      <c r="K173" s="189"/>
      <c r="L173" s="196"/>
      <c r="M173" s="189"/>
      <c r="N173" s="195"/>
      <c r="P173" s="189"/>
      <c r="Q173" s="196"/>
      <c r="R173" s="189"/>
      <c r="S173" s="195"/>
      <c r="U173" s="189"/>
      <c r="V173" s="196"/>
      <c r="W173" s="189"/>
      <c r="X173" s="195"/>
      <c r="Z173" s="189"/>
      <c r="AA173" s="196"/>
      <c r="AB173" s="189"/>
      <c r="AC173" s="195"/>
      <c r="AE173" s="189"/>
      <c r="AF173" s="196"/>
      <c r="AG173" s="189"/>
      <c r="AH173" s="195"/>
      <c r="AJ173" s="189"/>
      <c r="AK173" s="196"/>
      <c r="AL173" s="189"/>
      <c r="AM173" s="195"/>
      <c r="AO173" s="189"/>
      <c r="AP173" s="196"/>
      <c r="AQ173" s="189"/>
      <c r="AR173" s="195"/>
      <c r="AT173" s="189"/>
      <c r="AU173" s="196"/>
      <c r="AV173" s="189"/>
      <c r="AW173" s="195"/>
      <c r="AY173" s="198"/>
      <c r="AZ173" s="199"/>
      <c r="BA173" s="198"/>
      <c r="BB173" s="198"/>
    </row>
    <row r="174" spans="4:54" ht="15.75" x14ac:dyDescent="0.25">
      <c r="D174" s="194">
        <f t="shared" si="38"/>
        <v>0</v>
      </c>
      <c r="F174" s="189"/>
      <c r="G174" s="196"/>
      <c r="H174" s="189"/>
      <c r="I174" s="195"/>
      <c r="J174" s="188"/>
      <c r="K174" s="189"/>
      <c r="L174" s="196"/>
      <c r="M174" s="189"/>
      <c r="N174" s="195"/>
      <c r="P174" s="189"/>
      <c r="Q174" s="196"/>
      <c r="R174" s="189"/>
      <c r="S174" s="195"/>
      <c r="U174" s="189"/>
      <c r="V174" s="196"/>
      <c r="W174" s="189"/>
      <c r="X174" s="195"/>
      <c r="Z174" s="189"/>
      <c r="AA174" s="196"/>
      <c r="AB174" s="189"/>
      <c r="AC174" s="195"/>
      <c r="AE174" s="189"/>
      <c r="AF174" s="196"/>
      <c r="AG174" s="189"/>
      <c r="AH174" s="195"/>
      <c r="AJ174" s="189"/>
      <c r="AK174" s="196"/>
      <c r="AL174" s="189"/>
      <c r="AM174" s="195"/>
      <c r="AO174" s="189"/>
      <c r="AP174" s="196"/>
      <c r="AQ174" s="189"/>
      <c r="AR174" s="195"/>
      <c r="AT174" s="189"/>
      <c r="AU174" s="196"/>
      <c r="AV174" s="189"/>
      <c r="AW174" s="195"/>
      <c r="AY174" s="198"/>
      <c r="AZ174" s="199"/>
      <c r="BA174" s="198"/>
      <c r="BB174" s="198"/>
    </row>
    <row r="175" spans="4:54" ht="15.75" x14ac:dyDescent="0.25">
      <c r="D175" s="194">
        <f t="shared" si="38"/>
        <v>0</v>
      </c>
      <c r="F175" s="189"/>
      <c r="G175" s="196"/>
      <c r="H175" s="189"/>
      <c r="I175" s="195"/>
      <c r="J175" s="188"/>
      <c r="K175" s="189"/>
      <c r="L175" s="196"/>
      <c r="M175" s="189"/>
      <c r="N175" s="195"/>
      <c r="P175" s="189"/>
      <c r="Q175" s="196"/>
      <c r="R175" s="189"/>
      <c r="S175" s="195"/>
      <c r="U175" s="189"/>
      <c r="V175" s="196"/>
      <c r="W175" s="189"/>
      <c r="X175" s="195"/>
      <c r="Z175" s="189"/>
      <c r="AA175" s="196"/>
      <c r="AB175" s="189"/>
      <c r="AC175" s="195"/>
      <c r="AE175" s="189"/>
      <c r="AF175" s="196"/>
      <c r="AG175" s="189"/>
      <c r="AH175" s="195"/>
      <c r="AJ175" s="189"/>
      <c r="AK175" s="196"/>
      <c r="AL175" s="189"/>
      <c r="AM175" s="195"/>
      <c r="AO175" s="189"/>
      <c r="AP175" s="196"/>
      <c r="AQ175" s="189"/>
      <c r="AR175" s="195"/>
      <c r="AT175" s="189"/>
      <c r="AU175" s="196"/>
      <c r="AV175" s="189"/>
      <c r="AW175" s="195"/>
      <c r="AY175" s="198"/>
      <c r="AZ175" s="199"/>
      <c r="BA175" s="198"/>
      <c r="BB175" s="198"/>
    </row>
    <row r="176" spans="4:54" ht="15.75" x14ac:dyDescent="0.25">
      <c r="D176" s="194">
        <f t="shared" si="38"/>
        <v>0</v>
      </c>
      <c r="F176" s="189"/>
      <c r="G176" s="196"/>
      <c r="H176" s="189"/>
      <c r="I176" s="195"/>
      <c r="J176" s="188"/>
      <c r="K176" s="189"/>
      <c r="L176" s="196"/>
      <c r="M176" s="189"/>
      <c r="N176" s="195"/>
      <c r="P176" s="189"/>
      <c r="Q176" s="196"/>
      <c r="R176" s="189"/>
      <c r="S176" s="195"/>
      <c r="U176" s="189"/>
      <c r="V176" s="196"/>
      <c r="W176" s="189"/>
      <c r="X176" s="195"/>
      <c r="Z176" s="189"/>
      <c r="AA176" s="196"/>
      <c r="AB176" s="189"/>
      <c r="AC176" s="195"/>
      <c r="AE176" s="189"/>
      <c r="AF176" s="196"/>
      <c r="AG176" s="189"/>
      <c r="AH176" s="195"/>
      <c r="AJ176" s="189"/>
      <c r="AK176" s="196"/>
      <c r="AL176" s="189"/>
      <c r="AM176" s="195"/>
      <c r="AO176" s="189"/>
      <c r="AP176" s="196"/>
      <c r="AQ176" s="189"/>
      <c r="AR176" s="195"/>
      <c r="AT176" s="189"/>
      <c r="AU176" s="196"/>
      <c r="AV176" s="189"/>
      <c r="AW176" s="195"/>
      <c r="AY176" s="198"/>
      <c r="AZ176" s="199"/>
      <c r="BA176" s="198"/>
      <c r="BB176" s="198"/>
    </row>
    <row r="177" spans="4:54" ht="15.75" x14ac:dyDescent="0.25">
      <c r="D177" s="194">
        <f t="shared" si="38"/>
        <v>0</v>
      </c>
      <c r="F177" s="189"/>
      <c r="G177" s="196"/>
      <c r="H177" s="189"/>
      <c r="I177" s="195"/>
      <c r="J177" s="188"/>
      <c r="K177" s="189"/>
      <c r="L177" s="196"/>
      <c r="M177" s="189"/>
      <c r="N177" s="195"/>
      <c r="P177" s="189"/>
      <c r="Q177" s="196"/>
      <c r="R177" s="189"/>
      <c r="S177" s="195"/>
      <c r="U177" s="189"/>
      <c r="V177" s="196"/>
      <c r="W177" s="189"/>
      <c r="X177" s="195"/>
      <c r="Z177" s="189"/>
      <c r="AA177" s="196"/>
      <c r="AB177" s="189"/>
      <c r="AC177" s="195"/>
      <c r="AE177" s="189"/>
      <c r="AF177" s="196"/>
      <c r="AG177" s="189"/>
      <c r="AH177" s="195"/>
      <c r="AJ177" s="189"/>
      <c r="AK177" s="196"/>
      <c r="AL177" s="189"/>
      <c r="AM177" s="195"/>
      <c r="AO177" s="189"/>
      <c r="AP177" s="196"/>
      <c r="AQ177" s="189"/>
      <c r="AR177" s="195"/>
      <c r="AT177" s="189"/>
      <c r="AU177" s="196"/>
      <c r="AV177" s="189"/>
      <c r="AW177" s="195"/>
      <c r="AY177" s="198"/>
      <c r="AZ177" s="199"/>
      <c r="BA177" s="198"/>
      <c r="BB177" s="198"/>
    </row>
    <row r="178" spans="4:54" ht="15.75" x14ac:dyDescent="0.25">
      <c r="D178" s="194">
        <f t="shared" si="38"/>
        <v>0</v>
      </c>
      <c r="F178" s="189"/>
      <c r="G178" s="196"/>
      <c r="H178" s="189"/>
      <c r="I178" s="195"/>
      <c r="J178" s="188"/>
      <c r="K178" s="189"/>
      <c r="L178" s="196"/>
      <c r="M178" s="189"/>
      <c r="N178" s="195"/>
      <c r="P178" s="189"/>
      <c r="Q178" s="196"/>
      <c r="R178" s="189"/>
      <c r="S178" s="195"/>
      <c r="U178" s="189"/>
      <c r="V178" s="196"/>
      <c r="W178" s="189"/>
      <c r="X178" s="195"/>
      <c r="Z178" s="189"/>
      <c r="AA178" s="196"/>
      <c r="AB178" s="189"/>
      <c r="AC178" s="195"/>
      <c r="AE178" s="189"/>
      <c r="AF178" s="196"/>
      <c r="AG178" s="189"/>
      <c r="AH178" s="195"/>
      <c r="AJ178" s="189"/>
      <c r="AK178" s="196"/>
      <c r="AL178" s="189"/>
      <c r="AM178" s="195"/>
      <c r="AO178" s="189"/>
      <c r="AP178" s="196"/>
      <c r="AQ178" s="189"/>
      <c r="AR178" s="195"/>
      <c r="AT178" s="189"/>
      <c r="AU178" s="196"/>
      <c r="AV178" s="189"/>
      <c r="AW178" s="195"/>
      <c r="AY178" s="198"/>
      <c r="AZ178" s="199"/>
      <c r="BA178" s="198"/>
      <c r="BB178" s="198"/>
    </row>
    <row r="179" spans="4:54" ht="15.75" x14ac:dyDescent="0.25">
      <c r="D179" s="194">
        <f t="shared" si="38"/>
        <v>0</v>
      </c>
      <c r="F179" s="189"/>
      <c r="G179" s="196"/>
      <c r="H179" s="189"/>
      <c r="I179" s="195"/>
      <c r="J179" s="188"/>
      <c r="K179" s="189"/>
      <c r="L179" s="196"/>
      <c r="M179" s="189"/>
      <c r="N179" s="195"/>
      <c r="P179" s="189"/>
      <c r="Q179" s="196"/>
      <c r="R179" s="189"/>
      <c r="S179" s="195"/>
      <c r="U179" s="189"/>
      <c r="V179" s="196"/>
      <c r="W179" s="189"/>
      <c r="X179" s="195"/>
      <c r="Z179" s="189"/>
      <c r="AA179" s="196"/>
      <c r="AB179" s="189"/>
      <c r="AC179" s="195"/>
      <c r="AE179" s="189"/>
      <c r="AF179" s="196"/>
      <c r="AG179" s="189"/>
      <c r="AH179" s="195"/>
      <c r="AJ179" s="189"/>
      <c r="AK179" s="196"/>
      <c r="AL179" s="189"/>
      <c r="AM179" s="195"/>
      <c r="AO179" s="189"/>
      <c r="AP179" s="196"/>
      <c r="AQ179" s="189"/>
      <c r="AR179" s="195"/>
      <c r="AT179" s="189"/>
      <c r="AU179" s="196"/>
      <c r="AV179" s="189"/>
      <c r="AW179" s="195"/>
      <c r="AY179" s="198"/>
      <c r="AZ179" s="199"/>
      <c r="BA179" s="198"/>
      <c r="BB179" s="198"/>
    </row>
    <row r="180" spans="4:54" ht="15.75" x14ac:dyDescent="0.25">
      <c r="D180" s="194">
        <f t="shared" si="38"/>
        <v>0</v>
      </c>
      <c r="F180" s="189"/>
      <c r="G180" s="196"/>
      <c r="H180" s="189"/>
      <c r="I180" s="195"/>
      <c r="J180" s="188"/>
      <c r="K180" s="189"/>
      <c r="L180" s="196"/>
      <c r="M180" s="189"/>
      <c r="N180" s="195"/>
      <c r="P180" s="189"/>
      <c r="Q180" s="196"/>
      <c r="R180" s="189"/>
      <c r="S180" s="195"/>
      <c r="U180" s="189"/>
      <c r="V180" s="196"/>
      <c r="W180" s="189"/>
      <c r="X180" s="195"/>
      <c r="Z180" s="189"/>
      <c r="AA180" s="196"/>
      <c r="AB180" s="189"/>
      <c r="AC180" s="195"/>
      <c r="AE180" s="189"/>
      <c r="AF180" s="196"/>
      <c r="AG180" s="189"/>
      <c r="AH180" s="195"/>
      <c r="AJ180" s="189"/>
      <c r="AK180" s="196"/>
      <c r="AL180" s="189"/>
      <c r="AM180" s="195"/>
      <c r="AO180" s="189"/>
      <c r="AP180" s="196"/>
      <c r="AQ180" s="189"/>
      <c r="AR180" s="195"/>
      <c r="AT180" s="189"/>
      <c r="AU180" s="196"/>
      <c r="AV180" s="189"/>
      <c r="AW180" s="195"/>
      <c r="AY180" s="198"/>
      <c r="AZ180" s="198"/>
      <c r="BA180" s="198"/>
      <c r="BB180" s="198"/>
    </row>
    <row r="181" spans="4:54" ht="15.75" x14ac:dyDescent="0.25">
      <c r="D181" s="194">
        <f t="shared" si="38"/>
        <v>0</v>
      </c>
      <c r="F181" s="189"/>
      <c r="G181" s="196"/>
      <c r="H181" s="189"/>
      <c r="I181" s="195"/>
      <c r="J181" s="188"/>
      <c r="K181" s="189"/>
      <c r="L181" s="196"/>
      <c r="M181" s="189"/>
      <c r="N181" s="195"/>
      <c r="P181" s="189"/>
      <c r="Q181" s="196"/>
      <c r="R181" s="189"/>
      <c r="S181" s="195"/>
      <c r="U181" s="189"/>
      <c r="V181" s="196"/>
      <c r="W181" s="189"/>
      <c r="X181" s="195"/>
      <c r="Z181" s="189"/>
      <c r="AA181" s="196"/>
      <c r="AB181" s="189"/>
      <c r="AC181" s="195"/>
      <c r="AE181" s="189"/>
      <c r="AF181" s="196"/>
      <c r="AG181" s="189"/>
      <c r="AH181" s="195"/>
      <c r="AJ181" s="189"/>
      <c r="AK181" s="196"/>
      <c r="AL181" s="189"/>
      <c r="AM181" s="195"/>
      <c r="AO181" s="189"/>
      <c r="AP181" s="196"/>
      <c r="AQ181" s="189"/>
      <c r="AR181" s="195"/>
      <c r="AT181" s="189"/>
      <c r="AU181" s="196"/>
      <c r="AV181" s="189"/>
      <c r="AW181" s="195"/>
      <c r="AY181" s="198"/>
      <c r="AZ181" s="198"/>
      <c r="BA181" s="198"/>
      <c r="BB181" s="198"/>
    </row>
    <row r="182" spans="4:54" ht="15.75" x14ac:dyDescent="0.25">
      <c r="D182" s="194">
        <f t="shared" si="38"/>
        <v>0</v>
      </c>
      <c r="F182" s="189"/>
      <c r="G182" s="196"/>
      <c r="H182" s="189"/>
      <c r="I182" s="195"/>
      <c r="J182" s="188"/>
      <c r="K182" s="189"/>
      <c r="L182" s="196"/>
      <c r="M182" s="189"/>
      <c r="N182" s="195"/>
      <c r="P182" s="189"/>
      <c r="Q182" s="196"/>
      <c r="R182" s="189"/>
      <c r="S182" s="195"/>
      <c r="U182" s="189"/>
      <c r="V182" s="196"/>
      <c r="W182" s="189"/>
      <c r="X182" s="195"/>
      <c r="Z182" s="189"/>
      <c r="AA182" s="196"/>
      <c r="AB182" s="189"/>
      <c r="AC182" s="195"/>
      <c r="AE182" s="189"/>
      <c r="AF182" s="196"/>
      <c r="AG182" s="189"/>
      <c r="AH182" s="195"/>
      <c r="AJ182" s="189"/>
      <c r="AK182" s="196"/>
      <c r="AL182" s="189"/>
      <c r="AM182" s="195"/>
      <c r="AO182" s="189"/>
      <c r="AP182" s="196"/>
      <c r="AQ182" s="189"/>
      <c r="AR182" s="195"/>
      <c r="AT182" s="189"/>
      <c r="AU182" s="196"/>
      <c r="AV182" s="189"/>
      <c r="AW182" s="195"/>
      <c r="AY182" s="198"/>
      <c r="AZ182" s="198"/>
      <c r="BA182" s="198"/>
      <c r="BB182" s="198"/>
    </row>
    <row r="183" spans="4:54" ht="15.75" x14ac:dyDescent="0.25">
      <c r="D183" s="194">
        <f t="shared" si="38"/>
        <v>0</v>
      </c>
      <c r="F183" s="189"/>
      <c r="G183" s="196"/>
      <c r="H183" s="189"/>
      <c r="I183" s="195"/>
      <c r="J183" s="188"/>
      <c r="K183" s="189"/>
      <c r="L183" s="196"/>
      <c r="M183" s="189"/>
      <c r="N183" s="195"/>
      <c r="P183" s="189"/>
      <c r="Q183" s="196"/>
      <c r="R183" s="189"/>
      <c r="S183" s="195"/>
      <c r="U183" s="189"/>
      <c r="V183" s="196"/>
      <c r="W183" s="189"/>
      <c r="X183" s="195"/>
      <c r="Z183" s="189"/>
      <c r="AA183" s="196"/>
      <c r="AB183" s="189"/>
      <c r="AC183" s="195"/>
      <c r="AE183" s="189"/>
      <c r="AF183" s="196"/>
      <c r="AG183" s="189"/>
      <c r="AH183" s="195"/>
      <c r="AJ183" s="189"/>
      <c r="AK183" s="196"/>
      <c r="AL183" s="189"/>
      <c r="AM183" s="195"/>
      <c r="AO183" s="189"/>
      <c r="AP183" s="196"/>
      <c r="AQ183" s="189"/>
      <c r="AR183" s="195"/>
      <c r="AT183" s="189"/>
      <c r="AU183" s="196"/>
      <c r="AV183" s="189"/>
      <c r="AW183" s="195"/>
      <c r="AY183" s="198"/>
      <c r="AZ183" s="198"/>
      <c r="BA183" s="198"/>
      <c r="BB183" s="198"/>
    </row>
    <row r="184" spans="4:54" ht="15.75" x14ac:dyDescent="0.25">
      <c r="D184" s="194">
        <f t="shared" si="38"/>
        <v>0</v>
      </c>
      <c r="F184" s="189"/>
      <c r="G184" s="196"/>
      <c r="H184" s="189"/>
      <c r="I184" s="195"/>
      <c r="J184" s="188"/>
      <c r="K184" s="189"/>
      <c r="L184" s="196"/>
      <c r="M184" s="189"/>
      <c r="N184" s="195"/>
      <c r="P184" s="189"/>
      <c r="Q184" s="196"/>
      <c r="R184" s="189"/>
      <c r="S184" s="195"/>
      <c r="U184" s="189"/>
      <c r="V184" s="196"/>
      <c r="W184" s="189"/>
      <c r="X184" s="195"/>
      <c r="Z184" s="189"/>
      <c r="AA184" s="196"/>
      <c r="AB184" s="189"/>
      <c r="AC184" s="195"/>
      <c r="AE184" s="189"/>
      <c r="AF184" s="196"/>
      <c r="AG184" s="189"/>
      <c r="AH184" s="195"/>
      <c r="AJ184" s="189"/>
      <c r="AK184" s="196"/>
      <c r="AL184" s="189"/>
      <c r="AM184" s="195"/>
      <c r="AO184" s="189"/>
      <c r="AP184" s="196"/>
      <c r="AQ184" s="189"/>
      <c r="AR184" s="195"/>
      <c r="AT184" s="189"/>
      <c r="AU184" s="196"/>
      <c r="AV184" s="189"/>
      <c r="AW184" s="195"/>
      <c r="AY184" s="198"/>
      <c r="AZ184" s="198"/>
      <c r="BA184" s="198"/>
      <c r="BB184" s="198"/>
    </row>
    <row r="185" spans="4:54" ht="15.75" x14ac:dyDescent="0.25">
      <c r="F185" s="189"/>
      <c r="G185" s="196"/>
      <c r="H185" s="189"/>
      <c r="I185" s="195"/>
      <c r="J185" s="188"/>
      <c r="K185" s="189"/>
      <c r="L185" s="196"/>
      <c r="M185" s="189"/>
      <c r="N185" s="195"/>
      <c r="P185" s="189"/>
      <c r="Q185" s="196"/>
      <c r="R185" s="189"/>
      <c r="S185" s="195"/>
      <c r="U185" s="189"/>
      <c r="V185" s="196"/>
      <c r="W185" s="189"/>
      <c r="X185" s="195"/>
      <c r="Z185" s="189"/>
      <c r="AA185" s="196"/>
      <c r="AB185" s="189"/>
      <c r="AC185" s="195"/>
      <c r="AE185" s="189"/>
      <c r="AF185" s="196"/>
      <c r="AG185" s="189"/>
      <c r="AH185" s="195"/>
      <c r="AJ185" s="189"/>
      <c r="AK185" s="196"/>
      <c r="AL185" s="189"/>
      <c r="AM185" s="195"/>
      <c r="AO185" s="189"/>
      <c r="AP185" s="196"/>
      <c r="AQ185" s="189"/>
      <c r="AR185" s="195"/>
      <c r="AT185" s="189"/>
      <c r="AU185" s="196"/>
      <c r="AV185" s="189"/>
      <c r="AW185" s="195"/>
      <c r="AY185" s="198"/>
      <c r="AZ185" s="198"/>
      <c r="BA185" s="198"/>
      <c r="BB185" s="198"/>
    </row>
    <row r="186" spans="4:54" ht="15.75" x14ac:dyDescent="0.25">
      <c r="F186" s="189"/>
      <c r="G186" s="196"/>
      <c r="H186" s="189"/>
      <c r="I186" s="195"/>
      <c r="J186" s="188"/>
      <c r="K186" s="189"/>
      <c r="L186" s="196"/>
      <c r="M186" s="189"/>
      <c r="N186" s="195"/>
      <c r="P186" s="189"/>
      <c r="Q186" s="196"/>
      <c r="R186" s="189"/>
      <c r="S186" s="195"/>
      <c r="U186" s="189"/>
      <c r="V186" s="196"/>
      <c r="W186" s="189"/>
      <c r="X186" s="195"/>
      <c r="Z186" s="189"/>
      <c r="AA186" s="196"/>
      <c r="AB186" s="189"/>
      <c r="AC186" s="195"/>
      <c r="AE186" s="189"/>
      <c r="AF186" s="196"/>
      <c r="AG186" s="189"/>
      <c r="AH186" s="195"/>
      <c r="AJ186" s="189"/>
      <c r="AK186" s="196"/>
      <c r="AL186" s="189"/>
      <c r="AM186" s="195"/>
      <c r="AO186" s="189"/>
      <c r="AP186" s="196"/>
      <c r="AQ186" s="189"/>
      <c r="AR186" s="195"/>
      <c r="AT186" s="189"/>
      <c r="AU186" s="196"/>
      <c r="AV186" s="189"/>
      <c r="AW186" s="195"/>
      <c r="AY186" s="198"/>
      <c r="AZ186" s="198"/>
      <c r="BA186" s="198"/>
      <c r="BB186" s="198"/>
    </row>
    <row r="187" spans="4:54" ht="15.75" x14ac:dyDescent="0.25">
      <c r="F187" s="189"/>
      <c r="G187" s="196"/>
      <c r="H187" s="189"/>
      <c r="I187" s="195"/>
      <c r="J187" s="188"/>
      <c r="K187" s="189"/>
      <c r="L187" s="196"/>
      <c r="M187" s="189"/>
      <c r="N187" s="195"/>
      <c r="P187" s="189"/>
      <c r="Q187" s="196"/>
      <c r="R187" s="189"/>
      <c r="S187" s="195"/>
      <c r="U187" s="189"/>
      <c r="V187" s="196"/>
      <c r="W187" s="189"/>
      <c r="X187" s="195"/>
      <c r="Z187" s="189"/>
      <c r="AA187" s="196"/>
      <c r="AB187" s="189"/>
      <c r="AC187" s="195"/>
      <c r="AE187" s="189"/>
      <c r="AF187" s="196"/>
      <c r="AG187" s="189"/>
      <c r="AH187" s="195"/>
      <c r="AJ187" s="189"/>
      <c r="AK187" s="196"/>
      <c r="AL187" s="189"/>
      <c r="AM187" s="195"/>
      <c r="AO187" s="189"/>
      <c r="AP187" s="196"/>
      <c r="AQ187" s="189"/>
      <c r="AR187" s="195"/>
      <c r="AT187" s="189"/>
      <c r="AU187" s="196"/>
      <c r="AV187" s="189"/>
      <c r="AW187" s="195"/>
      <c r="AY187" s="198"/>
      <c r="AZ187" s="198"/>
      <c r="BA187" s="198"/>
      <c r="BB187" s="198"/>
    </row>
    <row r="188" spans="4:54" ht="15.75" x14ac:dyDescent="0.25">
      <c r="F188" s="189"/>
      <c r="G188" s="196"/>
      <c r="H188" s="189"/>
      <c r="I188" s="195"/>
      <c r="J188" s="188"/>
      <c r="K188" s="189"/>
      <c r="L188" s="196"/>
      <c r="M188" s="189"/>
      <c r="N188" s="195"/>
      <c r="P188" s="189"/>
      <c r="Q188" s="196"/>
      <c r="R188" s="189"/>
      <c r="S188" s="195"/>
      <c r="U188" s="189"/>
      <c r="V188" s="196"/>
      <c r="W188" s="189"/>
      <c r="X188" s="195"/>
      <c r="Z188" s="189"/>
      <c r="AA188" s="196"/>
      <c r="AB188" s="189"/>
      <c r="AC188" s="195"/>
      <c r="AE188" s="189"/>
      <c r="AF188" s="196"/>
      <c r="AG188" s="189"/>
      <c r="AH188" s="195"/>
      <c r="AJ188" s="189"/>
      <c r="AK188" s="196"/>
      <c r="AL188" s="189"/>
      <c r="AM188" s="195"/>
      <c r="AO188" s="189"/>
      <c r="AP188" s="196"/>
      <c r="AQ188" s="189"/>
      <c r="AR188" s="195"/>
      <c r="AT188" s="189"/>
      <c r="AU188" s="196"/>
      <c r="AV188" s="189"/>
      <c r="AW188" s="195"/>
      <c r="AY188" s="198"/>
      <c r="AZ188" s="198"/>
      <c r="BA188" s="198"/>
      <c r="BB188" s="198"/>
    </row>
    <row r="189" spans="4:54" ht="15.75" x14ac:dyDescent="0.25">
      <c r="F189" s="189"/>
      <c r="G189" s="196"/>
      <c r="H189" s="189"/>
      <c r="I189" s="195"/>
      <c r="J189" s="188"/>
      <c r="K189" s="189"/>
      <c r="L189" s="196"/>
      <c r="M189" s="189"/>
      <c r="N189" s="195"/>
      <c r="P189" s="189"/>
      <c r="Q189" s="196"/>
      <c r="R189" s="189"/>
      <c r="S189" s="195"/>
      <c r="U189" s="189"/>
      <c r="V189" s="196"/>
      <c r="W189" s="189"/>
      <c r="X189" s="195"/>
      <c r="Z189" s="189"/>
      <c r="AA189" s="196"/>
      <c r="AB189" s="189"/>
      <c r="AC189" s="195"/>
      <c r="AE189" s="189"/>
      <c r="AF189" s="196"/>
      <c r="AG189" s="189"/>
      <c r="AH189" s="195"/>
      <c r="AJ189" s="189"/>
      <c r="AK189" s="196"/>
      <c r="AL189" s="189"/>
      <c r="AM189" s="195"/>
      <c r="AO189" s="189"/>
      <c r="AP189" s="196"/>
      <c r="AQ189" s="189"/>
      <c r="AR189" s="195"/>
      <c r="AT189" s="189"/>
      <c r="AU189" s="196"/>
      <c r="AV189" s="189"/>
      <c r="AW189" s="195"/>
      <c r="AY189" s="198"/>
      <c r="AZ189" s="198"/>
      <c r="BA189" s="198"/>
      <c r="BB189" s="198"/>
    </row>
    <row r="190" spans="4:54" ht="15.75" x14ac:dyDescent="0.25">
      <c r="F190" s="189"/>
      <c r="G190" s="196"/>
      <c r="H190" s="189"/>
      <c r="I190" s="195"/>
      <c r="J190" s="188"/>
      <c r="K190" s="189"/>
      <c r="L190" s="196"/>
      <c r="M190" s="189"/>
      <c r="N190" s="195"/>
      <c r="P190" s="189"/>
      <c r="Q190" s="196"/>
      <c r="R190" s="189"/>
      <c r="S190" s="195"/>
      <c r="U190" s="189"/>
      <c r="V190" s="196"/>
      <c r="W190" s="189"/>
      <c r="X190" s="195"/>
      <c r="Z190" s="189"/>
      <c r="AA190" s="196"/>
      <c r="AB190" s="189"/>
      <c r="AC190" s="195"/>
      <c r="AE190" s="189"/>
      <c r="AF190" s="196"/>
      <c r="AG190" s="189"/>
      <c r="AH190" s="195"/>
      <c r="AJ190" s="189"/>
      <c r="AK190" s="196"/>
      <c r="AL190" s="189"/>
      <c r="AM190" s="195"/>
      <c r="AO190" s="189"/>
      <c r="AP190" s="196"/>
      <c r="AQ190" s="189"/>
      <c r="AR190" s="195"/>
      <c r="AT190" s="189"/>
      <c r="AU190" s="196"/>
      <c r="AV190" s="189"/>
      <c r="AW190" s="195"/>
      <c r="AY190" s="198"/>
      <c r="AZ190" s="198"/>
      <c r="BA190" s="198"/>
      <c r="BB190" s="198"/>
    </row>
    <row r="191" spans="4:54" ht="15.75" x14ac:dyDescent="0.25">
      <c r="F191" s="189"/>
      <c r="G191" s="196"/>
      <c r="H191" s="189"/>
      <c r="I191" s="195"/>
      <c r="J191" s="188"/>
      <c r="K191" s="189"/>
      <c r="L191" s="196"/>
      <c r="M191" s="189"/>
      <c r="N191" s="195"/>
      <c r="P191" s="189"/>
      <c r="Q191" s="196"/>
      <c r="R191" s="189"/>
      <c r="S191" s="195"/>
      <c r="U191" s="189"/>
      <c r="V191" s="196"/>
      <c r="W191" s="189"/>
      <c r="X191" s="195"/>
      <c r="Z191" s="189"/>
      <c r="AA191" s="196"/>
      <c r="AB191" s="189"/>
      <c r="AC191" s="195"/>
      <c r="AE191" s="189"/>
      <c r="AF191" s="196"/>
      <c r="AG191" s="189"/>
      <c r="AH191" s="195"/>
      <c r="AJ191" s="189"/>
      <c r="AK191" s="196"/>
      <c r="AL191" s="189"/>
      <c r="AM191" s="195"/>
      <c r="AO191" s="189"/>
      <c r="AP191" s="196"/>
      <c r="AQ191" s="189"/>
      <c r="AR191" s="195"/>
      <c r="AT191" s="189"/>
      <c r="AU191" s="196"/>
      <c r="AV191" s="189"/>
      <c r="AW191" s="195"/>
      <c r="AY191" s="198"/>
      <c r="AZ191" s="198"/>
      <c r="BA191" s="198"/>
      <c r="BB191" s="198"/>
    </row>
    <row r="192" spans="4:54" ht="15.75" x14ac:dyDescent="0.25">
      <c r="F192" s="189"/>
      <c r="G192" s="196"/>
      <c r="H192" s="189"/>
      <c r="I192" s="195"/>
      <c r="J192" s="188"/>
      <c r="K192" s="189"/>
      <c r="L192" s="196"/>
      <c r="M192" s="189"/>
      <c r="N192" s="195"/>
      <c r="P192" s="189"/>
      <c r="Q192" s="196"/>
      <c r="R192" s="189"/>
      <c r="S192" s="195"/>
      <c r="U192" s="189"/>
      <c r="V192" s="196"/>
      <c r="W192" s="189"/>
      <c r="X192" s="195"/>
      <c r="Z192" s="189"/>
      <c r="AA192" s="196"/>
      <c r="AB192" s="189"/>
      <c r="AC192" s="195"/>
      <c r="AE192" s="189"/>
      <c r="AF192" s="196"/>
      <c r="AG192" s="189"/>
      <c r="AH192" s="195"/>
      <c r="AJ192" s="189"/>
      <c r="AK192" s="196"/>
      <c r="AL192" s="189"/>
      <c r="AM192" s="195"/>
      <c r="AO192" s="189"/>
      <c r="AP192" s="196"/>
      <c r="AQ192" s="189"/>
      <c r="AR192" s="195"/>
      <c r="AT192" s="189"/>
      <c r="AU192" s="196"/>
      <c r="AV192" s="189"/>
      <c r="AW192" s="195"/>
      <c r="AY192" s="198"/>
      <c r="AZ192" s="198"/>
      <c r="BA192" s="198"/>
      <c r="BB192" s="198"/>
    </row>
    <row r="193" spans="6:54" ht="15.75" x14ac:dyDescent="0.25">
      <c r="F193" s="189"/>
      <c r="G193" s="196"/>
      <c r="H193" s="189"/>
      <c r="I193" s="195"/>
      <c r="J193" s="188"/>
      <c r="K193" s="189"/>
      <c r="L193" s="196"/>
      <c r="M193" s="189"/>
      <c r="N193" s="195"/>
      <c r="P193" s="189"/>
      <c r="Q193" s="196"/>
      <c r="R193" s="189"/>
      <c r="S193" s="195"/>
      <c r="U193" s="189"/>
      <c r="V193" s="196"/>
      <c r="W193" s="189"/>
      <c r="X193" s="195"/>
      <c r="Z193" s="189"/>
      <c r="AA193" s="196"/>
      <c r="AB193" s="189"/>
      <c r="AC193" s="195"/>
      <c r="AE193" s="189"/>
      <c r="AF193" s="196"/>
      <c r="AG193" s="189"/>
      <c r="AH193" s="195"/>
      <c r="AJ193" s="189"/>
      <c r="AK193" s="196"/>
      <c r="AL193" s="189"/>
      <c r="AM193" s="195"/>
      <c r="AO193" s="189"/>
      <c r="AP193" s="196"/>
      <c r="AQ193" s="189"/>
      <c r="AR193" s="195"/>
      <c r="AT193" s="189"/>
      <c r="AU193" s="196"/>
      <c r="AV193" s="189"/>
      <c r="AW193" s="195"/>
      <c r="AY193" s="198"/>
      <c r="AZ193" s="198"/>
      <c r="BA193" s="198"/>
      <c r="BB193" s="198"/>
    </row>
    <row r="194" spans="6:54" ht="15.75" x14ac:dyDescent="0.25">
      <c r="F194" s="189"/>
      <c r="G194" s="196"/>
      <c r="H194" s="189"/>
      <c r="I194" s="195"/>
      <c r="J194" s="188"/>
      <c r="K194" s="189"/>
      <c r="L194" s="196"/>
      <c r="M194" s="189"/>
      <c r="N194" s="195"/>
      <c r="P194" s="189"/>
      <c r="Q194" s="196"/>
      <c r="R194" s="189"/>
      <c r="S194" s="195"/>
      <c r="U194" s="189"/>
      <c r="V194" s="196"/>
      <c r="W194" s="189"/>
      <c r="X194" s="195"/>
      <c r="Z194" s="189"/>
      <c r="AA194" s="196"/>
      <c r="AB194" s="189"/>
      <c r="AC194" s="195"/>
      <c r="AE194" s="189"/>
      <c r="AF194" s="196"/>
      <c r="AG194" s="189"/>
      <c r="AH194" s="195"/>
      <c r="AJ194" s="189"/>
      <c r="AK194" s="196"/>
      <c r="AL194" s="189"/>
      <c r="AM194" s="195"/>
      <c r="AO194" s="189"/>
      <c r="AP194" s="196"/>
      <c r="AQ194" s="189"/>
      <c r="AR194" s="195"/>
      <c r="AT194" s="189"/>
      <c r="AU194" s="196"/>
      <c r="AV194" s="189"/>
      <c r="AW194" s="195"/>
      <c r="AY194" s="198"/>
      <c r="AZ194" s="198"/>
      <c r="BA194" s="198"/>
      <c r="BB194" s="198"/>
    </row>
    <row r="195" spans="6:54" ht="15.75" x14ac:dyDescent="0.25">
      <c r="F195" s="189"/>
      <c r="G195" s="196"/>
      <c r="H195" s="189"/>
      <c r="I195" s="195"/>
      <c r="J195" s="188"/>
      <c r="K195" s="189"/>
      <c r="L195" s="196"/>
      <c r="M195" s="189"/>
      <c r="N195" s="195"/>
      <c r="P195" s="189"/>
      <c r="Q195" s="196"/>
      <c r="R195" s="189"/>
      <c r="S195" s="195"/>
      <c r="U195" s="189"/>
      <c r="V195" s="196"/>
      <c r="W195" s="189"/>
      <c r="X195" s="195"/>
      <c r="Z195" s="189"/>
      <c r="AA195" s="196"/>
      <c r="AB195" s="189"/>
      <c r="AC195" s="195"/>
      <c r="AE195" s="189"/>
      <c r="AF195" s="196"/>
      <c r="AG195" s="189"/>
      <c r="AH195" s="195"/>
      <c r="AJ195" s="189"/>
      <c r="AK195" s="196"/>
      <c r="AL195" s="189"/>
      <c r="AM195" s="195"/>
      <c r="AO195" s="189"/>
      <c r="AP195" s="196"/>
      <c r="AQ195" s="189"/>
      <c r="AR195" s="195"/>
      <c r="AT195" s="189"/>
      <c r="AU195" s="196"/>
      <c r="AV195" s="189"/>
      <c r="AW195" s="195"/>
      <c r="AY195" s="198"/>
      <c r="AZ195" s="198"/>
      <c r="BA195" s="198"/>
      <c r="BB195" s="198"/>
    </row>
    <row r="196" spans="6:54" ht="15.75" x14ac:dyDescent="0.25">
      <c r="F196" s="189"/>
      <c r="G196" s="196"/>
      <c r="H196" s="189"/>
      <c r="I196" s="195"/>
      <c r="J196" s="188"/>
      <c r="K196" s="189"/>
      <c r="L196" s="196"/>
      <c r="M196" s="189"/>
      <c r="N196" s="195"/>
      <c r="P196" s="189"/>
      <c r="Q196" s="196"/>
      <c r="R196" s="189"/>
      <c r="S196" s="195"/>
      <c r="U196" s="189"/>
      <c r="V196" s="196"/>
      <c r="W196" s="189"/>
      <c r="X196" s="195"/>
      <c r="Z196" s="189"/>
      <c r="AA196" s="196"/>
      <c r="AB196" s="189"/>
      <c r="AC196" s="195"/>
      <c r="AE196" s="189"/>
      <c r="AF196" s="196"/>
      <c r="AG196" s="189"/>
      <c r="AH196" s="195"/>
      <c r="AJ196" s="189"/>
      <c r="AK196" s="196"/>
      <c r="AL196" s="189"/>
      <c r="AM196" s="195"/>
      <c r="AO196" s="189"/>
      <c r="AP196" s="196"/>
      <c r="AQ196" s="189"/>
      <c r="AR196" s="195"/>
      <c r="AT196" s="189"/>
      <c r="AU196" s="196"/>
      <c r="AV196" s="189"/>
      <c r="AW196" s="195"/>
      <c r="AY196" s="198"/>
      <c r="AZ196" s="198"/>
      <c r="BA196" s="198"/>
      <c r="BB196" s="198"/>
    </row>
    <row r="197" spans="6:54" ht="15.75" x14ac:dyDescent="0.25">
      <c r="F197" s="189"/>
      <c r="G197" s="196"/>
      <c r="H197" s="189"/>
      <c r="I197" s="195"/>
      <c r="J197" s="188"/>
      <c r="K197" s="189"/>
      <c r="L197" s="196"/>
      <c r="M197" s="189"/>
      <c r="N197" s="195"/>
      <c r="P197" s="189"/>
      <c r="Q197" s="196"/>
      <c r="R197" s="189"/>
      <c r="S197" s="195"/>
      <c r="U197" s="189"/>
      <c r="V197" s="196"/>
      <c r="W197" s="189"/>
      <c r="X197" s="195"/>
      <c r="Z197" s="189"/>
      <c r="AA197" s="196"/>
      <c r="AB197" s="189"/>
      <c r="AC197" s="195"/>
      <c r="AE197" s="189"/>
      <c r="AF197" s="196"/>
      <c r="AG197" s="189"/>
      <c r="AH197" s="195"/>
      <c r="AJ197" s="189"/>
      <c r="AK197" s="196"/>
      <c r="AL197" s="189"/>
      <c r="AM197" s="195"/>
      <c r="AO197" s="189"/>
      <c r="AP197" s="196"/>
      <c r="AQ197" s="189"/>
      <c r="AR197" s="195"/>
      <c r="AT197" s="189"/>
      <c r="AU197" s="196"/>
      <c r="AV197" s="189"/>
      <c r="AW197" s="195"/>
      <c r="AY197" s="198"/>
      <c r="AZ197" s="198"/>
      <c r="BA197" s="198"/>
      <c r="BB197" s="198"/>
    </row>
    <row r="198" spans="6:54" ht="15.75" x14ac:dyDescent="0.25">
      <c r="F198" s="189"/>
      <c r="G198" s="196"/>
      <c r="H198" s="189"/>
      <c r="I198" s="195"/>
      <c r="J198" s="188"/>
      <c r="K198" s="189"/>
      <c r="L198" s="196"/>
      <c r="M198" s="189"/>
      <c r="N198" s="195"/>
      <c r="P198" s="189"/>
      <c r="Q198" s="196"/>
      <c r="R198" s="189"/>
      <c r="S198" s="195"/>
      <c r="U198" s="189"/>
      <c r="V198" s="196"/>
      <c r="W198" s="189"/>
      <c r="X198" s="195"/>
      <c r="Z198" s="189"/>
      <c r="AA198" s="196"/>
      <c r="AB198" s="189"/>
      <c r="AC198" s="195"/>
      <c r="AE198" s="189"/>
      <c r="AF198" s="196"/>
      <c r="AG198" s="189"/>
      <c r="AH198" s="195"/>
      <c r="AJ198" s="189"/>
      <c r="AK198" s="196"/>
      <c r="AL198" s="189"/>
      <c r="AM198" s="195"/>
      <c r="AO198" s="189"/>
      <c r="AP198" s="196"/>
      <c r="AQ198" s="189"/>
      <c r="AR198" s="195"/>
      <c r="AT198" s="189"/>
      <c r="AU198" s="196"/>
      <c r="AV198" s="189"/>
      <c r="AW198" s="195"/>
      <c r="AY198" s="198"/>
      <c r="AZ198" s="198"/>
      <c r="BA198" s="198"/>
      <c r="BB198" s="198"/>
    </row>
    <row r="199" spans="6:54" ht="15.75" x14ac:dyDescent="0.25">
      <c r="F199" s="189"/>
      <c r="G199" s="196"/>
      <c r="H199" s="189"/>
      <c r="I199" s="195"/>
      <c r="J199" s="188"/>
      <c r="K199" s="189"/>
      <c r="L199" s="196"/>
      <c r="M199" s="189"/>
      <c r="N199" s="195"/>
      <c r="P199" s="189"/>
      <c r="Q199" s="196"/>
      <c r="R199" s="189"/>
      <c r="S199" s="195"/>
      <c r="U199" s="189"/>
      <c r="V199" s="196"/>
      <c r="W199" s="189"/>
      <c r="X199" s="195"/>
      <c r="Z199" s="189"/>
      <c r="AA199" s="196"/>
      <c r="AB199" s="189"/>
      <c r="AC199" s="195"/>
      <c r="AE199" s="189"/>
      <c r="AF199" s="196"/>
      <c r="AG199" s="189"/>
      <c r="AH199" s="195"/>
      <c r="AJ199" s="189"/>
      <c r="AK199" s="196"/>
      <c r="AL199" s="189"/>
      <c r="AM199" s="195"/>
      <c r="AO199" s="189"/>
      <c r="AP199" s="196"/>
      <c r="AQ199" s="189"/>
      <c r="AR199" s="195"/>
      <c r="AT199" s="189"/>
      <c r="AU199" s="196"/>
      <c r="AV199" s="189"/>
      <c r="AW199" s="195"/>
      <c r="AY199" s="198"/>
      <c r="AZ199" s="198"/>
      <c r="BA199" s="198"/>
      <c r="BB199" s="198"/>
    </row>
    <row r="200" spans="6:54" ht="15.75" x14ac:dyDescent="0.25">
      <c r="F200" s="189"/>
      <c r="G200" s="196"/>
      <c r="H200" s="189"/>
      <c r="I200" s="195"/>
      <c r="J200" s="188"/>
      <c r="K200" s="189"/>
      <c r="L200" s="196"/>
      <c r="M200" s="189"/>
      <c r="N200" s="195"/>
      <c r="P200" s="189"/>
      <c r="Q200" s="196"/>
      <c r="R200" s="189"/>
      <c r="S200" s="195"/>
      <c r="U200" s="189"/>
      <c r="V200" s="196"/>
      <c r="W200" s="189"/>
      <c r="X200" s="195"/>
      <c r="Z200" s="189"/>
      <c r="AA200" s="196"/>
      <c r="AB200" s="189"/>
      <c r="AC200" s="195"/>
      <c r="AE200" s="189"/>
      <c r="AF200" s="196"/>
      <c r="AG200" s="189"/>
      <c r="AH200" s="195"/>
      <c r="AJ200" s="189"/>
      <c r="AK200" s="196"/>
      <c r="AL200" s="189"/>
      <c r="AM200" s="195"/>
      <c r="AO200" s="189"/>
      <c r="AP200" s="196"/>
      <c r="AQ200" s="189"/>
      <c r="AR200" s="195"/>
      <c r="AT200" s="189"/>
      <c r="AU200" s="196"/>
      <c r="AV200" s="189"/>
      <c r="AW200" s="195"/>
      <c r="AY200" s="198"/>
      <c r="AZ200" s="198"/>
      <c r="BA200" s="198"/>
      <c r="BB200" s="198"/>
    </row>
    <row r="201" spans="6:54" ht="15.75" x14ac:dyDescent="0.25">
      <c r="F201" s="189"/>
      <c r="G201" s="196"/>
      <c r="H201" s="189"/>
      <c r="I201" s="195"/>
      <c r="J201" s="188"/>
      <c r="K201" s="189"/>
      <c r="L201" s="196"/>
      <c r="M201" s="189"/>
      <c r="N201" s="195"/>
      <c r="P201" s="189"/>
      <c r="Q201" s="196"/>
      <c r="R201" s="189"/>
      <c r="S201" s="195"/>
      <c r="U201" s="189"/>
      <c r="V201" s="196"/>
      <c r="W201" s="189"/>
      <c r="X201" s="195"/>
      <c r="Z201" s="189"/>
      <c r="AA201" s="196"/>
      <c r="AB201" s="189"/>
      <c r="AC201" s="195"/>
      <c r="AE201" s="189"/>
      <c r="AF201" s="196"/>
      <c r="AG201" s="189"/>
      <c r="AH201" s="195"/>
      <c r="AJ201" s="189"/>
      <c r="AK201" s="196"/>
      <c r="AL201" s="189"/>
      <c r="AM201" s="195"/>
      <c r="AO201" s="189"/>
      <c r="AP201" s="196"/>
      <c r="AQ201" s="189"/>
      <c r="AR201" s="195"/>
      <c r="AT201" s="189"/>
      <c r="AU201" s="196"/>
      <c r="AV201" s="189"/>
      <c r="AW201" s="195"/>
      <c r="AY201" s="198"/>
      <c r="AZ201" s="198"/>
      <c r="BA201" s="198"/>
      <c r="BB201" s="198"/>
    </row>
    <row r="202" spans="6:54" ht="15.75" x14ac:dyDescent="0.25">
      <c r="F202" s="189"/>
      <c r="G202" s="196"/>
      <c r="H202" s="189"/>
      <c r="I202" s="195"/>
      <c r="J202" s="188"/>
      <c r="K202" s="189"/>
      <c r="L202" s="196"/>
      <c r="M202" s="189"/>
      <c r="N202" s="195"/>
      <c r="P202" s="189"/>
      <c r="Q202" s="196"/>
      <c r="R202" s="189"/>
      <c r="S202" s="195"/>
      <c r="U202" s="189"/>
      <c r="V202" s="196"/>
      <c r="W202" s="189"/>
      <c r="X202" s="195"/>
      <c r="Z202" s="189"/>
      <c r="AA202" s="196"/>
      <c r="AB202" s="189"/>
      <c r="AC202" s="195"/>
      <c r="AE202" s="189"/>
      <c r="AF202" s="196"/>
      <c r="AG202" s="189"/>
      <c r="AH202" s="195"/>
      <c r="AJ202" s="189"/>
      <c r="AK202" s="196"/>
      <c r="AL202" s="189"/>
      <c r="AM202" s="195"/>
      <c r="AO202" s="189"/>
      <c r="AP202" s="196"/>
      <c r="AQ202" s="189"/>
      <c r="AR202" s="195"/>
      <c r="AT202" s="189"/>
      <c r="AU202" s="196"/>
      <c r="AV202" s="189"/>
      <c r="AW202" s="195"/>
      <c r="AY202" s="198"/>
      <c r="AZ202" s="198"/>
      <c r="BA202" s="198"/>
      <c r="BB202" s="198"/>
    </row>
    <row r="203" spans="6:54" ht="15.75" x14ac:dyDescent="0.25">
      <c r="F203" s="189"/>
      <c r="G203" s="196"/>
      <c r="H203" s="189"/>
      <c r="I203" s="195"/>
      <c r="J203" s="188"/>
      <c r="K203" s="189"/>
      <c r="L203" s="196"/>
      <c r="M203" s="189"/>
      <c r="N203" s="195"/>
      <c r="P203" s="189"/>
      <c r="Q203" s="196"/>
      <c r="R203" s="189"/>
      <c r="S203" s="195"/>
      <c r="U203" s="189"/>
      <c r="V203" s="196"/>
      <c r="W203" s="189"/>
      <c r="X203" s="195"/>
      <c r="Z203" s="189"/>
      <c r="AA203" s="196"/>
      <c r="AB203" s="189"/>
      <c r="AC203" s="195"/>
      <c r="AE203" s="189"/>
      <c r="AF203" s="196"/>
      <c r="AG203" s="189"/>
      <c r="AH203" s="195"/>
      <c r="AJ203" s="189"/>
      <c r="AK203" s="196"/>
      <c r="AL203" s="189"/>
      <c r="AM203" s="195"/>
      <c r="AO203" s="189"/>
      <c r="AP203" s="196"/>
      <c r="AQ203" s="189"/>
      <c r="AR203" s="195"/>
      <c r="AT203" s="189"/>
      <c r="AU203" s="196"/>
      <c r="AV203" s="189"/>
      <c r="AW203" s="195"/>
      <c r="AY203" s="198"/>
      <c r="AZ203" s="198"/>
      <c r="BA203" s="198"/>
      <c r="BB203" s="198"/>
    </row>
    <row r="204" spans="6:54" ht="15.75" x14ac:dyDescent="0.25">
      <c r="F204" s="189"/>
      <c r="G204" s="196"/>
      <c r="H204" s="189"/>
      <c r="I204" s="195"/>
      <c r="J204" s="188"/>
      <c r="K204" s="189"/>
      <c r="L204" s="196"/>
      <c r="M204" s="189"/>
      <c r="N204" s="195"/>
      <c r="P204" s="189"/>
      <c r="Q204" s="196"/>
      <c r="R204" s="189"/>
      <c r="S204" s="195"/>
      <c r="U204" s="189"/>
      <c r="V204" s="196"/>
      <c r="W204" s="189"/>
      <c r="X204" s="195"/>
      <c r="Z204" s="189"/>
      <c r="AA204" s="196"/>
      <c r="AB204" s="189"/>
      <c r="AC204" s="195"/>
      <c r="AE204" s="189"/>
      <c r="AF204" s="196"/>
      <c r="AG204" s="189"/>
      <c r="AH204" s="195"/>
      <c r="AJ204" s="189"/>
      <c r="AK204" s="196"/>
      <c r="AL204" s="189"/>
      <c r="AM204" s="195"/>
      <c r="AO204" s="189"/>
      <c r="AP204" s="196"/>
      <c r="AQ204" s="189"/>
      <c r="AR204" s="195"/>
      <c r="AT204" s="189"/>
      <c r="AU204" s="196"/>
      <c r="AV204" s="189"/>
      <c r="AW204" s="195"/>
      <c r="AY204" s="198"/>
      <c r="AZ204" s="198"/>
      <c r="BA204" s="198"/>
      <c r="BB204" s="198"/>
    </row>
    <row r="205" spans="6:54" ht="15.75" x14ac:dyDescent="0.25">
      <c r="F205" s="189"/>
      <c r="G205" s="196"/>
      <c r="H205" s="189"/>
      <c r="I205" s="195"/>
      <c r="J205" s="188"/>
      <c r="K205" s="189"/>
      <c r="L205" s="196"/>
      <c r="M205" s="189"/>
      <c r="N205" s="195"/>
      <c r="P205" s="189"/>
      <c r="Q205" s="196"/>
      <c r="R205" s="189"/>
      <c r="S205" s="195"/>
      <c r="U205" s="189"/>
      <c r="V205" s="196"/>
      <c r="W205" s="189"/>
      <c r="X205" s="195"/>
      <c r="Z205" s="189"/>
      <c r="AA205" s="196"/>
      <c r="AB205" s="189"/>
      <c r="AC205" s="195"/>
      <c r="AE205" s="189"/>
      <c r="AF205" s="196"/>
      <c r="AG205" s="189"/>
      <c r="AH205" s="195"/>
      <c r="AJ205" s="189"/>
      <c r="AK205" s="196"/>
      <c r="AL205" s="189"/>
      <c r="AM205" s="195"/>
      <c r="AO205" s="189"/>
      <c r="AP205" s="196"/>
      <c r="AQ205" s="189"/>
      <c r="AR205" s="195"/>
      <c r="AT205" s="189"/>
      <c r="AU205" s="196"/>
      <c r="AV205" s="189"/>
      <c r="AW205" s="195"/>
      <c r="AY205" s="198"/>
      <c r="AZ205" s="198"/>
      <c r="BA205" s="198"/>
      <c r="BB205" s="198"/>
    </row>
    <row r="206" spans="6:54" ht="15.75" x14ac:dyDescent="0.25">
      <c r="F206" s="189"/>
      <c r="G206" s="196"/>
      <c r="H206" s="189"/>
      <c r="I206" s="195"/>
      <c r="J206" s="188"/>
      <c r="K206" s="189"/>
      <c r="L206" s="196"/>
      <c r="M206" s="189"/>
      <c r="N206" s="195"/>
      <c r="P206" s="189"/>
      <c r="Q206" s="196"/>
      <c r="R206" s="189"/>
      <c r="S206" s="195"/>
      <c r="U206" s="189"/>
      <c r="V206" s="196"/>
      <c r="W206" s="189"/>
      <c r="X206" s="195"/>
      <c r="Z206" s="189"/>
      <c r="AA206" s="196"/>
      <c r="AB206" s="189"/>
      <c r="AC206" s="195"/>
      <c r="AE206" s="189"/>
      <c r="AF206" s="196"/>
      <c r="AG206" s="189"/>
      <c r="AH206" s="195"/>
      <c r="AJ206" s="189"/>
      <c r="AK206" s="196"/>
      <c r="AL206" s="189"/>
      <c r="AM206" s="195"/>
      <c r="AO206" s="189"/>
      <c r="AP206" s="196"/>
      <c r="AQ206" s="189"/>
      <c r="AR206" s="195"/>
      <c r="AT206" s="189"/>
      <c r="AU206" s="196"/>
      <c r="AV206" s="189"/>
      <c r="AW206" s="195"/>
      <c r="AY206" s="198"/>
      <c r="AZ206" s="198"/>
      <c r="BA206" s="198"/>
      <c r="BB206" s="198"/>
    </row>
    <row r="207" spans="6:54" ht="15.75" x14ac:dyDescent="0.25">
      <c r="F207" s="189"/>
      <c r="G207" s="196"/>
      <c r="H207" s="189"/>
      <c r="I207" s="195"/>
      <c r="J207" s="188"/>
      <c r="K207" s="189"/>
      <c r="L207" s="196"/>
      <c r="M207" s="189"/>
      <c r="N207" s="195"/>
      <c r="P207" s="189"/>
      <c r="Q207" s="196"/>
      <c r="R207" s="189"/>
      <c r="S207" s="195"/>
      <c r="U207" s="189"/>
      <c r="V207" s="196"/>
      <c r="W207" s="189"/>
      <c r="X207" s="195"/>
      <c r="Z207" s="189"/>
      <c r="AA207" s="196"/>
      <c r="AB207" s="189"/>
      <c r="AC207" s="195"/>
      <c r="AE207" s="189"/>
      <c r="AF207" s="196"/>
      <c r="AG207" s="189"/>
      <c r="AH207" s="195"/>
      <c r="AJ207" s="189"/>
      <c r="AK207" s="196"/>
      <c r="AL207" s="189"/>
      <c r="AM207" s="195"/>
      <c r="AO207" s="189"/>
      <c r="AP207" s="196"/>
      <c r="AQ207" s="189"/>
      <c r="AR207" s="195"/>
      <c r="AT207" s="189"/>
      <c r="AU207" s="196"/>
      <c r="AV207" s="189"/>
      <c r="AW207" s="195"/>
      <c r="AY207" s="198"/>
      <c r="AZ207" s="198"/>
      <c r="BA207" s="198"/>
      <c r="BB207" s="198"/>
    </row>
    <row r="208" spans="6:54" ht="15.75" x14ac:dyDescent="0.25">
      <c r="F208" s="189"/>
      <c r="G208" s="196"/>
      <c r="H208" s="189"/>
      <c r="I208" s="195"/>
      <c r="J208" s="188"/>
      <c r="K208" s="189"/>
      <c r="L208" s="196"/>
      <c r="M208" s="189"/>
      <c r="N208" s="195"/>
      <c r="P208" s="189"/>
      <c r="Q208" s="196"/>
      <c r="R208" s="189"/>
      <c r="S208" s="195"/>
      <c r="U208" s="189"/>
      <c r="V208" s="196"/>
      <c r="W208" s="189"/>
      <c r="X208" s="195"/>
      <c r="Z208" s="189"/>
      <c r="AA208" s="196"/>
      <c r="AB208" s="189"/>
      <c r="AC208" s="195"/>
      <c r="AE208" s="189"/>
      <c r="AF208" s="196"/>
      <c r="AG208" s="189"/>
      <c r="AH208" s="195"/>
      <c r="AJ208" s="189"/>
      <c r="AK208" s="196"/>
      <c r="AL208" s="189"/>
      <c r="AM208" s="195"/>
      <c r="AO208" s="189"/>
      <c r="AP208" s="196"/>
      <c r="AQ208" s="189"/>
      <c r="AR208" s="195"/>
      <c r="AT208" s="189"/>
      <c r="AU208" s="196"/>
      <c r="AV208" s="189"/>
      <c r="AW208" s="195"/>
      <c r="AY208" s="198"/>
      <c r="AZ208" s="198"/>
      <c r="BA208" s="198"/>
      <c r="BB208" s="198"/>
    </row>
    <row r="209" spans="6:54" ht="15.75" x14ac:dyDescent="0.25">
      <c r="F209" s="189"/>
      <c r="G209" s="196"/>
      <c r="H209" s="189"/>
      <c r="I209" s="195"/>
      <c r="J209" s="188"/>
      <c r="K209" s="189"/>
      <c r="L209" s="196"/>
      <c r="M209" s="189"/>
      <c r="N209" s="195"/>
      <c r="P209" s="189"/>
      <c r="Q209" s="196"/>
      <c r="R209" s="189"/>
      <c r="S209" s="195"/>
      <c r="U209" s="189"/>
      <c r="V209" s="196"/>
      <c r="W209" s="189"/>
      <c r="X209" s="195"/>
      <c r="Z209" s="189"/>
      <c r="AA209" s="196"/>
      <c r="AB209" s="189"/>
      <c r="AC209" s="195"/>
      <c r="AE209" s="189"/>
      <c r="AF209" s="196"/>
      <c r="AG209" s="189"/>
      <c r="AH209" s="195"/>
      <c r="AJ209" s="189"/>
      <c r="AK209" s="196"/>
      <c r="AL209" s="189"/>
      <c r="AM209" s="195"/>
      <c r="AO209" s="189"/>
      <c r="AP209" s="196"/>
      <c r="AQ209" s="189"/>
      <c r="AR209" s="195"/>
      <c r="AT209" s="189"/>
      <c r="AU209" s="196"/>
      <c r="AV209" s="189"/>
      <c r="AW209" s="195"/>
      <c r="AY209" s="198"/>
      <c r="AZ209" s="198"/>
      <c r="BA209" s="198"/>
      <c r="BB209" s="198"/>
    </row>
    <row r="210" spans="6:54" ht="15.75" x14ac:dyDescent="0.25">
      <c r="F210" s="189"/>
      <c r="G210" s="196"/>
      <c r="H210" s="189"/>
      <c r="I210" s="195"/>
      <c r="J210" s="188"/>
      <c r="K210" s="189"/>
      <c r="L210" s="196"/>
      <c r="M210" s="189"/>
      <c r="N210" s="195"/>
      <c r="P210" s="189"/>
      <c r="Q210" s="196"/>
      <c r="R210" s="189"/>
      <c r="S210" s="195"/>
      <c r="U210" s="189"/>
      <c r="V210" s="196"/>
      <c r="W210" s="189"/>
      <c r="X210" s="195"/>
      <c r="Z210" s="189"/>
      <c r="AA210" s="196"/>
      <c r="AB210" s="189"/>
      <c r="AC210" s="195"/>
      <c r="AE210" s="189"/>
      <c r="AF210" s="196"/>
      <c r="AG210" s="189"/>
      <c r="AH210" s="195"/>
      <c r="AJ210" s="189"/>
      <c r="AK210" s="196"/>
      <c r="AL210" s="189"/>
      <c r="AM210" s="195"/>
      <c r="AO210" s="189"/>
      <c r="AP210" s="196"/>
      <c r="AQ210" s="189"/>
      <c r="AR210" s="195"/>
      <c r="AT210" s="189"/>
      <c r="AU210" s="196"/>
      <c r="AV210" s="189"/>
      <c r="AW210" s="195"/>
      <c r="AY210" s="198"/>
      <c r="AZ210" s="198"/>
      <c r="BA210" s="198"/>
      <c r="BB210" s="198"/>
    </row>
    <row r="211" spans="6:54" ht="15.75" x14ac:dyDescent="0.25">
      <c r="F211" s="189"/>
      <c r="G211" s="196"/>
      <c r="H211" s="189"/>
      <c r="I211" s="195"/>
      <c r="J211" s="188"/>
      <c r="K211" s="189"/>
      <c r="L211" s="196"/>
      <c r="M211" s="189"/>
      <c r="N211" s="195"/>
      <c r="P211" s="189"/>
      <c r="Q211" s="196"/>
      <c r="R211" s="189"/>
      <c r="S211" s="195"/>
      <c r="U211" s="189"/>
      <c r="V211" s="196"/>
      <c r="W211" s="189"/>
      <c r="X211" s="195"/>
      <c r="Z211" s="189"/>
      <c r="AA211" s="196"/>
      <c r="AB211" s="189"/>
      <c r="AC211" s="195"/>
      <c r="AE211" s="189"/>
      <c r="AF211" s="196"/>
      <c r="AG211" s="189"/>
      <c r="AH211" s="195"/>
      <c r="AJ211" s="189"/>
      <c r="AK211" s="196"/>
      <c r="AL211" s="189"/>
      <c r="AM211" s="195"/>
      <c r="AO211" s="189"/>
      <c r="AP211" s="196"/>
      <c r="AQ211" s="189"/>
      <c r="AR211" s="195"/>
      <c r="AT211" s="189"/>
      <c r="AU211" s="196"/>
      <c r="AV211" s="189"/>
      <c r="AW211" s="195"/>
      <c r="AY211" s="198"/>
      <c r="AZ211" s="198"/>
      <c r="BA211" s="198"/>
      <c r="BB211" s="198"/>
    </row>
    <row r="212" spans="6:54" ht="15.75" x14ac:dyDescent="0.25">
      <c r="F212" s="189"/>
      <c r="G212" s="196"/>
      <c r="H212" s="189"/>
      <c r="I212" s="195"/>
      <c r="J212" s="188"/>
      <c r="K212" s="189"/>
      <c r="L212" s="196"/>
      <c r="M212" s="189"/>
      <c r="N212" s="195"/>
      <c r="P212" s="189"/>
      <c r="Q212" s="196"/>
      <c r="R212" s="189"/>
      <c r="S212" s="195"/>
      <c r="U212" s="189"/>
      <c r="V212" s="196"/>
      <c r="W212" s="189"/>
      <c r="X212" s="195"/>
      <c r="Z212" s="189"/>
      <c r="AA212" s="196"/>
      <c r="AB212" s="189"/>
      <c r="AC212" s="195"/>
      <c r="AE212" s="189"/>
      <c r="AF212" s="196"/>
      <c r="AG212" s="189"/>
      <c r="AH212" s="195"/>
      <c r="AJ212" s="189"/>
      <c r="AK212" s="196"/>
      <c r="AL212" s="189"/>
      <c r="AM212" s="195"/>
      <c r="AO212" s="189"/>
      <c r="AP212" s="196"/>
      <c r="AQ212" s="189"/>
      <c r="AR212" s="195"/>
      <c r="AT212" s="189"/>
      <c r="AU212" s="196"/>
      <c r="AV212" s="189"/>
      <c r="AW212" s="195"/>
      <c r="AY212" s="198"/>
      <c r="AZ212" s="198"/>
      <c r="BA212" s="198"/>
      <c r="BB212" s="198"/>
    </row>
    <row r="213" spans="6:54" ht="15.75" x14ac:dyDescent="0.25">
      <c r="F213" s="189"/>
      <c r="G213" s="196"/>
      <c r="H213" s="189"/>
      <c r="I213" s="195"/>
      <c r="J213" s="188"/>
      <c r="K213" s="189"/>
      <c r="L213" s="196"/>
      <c r="M213" s="189"/>
      <c r="N213" s="195"/>
      <c r="P213" s="189"/>
      <c r="Q213" s="196"/>
      <c r="R213" s="189"/>
      <c r="S213" s="195"/>
      <c r="U213" s="189"/>
      <c r="V213" s="196"/>
      <c r="W213" s="189"/>
      <c r="X213" s="195"/>
      <c r="Z213" s="189"/>
      <c r="AA213" s="196"/>
      <c r="AB213" s="189"/>
      <c r="AC213" s="195"/>
      <c r="AE213" s="189"/>
      <c r="AF213" s="196"/>
      <c r="AG213" s="189"/>
      <c r="AH213" s="195"/>
      <c r="AJ213" s="189"/>
      <c r="AK213" s="196"/>
      <c r="AL213" s="189"/>
      <c r="AM213" s="195"/>
      <c r="AO213" s="189"/>
      <c r="AP213" s="196"/>
      <c r="AQ213" s="189"/>
      <c r="AR213" s="195"/>
      <c r="AT213" s="189"/>
      <c r="AU213" s="196"/>
      <c r="AV213" s="189"/>
      <c r="AW213" s="195"/>
      <c r="AY213" s="198"/>
      <c r="AZ213" s="198"/>
      <c r="BA213" s="198"/>
      <c r="BB213" s="198"/>
    </row>
    <row r="214" spans="6:54" ht="15.75" x14ac:dyDescent="0.25">
      <c r="F214" s="189"/>
      <c r="G214" s="196"/>
      <c r="H214" s="189"/>
      <c r="I214" s="195"/>
      <c r="J214" s="188"/>
      <c r="K214" s="189"/>
      <c r="L214" s="196"/>
      <c r="M214" s="189"/>
      <c r="N214" s="195"/>
      <c r="P214" s="189"/>
      <c r="Q214" s="196"/>
      <c r="R214" s="189"/>
      <c r="S214" s="195"/>
      <c r="U214" s="189"/>
      <c r="V214" s="196"/>
      <c r="W214" s="189"/>
      <c r="X214" s="195"/>
      <c r="Z214" s="189"/>
      <c r="AA214" s="196"/>
      <c r="AB214" s="189"/>
      <c r="AC214" s="195"/>
      <c r="AE214" s="189"/>
      <c r="AF214" s="196"/>
      <c r="AG214" s="189"/>
      <c r="AH214" s="195"/>
      <c r="AJ214" s="189"/>
      <c r="AK214" s="196"/>
      <c r="AL214" s="189"/>
      <c r="AM214" s="195"/>
      <c r="AO214" s="189"/>
      <c r="AP214" s="196"/>
      <c r="AQ214" s="189"/>
      <c r="AR214" s="195"/>
      <c r="AT214" s="189"/>
      <c r="AU214" s="196"/>
      <c r="AV214" s="189"/>
      <c r="AW214" s="195"/>
      <c r="AY214" s="198"/>
      <c r="AZ214" s="198"/>
      <c r="BA214" s="198"/>
      <c r="BB214" s="198"/>
    </row>
    <row r="215" spans="6:54" ht="15.75" x14ac:dyDescent="0.25">
      <c r="F215" s="189"/>
      <c r="G215" s="196"/>
      <c r="H215" s="189"/>
      <c r="I215" s="195"/>
      <c r="J215" s="188"/>
      <c r="K215" s="189"/>
      <c r="L215" s="196"/>
      <c r="M215" s="189"/>
      <c r="N215" s="195"/>
      <c r="P215" s="189"/>
      <c r="Q215" s="196"/>
      <c r="R215" s="189"/>
      <c r="S215" s="195"/>
      <c r="U215" s="189"/>
      <c r="V215" s="196"/>
      <c r="W215" s="189"/>
      <c r="X215" s="195"/>
      <c r="Z215" s="189"/>
      <c r="AA215" s="196"/>
      <c r="AB215" s="189"/>
      <c r="AC215" s="195"/>
      <c r="AE215" s="189"/>
      <c r="AF215" s="196"/>
      <c r="AG215" s="189"/>
      <c r="AH215" s="195"/>
      <c r="AJ215" s="189"/>
      <c r="AK215" s="196"/>
      <c r="AL215" s="189"/>
      <c r="AM215" s="195"/>
      <c r="AO215" s="189"/>
      <c r="AP215" s="196"/>
      <c r="AQ215" s="189"/>
      <c r="AR215" s="195"/>
      <c r="AT215" s="189"/>
      <c r="AU215" s="196"/>
      <c r="AV215" s="189"/>
      <c r="AW215" s="195"/>
      <c r="AY215" s="198"/>
      <c r="AZ215" s="198"/>
      <c r="BA215" s="198"/>
      <c r="BB215" s="198"/>
    </row>
    <row r="216" spans="6:54" ht="16.5" thickBot="1" x14ac:dyDescent="0.3">
      <c r="F216" s="189"/>
      <c r="G216" s="196"/>
      <c r="H216" s="189"/>
      <c r="I216" s="195"/>
      <c r="J216" s="188"/>
      <c r="K216" s="189"/>
      <c r="L216" s="196"/>
      <c r="M216" s="189"/>
      <c r="N216" s="195"/>
      <c r="P216" s="189"/>
      <c r="Q216" s="196"/>
      <c r="R216" s="189"/>
      <c r="S216" s="195"/>
      <c r="U216" s="189"/>
      <c r="V216" s="196"/>
      <c r="W216" s="189"/>
      <c r="X216" s="195"/>
      <c r="Z216" s="189"/>
      <c r="AA216" s="196"/>
      <c r="AB216" s="189"/>
      <c r="AC216" s="195"/>
      <c r="AE216" s="189"/>
      <c r="AF216" s="196"/>
      <c r="AG216" s="189"/>
      <c r="AH216" s="195"/>
      <c r="AJ216" s="189"/>
      <c r="AK216" s="196"/>
      <c r="AL216" s="189"/>
      <c r="AM216" s="195"/>
      <c r="AO216" s="189"/>
      <c r="AP216" s="196"/>
      <c r="AQ216" s="189"/>
      <c r="AR216" s="195"/>
      <c r="AT216" s="189"/>
      <c r="AU216" s="196"/>
      <c r="AV216" s="189"/>
      <c r="AW216" s="195"/>
      <c r="AY216" s="198"/>
      <c r="AZ216" s="198"/>
      <c r="BA216" s="198"/>
      <c r="BB216" s="198"/>
    </row>
    <row r="217" spans="6:54" ht="16.5" thickBot="1" x14ac:dyDescent="0.3">
      <c r="F217" s="189"/>
      <c r="G217" s="196"/>
      <c r="H217" s="189"/>
      <c r="I217" s="195"/>
      <c r="J217" s="188"/>
      <c r="K217" s="189"/>
      <c r="L217" s="196"/>
      <c r="M217" s="189"/>
      <c r="N217" s="195"/>
      <c r="P217" s="188"/>
      <c r="Q217" s="188"/>
      <c r="R217" s="188"/>
      <c r="S217" s="188"/>
      <c r="U217" s="256"/>
      <c r="V217" s="257"/>
      <c r="W217" s="257"/>
      <c r="X217" s="258"/>
      <c r="Z217" s="256"/>
      <c r="AA217" s="257"/>
      <c r="AB217" s="257"/>
      <c r="AC217" s="258"/>
      <c r="AE217" s="256"/>
      <c r="AF217" s="257"/>
      <c r="AG217" s="257"/>
      <c r="AH217" s="258"/>
      <c r="AJ217" s="256"/>
      <c r="AK217" s="257"/>
      <c r="AL217" s="257"/>
      <c r="AM217" s="258"/>
      <c r="AO217" s="256"/>
      <c r="AP217" s="257"/>
      <c r="AQ217" s="257"/>
      <c r="AR217" s="258"/>
      <c r="AT217" s="256"/>
      <c r="AU217" s="257"/>
      <c r="AV217" s="257"/>
      <c r="AW217" s="258"/>
      <c r="AY217" s="198"/>
      <c r="AZ217" s="198"/>
      <c r="BA217" s="198"/>
      <c r="BB217" s="198"/>
    </row>
    <row r="218" spans="6:54" ht="16.5" thickBot="1" x14ac:dyDescent="0.3">
      <c r="F218" s="189"/>
      <c r="G218" s="196"/>
      <c r="H218" s="189"/>
      <c r="I218" s="195"/>
      <c r="J218" s="188"/>
      <c r="K218" s="189"/>
      <c r="L218" s="196"/>
      <c r="M218" s="189"/>
      <c r="N218" s="195"/>
      <c r="P218" s="188"/>
      <c r="Q218" s="188"/>
      <c r="R218" s="188"/>
      <c r="S218" s="188"/>
      <c r="U218" s="191"/>
      <c r="V218" s="192"/>
      <c r="W218" s="192"/>
      <c r="X218" s="193"/>
      <c r="Z218" s="191"/>
      <c r="AA218" s="192"/>
      <c r="AB218" s="192"/>
      <c r="AC218" s="193"/>
      <c r="AE218" s="191"/>
      <c r="AF218" s="192"/>
      <c r="AG218" s="192"/>
      <c r="AH218" s="193"/>
      <c r="AJ218" s="191"/>
      <c r="AK218" s="192"/>
      <c r="AL218" s="192"/>
      <c r="AM218" s="193"/>
      <c r="AO218" s="188"/>
      <c r="AP218" s="188"/>
      <c r="AQ218" s="188"/>
      <c r="AR218" s="188"/>
      <c r="AT218" s="188"/>
      <c r="AU218" s="188"/>
      <c r="AV218" s="188"/>
      <c r="AW218" s="188"/>
      <c r="AY218" s="198"/>
      <c r="AZ218" s="198"/>
      <c r="BA218" s="198"/>
      <c r="BB218" s="198"/>
    </row>
    <row r="219" spans="6:54" ht="16.5" thickBot="1" x14ac:dyDescent="0.3">
      <c r="F219" s="189"/>
      <c r="G219" s="196"/>
      <c r="H219" s="189"/>
      <c r="I219" s="195"/>
      <c r="J219" s="188"/>
      <c r="K219" s="189"/>
      <c r="L219" s="196"/>
      <c r="M219" s="189"/>
      <c r="N219" s="195"/>
      <c r="P219" s="188"/>
      <c r="Q219" s="188"/>
      <c r="R219" s="188"/>
      <c r="S219" s="188"/>
      <c r="U219" s="190"/>
      <c r="V219" s="190"/>
      <c r="W219" s="190"/>
      <c r="X219" s="190"/>
      <c r="Z219" s="190"/>
      <c r="AA219" s="190"/>
      <c r="AB219" s="190"/>
      <c r="AC219" s="190"/>
      <c r="AE219" s="190"/>
      <c r="AF219" s="190"/>
      <c r="AG219" s="190"/>
      <c r="AH219" s="190"/>
      <c r="AJ219" s="190"/>
      <c r="AK219" s="190"/>
      <c r="AL219" s="190"/>
      <c r="AM219" s="190"/>
      <c r="AO219" s="188"/>
      <c r="AP219" s="188"/>
      <c r="AQ219" s="188"/>
      <c r="AR219" s="188"/>
      <c r="AT219" s="188"/>
      <c r="AU219" s="188"/>
      <c r="AV219" s="188"/>
      <c r="AW219" s="188"/>
      <c r="AY219" s="198"/>
      <c r="AZ219" s="198"/>
      <c r="BA219" s="198"/>
      <c r="BB219" s="198"/>
    </row>
    <row r="220" spans="6:54" ht="16.5" thickBot="1" x14ac:dyDescent="0.3">
      <c r="F220" s="189"/>
      <c r="G220" s="196"/>
      <c r="H220" s="189"/>
      <c r="I220" s="195"/>
      <c r="J220" s="188"/>
      <c r="K220" s="189"/>
      <c r="L220" s="196"/>
      <c r="M220" s="189"/>
      <c r="N220" s="195"/>
      <c r="P220" s="188"/>
      <c r="Q220" s="188"/>
      <c r="R220" s="188"/>
      <c r="S220" s="188"/>
      <c r="U220" s="188"/>
      <c r="V220" s="188"/>
      <c r="W220" s="188"/>
      <c r="X220" s="188"/>
      <c r="Z220" s="188"/>
      <c r="AA220" s="188"/>
      <c r="AB220" s="188"/>
      <c r="AC220" s="188"/>
      <c r="AE220" s="188"/>
      <c r="AF220" s="188"/>
      <c r="AG220" s="188"/>
      <c r="AH220" s="188"/>
      <c r="AJ220" s="256"/>
      <c r="AK220" s="257"/>
      <c r="AL220" s="257"/>
      <c r="AM220" s="258"/>
      <c r="AO220" s="188"/>
      <c r="AP220" s="188"/>
      <c r="AQ220" s="188"/>
      <c r="AR220" s="188"/>
      <c r="AT220" s="188"/>
      <c r="AU220" s="188"/>
      <c r="AV220" s="188"/>
      <c r="AW220" s="188"/>
      <c r="AY220" s="198"/>
      <c r="AZ220" s="198"/>
      <c r="BA220" s="198"/>
      <c r="BB220" s="198"/>
    </row>
    <row r="221" spans="6:54" ht="16.5" thickBot="1" x14ac:dyDescent="0.3">
      <c r="F221" s="189"/>
      <c r="G221" s="196"/>
      <c r="H221" s="189"/>
      <c r="I221" s="195"/>
      <c r="J221" s="188"/>
      <c r="K221" s="189"/>
      <c r="L221" s="196"/>
      <c r="M221" s="189"/>
      <c r="N221" s="195"/>
      <c r="P221" s="188"/>
      <c r="Q221" s="188"/>
      <c r="R221" s="188"/>
      <c r="S221" s="188"/>
      <c r="U221" s="188"/>
      <c r="V221" s="188"/>
      <c r="W221" s="188"/>
      <c r="X221" s="188"/>
      <c r="Z221" s="188"/>
      <c r="AA221" s="188"/>
      <c r="AB221" s="188"/>
      <c r="AC221" s="188"/>
      <c r="AE221" s="188"/>
      <c r="AF221" s="188"/>
      <c r="AG221" s="188"/>
      <c r="AH221" s="188"/>
      <c r="AJ221" s="191"/>
      <c r="AK221" s="192"/>
      <c r="AL221" s="192"/>
      <c r="AM221" s="193"/>
      <c r="AO221" s="188"/>
      <c r="AP221" s="188"/>
      <c r="AQ221" s="188"/>
      <c r="AR221" s="188"/>
      <c r="AT221" s="188"/>
      <c r="AU221" s="188"/>
      <c r="AV221" s="188"/>
      <c r="AW221" s="188"/>
    </row>
    <row r="222" spans="6:54" ht="15.75" x14ac:dyDescent="0.25">
      <c r="F222" s="189"/>
      <c r="G222" s="196"/>
      <c r="H222" s="189"/>
      <c r="I222" s="195"/>
      <c r="J222" s="188"/>
      <c r="K222" s="188"/>
      <c r="L222" s="188"/>
      <c r="M222" s="188"/>
      <c r="N222" s="188"/>
      <c r="P222" s="188"/>
      <c r="Q222" s="188"/>
      <c r="R222" s="188"/>
      <c r="S222" s="188"/>
      <c r="U222" s="188"/>
      <c r="V222" s="188"/>
      <c r="W222" s="188"/>
      <c r="X222" s="188"/>
      <c r="Z222" s="188"/>
      <c r="AA222" s="188"/>
      <c r="AB222" s="188"/>
      <c r="AC222" s="188"/>
      <c r="AE222" s="188"/>
      <c r="AF222" s="188"/>
      <c r="AG222" s="188"/>
      <c r="AH222" s="188"/>
      <c r="AJ222" s="190"/>
      <c r="AK222" s="190"/>
      <c r="AL222" s="190"/>
      <c r="AM222" s="190"/>
      <c r="AO222" s="188"/>
      <c r="AP222" s="188"/>
      <c r="AQ222" s="188"/>
      <c r="AR222" s="188"/>
      <c r="AT222" s="188"/>
      <c r="AU222" s="188"/>
      <c r="AV222" s="188"/>
      <c r="AW222" s="188"/>
    </row>
    <row r="223" spans="6:54" ht="15.75" x14ac:dyDescent="0.25">
      <c r="F223" s="56"/>
      <c r="G223" s="197"/>
      <c r="H223" s="189"/>
      <c r="I223" s="195"/>
      <c r="M223" s="188"/>
      <c r="R223" s="188"/>
      <c r="W223" s="188"/>
      <c r="AB223" s="188"/>
      <c r="AG223" s="188"/>
      <c r="AL223" s="188"/>
      <c r="AQ223" s="188"/>
      <c r="AV223" s="188"/>
    </row>
  </sheetData>
  <mergeCells count="18">
    <mergeCell ref="AJ220:AM220"/>
    <mergeCell ref="AO217:AR217"/>
    <mergeCell ref="AT217:AW217"/>
    <mergeCell ref="Z1:AC1"/>
    <mergeCell ref="AE1:AH1"/>
    <mergeCell ref="AJ1:AM1"/>
    <mergeCell ref="AO1:AR1"/>
    <mergeCell ref="AT1:AW1"/>
    <mergeCell ref="U217:X217"/>
    <mergeCell ref="Z217:AC217"/>
    <mergeCell ref="AE217:AH217"/>
    <mergeCell ref="AJ217:AM217"/>
    <mergeCell ref="A1:C1"/>
    <mergeCell ref="A34:C34"/>
    <mergeCell ref="F1:I1"/>
    <mergeCell ref="K1:N1"/>
    <mergeCell ref="P1:S1"/>
    <mergeCell ref="U1:X1"/>
  </mergeCells>
  <conditionalFormatting sqref="I3:I223 N3:N115 S3:S115 X3:X115 AC3:AC115 AH3:AH115 AM3:AM115 AR3:AR115 AW3:AW115">
    <cfRule type="expression" dxfId="26" priority="27">
      <formula>"&lt;1"</formula>
    </cfRule>
  </conditionalFormatting>
  <conditionalFormatting sqref="I3:I223 N3:N115 S3:S115 X3:X115 AC3:AC115 AH3:AH115 AM3:AM115 AR3:AR115 AW3:AW115">
    <cfRule type="cellIs" dxfId="25" priority="25" operator="lessThan">
      <formula>1</formula>
    </cfRule>
    <cfRule type="expression" dxfId="24" priority="26">
      <formula>"&lt;1"</formula>
    </cfRule>
  </conditionalFormatting>
  <conditionalFormatting sqref="N116:N221">
    <cfRule type="expression" dxfId="23" priority="24">
      <formula>"&lt;1"</formula>
    </cfRule>
  </conditionalFormatting>
  <conditionalFormatting sqref="N116:N221">
    <cfRule type="cellIs" dxfId="22" priority="22" operator="lessThan">
      <formula>1</formula>
    </cfRule>
    <cfRule type="expression" dxfId="21" priority="23">
      <formula>"&lt;1"</formula>
    </cfRule>
  </conditionalFormatting>
  <conditionalFormatting sqref="S116:S216">
    <cfRule type="expression" dxfId="20" priority="21">
      <formula>"&lt;1"</formula>
    </cfRule>
  </conditionalFormatting>
  <conditionalFormatting sqref="S116:S216">
    <cfRule type="cellIs" dxfId="19" priority="19" operator="lessThan">
      <formula>1</formula>
    </cfRule>
    <cfRule type="expression" dxfId="18" priority="20">
      <formula>"&lt;1"</formula>
    </cfRule>
  </conditionalFormatting>
  <conditionalFormatting sqref="X116:X216">
    <cfRule type="expression" dxfId="17" priority="18">
      <formula>"&lt;1"</formula>
    </cfRule>
  </conditionalFormatting>
  <conditionalFormatting sqref="X116:X216">
    <cfRule type="cellIs" dxfId="16" priority="16" operator="lessThan">
      <formula>1</formula>
    </cfRule>
    <cfRule type="expression" dxfId="15" priority="17">
      <formula>"&lt;1"</formula>
    </cfRule>
  </conditionalFormatting>
  <conditionalFormatting sqref="AC116:AC216">
    <cfRule type="expression" dxfId="14" priority="15">
      <formula>"&lt;1"</formula>
    </cfRule>
  </conditionalFormatting>
  <conditionalFormatting sqref="AC116:AC216">
    <cfRule type="cellIs" dxfId="13" priority="13" operator="lessThan">
      <formula>1</formula>
    </cfRule>
    <cfRule type="expression" dxfId="12" priority="14">
      <formula>"&lt;1"</formula>
    </cfRule>
  </conditionalFormatting>
  <conditionalFormatting sqref="AH116:AH216">
    <cfRule type="expression" dxfId="11" priority="12">
      <formula>"&lt;1"</formula>
    </cfRule>
  </conditionalFormatting>
  <conditionalFormatting sqref="AH116:AH216">
    <cfRule type="cellIs" dxfId="10" priority="10" operator="lessThan">
      <formula>1</formula>
    </cfRule>
    <cfRule type="expression" dxfId="9" priority="11">
      <formula>"&lt;1"</formula>
    </cfRule>
  </conditionalFormatting>
  <conditionalFormatting sqref="AM116:AM216">
    <cfRule type="expression" dxfId="8" priority="9">
      <formula>"&lt;1"</formula>
    </cfRule>
  </conditionalFormatting>
  <conditionalFormatting sqref="AM116:AM216">
    <cfRule type="cellIs" dxfId="7" priority="7" operator="lessThan">
      <formula>1</formula>
    </cfRule>
    <cfRule type="expression" dxfId="6" priority="8">
      <formula>"&lt;1"</formula>
    </cfRule>
  </conditionalFormatting>
  <conditionalFormatting sqref="AR116:AR216">
    <cfRule type="expression" dxfId="5" priority="6">
      <formula>"&lt;1"</formula>
    </cfRule>
  </conditionalFormatting>
  <conditionalFormatting sqref="AR116:AR216">
    <cfRule type="cellIs" dxfId="4" priority="4" operator="lessThan">
      <formula>1</formula>
    </cfRule>
    <cfRule type="expression" dxfId="3" priority="5">
      <formula>"&lt;1"</formula>
    </cfRule>
  </conditionalFormatting>
  <conditionalFormatting sqref="AW116:AW216">
    <cfRule type="expression" dxfId="2" priority="3">
      <formula>"&lt;1"</formula>
    </cfRule>
  </conditionalFormatting>
  <conditionalFormatting sqref="AW116:AW216">
    <cfRule type="cellIs" dxfId="1" priority="1" operator="lessThan">
      <formula>1</formula>
    </cfRule>
    <cfRule type="expression" dxfId="0" priority="2">
      <formula>"&lt;1"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C8" sqref="C8"/>
    </sheetView>
  </sheetViews>
  <sheetFormatPr defaultRowHeight="15" x14ac:dyDescent="0.25"/>
  <cols>
    <col min="2" max="2" width="13.7109375" customWidth="1"/>
    <col min="3" max="3" width="9.7109375" bestFit="1" customWidth="1"/>
  </cols>
  <sheetData>
    <row r="2" spans="2:7" x14ac:dyDescent="0.25">
      <c r="B2" t="s">
        <v>259</v>
      </c>
    </row>
    <row r="3" spans="2:7" x14ac:dyDescent="0.25">
      <c r="B3" t="s">
        <v>266</v>
      </c>
      <c r="F3" t="s">
        <v>268</v>
      </c>
    </row>
    <row r="4" spans="2:7" x14ac:dyDescent="0.25">
      <c r="B4" t="s">
        <v>258</v>
      </c>
      <c r="C4">
        <f>(2*(VLOOKUP('Исходные данные'!B26,'Нормируемые параметры'!$A$30:$J$33,6,0))*('Исходные данные'!C34-'Исходные данные'!C41-'Исходные данные'!C44))/('Исходные данные'!C27+('Исходные данные'!C34-'Исходные данные'!C41-'Исходные данные'!C44))</f>
        <v>2.1339569959814209</v>
      </c>
      <c r="F4" t="s">
        <v>258</v>
      </c>
      <c r="G4">
        <f>(2*(VLOOKUP('Исходные данные'!B26,'Нормируемые параметры'!$A$30:$J$33,8,0))*('Исходные данные'!C34-'Исходные данные'!C41-'Исходные данные'!C44))/('Исходные данные'!C27+('Исходные данные'!C34-'Исходные данные'!C41-'Исходные данные'!C44))</f>
        <v>2.9099413581564821</v>
      </c>
    </row>
    <row r="5" spans="2:7" x14ac:dyDescent="0.25">
      <c r="B5" t="s">
        <v>260</v>
      </c>
      <c r="C5">
        <v>1</v>
      </c>
      <c r="F5" t="s">
        <v>260</v>
      </c>
      <c r="G5">
        <v>1</v>
      </c>
    </row>
    <row r="6" spans="2:7" x14ac:dyDescent="0.25">
      <c r="B6" t="s">
        <v>261</v>
      </c>
      <c r="C6">
        <f>9.45*('Исходные данные'!C27/'Исходные данные'!C60)*(('Исходные данные'!C27/(100*('Исходные данные'!C34-'Исходные данные'!C41-'Исходные данные'!C42)))^(0.5))</f>
        <v>4.1836404777425278</v>
      </c>
      <c r="F6" t="s">
        <v>261</v>
      </c>
      <c r="G6">
        <f>9.45*('Исходные данные'!C27/'Исходные данные'!C60)*(('Исходные данные'!C27/(100*('Исходные данные'!C34-'Исходные данные'!C41-'Исходные данные'!C42)))^(0.5))</f>
        <v>4.1836404777425278</v>
      </c>
    </row>
    <row r="7" spans="2:7" x14ac:dyDescent="0.25">
      <c r="B7" t="s">
        <v>262</v>
      </c>
      <c r="C7">
        <f>MIN(C5:C6)</f>
        <v>1</v>
      </c>
      <c r="F7" t="s">
        <v>262</v>
      </c>
      <c r="G7">
        <f>MIN(G5:G6)</f>
        <v>1</v>
      </c>
    </row>
    <row r="8" spans="2:7" x14ac:dyDescent="0.25">
      <c r="B8" t="s">
        <v>269</v>
      </c>
      <c r="C8">
        <f>((2.08*(10^(-5))*'Исходные данные'!C63*1000000000*'Исходные данные'!C27)/('Исходные данные'!C61*Лист1!C7*'Исходные данные'!C60))*(((100*('Исходные данные'!C34-'Исходные данные'!C41-'Исходные данные'!C42))/'Исходные данные'!C27)^(2.5))</f>
        <v>137116.73327832672</v>
      </c>
      <c r="F8" t="s">
        <v>269</v>
      </c>
      <c r="G8">
        <f>((2.08*(10^(-5))*'Исходные данные'!C63*1000000000*'Исходные данные'!C27)/('Исходные данные'!C62*Лист1!C7*'Исходные данные'!C60))*(((100*('Исходные данные'!C34-'Исходные данные'!C41-'Исходные данные'!C42))/'Исходные данные'!C27)^(2.5))</f>
        <v>182822.31103776893</v>
      </c>
    </row>
    <row r="9" spans="2:7" x14ac:dyDescent="0.25">
      <c r="B9" t="s">
        <v>267</v>
      </c>
      <c r="C9">
        <f>C4/((1+((C4/C8)^2))^(0.5))</f>
        <v>2.1339569957229894</v>
      </c>
      <c r="F9" t="s">
        <v>267</v>
      </c>
      <c r="G9">
        <f>G4/((1+((G4/G8)^2))^(0.5))</f>
        <v>2.9099413577878739</v>
      </c>
    </row>
    <row r="11" spans="2:7" x14ac:dyDescent="0.25">
      <c r="B11" t="s">
        <v>280</v>
      </c>
      <c r="C11">
        <f>('Исходные данные'!C27-'Исходные данные'!C28)/(2*0.000001)</f>
        <v>-27000000</v>
      </c>
    </row>
    <row r="12" spans="2:7" x14ac:dyDescent="0.25">
      <c r="B12" t="s">
        <v>282</v>
      </c>
      <c r="C12">
        <f>('Исходные данные'!C27+'Исходные данные'!C28)/(2*0.9999)</f>
        <v>3203.3203320332032</v>
      </c>
    </row>
    <row r="13" spans="2:7" x14ac:dyDescent="0.25">
      <c r="B13" t="s">
        <v>283</v>
      </c>
      <c r="C13">
        <f>('Исходные данные'!C27/0.9999)-0.31*('Исходные данные'!C27+'Исходные данные'!C28)*((('Исходные данные'!C27+'Исходные данные'!C28)/('Исходные данные'!C34-'Исходные данные'!C41-'Исходные данные'!C42))^(0.5))*0.000001</f>
        <v>3176.279745151955</v>
      </c>
    </row>
    <row r="14" spans="2:7" x14ac:dyDescent="0.25">
      <c r="B14" t="s">
        <v>281</v>
      </c>
      <c r="C14">
        <f>MAX(C12:C13)</f>
        <v>3203.3203320332032</v>
      </c>
    </row>
    <row r="15" spans="2:7" x14ac:dyDescent="0.25">
      <c r="B15" t="s">
        <v>284</v>
      </c>
      <c r="C15">
        <v>1</v>
      </c>
    </row>
    <row r="16" spans="2:7" x14ac:dyDescent="0.25">
      <c r="B16" t="s">
        <v>285</v>
      </c>
      <c r="C16">
        <f>9.45*(C14/C11)*((C14/(100*('Исходные данные'!C34-'Исходные данные'!C41-'Исходные данные'!C44)))^(0.5))</f>
        <v>-1.5168742377339682E-3</v>
      </c>
    </row>
    <row r="17" spans="2:3" x14ac:dyDescent="0.25">
      <c r="B17" t="s">
        <v>284</v>
      </c>
      <c r="C17">
        <f>MIN(C15:C16)</f>
        <v>-1.5168742377339682E-3</v>
      </c>
    </row>
    <row r="18" spans="2:3" x14ac:dyDescent="0.25">
      <c r="B18" t="s">
        <v>269</v>
      </c>
      <c r="C18">
        <f>((2.08*(10^(-5))*'Исходные данные'!C63*Лист1!C14)/('Исходные данные'!C61*Лист1!C17*Лист1!C11)*(((100*'Исходные данные'!C34-'Исходные данные'!C41-'Исходные данные'!C42)/(Лист1!C14))^(2.5)))</f>
        <v>4.3714832264841681E-5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Титульный лист</vt:lpstr>
      <vt:lpstr>Исходные данные</vt:lpstr>
      <vt:lpstr>Нормируемые параметры</vt:lpstr>
      <vt:lpstr>Нагрузки и толщины</vt:lpstr>
      <vt:lpstr>ГОСТ 14249-89 и ГОСТ 24755-89</vt:lpstr>
      <vt:lpstr>Результаты</vt:lpstr>
      <vt:lpstr>Durability</vt:lpstr>
      <vt:lpstr>Таблицы результатов</vt:lpstr>
      <vt:lpstr>Лист1</vt:lpstr>
      <vt:lpstr>Хомут</vt:lpstr>
      <vt:lpstr>Верно</vt:lpstr>
      <vt:lpstr>Габарит</vt:lpstr>
      <vt:lpstr>Разработчики</vt:lpstr>
      <vt:lpstr>Стали</vt:lpstr>
      <vt:lpstr>Тележка</vt:lpstr>
      <vt:lpstr>Тип_днища</vt:lpstr>
      <vt:lpstr>Тип_торосферического_днища</vt:lpstr>
      <vt:lpstr>Торосферическое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Popovich</dc:creator>
  <cp:lastModifiedBy>Попович Станислав Игоревич</cp:lastModifiedBy>
  <dcterms:created xsi:type="dcterms:W3CDTF">2015-07-16T07:40:52Z</dcterms:created>
  <dcterms:modified xsi:type="dcterms:W3CDTF">2016-05-11T13:33:02Z</dcterms:modified>
</cp:coreProperties>
</file>