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nileobenacat-my.sharepoint.com/personal/philipp_miklautsch_unileoben_ac_at/Documents/Forschung/11_Papers DSS Green Logistics/70_Cases/01_SiloRiedel/"/>
    </mc:Choice>
  </mc:AlternateContent>
  <xr:revisionPtr revIDLastSave="391" documentId="13_ncr:1_{B7D42992-9DE4-482B-93A1-3D1BD0304620}" xr6:coauthVersionLast="47" xr6:coauthVersionMax="47" xr10:uidLastSave="{0938607E-FFA9-4DBE-AD05-D862372AC1FC}"/>
  <bookViews>
    <workbookView xWindow="-96" yWindow="-96" windowWidth="23232" windowHeight="12432" tabRatio="704" xr2:uid="{00000000-000D-0000-FFFF-FFFF00000000}"/>
  </bookViews>
  <sheets>
    <sheet name="Overview" sheetId="22" r:id="rId1"/>
    <sheet name="Scenario 1a" sheetId="13" r:id="rId2"/>
    <sheet name="Scenario 1b" sheetId="14" r:id="rId3"/>
    <sheet name="Scenario 1c" sheetId="16" r:id="rId4"/>
    <sheet name="Scenario 2a" sheetId="15" r:id="rId5"/>
    <sheet name="Scenario 2b" sheetId="17" r:id="rId6"/>
    <sheet name="Scenario 2c" sheetId="18" r:id="rId7"/>
    <sheet name="Scenario 3a" sheetId="19" r:id="rId8"/>
    <sheet name="Scenario 3b" sheetId="20" r:id="rId9"/>
    <sheet name="Scenario 3c" sheetId="21" r:id="rId10"/>
    <sheet name="Hub operations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2" l="1"/>
  <c r="G10" i="22"/>
  <c r="G14" i="22"/>
  <c r="F14" i="22"/>
  <c r="F13" i="22"/>
  <c r="G13" i="22" s="1"/>
  <c r="F12" i="22"/>
  <c r="G12" i="22" s="1"/>
  <c r="E14" i="22"/>
  <c r="E13" i="22"/>
  <c r="E12" i="22"/>
  <c r="F11" i="22"/>
  <c r="G11" i="22" s="1"/>
  <c r="F10" i="22"/>
  <c r="F9" i="22"/>
  <c r="E11" i="22"/>
  <c r="E10" i="22"/>
  <c r="E9" i="22"/>
  <c r="F8" i="22"/>
  <c r="G8" i="22" s="1"/>
  <c r="F7" i="22"/>
  <c r="G7" i="22" s="1"/>
  <c r="E8" i="22"/>
  <c r="E7" i="22"/>
  <c r="F6" i="22"/>
  <c r="G6" i="22" s="1"/>
  <c r="E6" i="22"/>
  <c r="J18" i="13" l="1"/>
  <c r="C23" i="3"/>
  <c r="L18" i="16"/>
  <c r="L19" i="16" s="1"/>
  <c r="L18" i="14"/>
  <c r="L19" i="14" s="1"/>
  <c r="L18" i="21"/>
  <c r="L19" i="21" s="1"/>
  <c r="L20" i="21" s="1"/>
  <c r="L21" i="21" s="1"/>
  <c r="L22" i="21" s="1"/>
  <c r="L23" i="21" s="1"/>
  <c r="L24" i="21" s="1"/>
  <c r="L25" i="21" s="1"/>
  <c r="L18" i="20"/>
  <c r="L19" i="20" s="1"/>
  <c r="L20" i="20" s="1"/>
  <c r="L21" i="20" s="1"/>
  <c r="L22" i="20" s="1"/>
  <c r="L23" i="20" s="1"/>
  <c r="L24" i="20" s="1"/>
  <c r="L25" i="20" s="1"/>
  <c r="L18" i="18"/>
  <c r="L19" i="18" s="1"/>
  <c r="L18" i="17"/>
  <c r="L19" i="17" s="1"/>
  <c r="L18" i="19"/>
  <c r="L19" i="19" s="1"/>
  <c r="L20" i="19" s="1"/>
  <c r="L21" i="19" s="1"/>
  <c r="L22" i="19" s="1"/>
  <c r="L23" i="19" s="1"/>
  <c r="L24" i="19" s="1"/>
  <c r="L25" i="19" s="1"/>
  <c r="L19" i="15"/>
  <c r="L18" i="15"/>
  <c r="L19" i="13"/>
  <c r="L18" i="13"/>
  <c r="F60" i="20"/>
  <c r="F60" i="17"/>
  <c r="F54" i="14"/>
  <c r="F53" i="21" l="1"/>
  <c r="F52" i="21"/>
  <c r="G38" i="21"/>
  <c r="D38" i="21"/>
  <c r="D37" i="21"/>
  <c r="P10" i="21"/>
  <c r="E36" i="21" s="1"/>
  <c r="F36" i="21" s="1"/>
  <c r="H36" i="21" s="1"/>
  <c r="I36" i="21" s="1"/>
  <c r="K36" i="21" s="1"/>
  <c r="J18" i="21" s="1"/>
  <c r="O10" i="21"/>
  <c r="N10" i="21"/>
  <c r="L10" i="21"/>
  <c r="F57" i="21" s="1"/>
  <c r="F59" i="21" s="1"/>
  <c r="F62" i="21" s="1"/>
  <c r="J22" i="21" s="1"/>
  <c r="K22" i="21" s="1"/>
  <c r="F53" i="20"/>
  <c r="F52" i="20"/>
  <c r="G38" i="20"/>
  <c r="D38" i="20"/>
  <c r="D37" i="20"/>
  <c r="P10" i="20"/>
  <c r="E36" i="20" s="1"/>
  <c r="F36" i="20" s="1"/>
  <c r="H36" i="20" s="1"/>
  <c r="I36" i="20" s="1"/>
  <c r="K36" i="20" s="1"/>
  <c r="J18" i="20" s="1"/>
  <c r="O10" i="20"/>
  <c r="N10" i="20"/>
  <c r="L10" i="20"/>
  <c r="F57" i="20" s="1"/>
  <c r="F59" i="20" s="1"/>
  <c r="F62" i="20" s="1"/>
  <c r="J22" i="20" s="1"/>
  <c r="K22" i="20" s="1"/>
  <c r="F62" i="19"/>
  <c r="J22" i="19" s="1"/>
  <c r="K22" i="19" s="1"/>
  <c r="F59" i="19"/>
  <c r="F57" i="19"/>
  <c r="F56" i="19"/>
  <c r="F58" i="19" s="1"/>
  <c r="F61" i="19" s="1"/>
  <c r="J21" i="19" s="1"/>
  <c r="K21" i="19" s="1"/>
  <c r="F53" i="19"/>
  <c r="F52" i="19"/>
  <c r="E39" i="19"/>
  <c r="F39" i="19" s="1"/>
  <c r="H39" i="19" s="1"/>
  <c r="I39" i="19" s="1"/>
  <c r="G38" i="19"/>
  <c r="D38" i="19"/>
  <c r="E37" i="19"/>
  <c r="F37" i="19" s="1"/>
  <c r="H37" i="19" s="1"/>
  <c r="I37" i="19" s="1"/>
  <c r="K37" i="19" s="1"/>
  <c r="J19" i="19" s="1"/>
  <c r="K19" i="19" s="1"/>
  <c r="D37" i="19"/>
  <c r="E36" i="19"/>
  <c r="F36" i="19" s="1"/>
  <c r="H36" i="19" s="1"/>
  <c r="I36" i="19" s="1"/>
  <c r="P10" i="19"/>
  <c r="E38" i="19" s="1"/>
  <c r="F38" i="19" s="1"/>
  <c r="O10" i="19"/>
  <c r="N10" i="19"/>
  <c r="M10" i="19"/>
  <c r="L10" i="19"/>
  <c r="F53" i="18"/>
  <c r="F52" i="18"/>
  <c r="G38" i="18"/>
  <c r="D38" i="18"/>
  <c r="D37" i="18"/>
  <c r="P10" i="18"/>
  <c r="E36" i="18" s="1"/>
  <c r="F36" i="18" s="1"/>
  <c r="H36" i="18" s="1"/>
  <c r="I36" i="18" s="1"/>
  <c r="K36" i="18" s="1"/>
  <c r="J18" i="18" s="1"/>
  <c r="O10" i="18"/>
  <c r="N10" i="18"/>
  <c r="L10" i="18"/>
  <c r="F57" i="18" s="1"/>
  <c r="F56" i="17"/>
  <c r="F58" i="17" s="1"/>
  <c r="F61" i="17" s="1"/>
  <c r="J21" i="17" s="1"/>
  <c r="K21" i="17" s="1"/>
  <c r="F53" i="17"/>
  <c r="F52" i="17"/>
  <c r="E39" i="17"/>
  <c r="F39" i="17" s="1"/>
  <c r="H39" i="17" s="1"/>
  <c r="I39" i="17" s="1"/>
  <c r="G38" i="17"/>
  <c r="D38" i="17"/>
  <c r="E37" i="17"/>
  <c r="F37" i="17" s="1"/>
  <c r="H37" i="17" s="1"/>
  <c r="I37" i="17" s="1"/>
  <c r="K37" i="17" s="1"/>
  <c r="J19" i="17" s="1"/>
  <c r="K19" i="17" s="1"/>
  <c r="D37" i="17"/>
  <c r="P10" i="17"/>
  <c r="E38" i="17" s="1"/>
  <c r="F38" i="17" s="1"/>
  <c r="O10" i="17"/>
  <c r="N10" i="17"/>
  <c r="M10" i="17"/>
  <c r="L10" i="17"/>
  <c r="F57" i="17" s="1"/>
  <c r="F59" i="17" s="1"/>
  <c r="K24" i="15"/>
  <c r="K19" i="15"/>
  <c r="J21" i="15"/>
  <c r="K21" i="15" s="1"/>
  <c r="J24" i="15"/>
  <c r="J19" i="15"/>
  <c r="I36" i="15"/>
  <c r="H36" i="15"/>
  <c r="E36" i="15"/>
  <c r="F36" i="15"/>
  <c r="D38" i="15"/>
  <c r="D37" i="15"/>
  <c r="F47" i="16"/>
  <c r="F46" i="16"/>
  <c r="J33" i="16"/>
  <c r="G32" i="16"/>
  <c r="H32" i="16" s="1"/>
  <c r="I32" i="16" s="1"/>
  <c r="K32" i="16" s="1"/>
  <c r="E32" i="16"/>
  <c r="F32" i="16" s="1"/>
  <c r="J30" i="16"/>
  <c r="E30" i="16"/>
  <c r="F30" i="16" s="1"/>
  <c r="H30" i="16" s="1"/>
  <c r="I30" i="16" s="1"/>
  <c r="P10" i="16"/>
  <c r="E31" i="16" s="1"/>
  <c r="F31" i="16" s="1"/>
  <c r="H31" i="16" s="1"/>
  <c r="I31" i="16" s="1"/>
  <c r="K31" i="16" s="1"/>
  <c r="O10" i="16"/>
  <c r="N10" i="16"/>
  <c r="M10" i="16"/>
  <c r="L10" i="16"/>
  <c r="F51" i="16" s="1"/>
  <c r="F53" i="16" s="1"/>
  <c r="F56" i="16" s="1"/>
  <c r="J19" i="16" s="1"/>
  <c r="K19" i="16" s="1"/>
  <c r="F53" i="15"/>
  <c r="F52" i="15"/>
  <c r="G38" i="15"/>
  <c r="P10" i="15"/>
  <c r="O10" i="15"/>
  <c r="N10" i="15"/>
  <c r="L10" i="15"/>
  <c r="F56" i="15" s="1"/>
  <c r="F58" i="15" s="1"/>
  <c r="F61" i="15" s="1"/>
  <c r="F47" i="14"/>
  <c r="F46" i="14"/>
  <c r="J33" i="14"/>
  <c r="G32" i="14"/>
  <c r="J30" i="14"/>
  <c r="P10" i="14"/>
  <c r="E32" i="14" s="1"/>
  <c r="F32" i="14" s="1"/>
  <c r="O10" i="14"/>
  <c r="N10" i="14"/>
  <c r="L10" i="14"/>
  <c r="F51" i="14" s="1"/>
  <c r="F53" i="14" s="1"/>
  <c r="J33" i="13"/>
  <c r="J30" i="13"/>
  <c r="L10" i="13"/>
  <c r="F50" i="13" s="1"/>
  <c r="F47" i="13"/>
  <c r="F46" i="13"/>
  <c r="O10" i="13"/>
  <c r="P10" i="13"/>
  <c r="E30" i="13" s="1"/>
  <c r="F30" i="13" s="1"/>
  <c r="N10" i="13"/>
  <c r="G32" i="13"/>
  <c r="K18" i="21" l="1"/>
  <c r="E38" i="21"/>
  <c r="F38" i="21" s="1"/>
  <c r="H38" i="21" s="1"/>
  <c r="I38" i="21" s="1"/>
  <c r="K38" i="21" s="1"/>
  <c r="J24" i="21" s="1"/>
  <c r="K24" i="21" s="1"/>
  <c r="M10" i="21"/>
  <c r="E37" i="21"/>
  <c r="F37" i="21" s="1"/>
  <c r="H37" i="21" s="1"/>
  <c r="I37" i="21" s="1"/>
  <c r="K37" i="21" s="1"/>
  <c r="J19" i="21" s="1"/>
  <c r="K19" i="21" s="1"/>
  <c r="E39" i="21"/>
  <c r="F39" i="21" s="1"/>
  <c r="H39" i="21" s="1"/>
  <c r="I39" i="21" s="1"/>
  <c r="K39" i="21" s="1"/>
  <c r="J25" i="21" s="1"/>
  <c r="K25" i="21" s="1"/>
  <c r="F56" i="21"/>
  <c r="F58" i="21" s="1"/>
  <c r="F61" i="21" s="1"/>
  <c r="J21" i="21" s="1"/>
  <c r="K21" i="21" s="1"/>
  <c r="K18" i="20"/>
  <c r="K39" i="20"/>
  <c r="J25" i="20" s="1"/>
  <c r="K25" i="20" s="1"/>
  <c r="E37" i="20"/>
  <c r="F37" i="20" s="1"/>
  <c r="H37" i="20" s="1"/>
  <c r="I37" i="20" s="1"/>
  <c r="K37" i="20" s="1"/>
  <c r="J19" i="20" s="1"/>
  <c r="K19" i="20" s="1"/>
  <c r="E39" i="20"/>
  <c r="F39" i="20" s="1"/>
  <c r="H39" i="20" s="1"/>
  <c r="I39" i="20" s="1"/>
  <c r="F56" i="20"/>
  <c r="F58" i="20" s="1"/>
  <c r="F61" i="20" s="1"/>
  <c r="J21" i="20" s="1"/>
  <c r="K21" i="20" s="1"/>
  <c r="E38" i="20"/>
  <c r="F38" i="20" s="1"/>
  <c r="H38" i="20" s="1"/>
  <c r="I38" i="20" s="1"/>
  <c r="K38" i="20" s="1"/>
  <c r="J24" i="20" s="1"/>
  <c r="K24" i="20" s="1"/>
  <c r="M10" i="20"/>
  <c r="K39" i="19"/>
  <c r="J25" i="19" s="1"/>
  <c r="K25" i="19" s="1"/>
  <c r="K36" i="19"/>
  <c r="J18" i="19" s="1"/>
  <c r="H38" i="19"/>
  <c r="I38" i="19" s="1"/>
  <c r="K38" i="19" s="1"/>
  <c r="J24" i="19" s="1"/>
  <c r="K24" i="19" s="1"/>
  <c r="F59" i="18"/>
  <c r="F62" i="18" s="1"/>
  <c r="J22" i="18" s="1"/>
  <c r="K22" i="18" s="1"/>
  <c r="K18" i="18"/>
  <c r="H38" i="18"/>
  <c r="I38" i="18" s="1"/>
  <c r="K38" i="18" s="1"/>
  <c r="J24" i="18" s="1"/>
  <c r="K24" i="18" s="1"/>
  <c r="E38" i="18"/>
  <c r="F38" i="18" s="1"/>
  <c r="M10" i="18"/>
  <c r="E37" i="18"/>
  <c r="F37" i="18" s="1"/>
  <c r="H37" i="18" s="1"/>
  <c r="I37" i="18" s="1"/>
  <c r="K37" i="18" s="1"/>
  <c r="J19" i="18" s="1"/>
  <c r="K19" i="18" s="1"/>
  <c r="E39" i="18"/>
  <c r="F39" i="18" s="1"/>
  <c r="H39" i="18" s="1"/>
  <c r="I39" i="18" s="1"/>
  <c r="K39" i="18" s="1"/>
  <c r="J25" i="18" s="1"/>
  <c r="K25" i="18" s="1"/>
  <c r="F56" i="18"/>
  <c r="F58" i="18" s="1"/>
  <c r="F61" i="18" s="1"/>
  <c r="J21" i="18" s="1"/>
  <c r="K21" i="18" s="1"/>
  <c r="H38" i="17"/>
  <c r="I38" i="17" s="1"/>
  <c r="K38" i="17" s="1"/>
  <c r="J24" i="17" s="1"/>
  <c r="K24" i="17" s="1"/>
  <c r="K39" i="17"/>
  <c r="J25" i="17" s="1"/>
  <c r="K25" i="17" s="1"/>
  <c r="F62" i="17"/>
  <c r="J22" i="17" s="1"/>
  <c r="K22" i="17" s="1"/>
  <c r="E36" i="17"/>
  <c r="F36" i="17" s="1"/>
  <c r="H36" i="17" s="1"/>
  <c r="I36" i="17" s="1"/>
  <c r="K36" i="17" s="1"/>
  <c r="J18" i="17" s="1"/>
  <c r="E38" i="15"/>
  <c r="F38" i="15" s="1"/>
  <c r="H38" i="15" s="1"/>
  <c r="I38" i="15" s="1"/>
  <c r="K38" i="15" s="1"/>
  <c r="K36" i="15"/>
  <c r="J18" i="15" s="1"/>
  <c r="K30" i="16"/>
  <c r="E33" i="16"/>
  <c r="F33" i="16" s="1"/>
  <c r="H33" i="16" s="1"/>
  <c r="I33" i="16" s="1"/>
  <c r="K33" i="16" s="1"/>
  <c r="F50" i="16"/>
  <c r="F52" i="16" s="1"/>
  <c r="F55" i="16" s="1"/>
  <c r="J18" i="16" s="1"/>
  <c r="E30" i="14"/>
  <c r="F30" i="14" s="1"/>
  <c r="H30" i="14" s="1"/>
  <c r="I30" i="14" s="1"/>
  <c r="K18" i="15"/>
  <c r="M10" i="15"/>
  <c r="E37" i="15"/>
  <c r="F37" i="15" s="1"/>
  <c r="H37" i="15" s="1"/>
  <c r="I37" i="15" s="1"/>
  <c r="K37" i="15" s="1"/>
  <c r="F57" i="15"/>
  <c r="F59" i="15" s="1"/>
  <c r="F62" i="15" s="1"/>
  <c r="J22" i="15" s="1"/>
  <c r="K22" i="15" s="1"/>
  <c r="E39" i="15"/>
  <c r="F39" i="15" s="1"/>
  <c r="H39" i="15" s="1"/>
  <c r="I39" i="15" s="1"/>
  <c r="K39" i="15" s="1"/>
  <c r="J25" i="15" s="1"/>
  <c r="K25" i="15" s="1"/>
  <c r="K30" i="14"/>
  <c r="K33" i="14"/>
  <c r="H32" i="14"/>
  <c r="I32" i="14" s="1"/>
  <c r="K32" i="14" s="1"/>
  <c r="F56" i="14"/>
  <c r="J19" i="14" s="1"/>
  <c r="K19" i="14" s="1"/>
  <c r="E33" i="14"/>
  <c r="F33" i="14" s="1"/>
  <c r="H33" i="14" s="1"/>
  <c r="I33" i="14" s="1"/>
  <c r="F50" i="14"/>
  <c r="F52" i="14" s="1"/>
  <c r="F55" i="14" s="1"/>
  <c r="J18" i="14" s="1"/>
  <c r="M10" i="14"/>
  <c r="E31" i="14"/>
  <c r="F31" i="14" s="1"/>
  <c r="H31" i="14" s="1"/>
  <c r="I31" i="14" s="1"/>
  <c r="K31" i="14" s="1"/>
  <c r="M10" i="13"/>
  <c r="E31" i="13"/>
  <c r="F31" i="13" s="1"/>
  <c r="H31" i="13" s="1"/>
  <c r="I31" i="13" s="1"/>
  <c r="K31" i="13" s="1"/>
  <c r="E32" i="13"/>
  <c r="F32" i="13" s="1"/>
  <c r="H32" i="13" s="1"/>
  <c r="I32" i="13" s="1"/>
  <c r="K32" i="13" s="1"/>
  <c r="E33" i="13"/>
  <c r="F33" i="13" s="1"/>
  <c r="H33" i="13" s="1"/>
  <c r="I33" i="13" s="1"/>
  <c r="K33" i="13" s="1"/>
  <c r="H30" i="13"/>
  <c r="I30" i="13" s="1"/>
  <c r="K30" i="13" s="1"/>
  <c r="C20" i="3"/>
  <c r="C24" i="3" s="1"/>
  <c r="C19" i="3"/>
  <c r="J20" i="21" l="1"/>
  <c r="J20" i="20"/>
  <c r="J20" i="19"/>
  <c r="K20" i="19" s="1"/>
  <c r="J23" i="21"/>
  <c r="K23" i="21" s="1"/>
  <c r="J23" i="20"/>
  <c r="J23" i="19"/>
  <c r="K23" i="19" s="1"/>
  <c r="K20" i="21"/>
  <c r="K23" i="20"/>
  <c r="K18" i="19"/>
  <c r="J27" i="19"/>
  <c r="K18" i="17"/>
  <c r="J21" i="16"/>
  <c r="K18" i="16"/>
  <c r="K18" i="14"/>
  <c r="J21" i="14"/>
  <c r="F51" i="13"/>
  <c r="F53" i="13" s="1"/>
  <c r="F56" i="13" s="1"/>
  <c r="J19" i="13" s="1"/>
  <c r="K19" i="13" s="1"/>
  <c r="F52" i="13"/>
  <c r="F55" i="13" s="1"/>
  <c r="J21" i="13" s="1"/>
  <c r="C8" i="3"/>
  <c r="C9" i="3" s="1"/>
  <c r="C13" i="3" s="1"/>
  <c r="J20" i="17" s="1"/>
  <c r="K20" i="17" s="1"/>
  <c r="L20" i="17" s="1"/>
  <c r="L21" i="17" s="1"/>
  <c r="L22" i="17" s="1"/>
  <c r="J20" i="15" l="1"/>
  <c r="K20" i="15" s="1"/>
  <c r="L20" i="15" s="1"/>
  <c r="L21" i="15" s="1"/>
  <c r="L22" i="15" s="1"/>
  <c r="J20" i="18"/>
  <c r="K20" i="18" s="1"/>
  <c r="J22" i="16"/>
  <c r="J28" i="19"/>
  <c r="J22" i="14"/>
  <c r="J27" i="21"/>
  <c r="K20" i="20"/>
  <c r="J27" i="20"/>
  <c r="J22" i="13"/>
  <c r="K18" i="13"/>
  <c r="C10" i="3"/>
  <c r="C14" i="3" s="1"/>
  <c r="M19" i="18" l="1"/>
  <c r="L20" i="18"/>
  <c r="L21" i="18" s="1"/>
  <c r="L22" i="18" s="1"/>
  <c r="J23" i="17"/>
  <c r="J23" i="18"/>
  <c r="J23" i="15"/>
  <c r="K23" i="15" s="1"/>
  <c r="L23" i="15" s="1"/>
  <c r="L24" i="15" s="1"/>
  <c r="L25" i="15" s="1"/>
  <c r="J27" i="15"/>
  <c r="J28" i="15" s="1"/>
  <c r="J28" i="21"/>
  <c r="J28" i="20"/>
  <c r="K23" i="18" l="1"/>
  <c r="L23" i="18" s="1"/>
  <c r="L24" i="18" s="1"/>
  <c r="L25" i="18" s="1"/>
  <c r="J27" i="18"/>
  <c r="K23" i="17"/>
  <c r="L23" i="17" s="1"/>
  <c r="L24" i="17" s="1"/>
  <c r="L25" i="17" s="1"/>
  <c r="J27" i="17"/>
  <c r="M22" i="18" l="1"/>
  <c r="J28" i="18"/>
  <c r="J28" i="17"/>
</calcChain>
</file>

<file path=xl/sharedStrings.xml><?xml version="1.0" encoding="utf-8"?>
<sst xmlns="http://schemas.openxmlformats.org/spreadsheetml/2006/main" count="1204" uniqueCount="155">
  <si>
    <t>t</t>
  </si>
  <si>
    <t>MJ/km</t>
  </si>
  <si>
    <t>km</t>
  </si>
  <si>
    <t>MJ</t>
  </si>
  <si>
    <t>Reach Stacker</t>
  </si>
  <si>
    <t>LKW</t>
  </si>
  <si>
    <t>l/h</t>
  </si>
  <si>
    <t>min</t>
  </si>
  <si>
    <t>h</t>
  </si>
  <si>
    <t>l</t>
  </si>
  <si>
    <t>Kalmar Reachstacker</t>
  </si>
  <si>
    <t>Diesel B7</t>
  </si>
  <si>
    <t>kg CO2e/l</t>
  </si>
  <si>
    <t>kg CO2e</t>
  </si>
  <si>
    <t>Parameter</t>
  </si>
  <si>
    <t>Hub</t>
  </si>
  <si>
    <t>Transport</t>
  </si>
  <si>
    <t>g CO2e/MJ</t>
  </si>
  <si>
    <t>Gtkm</t>
  </si>
  <si>
    <t>Gt</t>
  </si>
  <si>
    <t>Wh / Gtkm</t>
  </si>
  <si>
    <t>Wh</t>
  </si>
  <si>
    <t>ETW Table 51</t>
  </si>
  <si>
    <t>Rail-mounted gantry crane</t>
  </si>
  <si>
    <t>kWh</t>
  </si>
  <si>
    <t>Strom</t>
  </si>
  <si>
    <t>1a</t>
  </si>
  <si>
    <t>1b</t>
  </si>
  <si>
    <t>2a</t>
  </si>
  <si>
    <t>2b</t>
  </si>
  <si>
    <t>2c</t>
  </si>
  <si>
    <t>3a</t>
  </si>
  <si>
    <t>3b</t>
  </si>
  <si>
    <t>Scenario</t>
  </si>
  <si>
    <t>none</t>
  </si>
  <si>
    <t>Truck</t>
  </si>
  <si>
    <t>Diesel B100 (HVO)</t>
  </si>
  <si>
    <t>1c</t>
  </si>
  <si>
    <t>Electric</t>
  </si>
  <si>
    <t>3c</t>
  </si>
  <si>
    <t>RMGC</t>
  </si>
  <si>
    <t>Parameters</t>
  </si>
  <si>
    <t>given</t>
  </si>
  <si>
    <t>calculated</t>
  </si>
  <si>
    <t>Trains per year</t>
  </si>
  <si>
    <t>Mass per year</t>
  </si>
  <si>
    <t>Payload CemTainer</t>
  </si>
  <si>
    <t>Train gross weight</t>
  </si>
  <si>
    <t>Train payload</t>
  </si>
  <si>
    <t>Wagon weight</t>
  </si>
  <si>
    <t>CemTainer net weight</t>
  </si>
  <si>
    <t>Calculated payload CemTainer (check)</t>
  </si>
  <si>
    <t>Laden trip distance</t>
  </si>
  <si>
    <t>Empty trip distance</t>
  </si>
  <si>
    <t>Energy consumption laden trip</t>
  </si>
  <si>
    <t>Energy consumption empty trip</t>
  </si>
  <si>
    <t>Unit</t>
  </si>
  <si>
    <t>Value</t>
  </si>
  <si>
    <t>Reference</t>
  </si>
  <si>
    <t>Energy consumption 100%</t>
  </si>
  <si>
    <t>Energy consumption 0%</t>
  </si>
  <si>
    <t>ETW Table 22, Truck Euro VI, &gt;26-40t, empty</t>
  </si>
  <si>
    <t>ETW Table 22, Truck Euro VI, &gt;26-40t, full</t>
  </si>
  <si>
    <t>Energy consumption 44t laden trip</t>
  </si>
  <si>
    <t>Total laden trip distance per year</t>
  </si>
  <si>
    <t>Total empty trip distance per year</t>
  </si>
  <si>
    <t>Emission factor Diesel B7</t>
  </si>
  <si>
    <t>Emissions laden trip</t>
  </si>
  <si>
    <t>Emissions empty trip</t>
  </si>
  <si>
    <t>Truck calculation</t>
  </si>
  <si>
    <t>Train calculation</t>
  </si>
  <si>
    <t>Transport Chain</t>
  </si>
  <si>
    <t>TCE</t>
  </si>
  <si>
    <t>Operation</t>
  </si>
  <si>
    <t>Description</t>
  </si>
  <si>
    <t>Means</t>
  </si>
  <si>
    <t>Energy carrier</t>
  </si>
  <si>
    <t>Laden/Empty</t>
  </si>
  <si>
    <t>Laden</t>
  </si>
  <si>
    <t>Empty</t>
  </si>
  <si>
    <t>Energy consumption per year</t>
  </si>
  <si>
    <t>Emissions per year</t>
  </si>
  <si>
    <t>Scenario 1a - Truck Diesel B7</t>
  </si>
  <si>
    <t>Distance</t>
  </si>
  <si>
    <t>Gross tonnes</t>
  </si>
  <si>
    <t>Gross tonne kilometers</t>
  </si>
  <si>
    <t>Specific energy consumption</t>
  </si>
  <si>
    <t>Energy consumption</t>
  </si>
  <si>
    <t>Emission factor</t>
  </si>
  <si>
    <t>Emissions</t>
  </si>
  <si>
    <t>Reference for specific energy consumption: ETW Table 30 (electric) and Table 31 (diesel). Train class "Extra Large (2000t)"</t>
  </si>
  <si>
    <t>Reference for emission factor electric: ETW Table 51, average emissions of the Austrian power grid for the calculation of freight trains.</t>
  </si>
  <si>
    <t>ÖNORM EN 16258 Table A.4; interpolated for 5.6% according to ETW Table 52</t>
  </si>
  <si>
    <t>Emission factor Diesel B100 (HVO)</t>
  </si>
  <si>
    <t>due to regulatory weight limits</t>
  </si>
  <si>
    <t>not applicable here</t>
  </si>
  <si>
    <t>Scenario 1c - Truck Electric</t>
  </si>
  <si>
    <t>ETW Table 27, &gt;26-40t, empty</t>
  </si>
  <si>
    <t>ETW Table 27, &gt;26-40t, full</t>
  </si>
  <si>
    <t>per year</t>
  </si>
  <si>
    <t>Train</t>
  </si>
  <si>
    <t>Transshipment and buffer</t>
  </si>
  <si>
    <t>Hub -&gt; Side track entry point</t>
  </si>
  <si>
    <t>Side track entry point -&gt; Supplier</t>
  </si>
  <si>
    <t>Supplier -&gt; Main track entry point</t>
  </si>
  <si>
    <t>Main track entry point -&gt; Hub</t>
  </si>
  <si>
    <t>Wagons per train</t>
  </si>
  <si>
    <t>Cemainers per train</t>
  </si>
  <si>
    <t>CemTainers per year</t>
  </si>
  <si>
    <t>Number of lifts per year</t>
  </si>
  <si>
    <t>Container lifts per transs./buffer operation</t>
  </si>
  <si>
    <t>Scenario 2b - Train, Reach Stacker, Truck Diesel B100 (HVO)</t>
  </si>
  <si>
    <t>Scenario 2a - Train, Reach Stacker, Truck Diesel B7</t>
  </si>
  <si>
    <t>Scenario 2c - Train, Reach Stacker, Truck Electric</t>
  </si>
  <si>
    <t>Emission factor electricity road transport</t>
  </si>
  <si>
    <t>Scenario 3b - Train, Rail-mounted gantry crane, Truck Diesel B100 (HVO)</t>
  </si>
  <si>
    <t>Scenario 3a - Train, Rail-mounted gantry crane, Truck Diesel B7</t>
  </si>
  <si>
    <t>Scenario 3c - Train, Rail-mounted gantry crane, Truck Electric</t>
  </si>
  <si>
    <t>Supplier -&gt; Customer</t>
  </si>
  <si>
    <t>Customer -&gt; Supplier</t>
  </si>
  <si>
    <t>Hub -&gt; Customer</t>
  </si>
  <si>
    <t>Customer -&gt; Hub</t>
  </si>
  <si>
    <t>Technical equipment</t>
  </si>
  <si>
    <t>Energy consumption upper limit</t>
  </si>
  <si>
    <t>Energy consumption lower limit</t>
  </si>
  <si>
    <t>Duration per activity</t>
  </si>
  <si>
    <t>Energy consumption full container</t>
  </si>
  <si>
    <t>Energy consumption empty container</t>
  </si>
  <si>
    <t>Emissions full container</t>
  </si>
  <si>
    <t>Emissions empty container</t>
  </si>
  <si>
    <t>Scenario 1b - Truck Diesel B100 (advanced biofuel)</t>
  </si>
  <si>
    <t>Diesel B100</t>
  </si>
  <si>
    <t>ÖNORM EN 16258 Table A.5; 6% share of Biodiesel in Austrian Diesel in terms of energy content</t>
  </si>
  <si>
    <t>maximum allowed emission factor for transportation biofuel produced in novel plants as of 2021</t>
  </si>
  <si>
    <t>Estimation based on authors' experience</t>
  </si>
  <si>
    <t>Fig 29 from https://www.bvl.de/files/1951/2125/2131/2133/Schlussbericht_MBKII_N17961_N_1.pdf</t>
  </si>
  <si>
    <t>ÖNORM EN 16258 Table A.5; 6%</t>
  </si>
  <si>
    <t>https://www.umweltbundesamt.at/elna/anrechnung-erneuerbarer-strom</t>
  </si>
  <si>
    <t>Hub operation emissions</t>
  </si>
  <si>
    <t>HVO</t>
  </si>
  <si>
    <t>Reference for emission factor diesel B7: ÖNORM EN 16258 Table A.5; 6% share of Biodiesel in Austrian Diesel in terms of energy content</t>
  </si>
  <si>
    <t>Calculation cross-validated by internal documents and Du Plessis (2023), p. 131</t>
  </si>
  <si>
    <t>Internal documents, cross validated by Du Plessis (2023), p. 131 (7 kWh per container - our estimations are a little more conservative)</t>
  </si>
  <si>
    <t>Total emissions</t>
  </si>
  <si>
    <t>Specific emissions</t>
  </si>
  <si>
    <t>kg CO2e/t load</t>
  </si>
  <si>
    <t>HOC</t>
  </si>
  <si>
    <t>Truck fuel</t>
  </si>
  <si>
    <t>per 1000kg load</t>
  </si>
  <si>
    <t>Reduction</t>
  </si>
  <si>
    <t>HOC_RS</t>
  </si>
  <si>
    <t>HOC_RMGC</t>
  </si>
  <si>
    <t>Electricity</t>
  </si>
  <si>
    <t>Scenario overview and comparison</t>
  </si>
  <si>
    <t>for methodological details, refer to the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</si>
</sst>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7" fillId="0" borderId="0" xfId="0" applyFont="1"/>
    <xf numFmtId="0" fontId="2" fillId="2" borderId="1" xfId="2"/>
    <xf numFmtId="43" fontId="0" fillId="0" borderId="0" xfId="0" applyNumberFormat="1"/>
    <xf numFmtId="0" fontId="5" fillId="0" borderId="0" xfId="0" applyFont="1"/>
    <xf numFmtId="0" fontId="7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6" fillId="3" borderId="0" xfId="0" applyFont="1" applyFill="1" applyAlignment="1">
      <alignment horizontal="right"/>
    </xf>
    <xf numFmtId="0" fontId="6" fillId="3" borderId="2" xfId="0" applyFont="1" applyFill="1" applyBorder="1" applyAlignment="1">
      <alignment horizontal="right"/>
    </xf>
    <xf numFmtId="43" fontId="0" fillId="3" borderId="0" xfId="1" applyFont="1" applyFill="1"/>
    <xf numFmtId="0" fontId="3" fillId="3" borderId="0" xfId="0" applyFont="1" applyFill="1" applyAlignment="1">
      <alignment wrapText="1"/>
    </xf>
    <xf numFmtId="164" fontId="0" fillId="3" borderId="0" xfId="1" applyNumberFormat="1" applyFont="1" applyFill="1"/>
    <xf numFmtId="43" fontId="0" fillId="3" borderId="0" xfId="0" applyNumberFormat="1" applyFill="1"/>
    <xf numFmtId="0" fontId="9" fillId="3" borderId="0" xfId="4" applyFill="1"/>
    <xf numFmtId="0" fontId="0" fillId="3" borderId="3" xfId="0" applyFill="1" applyBorder="1"/>
    <xf numFmtId="0" fontId="5" fillId="3" borderId="4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4" fillId="3" borderId="0" xfId="3" applyFill="1" applyBorder="1"/>
    <xf numFmtId="0" fontId="2" fillId="3" borderId="1" xfId="2" applyFill="1"/>
    <xf numFmtId="0" fontId="0" fillId="3" borderId="6" xfId="0" applyFill="1" applyBorder="1" applyAlignment="1">
      <alignment wrapText="1"/>
    </xf>
    <xf numFmtId="0" fontId="0" fillId="3" borderId="0" xfId="0" applyFill="1" applyAlignment="1">
      <alignment horizontal="right" wrapText="1"/>
    </xf>
    <xf numFmtId="0" fontId="5" fillId="3" borderId="0" xfId="0" applyFont="1" applyFill="1" applyAlignment="1">
      <alignment wrapText="1"/>
    </xf>
    <xf numFmtId="0" fontId="0" fillId="3" borderId="7" xfId="0" applyFill="1" applyBorder="1" applyAlignment="1">
      <alignment wrapText="1"/>
    </xf>
    <xf numFmtId="0" fontId="6" fillId="3" borderId="6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43" fontId="0" fillId="3" borderId="6" xfId="1" applyFont="1" applyFill="1" applyBorder="1"/>
    <xf numFmtId="43" fontId="0" fillId="3" borderId="0" xfId="1" applyFont="1" applyFill="1" applyBorder="1"/>
    <xf numFmtId="43" fontId="4" fillId="3" borderId="0" xfId="3" applyNumberFormat="1" applyFill="1" applyBorder="1"/>
    <xf numFmtId="43" fontId="2" fillId="3" borderId="1" xfId="2" applyNumberFormat="1" applyFill="1"/>
    <xf numFmtId="43" fontId="0" fillId="3" borderId="7" xfId="1" applyFont="1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9" xfId="0" applyFill="1" applyBorder="1"/>
    <xf numFmtId="0" fontId="3" fillId="3" borderId="4" xfId="0" applyFont="1" applyFill="1" applyBorder="1" applyAlignment="1">
      <alignment wrapText="1"/>
    </xf>
    <xf numFmtId="0" fontId="5" fillId="3" borderId="0" xfId="0" applyFont="1" applyFill="1"/>
    <xf numFmtId="164" fontId="0" fillId="3" borderId="0" xfId="1" applyNumberFormat="1" applyFont="1" applyFill="1" applyBorder="1"/>
    <xf numFmtId="0" fontId="5" fillId="3" borderId="2" xfId="0" applyFont="1" applyFill="1" applyBorder="1"/>
    <xf numFmtId="164" fontId="0" fillId="3" borderId="2" xfId="1" applyNumberFormat="1" applyFont="1" applyFill="1" applyBorder="1"/>
    <xf numFmtId="43" fontId="2" fillId="2" borderId="1" xfId="1" applyFont="1" applyFill="1" applyBorder="1"/>
    <xf numFmtId="0" fontId="5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right" vertical="center"/>
    </xf>
    <xf numFmtId="0" fontId="0" fillId="3" borderId="0" xfId="0" applyFill="1" applyAlignment="1">
      <alignment vertical="center"/>
    </xf>
    <xf numFmtId="2" fontId="2" fillId="3" borderId="1" xfId="2" applyNumberFormat="1" applyFill="1" applyAlignment="1">
      <alignment vertical="center"/>
    </xf>
    <xf numFmtId="43" fontId="2" fillId="3" borderId="1" xfId="2" applyNumberFormat="1" applyFill="1" applyAlignment="1">
      <alignment vertical="center"/>
    </xf>
    <xf numFmtId="43" fontId="0" fillId="3" borderId="0" xfId="1" applyFont="1" applyFill="1" applyBorder="1" applyAlignment="1">
      <alignment vertical="center"/>
    </xf>
    <xf numFmtId="0" fontId="6" fillId="3" borderId="2" xfId="0" applyFont="1" applyFill="1" applyBorder="1"/>
    <xf numFmtId="43" fontId="4" fillId="3" borderId="10" xfId="1" applyFont="1" applyFill="1" applyBorder="1"/>
    <xf numFmtId="164" fontId="8" fillId="3" borderId="0" xfId="0" applyNumberFormat="1" applyFont="1" applyFill="1"/>
    <xf numFmtId="164" fontId="8" fillId="3" borderId="2" xfId="0" applyNumberFormat="1" applyFont="1" applyFill="1" applyBorder="1"/>
    <xf numFmtId="0" fontId="6" fillId="3" borderId="2" xfId="0" applyFont="1" applyFill="1" applyBorder="1" applyAlignment="1">
      <alignment horizontal="right" vertical="center"/>
    </xf>
    <xf numFmtId="0" fontId="3" fillId="3" borderId="2" xfId="0" applyFont="1" applyFill="1" applyBorder="1"/>
    <xf numFmtId="10" fontId="0" fillId="0" borderId="0" xfId="5" applyNumberFormat="1" applyFont="1"/>
    <xf numFmtId="0" fontId="6" fillId="3" borderId="0" xfId="0" applyFont="1" applyFill="1"/>
    <xf numFmtId="43" fontId="0" fillId="3" borderId="7" xfId="0" applyNumberFormat="1" applyFill="1" applyBorder="1"/>
    <xf numFmtId="0" fontId="5" fillId="3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0" borderId="11" xfId="0" applyFont="1" applyBorder="1"/>
  </cellXfs>
  <cellStyles count="6">
    <cellStyle name="Berechnung" xfId="2" builtinId="22"/>
    <cellStyle name="Erklärender Text" xfId="3" builtinId="53"/>
    <cellStyle name="Komma" xfId="1" builtinId="3"/>
    <cellStyle name="Link" xfId="4" builtinId="8"/>
    <cellStyle name="Prozent" xfId="5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58B8-89DE-4430-A1B2-BF9056987DA0}">
  <dimension ref="A1:G14"/>
  <sheetViews>
    <sheetView tabSelected="1" workbookViewId="0">
      <selection activeCell="A3" sqref="A3"/>
    </sheetView>
  </sheetViews>
  <sheetFormatPr baseColWidth="10" defaultRowHeight="14.4" x14ac:dyDescent="0.55000000000000004"/>
  <cols>
    <col min="5" max="5" width="12.15625" bestFit="1" customWidth="1"/>
  </cols>
  <sheetData>
    <row r="1" spans="1:7" ht="18.3" x14ac:dyDescent="0.7">
      <c r="A1" s="1" t="s">
        <v>153</v>
      </c>
    </row>
    <row r="2" spans="1:7" x14ac:dyDescent="0.55000000000000004">
      <c r="A2" t="s">
        <v>154</v>
      </c>
      <c r="B2" s="4"/>
      <c r="C2" s="4"/>
      <c r="D2" s="4"/>
      <c r="E2" s="4"/>
      <c r="F2" s="4"/>
      <c r="G2" s="4"/>
    </row>
    <row r="3" spans="1:7" x14ac:dyDescent="0.55000000000000004">
      <c r="B3" s="4"/>
      <c r="C3" s="4"/>
      <c r="D3" s="4"/>
      <c r="E3" s="4"/>
      <c r="F3" s="4"/>
      <c r="G3" s="4"/>
    </row>
    <row r="4" spans="1:7" x14ac:dyDescent="0.55000000000000004">
      <c r="B4" s="4" t="s">
        <v>33</v>
      </c>
      <c r="C4" s="4" t="s">
        <v>146</v>
      </c>
      <c r="D4" s="4" t="s">
        <v>147</v>
      </c>
      <c r="E4" s="4" t="s">
        <v>89</v>
      </c>
      <c r="F4" s="4" t="s">
        <v>5</v>
      </c>
      <c r="G4" s="4" t="s">
        <v>149</v>
      </c>
    </row>
    <row r="5" spans="1:7" ht="14.7" thickBot="1" x14ac:dyDescent="0.6">
      <c r="B5" s="61"/>
      <c r="C5" s="61"/>
      <c r="D5" s="61"/>
      <c r="E5" s="61" t="s">
        <v>99</v>
      </c>
      <c r="F5" s="61" t="s">
        <v>148</v>
      </c>
      <c r="G5" s="61"/>
    </row>
    <row r="6" spans="1:7" ht="14.7" thickTop="1" x14ac:dyDescent="0.55000000000000004">
      <c r="B6" t="s">
        <v>26</v>
      </c>
      <c r="C6" t="s">
        <v>34</v>
      </c>
      <c r="D6" t="s">
        <v>11</v>
      </c>
      <c r="E6" s="3">
        <f>'Scenario 1a'!J21</f>
        <v>4238615.2957264967</v>
      </c>
      <c r="F6" s="3">
        <f>'Scenario 1a'!J22</f>
        <v>10.596538239316242</v>
      </c>
      <c r="G6" s="55">
        <f>1-F6/$F$6</f>
        <v>0</v>
      </c>
    </row>
    <row r="7" spans="1:7" x14ac:dyDescent="0.55000000000000004">
      <c r="B7" t="s">
        <v>27</v>
      </c>
      <c r="C7" t="s">
        <v>34</v>
      </c>
      <c r="D7" t="s">
        <v>139</v>
      </c>
      <c r="E7" s="3">
        <f>'Scenario 1b'!J21</f>
        <v>1575533.196581197</v>
      </c>
      <c r="F7" s="3">
        <f>'Scenario 1b'!J22</f>
        <v>3.9388329914529923</v>
      </c>
      <c r="G7" s="55">
        <f t="shared" ref="G7:G14" si="0">1-F7/$F$6</f>
        <v>0.62829058863405263</v>
      </c>
    </row>
    <row r="8" spans="1:7" x14ac:dyDescent="0.55000000000000004">
      <c r="B8" t="s">
        <v>37</v>
      </c>
      <c r="C8" t="s">
        <v>34</v>
      </c>
      <c r="D8" t="s">
        <v>152</v>
      </c>
      <c r="E8" s="3">
        <f>'Scenario 1c'!J21</f>
        <v>427583.63623931631</v>
      </c>
      <c r="F8" s="3">
        <f>'Scenario 1c'!J22</f>
        <v>1.0689590905982909</v>
      </c>
      <c r="G8" s="55">
        <f t="shared" si="0"/>
        <v>0.89912185786938026</v>
      </c>
    </row>
    <row r="9" spans="1:7" x14ac:dyDescent="0.55000000000000004">
      <c r="B9" t="s">
        <v>28</v>
      </c>
      <c r="C9" t="s">
        <v>150</v>
      </c>
      <c r="D9" t="s">
        <v>11</v>
      </c>
      <c r="E9" s="3">
        <f>'Scenario 2a'!J27</f>
        <v>1032233.7056427124</v>
      </c>
      <c r="F9" s="3">
        <f>'Scenario 2a'!J28</f>
        <v>2.5805842641067809</v>
      </c>
      <c r="G9" s="55">
        <f t="shared" si="0"/>
        <v>0.75646912172391723</v>
      </c>
    </row>
    <row r="10" spans="1:7" x14ac:dyDescent="0.55000000000000004">
      <c r="B10" t="s">
        <v>29</v>
      </c>
      <c r="C10" t="s">
        <v>150</v>
      </c>
      <c r="D10" t="s">
        <v>139</v>
      </c>
      <c r="E10" s="3">
        <f>'Scenario 2b'!J27</f>
        <v>692582.65497604571</v>
      </c>
      <c r="F10" s="3">
        <f>'Scenario 2b'!J28</f>
        <v>1.7314566374401144</v>
      </c>
      <c r="G10" s="55">
        <f t="shared" si="0"/>
        <v>0.83660167138208341</v>
      </c>
    </row>
    <row r="11" spans="1:7" x14ac:dyDescent="0.55000000000000004">
      <c r="B11" t="s">
        <v>30</v>
      </c>
      <c r="C11" t="s">
        <v>150</v>
      </c>
      <c r="D11" t="s">
        <v>152</v>
      </c>
      <c r="E11" s="3">
        <f>'Scenario 2c'!J27</f>
        <v>545389.97764271242</v>
      </c>
      <c r="F11" s="3">
        <f>'Scenario 2c'!J28</f>
        <v>1.3634749441067811</v>
      </c>
      <c r="G11" s="55">
        <f t="shared" si="0"/>
        <v>0.87132826652312811</v>
      </c>
    </row>
    <row r="12" spans="1:7" x14ac:dyDescent="0.55000000000000004">
      <c r="B12" t="s">
        <v>31</v>
      </c>
      <c r="C12" t="s">
        <v>151</v>
      </c>
      <c r="D12" t="s">
        <v>11</v>
      </c>
      <c r="E12" s="3">
        <f>'Scenario 3a'!J27</f>
        <v>779804.71719826793</v>
      </c>
      <c r="F12" s="3">
        <f>'Scenario 3a'!J28</f>
        <v>1.9495117929956698</v>
      </c>
      <c r="G12" s="55">
        <f t="shared" si="0"/>
        <v>0.81602370991665807</v>
      </c>
    </row>
    <row r="13" spans="1:7" x14ac:dyDescent="0.55000000000000004">
      <c r="B13" t="s">
        <v>32</v>
      </c>
      <c r="C13" t="s">
        <v>151</v>
      </c>
      <c r="D13" t="s">
        <v>139</v>
      </c>
      <c r="E13" s="3">
        <f>'Scenario 3b'!J27</f>
        <v>440153.66653160122</v>
      </c>
      <c r="F13" s="3">
        <f>'Scenario 3b'!J28</f>
        <v>1.100384166329003</v>
      </c>
      <c r="G13" s="55">
        <f t="shared" si="0"/>
        <v>0.89615625957482437</v>
      </c>
    </row>
    <row r="14" spans="1:7" x14ac:dyDescent="0.55000000000000004">
      <c r="B14" t="s">
        <v>39</v>
      </c>
      <c r="C14" t="s">
        <v>151</v>
      </c>
      <c r="D14" t="s">
        <v>152</v>
      </c>
      <c r="E14" s="3">
        <f>'Scenario 3c'!J27</f>
        <v>292960.98919826793</v>
      </c>
      <c r="F14" s="3">
        <f>'Scenario 3c'!J28</f>
        <v>0.73240247299566985</v>
      </c>
      <c r="G14" s="55">
        <f t="shared" si="0"/>
        <v>0.93088285471586907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929E-8F84-4EAB-AF20-E6320F283946}">
  <dimension ref="A1:Q66"/>
  <sheetViews>
    <sheetView workbookViewId="0">
      <selection activeCell="K28" sqref="K28"/>
    </sheetView>
  </sheetViews>
  <sheetFormatPr baseColWidth="10" defaultColWidth="8.83984375" defaultRowHeight="14.4" x14ac:dyDescent="0.55000000000000004"/>
  <cols>
    <col min="1" max="1" width="5.41796875" style="6" customWidth="1"/>
    <col min="2" max="2" width="2.5234375" style="6" customWidth="1"/>
    <col min="3" max="3" width="4.1015625" style="6" customWidth="1"/>
    <col min="4" max="4" width="24.68359375" style="6" bestFit="1" customWidth="1"/>
    <col min="5" max="5" width="25.3125" style="6" customWidth="1"/>
    <col min="6" max="6" width="16.578125" style="6" customWidth="1"/>
    <col min="7" max="7" width="18" style="6" customWidth="1"/>
    <col min="8" max="8" width="20.578125" style="6" customWidth="1"/>
    <col min="9" max="10" width="18.578125" style="6" customWidth="1"/>
    <col min="11" max="11" width="18.9453125" style="6" customWidth="1"/>
    <col min="12" max="12" width="18.15625" style="6" customWidth="1"/>
    <col min="13" max="16" width="16.578125" style="6" customWidth="1"/>
    <col min="17" max="20" width="10.9453125" style="6" customWidth="1"/>
    <col min="21" max="21" width="19.47265625" style="6" customWidth="1"/>
    <col min="22" max="22" width="17.62890625" style="6" customWidth="1"/>
    <col min="23" max="23" width="13.3671875" style="6" customWidth="1"/>
    <col min="24" max="24" width="12.578125" style="6" customWidth="1"/>
    <col min="25" max="25" width="14.89453125" style="6" customWidth="1"/>
    <col min="26" max="26" width="14.83984375" style="6" customWidth="1"/>
    <col min="27" max="28" width="15.05078125" style="6" customWidth="1"/>
    <col min="29" max="16384" width="8.83984375" style="6"/>
  </cols>
  <sheetData>
    <row r="1" spans="1:17" ht="18.3" x14ac:dyDescent="0.7">
      <c r="A1" s="5" t="s">
        <v>117</v>
      </c>
    </row>
    <row r="2" spans="1:17" ht="18.3" x14ac:dyDescent="0.7">
      <c r="C2" s="5"/>
    </row>
    <row r="3" spans="1:17" x14ac:dyDescent="0.55000000000000004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18.3" x14ac:dyDescent="0.7">
      <c r="B4" s="19"/>
      <c r="C4" s="5" t="s">
        <v>41</v>
      </c>
      <c r="Q4" s="20"/>
    </row>
    <row r="5" spans="1:17" x14ac:dyDescent="0.55000000000000004">
      <c r="B5" s="19"/>
      <c r="Q5" s="20"/>
    </row>
    <row r="6" spans="1:17" x14ac:dyDescent="0.55000000000000004">
      <c r="B6" s="19"/>
      <c r="D6" s="21" t="s">
        <v>42</v>
      </c>
      <c r="E6" s="22" t="s">
        <v>43</v>
      </c>
      <c r="G6"/>
      <c r="Q6" s="20"/>
    </row>
    <row r="7" spans="1:17" x14ac:dyDescent="0.55000000000000004">
      <c r="B7" s="19"/>
      <c r="Q7" s="20"/>
    </row>
    <row r="8" spans="1:17" s="7" customFormat="1" ht="29.7" customHeight="1" x14ac:dyDescent="0.55000000000000004">
      <c r="B8" s="23"/>
      <c r="C8" s="24"/>
      <c r="D8" s="25" t="s">
        <v>110</v>
      </c>
      <c r="E8" s="25" t="s">
        <v>46</v>
      </c>
      <c r="F8" s="25" t="s">
        <v>44</v>
      </c>
      <c r="G8" s="25" t="s">
        <v>45</v>
      </c>
      <c r="H8" s="25" t="s">
        <v>106</v>
      </c>
      <c r="I8" s="25" t="s">
        <v>49</v>
      </c>
      <c r="J8" s="25" t="s">
        <v>107</v>
      </c>
      <c r="K8" s="25" t="s">
        <v>50</v>
      </c>
      <c r="L8" s="25" t="s">
        <v>108</v>
      </c>
      <c r="M8" s="25" t="s">
        <v>109</v>
      </c>
      <c r="N8" s="25" t="s">
        <v>51</v>
      </c>
      <c r="O8" s="25" t="s">
        <v>48</v>
      </c>
      <c r="P8" s="25" t="s">
        <v>47</v>
      </c>
      <c r="Q8" s="26"/>
    </row>
    <row r="9" spans="1:17" s="8" customFormat="1" x14ac:dyDescent="0.55000000000000004">
      <c r="B9" s="27"/>
      <c r="D9" s="9"/>
      <c r="E9" s="9" t="s">
        <v>0</v>
      </c>
      <c r="F9" s="9"/>
      <c r="G9" s="9" t="s">
        <v>0</v>
      </c>
      <c r="H9" s="9"/>
      <c r="I9" s="9" t="s">
        <v>0</v>
      </c>
      <c r="J9" s="9"/>
      <c r="K9" s="9" t="s">
        <v>0</v>
      </c>
      <c r="L9" s="9"/>
      <c r="M9" s="9"/>
      <c r="N9" s="9" t="s">
        <v>0</v>
      </c>
      <c r="O9" s="9" t="s">
        <v>0</v>
      </c>
      <c r="P9" s="9" t="s">
        <v>0</v>
      </c>
      <c r="Q9" s="28"/>
    </row>
    <row r="10" spans="1:17" s="10" customFormat="1" x14ac:dyDescent="0.55000000000000004">
      <c r="B10" s="29"/>
      <c r="C10" s="30"/>
      <c r="D10" s="31">
        <v>2</v>
      </c>
      <c r="E10" s="31">
        <v>30</v>
      </c>
      <c r="F10" s="31">
        <v>222</v>
      </c>
      <c r="G10" s="31">
        <v>400000</v>
      </c>
      <c r="H10" s="31">
        <v>15</v>
      </c>
      <c r="I10" s="31">
        <v>14.95</v>
      </c>
      <c r="J10" s="31">
        <v>60</v>
      </c>
      <c r="K10" s="31">
        <v>3</v>
      </c>
      <c r="L10" s="32">
        <f>G10/E10</f>
        <v>13333.333333333334</v>
      </c>
      <c r="M10" s="32">
        <f>L10*D10</f>
        <v>26666.666666666668</v>
      </c>
      <c r="N10" s="32">
        <f>G10/(F10*J10)</f>
        <v>30.03003003003003</v>
      </c>
      <c r="O10" s="32">
        <f>G10/F10</f>
        <v>1801.8018018018017</v>
      </c>
      <c r="P10" s="32">
        <f>H10*I10+J10*(K10+E10)</f>
        <v>2204.25</v>
      </c>
      <c r="Q10" s="33"/>
    </row>
    <row r="11" spans="1:17" x14ac:dyDescent="0.55000000000000004"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50"/>
      <c r="P11" s="50"/>
      <c r="Q11" s="36"/>
    </row>
    <row r="12" spans="1:17" x14ac:dyDescent="0.55000000000000004">
      <c r="E12" s="11"/>
    </row>
    <row r="13" spans="1:17" x14ac:dyDescent="0.55000000000000004">
      <c r="B13" s="15"/>
      <c r="C13" s="17"/>
      <c r="D13" s="17"/>
      <c r="E13" s="37"/>
      <c r="F13" s="17"/>
      <c r="G13" s="17"/>
      <c r="H13" s="17"/>
      <c r="I13" s="17"/>
      <c r="J13" s="17"/>
      <c r="K13" s="17"/>
      <c r="L13" s="18"/>
      <c r="O13" s="13"/>
    </row>
    <row r="14" spans="1:17" ht="18.3" x14ac:dyDescent="0.7">
      <c r="B14" s="19"/>
      <c r="C14" s="5" t="s">
        <v>71</v>
      </c>
      <c r="L14" s="20"/>
      <c r="O14" s="13"/>
    </row>
    <row r="15" spans="1:17" x14ac:dyDescent="0.55000000000000004">
      <c r="B15" s="19"/>
      <c r="L15" s="20"/>
    </row>
    <row r="16" spans="1:17" ht="28.8" x14ac:dyDescent="0.55000000000000004">
      <c r="B16" s="19"/>
      <c r="C16" s="38" t="s">
        <v>72</v>
      </c>
      <c r="D16" s="38" t="s">
        <v>73</v>
      </c>
      <c r="E16" s="38" t="s">
        <v>74</v>
      </c>
      <c r="F16" s="38" t="s">
        <v>75</v>
      </c>
      <c r="G16" s="38" t="s">
        <v>76</v>
      </c>
      <c r="H16" s="38" t="s">
        <v>77</v>
      </c>
      <c r="I16" s="25" t="s">
        <v>80</v>
      </c>
      <c r="J16" s="25" t="s">
        <v>81</v>
      </c>
      <c r="L16" s="20"/>
    </row>
    <row r="17" spans="2:12" x14ac:dyDescent="0.55000000000000004">
      <c r="B17" s="19"/>
      <c r="C17" s="40"/>
      <c r="D17" s="40"/>
      <c r="E17" s="40"/>
      <c r="F17" s="40"/>
      <c r="G17" s="40"/>
      <c r="H17" s="40"/>
      <c r="I17" s="53" t="s">
        <v>3</v>
      </c>
      <c r="J17" s="53" t="s">
        <v>13</v>
      </c>
      <c r="K17" s="35"/>
      <c r="L17" s="20"/>
    </row>
    <row r="18" spans="2:12" x14ac:dyDescent="0.55000000000000004">
      <c r="B18" s="19"/>
      <c r="C18" s="6">
        <v>1</v>
      </c>
      <c r="D18" s="6" t="s">
        <v>16</v>
      </c>
      <c r="E18" s="6" t="s">
        <v>104</v>
      </c>
      <c r="F18" s="6" t="s">
        <v>100</v>
      </c>
      <c r="G18" s="6" t="s">
        <v>11</v>
      </c>
      <c r="H18" s="6" t="s">
        <v>78</v>
      </c>
      <c r="J18" s="39">
        <f>K36</f>
        <v>85302.056936339286</v>
      </c>
      <c r="K18" s="51">
        <f>J18</f>
        <v>85302.056936339286</v>
      </c>
      <c r="L18" s="57">
        <f>K18</f>
        <v>85302.056936339286</v>
      </c>
    </row>
    <row r="19" spans="2:12" x14ac:dyDescent="0.55000000000000004">
      <c r="B19" s="19"/>
      <c r="C19" s="6">
        <v>1</v>
      </c>
      <c r="D19" s="6" t="s">
        <v>16</v>
      </c>
      <c r="E19" s="6" t="s">
        <v>105</v>
      </c>
      <c r="F19" s="6" t="s">
        <v>100</v>
      </c>
      <c r="G19" s="6" t="s">
        <v>38</v>
      </c>
      <c r="H19" s="6" t="s">
        <v>78</v>
      </c>
      <c r="J19" s="39">
        <f>K37</f>
        <v>104785.80917212802</v>
      </c>
      <c r="K19" s="51">
        <f>J19</f>
        <v>104785.80917212802</v>
      </c>
      <c r="L19" s="57">
        <f>K19+L18</f>
        <v>190087.86610846731</v>
      </c>
    </row>
    <row r="20" spans="2:12" x14ac:dyDescent="0.55000000000000004">
      <c r="B20" s="19"/>
      <c r="C20" s="6">
        <v>2</v>
      </c>
      <c r="D20" s="6" t="s">
        <v>15</v>
      </c>
      <c r="E20" s="6" t="s">
        <v>101</v>
      </c>
      <c r="F20" s="6" t="s">
        <v>40</v>
      </c>
      <c r="G20" s="6" t="s">
        <v>38</v>
      </c>
      <c r="H20" s="6" t="s">
        <v>78</v>
      </c>
      <c r="J20" s="39">
        <f>M10*'Hub operations'!C23</f>
        <v>7631.7119999999995</v>
      </c>
      <c r="K20" s="51">
        <f t="shared" ref="K20:K25" si="0">J20</f>
        <v>7631.7119999999995</v>
      </c>
      <c r="L20" s="57">
        <f t="shared" ref="L20:L25" si="1">K20+L19</f>
        <v>197719.57810846731</v>
      </c>
    </row>
    <row r="21" spans="2:12" x14ac:dyDescent="0.55000000000000004">
      <c r="B21" s="19"/>
      <c r="C21" s="6">
        <v>3</v>
      </c>
      <c r="D21" s="6" t="s">
        <v>16</v>
      </c>
      <c r="E21" s="6" t="s">
        <v>120</v>
      </c>
      <c r="F21" s="6" t="s">
        <v>35</v>
      </c>
      <c r="G21" s="6" t="s">
        <v>38</v>
      </c>
      <c r="H21" s="6" t="s">
        <v>78</v>
      </c>
      <c r="J21" s="39">
        <f>F61</f>
        <v>30338.41066666667</v>
      </c>
      <c r="K21" s="51">
        <f t="shared" si="0"/>
        <v>30338.41066666667</v>
      </c>
      <c r="L21" s="57">
        <f t="shared" si="1"/>
        <v>228057.98877513397</v>
      </c>
    </row>
    <row r="22" spans="2:12" x14ac:dyDescent="0.55000000000000004">
      <c r="B22" s="19"/>
      <c r="C22" s="6">
        <v>4</v>
      </c>
      <c r="D22" s="6" t="s">
        <v>16</v>
      </c>
      <c r="E22" s="6" t="s">
        <v>121</v>
      </c>
      <c r="F22" s="6" t="s">
        <v>35</v>
      </c>
      <c r="G22" s="6" t="s">
        <v>38</v>
      </c>
      <c r="H22" s="6" t="s">
        <v>79</v>
      </c>
      <c r="J22" s="39">
        <f>F62</f>
        <v>23413.338666666663</v>
      </c>
      <c r="K22" s="51">
        <f t="shared" si="0"/>
        <v>23413.338666666663</v>
      </c>
      <c r="L22" s="57">
        <f t="shared" si="1"/>
        <v>251471.32744180062</v>
      </c>
    </row>
    <row r="23" spans="2:12" x14ac:dyDescent="0.55000000000000004">
      <c r="B23" s="19"/>
      <c r="C23" s="6">
        <v>5</v>
      </c>
      <c r="D23" s="6" t="s">
        <v>15</v>
      </c>
      <c r="E23" s="6" t="s">
        <v>101</v>
      </c>
      <c r="F23" s="6" t="s">
        <v>40</v>
      </c>
      <c r="G23" s="6" t="s">
        <v>38</v>
      </c>
      <c r="H23" s="6" t="s">
        <v>79</v>
      </c>
      <c r="J23" s="39">
        <f>M10*'Hub operations'!C24</f>
        <v>6783.7440000000006</v>
      </c>
      <c r="K23" s="51">
        <f t="shared" si="0"/>
        <v>6783.7440000000006</v>
      </c>
      <c r="L23" s="57">
        <f t="shared" si="1"/>
        <v>258255.07144180062</v>
      </c>
    </row>
    <row r="24" spans="2:12" x14ac:dyDescent="0.55000000000000004">
      <c r="B24" s="19"/>
      <c r="C24" s="6">
        <v>6</v>
      </c>
      <c r="D24" s="6" t="s">
        <v>16</v>
      </c>
      <c r="E24" s="6" t="s">
        <v>102</v>
      </c>
      <c r="F24" s="6" t="s">
        <v>100</v>
      </c>
      <c r="G24" s="6" t="s">
        <v>38</v>
      </c>
      <c r="H24" s="6" t="s">
        <v>79</v>
      </c>
      <c r="J24" s="39">
        <f>K38</f>
        <v>19131.613972128005</v>
      </c>
      <c r="K24" s="51">
        <f t="shared" si="0"/>
        <v>19131.613972128005</v>
      </c>
      <c r="L24" s="57">
        <f t="shared" si="1"/>
        <v>277386.68541392864</v>
      </c>
    </row>
    <row r="25" spans="2:12" x14ac:dyDescent="0.55000000000000004">
      <c r="B25" s="19"/>
      <c r="C25" s="35">
        <v>6</v>
      </c>
      <c r="D25" s="35" t="s">
        <v>16</v>
      </c>
      <c r="E25" s="35" t="s">
        <v>103</v>
      </c>
      <c r="F25" s="35" t="s">
        <v>100</v>
      </c>
      <c r="G25" s="35" t="s">
        <v>11</v>
      </c>
      <c r="H25" s="35" t="s">
        <v>79</v>
      </c>
      <c r="I25" s="35"/>
      <c r="J25" s="41">
        <f>K39</f>
        <v>15574.303784339285</v>
      </c>
      <c r="K25" s="52">
        <f t="shared" si="0"/>
        <v>15574.303784339285</v>
      </c>
      <c r="L25" s="57">
        <f t="shared" si="1"/>
        <v>292960.98919826793</v>
      </c>
    </row>
    <row r="26" spans="2:12" x14ac:dyDescent="0.55000000000000004">
      <c r="B26" s="19"/>
      <c r="J26" s="39"/>
      <c r="L26" s="20"/>
    </row>
    <row r="27" spans="2:12" x14ac:dyDescent="0.55000000000000004">
      <c r="B27" s="19"/>
      <c r="I27" s="2" t="s">
        <v>143</v>
      </c>
      <c r="J27" s="42">
        <f>SUM(J18:J25)</f>
        <v>292960.98919826793</v>
      </c>
      <c r="K27" s="2" t="s">
        <v>13</v>
      </c>
      <c r="L27" s="20"/>
    </row>
    <row r="28" spans="2:12" x14ac:dyDescent="0.55000000000000004">
      <c r="B28" s="19"/>
      <c r="I28" s="2" t="s">
        <v>144</v>
      </c>
      <c r="J28" s="42">
        <f>J27/G10</f>
        <v>0.73240247299566985</v>
      </c>
      <c r="K28" s="2" t="s">
        <v>145</v>
      </c>
      <c r="L28" s="20"/>
    </row>
    <row r="29" spans="2:12" x14ac:dyDescent="0.55000000000000004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6"/>
    </row>
    <row r="31" spans="2:12" x14ac:dyDescent="0.55000000000000004">
      <c r="B31" s="15"/>
      <c r="C31" s="17"/>
      <c r="D31" s="17"/>
      <c r="E31" s="17"/>
      <c r="F31" s="17"/>
      <c r="G31" s="17"/>
      <c r="H31" s="17"/>
      <c r="I31" s="17"/>
      <c r="J31" s="17"/>
      <c r="K31" s="17"/>
      <c r="L31" s="18"/>
    </row>
    <row r="32" spans="2:12" ht="18.3" x14ac:dyDescent="0.7">
      <c r="B32" s="19"/>
      <c r="C32" s="5" t="s">
        <v>70</v>
      </c>
      <c r="D32" s="5"/>
      <c r="L32" s="20"/>
    </row>
    <row r="33" spans="2:12" x14ac:dyDescent="0.55000000000000004">
      <c r="B33" s="19"/>
      <c r="L33" s="20"/>
    </row>
    <row r="34" spans="2:12" ht="28.8" x14ac:dyDescent="0.55000000000000004">
      <c r="B34" s="19"/>
      <c r="C34" s="58" t="s">
        <v>72</v>
      </c>
      <c r="D34" s="38" t="s">
        <v>83</v>
      </c>
      <c r="E34" s="38" t="s">
        <v>84</v>
      </c>
      <c r="F34" s="25" t="s">
        <v>85</v>
      </c>
      <c r="G34" s="25" t="s">
        <v>86</v>
      </c>
      <c r="H34" s="60" t="s">
        <v>87</v>
      </c>
      <c r="I34" s="60"/>
      <c r="J34" s="38" t="s">
        <v>88</v>
      </c>
      <c r="K34" s="38" t="s">
        <v>89</v>
      </c>
      <c r="L34" s="20"/>
    </row>
    <row r="35" spans="2:12" x14ac:dyDescent="0.55000000000000004">
      <c r="B35" s="19"/>
      <c r="C35" s="59"/>
      <c r="D35" s="49" t="s">
        <v>2</v>
      </c>
      <c r="E35" s="49" t="s">
        <v>19</v>
      </c>
      <c r="F35" s="49" t="s">
        <v>18</v>
      </c>
      <c r="G35" s="49" t="s">
        <v>20</v>
      </c>
      <c r="H35" s="49" t="s">
        <v>21</v>
      </c>
      <c r="I35" s="49" t="s">
        <v>3</v>
      </c>
      <c r="J35" s="49" t="s">
        <v>17</v>
      </c>
      <c r="K35" s="49" t="s">
        <v>13</v>
      </c>
      <c r="L35" s="20"/>
    </row>
    <row r="36" spans="2:12" x14ac:dyDescent="0.55000000000000004">
      <c r="B36" s="19"/>
      <c r="C36" s="6">
        <v>1</v>
      </c>
      <c r="D36" s="30">
        <v>18.8</v>
      </c>
      <c r="E36" s="30">
        <f>P10*F10</f>
        <v>489343.5</v>
      </c>
      <c r="F36" s="30">
        <f>E36*D36</f>
        <v>9199657.8000000007</v>
      </c>
      <c r="G36" s="30">
        <v>29.1</v>
      </c>
      <c r="H36" s="30">
        <f>G36*F36</f>
        <v>267710041.98000005</v>
      </c>
      <c r="I36" s="30">
        <f>0.0036*H36</f>
        <v>963756.15112800011</v>
      </c>
      <c r="J36" s="48">
        <v>88.51</v>
      </c>
      <c r="K36" s="30">
        <f>J36*I36/1000</f>
        <v>85302.056936339286</v>
      </c>
      <c r="L36" s="20"/>
    </row>
    <row r="37" spans="2:12" x14ac:dyDescent="0.55000000000000004">
      <c r="B37" s="19"/>
      <c r="C37" s="6">
        <v>1</v>
      </c>
      <c r="D37" s="30">
        <f>130-17.6</f>
        <v>112.4</v>
      </c>
      <c r="E37" s="30">
        <f>P10*F10</f>
        <v>489343.5</v>
      </c>
      <c r="F37" s="30">
        <f>E37*D37</f>
        <v>55002209.400000006</v>
      </c>
      <c r="G37" s="30">
        <v>10.8</v>
      </c>
      <c r="H37" s="30">
        <f>G37*F37</f>
        <v>594023861.5200001</v>
      </c>
      <c r="I37" s="30">
        <f>0.0036*H37</f>
        <v>2138485.9014720004</v>
      </c>
      <c r="J37" s="30">
        <v>49</v>
      </c>
      <c r="K37" s="30">
        <f>J37*I37/1000</f>
        <v>104785.80917212802</v>
      </c>
      <c r="L37" s="20"/>
    </row>
    <row r="38" spans="2:12" x14ac:dyDescent="0.55000000000000004">
      <c r="B38" s="19"/>
      <c r="C38" s="6">
        <v>6</v>
      </c>
      <c r="D38" s="30">
        <f>130-17.6</f>
        <v>112.4</v>
      </c>
      <c r="E38" s="30">
        <f>(P10-O10)*F10</f>
        <v>89343.500000000015</v>
      </c>
      <c r="F38" s="30">
        <f t="shared" ref="F38:F39" si="2">E38*D38</f>
        <v>10042209.400000002</v>
      </c>
      <c r="G38" s="30">
        <f>10.8</f>
        <v>10.8</v>
      </c>
      <c r="H38" s="30">
        <f t="shared" ref="H38:H39" si="3">G38*F38</f>
        <v>108455861.52000003</v>
      </c>
      <c r="I38" s="30">
        <f t="shared" ref="I38:I39" si="4">0.0036*H38</f>
        <v>390441.10147200007</v>
      </c>
      <c r="J38" s="30">
        <v>49</v>
      </c>
      <c r="K38" s="30">
        <f t="shared" ref="K38:K39" si="5">J38*I38/1000</f>
        <v>19131.613972128005</v>
      </c>
      <c r="L38" s="20"/>
    </row>
    <row r="39" spans="2:12" x14ac:dyDescent="0.55000000000000004">
      <c r="B39" s="19"/>
      <c r="C39" s="6">
        <v>6</v>
      </c>
      <c r="D39" s="30">
        <v>18.8</v>
      </c>
      <c r="E39" s="30">
        <f>(P10-O10)*F10</f>
        <v>89343.500000000015</v>
      </c>
      <c r="F39" s="30">
        <f t="shared" si="2"/>
        <v>1679657.8000000003</v>
      </c>
      <c r="G39" s="30">
        <v>29.1</v>
      </c>
      <c r="H39" s="30">
        <f t="shared" si="3"/>
        <v>48878041.980000012</v>
      </c>
      <c r="I39" s="30">
        <f t="shared" si="4"/>
        <v>175960.95112800004</v>
      </c>
      <c r="J39" s="48">
        <v>88.51</v>
      </c>
      <c r="K39" s="30">
        <f t="shared" si="5"/>
        <v>15574.303784339285</v>
      </c>
      <c r="L39" s="20"/>
    </row>
    <row r="40" spans="2:12" x14ac:dyDescent="0.55000000000000004">
      <c r="B40" s="19"/>
      <c r="L40" s="20"/>
    </row>
    <row r="41" spans="2:12" x14ac:dyDescent="0.55000000000000004">
      <c r="B41" s="19"/>
      <c r="C41" s="6" t="s">
        <v>90</v>
      </c>
      <c r="L41" s="20"/>
    </row>
    <row r="42" spans="2:12" x14ac:dyDescent="0.55000000000000004">
      <c r="B42" s="19"/>
      <c r="C42" s="6" t="s">
        <v>91</v>
      </c>
      <c r="L42" s="20"/>
    </row>
    <row r="43" spans="2:12" x14ac:dyDescent="0.55000000000000004">
      <c r="B43" s="19"/>
      <c r="C43" s="6" t="s">
        <v>140</v>
      </c>
      <c r="L43" s="20"/>
    </row>
    <row r="44" spans="2:12" x14ac:dyDescent="0.55000000000000004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6"/>
    </row>
    <row r="46" spans="2:12" x14ac:dyDescent="0.55000000000000004">
      <c r="B46" s="15"/>
      <c r="C46" s="17"/>
      <c r="D46" s="17"/>
      <c r="E46" s="17"/>
      <c r="F46" s="17"/>
      <c r="G46" s="17"/>
      <c r="H46" s="17"/>
      <c r="I46" s="18"/>
    </row>
    <row r="47" spans="2:12" ht="18.3" x14ac:dyDescent="0.7">
      <c r="B47" s="19"/>
      <c r="C47" s="5" t="s">
        <v>69</v>
      </c>
      <c r="I47" s="20"/>
    </row>
    <row r="48" spans="2:12" ht="14.4" customHeight="1" x14ac:dyDescent="0.7">
      <c r="B48" s="19"/>
      <c r="C48" s="5"/>
      <c r="I48" s="20"/>
    </row>
    <row r="49" spans="2:13" x14ac:dyDescent="0.55000000000000004">
      <c r="B49" s="19"/>
      <c r="D49" s="40" t="s">
        <v>14</v>
      </c>
      <c r="E49" s="40" t="s">
        <v>56</v>
      </c>
      <c r="F49" s="40" t="s">
        <v>57</v>
      </c>
      <c r="G49" s="40" t="s">
        <v>58</v>
      </c>
      <c r="I49" s="20"/>
    </row>
    <row r="50" spans="2:13" ht="14.4" customHeight="1" x14ac:dyDescent="0.55000000000000004">
      <c r="B50" s="19"/>
      <c r="D50" s="43" t="s">
        <v>60</v>
      </c>
      <c r="E50" s="44" t="s">
        <v>1</v>
      </c>
      <c r="F50" s="45">
        <v>5.3</v>
      </c>
      <c r="G50" s="45" t="s">
        <v>97</v>
      </c>
      <c r="I50" s="20"/>
    </row>
    <row r="51" spans="2:13" ht="14.4" customHeight="1" x14ac:dyDescent="0.55000000000000004">
      <c r="B51" s="19"/>
      <c r="D51" s="43" t="s">
        <v>59</v>
      </c>
      <c r="E51" s="44" t="s">
        <v>1</v>
      </c>
      <c r="F51" s="45">
        <v>6.7</v>
      </c>
      <c r="G51" s="45" t="s">
        <v>98</v>
      </c>
      <c r="I51" s="20"/>
      <c r="M51" s="12"/>
    </row>
    <row r="52" spans="2:13" ht="28.8" x14ac:dyDescent="0.55000000000000004">
      <c r="B52" s="19"/>
      <c r="D52" s="43" t="s">
        <v>55</v>
      </c>
      <c r="E52" s="44" t="s">
        <v>1</v>
      </c>
      <c r="F52" s="46">
        <f>F50+(F51-F50)/(40-14)*K10</f>
        <v>5.4615384615384617</v>
      </c>
      <c r="G52" s="45"/>
      <c r="I52" s="20"/>
      <c r="M52" s="12"/>
    </row>
    <row r="53" spans="2:13" ht="28.8" x14ac:dyDescent="0.55000000000000004">
      <c r="B53" s="19"/>
      <c r="D53" s="43" t="s">
        <v>63</v>
      </c>
      <c r="E53" s="44" t="s">
        <v>1</v>
      </c>
      <c r="F53" s="46">
        <f>F50+(F51-F50)/(40-14)*(E10+K10)</f>
        <v>7.0769230769230775</v>
      </c>
      <c r="G53" s="45"/>
      <c r="I53" s="20"/>
    </row>
    <row r="54" spans="2:13" x14ac:dyDescent="0.55000000000000004">
      <c r="B54" s="19"/>
      <c r="D54" s="43" t="s">
        <v>52</v>
      </c>
      <c r="E54" s="44" t="s">
        <v>2</v>
      </c>
      <c r="F54" s="45">
        <v>18.2</v>
      </c>
      <c r="G54" s="45"/>
      <c r="I54" s="20"/>
      <c r="M54" s="13"/>
    </row>
    <row r="55" spans="2:13" x14ac:dyDescent="0.55000000000000004">
      <c r="B55" s="19"/>
      <c r="D55" s="43" t="s">
        <v>53</v>
      </c>
      <c r="E55" s="44" t="s">
        <v>2</v>
      </c>
      <c r="F55" s="45">
        <v>18.2</v>
      </c>
      <c r="G55" s="45"/>
      <c r="I55" s="20"/>
    </row>
    <row r="56" spans="2:13" ht="28.8" x14ac:dyDescent="0.55000000000000004">
      <c r="B56" s="19"/>
      <c r="D56" s="43" t="s">
        <v>64</v>
      </c>
      <c r="E56" s="44" t="s">
        <v>2</v>
      </c>
      <c r="F56" s="47">
        <f>F54*L10</f>
        <v>242666.66666666666</v>
      </c>
      <c r="G56" s="45"/>
      <c r="I56" s="20"/>
    </row>
    <row r="57" spans="2:13" ht="28.8" x14ac:dyDescent="0.55000000000000004">
      <c r="B57" s="19"/>
      <c r="D57" s="43" t="s">
        <v>65</v>
      </c>
      <c r="E57" s="44" t="s">
        <v>2</v>
      </c>
      <c r="F57" s="47">
        <f>F55*L10</f>
        <v>242666.66666666666</v>
      </c>
      <c r="G57" s="45"/>
      <c r="I57" s="20"/>
    </row>
    <row r="58" spans="2:13" ht="28.8" x14ac:dyDescent="0.55000000000000004">
      <c r="B58" s="19"/>
      <c r="D58" s="43" t="s">
        <v>54</v>
      </c>
      <c r="E58" s="44" t="s">
        <v>3</v>
      </c>
      <c r="F58" s="47">
        <f>F56*F53</f>
        <v>1717333.3333333335</v>
      </c>
      <c r="G58" s="45"/>
      <c r="I58" s="20"/>
    </row>
    <row r="59" spans="2:13" ht="28.8" x14ac:dyDescent="0.55000000000000004">
      <c r="B59" s="19"/>
      <c r="D59" s="43" t="s">
        <v>55</v>
      </c>
      <c r="E59" s="44" t="s">
        <v>3</v>
      </c>
      <c r="F59" s="47">
        <f>F57*F52</f>
        <v>1325333.3333333333</v>
      </c>
      <c r="G59" s="45"/>
      <c r="I59" s="20"/>
    </row>
    <row r="60" spans="2:13" ht="28.8" x14ac:dyDescent="0.55000000000000004">
      <c r="B60" s="19"/>
      <c r="D60" s="43" t="s">
        <v>114</v>
      </c>
      <c r="E60" s="44" t="s">
        <v>17</v>
      </c>
      <c r="F60" s="48">
        <v>17.666</v>
      </c>
      <c r="G60" s="45" t="s">
        <v>137</v>
      </c>
      <c r="I60" s="20"/>
    </row>
    <row r="61" spans="2:13" x14ac:dyDescent="0.55000000000000004">
      <c r="B61" s="19"/>
      <c r="D61" s="43" t="s">
        <v>67</v>
      </c>
      <c r="E61" s="44" t="s">
        <v>13</v>
      </c>
      <c r="F61" s="48">
        <f>F58*F60/1000</f>
        <v>30338.41066666667</v>
      </c>
      <c r="G61" s="45"/>
      <c r="I61" s="20"/>
    </row>
    <row r="62" spans="2:13" x14ac:dyDescent="0.55000000000000004">
      <c r="B62" s="19"/>
      <c r="D62" s="43" t="s">
        <v>68</v>
      </c>
      <c r="E62" s="44" t="s">
        <v>13</v>
      </c>
      <c r="F62" s="48">
        <f>F60*F59/1000</f>
        <v>23413.338666666663</v>
      </c>
      <c r="G62" s="45"/>
      <c r="I62" s="20"/>
    </row>
    <row r="63" spans="2:13" x14ac:dyDescent="0.55000000000000004">
      <c r="B63" s="34"/>
      <c r="C63" s="35"/>
      <c r="D63" s="35"/>
      <c r="E63" s="35"/>
      <c r="F63" s="35"/>
      <c r="G63" s="35"/>
      <c r="H63" s="35"/>
      <c r="I63" s="36"/>
    </row>
    <row r="66" spans="7:7" x14ac:dyDescent="0.55000000000000004">
      <c r="G66" s="14"/>
    </row>
  </sheetData>
  <mergeCells count="2">
    <mergeCell ref="C34:C35"/>
    <mergeCell ref="H34:I34"/>
  </mergeCells>
  <conditionalFormatting sqref="K18:K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{E380E1A0-7F97-44A7-B523-4CB777306B45}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80E1A0-7F97-44A7-B523-4CB777306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K18:K25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C819-00A4-469D-86FD-852D6EC79CD1}">
  <dimension ref="A1:F24"/>
  <sheetViews>
    <sheetView workbookViewId="0">
      <selection activeCell="C53" sqref="C53"/>
    </sheetView>
  </sheetViews>
  <sheetFormatPr baseColWidth="10" defaultRowHeight="14.4" x14ac:dyDescent="0.55000000000000004"/>
  <cols>
    <col min="1" max="1" width="6.20703125" style="6" customWidth="1"/>
    <col min="2" max="2" width="30.734375" style="6" bestFit="1" customWidth="1"/>
    <col min="3" max="3" width="22.68359375" style="6" bestFit="1" customWidth="1"/>
    <col min="4" max="4" width="10.20703125" style="6" bestFit="1" customWidth="1"/>
    <col min="5" max="5" width="83.3671875" style="6" customWidth="1"/>
    <col min="6" max="16384" width="10.9453125" style="6"/>
  </cols>
  <sheetData>
    <row r="1" spans="1:6" ht="18.3" x14ac:dyDescent="0.7">
      <c r="A1" s="5" t="s">
        <v>138</v>
      </c>
    </row>
    <row r="2" spans="1:6" ht="18.3" x14ac:dyDescent="0.7">
      <c r="A2" s="5"/>
    </row>
    <row r="3" spans="1:6" x14ac:dyDescent="0.55000000000000004">
      <c r="B3" s="40" t="s">
        <v>14</v>
      </c>
      <c r="C3" s="40" t="s">
        <v>57</v>
      </c>
      <c r="D3" s="40" t="s">
        <v>56</v>
      </c>
      <c r="E3" s="40" t="s">
        <v>58</v>
      </c>
    </row>
    <row r="4" spans="1:6" x14ac:dyDescent="0.55000000000000004">
      <c r="B4" s="38" t="s">
        <v>122</v>
      </c>
      <c r="C4" s="6" t="s">
        <v>10</v>
      </c>
      <c r="D4" s="56"/>
    </row>
    <row r="5" spans="1:6" x14ac:dyDescent="0.55000000000000004">
      <c r="B5" s="38" t="s">
        <v>123</v>
      </c>
      <c r="C5" s="6">
        <v>20</v>
      </c>
      <c r="D5" s="56" t="s">
        <v>6</v>
      </c>
      <c r="E5" s="6" t="s">
        <v>135</v>
      </c>
    </row>
    <row r="6" spans="1:6" x14ac:dyDescent="0.55000000000000004">
      <c r="B6" s="38" t="s">
        <v>124</v>
      </c>
      <c r="C6" s="6">
        <v>18</v>
      </c>
      <c r="D6" s="56" t="s">
        <v>6</v>
      </c>
      <c r="E6" s="6" t="s">
        <v>135</v>
      </c>
    </row>
    <row r="7" spans="1:6" x14ac:dyDescent="0.55000000000000004">
      <c r="B7" s="38" t="s">
        <v>125</v>
      </c>
      <c r="C7" s="6">
        <v>5</v>
      </c>
      <c r="D7" s="56" t="s">
        <v>7</v>
      </c>
      <c r="E7" s="6" t="s">
        <v>134</v>
      </c>
    </row>
    <row r="8" spans="1:6" x14ac:dyDescent="0.55000000000000004">
      <c r="B8" s="38" t="s">
        <v>125</v>
      </c>
      <c r="C8" s="6">
        <f>C7/60</f>
        <v>8.3333333333333329E-2</v>
      </c>
      <c r="D8" s="56" t="s">
        <v>8</v>
      </c>
    </row>
    <row r="9" spans="1:6" x14ac:dyDescent="0.55000000000000004">
      <c r="B9" s="38" t="s">
        <v>126</v>
      </c>
      <c r="C9" s="6">
        <f>C8*C5</f>
        <v>1.6666666666666665</v>
      </c>
      <c r="D9" s="56" t="s">
        <v>9</v>
      </c>
      <c r="E9" s="6" t="s">
        <v>141</v>
      </c>
    </row>
    <row r="10" spans="1:6" x14ac:dyDescent="0.55000000000000004">
      <c r="B10" s="38" t="s">
        <v>127</v>
      </c>
      <c r="C10" s="6">
        <f>C8*C6</f>
        <v>1.5</v>
      </c>
      <c r="D10" s="56" t="s">
        <v>9</v>
      </c>
      <c r="E10" s="6" t="s">
        <v>141</v>
      </c>
    </row>
    <row r="11" spans="1:6" x14ac:dyDescent="0.55000000000000004">
      <c r="B11" s="38" t="s">
        <v>76</v>
      </c>
      <c r="C11" s="6" t="s">
        <v>11</v>
      </c>
      <c r="D11" s="56"/>
    </row>
    <row r="12" spans="1:6" x14ac:dyDescent="0.55000000000000004">
      <c r="B12" s="38" t="s">
        <v>88</v>
      </c>
      <c r="C12" s="6">
        <v>3.16</v>
      </c>
      <c r="D12" s="56" t="s">
        <v>12</v>
      </c>
      <c r="E12" s="45" t="s">
        <v>136</v>
      </c>
    </row>
    <row r="13" spans="1:6" x14ac:dyDescent="0.55000000000000004">
      <c r="B13" s="38" t="s">
        <v>128</v>
      </c>
      <c r="C13" s="6">
        <f>C12*C9</f>
        <v>5.2666666666666666</v>
      </c>
      <c r="D13" s="56" t="s">
        <v>13</v>
      </c>
      <c r="E13" s="45"/>
    </row>
    <row r="14" spans="1:6" x14ac:dyDescent="0.55000000000000004">
      <c r="B14" s="38" t="s">
        <v>129</v>
      </c>
      <c r="C14" s="6">
        <f>C12*C10</f>
        <v>4.74</v>
      </c>
      <c r="D14" s="56" t="s">
        <v>13</v>
      </c>
    </row>
    <row r="15" spans="1:6" x14ac:dyDescent="0.55000000000000004">
      <c r="D15" s="56"/>
      <c r="E15" s="48"/>
      <c r="F15" s="45"/>
    </row>
    <row r="16" spans="1:6" x14ac:dyDescent="0.55000000000000004">
      <c r="B16" s="38" t="s">
        <v>122</v>
      </c>
      <c r="C16" s="6" t="s">
        <v>23</v>
      </c>
      <c r="D16" s="56"/>
    </row>
    <row r="17" spans="2:5" x14ac:dyDescent="0.55000000000000004">
      <c r="B17" s="38" t="s">
        <v>126</v>
      </c>
      <c r="C17" s="6">
        <v>4.5</v>
      </c>
      <c r="D17" s="56" t="s">
        <v>24</v>
      </c>
      <c r="E17" s="6" t="s">
        <v>142</v>
      </c>
    </row>
    <row r="18" spans="2:5" x14ac:dyDescent="0.55000000000000004">
      <c r="B18" s="38" t="s">
        <v>127</v>
      </c>
      <c r="C18" s="6">
        <v>4</v>
      </c>
      <c r="D18" s="56" t="s">
        <v>24</v>
      </c>
      <c r="E18" s="6" t="s">
        <v>142</v>
      </c>
    </row>
    <row r="19" spans="2:5" x14ac:dyDescent="0.55000000000000004">
      <c r="B19" s="38" t="s">
        <v>126</v>
      </c>
      <c r="C19" s="6">
        <f>3.6*C17</f>
        <v>16.2</v>
      </c>
      <c r="D19" s="56" t="s">
        <v>3</v>
      </c>
    </row>
    <row r="20" spans="2:5" x14ac:dyDescent="0.55000000000000004">
      <c r="B20" s="38" t="s">
        <v>127</v>
      </c>
      <c r="C20" s="6">
        <f>3.6*C18</f>
        <v>14.4</v>
      </c>
      <c r="D20" s="56" t="s">
        <v>3</v>
      </c>
    </row>
    <row r="21" spans="2:5" x14ac:dyDescent="0.55000000000000004">
      <c r="B21" s="38" t="s">
        <v>76</v>
      </c>
      <c r="C21" s="6" t="s">
        <v>25</v>
      </c>
      <c r="D21" s="56"/>
    </row>
    <row r="22" spans="2:5" x14ac:dyDescent="0.55000000000000004">
      <c r="B22" s="38" t="s">
        <v>88</v>
      </c>
      <c r="C22" s="6">
        <v>17.666</v>
      </c>
      <c r="D22" s="56" t="s">
        <v>17</v>
      </c>
      <c r="E22" s="45" t="s">
        <v>22</v>
      </c>
    </row>
    <row r="23" spans="2:5" x14ac:dyDescent="0.55000000000000004">
      <c r="B23" s="38" t="s">
        <v>128</v>
      </c>
      <c r="C23" s="6">
        <f>C22*C19/1000</f>
        <v>0.28618919999999998</v>
      </c>
      <c r="D23" s="56" t="s">
        <v>13</v>
      </c>
    </row>
    <row r="24" spans="2:5" x14ac:dyDescent="0.55000000000000004">
      <c r="B24" s="38" t="s">
        <v>129</v>
      </c>
      <c r="C24" s="6">
        <f>C22*C20/1000</f>
        <v>0.25439040000000002</v>
      </c>
      <c r="D24" s="56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6270-96A3-4AC6-BBBD-48080B1E48B5}">
  <dimension ref="A1:Q60"/>
  <sheetViews>
    <sheetView workbookViewId="0">
      <selection activeCell="L23" sqref="L23"/>
    </sheetView>
  </sheetViews>
  <sheetFormatPr baseColWidth="10" defaultColWidth="8.83984375" defaultRowHeight="14.4" x14ac:dyDescent="0.55000000000000004"/>
  <cols>
    <col min="1" max="1" width="5.41796875" style="6" customWidth="1"/>
    <col min="2" max="2" width="2.5234375" style="6" customWidth="1"/>
    <col min="3" max="3" width="4.1015625" style="6" customWidth="1"/>
    <col min="4" max="4" width="24.68359375" style="6" bestFit="1" customWidth="1"/>
    <col min="5" max="5" width="25.3125" style="6" customWidth="1"/>
    <col min="6" max="6" width="16.578125" style="6" customWidth="1"/>
    <col min="7" max="7" width="18" style="6" customWidth="1"/>
    <col min="8" max="8" width="20.578125" style="6" customWidth="1"/>
    <col min="9" max="10" width="18.578125" style="6" customWidth="1"/>
    <col min="11" max="11" width="18.9453125" style="6" customWidth="1"/>
    <col min="12" max="12" width="18.15625" style="6" customWidth="1"/>
    <col min="13" max="16" width="16.578125" style="6" customWidth="1"/>
    <col min="17" max="20" width="10.9453125" style="6" customWidth="1"/>
    <col min="21" max="21" width="19.47265625" style="6" customWidth="1"/>
    <col min="22" max="22" width="17.62890625" style="6" customWidth="1"/>
    <col min="23" max="23" width="13.3671875" style="6" customWidth="1"/>
    <col min="24" max="24" width="12.578125" style="6" customWidth="1"/>
    <col min="25" max="25" width="14.89453125" style="6" customWidth="1"/>
    <col min="26" max="26" width="14.83984375" style="6" customWidth="1"/>
    <col min="27" max="28" width="15.05078125" style="6" customWidth="1"/>
    <col min="29" max="16384" width="8.83984375" style="6"/>
  </cols>
  <sheetData>
    <row r="1" spans="1:17" ht="18.3" x14ac:dyDescent="0.7">
      <c r="A1" s="5" t="s">
        <v>82</v>
      </c>
    </row>
    <row r="2" spans="1:17" ht="18.3" x14ac:dyDescent="0.7">
      <c r="C2" s="5"/>
    </row>
    <row r="3" spans="1:17" x14ac:dyDescent="0.55000000000000004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18.3" x14ac:dyDescent="0.7">
      <c r="B4" s="19"/>
      <c r="C4" s="5" t="s">
        <v>41</v>
      </c>
      <c r="Q4" s="20"/>
    </row>
    <row r="5" spans="1:17" x14ac:dyDescent="0.55000000000000004">
      <c r="B5" s="19"/>
      <c r="Q5" s="20"/>
    </row>
    <row r="6" spans="1:17" x14ac:dyDescent="0.55000000000000004">
      <c r="B6" s="19"/>
      <c r="D6" s="21" t="s">
        <v>42</v>
      </c>
      <c r="E6" s="22" t="s">
        <v>43</v>
      </c>
      <c r="G6"/>
      <c r="Q6" s="20"/>
    </row>
    <row r="7" spans="1:17" x14ac:dyDescent="0.55000000000000004">
      <c r="B7" s="19"/>
      <c r="Q7" s="20"/>
    </row>
    <row r="8" spans="1:17" s="7" customFormat="1" ht="29.7" customHeight="1" x14ac:dyDescent="0.55000000000000004">
      <c r="B8" s="23"/>
      <c r="C8" s="24"/>
      <c r="D8" s="25" t="s">
        <v>110</v>
      </c>
      <c r="E8" s="25" t="s">
        <v>46</v>
      </c>
      <c r="F8" s="25" t="s">
        <v>44</v>
      </c>
      <c r="G8" s="25" t="s">
        <v>45</v>
      </c>
      <c r="H8" s="25" t="s">
        <v>106</v>
      </c>
      <c r="I8" s="25" t="s">
        <v>49</v>
      </c>
      <c r="J8" s="25" t="s">
        <v>107</v>
      </c>
      <c r="K8" s="25" t="s">
        <v>50</v>
      </c>
      <c r="L8" s="25" t="s">
        <v>108</v>
      </c>
      <c r="M8" s="25" t="s">
        <v>109</v>
      </c>
      <c r="N8" s="25" t="s">
        <v>51</v>
      </c>
      <c r="O8" s="25" t="s">
        <v>48</v>
      </c>
      <c r="P8" s="25" t="s">
        <v>47</v>
      </c>
      <c r="Q8" s="26"/>
    </row>
    <row r="9" spans="1:17" s="8" customFormat="1" x14ac:dyDescent="0.55000000000000004">
      <c r="B9" s="27"/>
      <c r="D9" s="9"/>
      <c r="E9" s="9" t="s">
        <v>0</v>
      </c>
      <c r="F9" s="9"/>
      <c r="G9" s="9" t="s">
        <v>0</v>
      </c>
      <c r="H9" s="9"/>
      <c r="I9" s="9" t="s">
        <v>0</v>
      </c>
      <c r="J9" s="9"/>
      <c r="K9" s="9" t="s">
        <v>0</v>
      </c>
      <c r="L9" s="9"/>
      <c r="M9" s="9"/>
      <c r="N9" s="9" t="s">
        <v>0</v>
      </c>
      <c r="O9" s="9" t="s">
        <v>0</v>
      </c>
      <c r="P9" s="9" t="s">
        <v>0</v>
      </c>
      <c r="Q9" s="28"/>
    </row>
    <row r="10" spans="1:17" s="10" customFormat="1" x14ac:dyDescent="0.55000000000000004">
      <c r="B10" s="29"/>
      <c r="C10" s="30"/>
      <c r="D10" s="31">
        <v>0</v>
      </c>
      <c r="E10" s="31">
        <v>27</v>
      </c>
      <c r="F10" s="31">
        <v>222</v>
      </c>
      <c r="G10" s="31">
        <v>400000</v>
      </c>
      <c r="H10" s="31">
        <v>15</v>
      </c>
      <c r="I10" s="31">
        <v>14.95</v>
      </c>
      <c r="J10" s="31">
        <v>60</v>
      </c>
      <c r="K10" s="31">
        <v>3</v>
      </c>
      <c r="L10" s="32">
        <f>G10/E10</f>
        <v>14814.814814814816</v>
      </c>
      <c r="M10" s="32">
        <f>L10*D10</f>
        <v>0</v>
      </c>
      <c r="N10" s="32">
        <f>G10/(F10*J10)</f>
        <v>30.03003003003003</v>
      </c>
      <c r="O10" s="32">
        <f>G10/F10</f>
        <v>1801.8018018018017</v>
      </c>
      <c r="P10" s="32">
        <f>H10*I10+J10*(K10+E10)</f>
        <v>2024.25</v>
      </c>
      <c r="Q10" s="33"/>
    </row>
    <row r="11" spans="1:17" x14ac:dyDescent="0.55000000000000004">
      <c r="B11" s="34"/>
      <c r="C11" s="35"/>
      <c r="D11" s="35"/>
      <c r="E11" s="54" t="s">
        <v>94</v>
      </c>
      <c r="F11" s="35"/>
      <c r="G11" s="35"/>
      <c r="H11" s="35"/>
      <c r="I11" s="35"/>
      <c r="J11" s="35"/>
      <c r="K11" s="35"/>
      <c r="L11" s="35"/>
      <c r="M11" s="35"/>
      <c r="N11" s="54" t="s">
        <v>95</v>
      </c>
      <c r="O11" s="50"/>
      <c r="P11" s="50"/>
      <c r="Q11" s="36"/>
    </row>
    <row r="12" spans="1:17" x14ac:dyDescent="0.55000000000000004">
      <c r="E12" s="11"/>
    </row>
    <row r="13" spans="1:17" x14ac:dyDescent="0.55000000000000004">
      <c r="B13" s="15"/>
      <c r="C13" s="17"/>
      <c r="D13" s="17"/>
      <c r="E13" s="37"/>
      <c r="F13" s="17"/>
      <c r="G13" s="17"/>
      <c r="H13" s="17"/>
      <c r="I13" s="17"/>
      <c r="J13" s="17"/>
      <c r="K13" s="17"/>
      <c r="L13" s="18"/>
      <c r="O13" s="13"/>
    </row>
    <row r="14" spans="1:17" ht="18.3" x14ac:dyDescent="0.7">
      <c r="B14" s="19"/>
      <c r="C14" s="5" t="s">
        <v>71</v>
      </c>
      <c r="L14" s="20"/>
      <c r="O14" s="13"/>
    </row>
    <row r="15" spans="1:17" x14ac:dyDescent="0.55000000000000004">
      <c r="B15" s="19"/>
      <c r="L15" s="20"/>
    </row>
    <row r="16" spans="1:17" ht="28.8" x14ac:dyDescent="0.55000000000000004">
      <c r="B16" s="19"/>
      <c r="C16" s="38" t="s">
        <v>72</v>
      </c>
      <c r="D16" s="38" t="s">
        <v>73</v>
      </c>
      <c r="E16" s="38" t="s">
        <v>74</v>
      </c>
      <c r="F16" s="38" t="s">
        <v>75</v>
      </c>
      <c r="G16" s="38" t="s">
        <v>76</v>
      </c>
      <c r="H16" s="38" t="s">
        <v>77</v>
      </c>
      <c r="I16" s="25" t="s">
        <v>80</v>
      </c>
      <c r="J16" s="25" t="s">
        <v>81</v>
      </c>
      <c r="L16" s="20"/>
    </row>
    <row r="17" spans="2:12" x14ac:dyDescent="0.55000000000000004">
      <c r="B17" s="19"/>
      <c r="C17" s="40"/>
      <c r="D17" s="40"/>
      <c r="E17" s="40"/>
      <c r="F17" s="40"/>
      <c r="G17" s="40"/>
      <c r="H17" s="40"/>
      <c r="I17" s="53" t="s">
        <v>3</v>
      </c>
      <c r="J17" s="53" t="s">
        <v>13</v>
      </c>
      <c r="K17" s="35"/>
      <c r="L17" s="20"/>
    </row>
    <row r="18" spans="2:12" x14ac:dyDescent="0.55000000000000004">
      <c r="B18" s="19"/>
      <c r="C18" s="6">
        <v>1</v>
      </c>
      <c r="D18" s="6" t="s">
        <v>16</v>
      </c>
      <c r="E18" s="6" t="s">
        <v>118</v>
      </c>
      <c r="F18" s="6" t="s">
        <v>5</v>
      </c>
      <c r="G18" s="6" t="s">
        <v>11</v>
      </c>
      <c r="H18" s="6" t="s">
        <v>78</v>
      </c>
      <c r="J18" s="39">
        <f>F55</f>
        <v>2649550.632478633</v>
      </c>
      <c r="K18" s="51">
        <f>J18</f>
        <v>2649550.632478633</v>
      </c>
      <c r="L18" s="57">
        <f>J18</f>
        <v>2649550.632478633</v>
      </c>
    </row>
    <row r="19" spans="2:12" x14ac:dyDescent="0.55000000000000004">
      <c r="B19" s="19"/>
      <c r="C19" s="35">
        <v>2</v>
      </c>
      <c r="D19" s="35" t="s">
        <v>16</v>
      </c>
      <c r="E19" s="35" t="s">
        <v>119</v>
      </c>
      <c r="F19" s="35" t="s">
        <v>5</v>
      </c>
      <c r="G19" s="35" t="s">
        <v>11</v>
      </c>
      <c r="H19" s="35" t="s">
        <v>79</v>
      </c>
      <c r="I19" s="35"/>
      <c r="J19" s="41">
        <f>F56</f>
        <v>1589064.6632478635</v>
      </c>
      <c r="K19" s="52">
        <f>J19</f>
        <v>1589064.6632478635</v>
      </c>
      <c r="L19" s="57">
        <f>K19+L18</f>
        <v>4238615.2957264967</v>
      </c>
    </row>
    <row r="20" spans="2:12" x14ac:dyDescent="0.55000000000000004">
      <c r="B20" s="19"/>
      <c r="J20" s="39"/>
      <c r="L20" s="20"/>
    </row>
    <row r="21" spans="2:12" x14ac:dyDescent="0.55000000000000004">
      <c r="B21" s="19"/>
      <c r="I21" s="2" t="s">
        <v>143</v>
      </c>
      <c r="J21" s="42">
        <f>SUM(J18:J19)</f>
        <v>4238615.2957264967</v>
      </c>
      <c r="K21" s="2" t="s">
        <v>13</v>
      </c>
      <c r="L21" s="20"/>
    </row>
    <row r="22" spans="2:12" x14ac:dyDescent="0.55000000000000004">
      <c r="B22" s="19"/>
      <c r="I22" s="2" t="s">
        <v>144</v>
      </c>
      <c r="J22" s="42">
        <f>J21/G10</f>
        <v>10.596538239316242</v>
      </c>
      <c r="K22" s="2" t="s">
        <v>145</v>
      </c>
      <c r="L22" s="20"/>
    </row>
    <row r="23" spans="2:12" x14ac:dyDescent="0.55000000000000004"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6"/>
    </row>
    <row r="25" spans="2:12" x14ac:dyDescent="0.55000000000000004">
      <c r="B25" s="15"/>
      <c r="C25" s="17"/>
      <c r="D25" s="17"/>
      <c r="E25" s="17"/>
      <c r="F25" s="17"/>
      <c r="G25" s="17"/>
      <c r="H25" s="17"/>
      <c r="I25" s="17"/>
      <c r="J25" s="17"/>
      <c r="K25" s="17"/>
      <c r="L25" s="18"/>
    </row>
    <row r="26" spans="2:12" ht="18.3" x14ac:dyDescent="0.7">
      <c r="B26" s="19"/>
      <c r="C26" s="5" t="s">
        <v>70</v>
      </c>
      <c r="D26" s="5"/>
      <c r="L26" s="20"/>
    </row>
    <row r="27" spans="2:12" x14ac:dyDescent="0.55000000000000004">
      <c r="B27" s="19"/>
      <c r="L27" s="20"/>
    </row>
    <row r="28" spans="2:12" ht="28.8" x14ac:dyDescent="0.55000000000000004">
      <c r="B28" s="19"/>
      <c r="C28" s="58" t="s">
        <v>72</v>
      </c>
      <c r="D28" s="38" t="s">
        <v>83</v>
      </c>
      <c r="E28" s="38" t="s">
        <v>84</v>
      </c>
      <c r="F28" s="25" t="s">
        <v>85</v>
      </c>
      <c r="G28" s="25" t="s">
        <v>86</v>
      </c>
      <c r="H28" s="60" t="s">
        <v>87</v>
      </c>
      <c r="I28" s="60"/>
      <c r="J28" s="38" t="s">
        <v>88</v>
      </c>
      <c r="K28" s="38" t="s">
        <v>89</v>
      </c>
      <c r="L28" s="20"/>
    </row>
    <row r="29" spans="2:12" x14ac:dyDescent="0.55000000000000004">
      <c r="B29" s="19"/>
      <c r="C29" s="59"/>
      <c r="D29" s="49" t="s">
        <v>2</v>
      </c>
      <c r="E29" s="49" t="s">
        <v>19</v>
      </c>
      <c r="F29" s="49" t="s">
        <v>18</v>
      </c>
      <c r="G29" s="49" t="s">
        <v>20</v>
      </c>
      <c r="H29" s="49" t="s">
        <v>21</v>
      </c>
      <c r="I29" s="49" t="s">
        <v>3</v>
      </c>
      <c r="J29" s="49" t="s">
        <v>17</v>
      </c>
      <c r="K29" s="49" t="s">
        <v>13</v>
      </c>
      <c r="L29" s="20"/>
    </row>
    <row r="30" spans="2:12" x14ac:dyDescent="0.55000000000000004">
      <c r="B30" s="19"/>
      <c r="D30" s="30">
        <v>0</v>
      </c>
      <c r="E30" s="30">
        <f>P10*F10</f>
        <v>449383.5</v>
      </c>
      <c r="F30" s="30">
        <f>E30*D30</f>
        <v>0</v>
      </c>
      <c r="G30" s="30">
        <v>29.1</v>
      </c>
      <c r="H30" s="30">
        <f>G30*F30</f>
        <v>0</v>
      </c>
      <c r="I30" s="30">
        <f>0.0036*H30</f>
        <v>0</v>
      </c>
      <c r="J30" s="48">
        <f>88.8+(88.5-88.8)/1*0.6</f>
        <v>88.62</v>
      </c>
      <c r="K30" s="30">
        <f>J30*I30/1000</f>
        <v>0</v>
      </c>
      <c r="L30" s="20"/>
    </row>
    <row r="31" spans="2:12" x14ac:dyDescent="0.55000000000000004">
      <c r="B31" s="19"/>
      <c r="D31" s="30">
        <v>0</v>
      </c>
      <c r="E31" s="30">
        <f>P10*F10</f>
        <v>449383.5</v>
      </c>
      <c r="F31" s="30">
        <f>E31*D31</f>
        <v>0</v>
      </c>
      <c r="G31" s="30">
        <v>10.8</v>
      </c>
      <c r="H31" s="30">
        <f>G31*F31</f>
        <v>0</v>
      </c>
      <c r="I31" s="30">
        <f>0.0036*H31</f>
        <v>0</v>
      </c>
      <c r="J31" s="30">
        <v>49</v>
      </c>
      <c r="K31" s="30">
        <f>J31*I31/1000</f>
        <v>0</v>
      </c>
      <c r="L31" s="20"/>
    </row>
    <row r="32" spans="2:12" x14ac:dyDescent="0.55000000000000004">
      <c r="B32" s="19"/>
      <c r="D32" s="30">
        <v>0</v>
      </c>
      <c r="E32" s="30">
        <f>(P10-O10)*F10</f>
        <v>49383.500000000015</v>
      </c>
      <c r="F32" s="30">
        <f t="shared" ref="F32:F33" si="0">E32*D32</f>
        <v>0</v>
      </c>
      <c r="G32" s="30">
        <f>10.8</f>
        <v>10.8</v>
      </c>
      <c r="H32" s="30">
        <f t="shared" ref="H32:H33" si="1">G32*F32</f>
        <v>0</v>
      </c>
      <c r="I32" s="30">
        <f t="shared" ref="I32:I33" si="2">0.0036*H32</f>
        <v>0</v>
      </c>
      <c r="J32" s="30">
        <v>49</v>
      </c>
      <c r="K32" s="30">
        <f t="shared" ref="K32:K33" si="3">J32*I32/1000</f>
        <v>0</v>
      </c>
      <c r="L32" s="20"/>
    </row>
    <row r="33" spans="2:13" x14ac:dyDescent="0.55000000000000004">
      <c r="B33" s="19"/>
      <c r="D33" s="30">
        <v>0</v>
      </c>
      <c r="E33" s="30">
        <f>(P10-O10)*F10</f>
        <v>49383.500000000015</v>
      </c>
      <c r="F33" s="30">
        <f t="shared" si="0"/>
        <v>0</v>
      </c>
      <c r="G33" s="30">
        <v>29.1</v>
      </c>
      <c r="H33" s="30">
        <f t="shared" si="1"/>
        <v>0</v>
      </c>
      <c r="I33" s="30">
        <f t="shared" si="2"/>
        <v>0</v>
      </c>
      <c r="J33" s="48">
        <f>88.8+(88.5-88.8)/1*0.6</f>
        <v>88.62</v>
      </c>
      <c r="K33" s="30">
        <f t="shared" si="3"/>
        <v>0</v>
      </c>
      <c r="L33" s="20"/>
    </row>
    <row r="34" spans="2:13" x14ac:dyDescent="0.55000000000000004">
      <c r="B34" s="19"/>
      <c r="L34" s="20"/>
    </row>
    <row r="35" spans="2:13" x14ac:dyDescent="0.55000000000000004">
      <c r="B35" s="19"/>
      <c r="C35" s="6" t="s">
        <v>90</v>
      </c>
      <c r="L35" s="20"/>
    </row>
    <row r="36" spans="2:13" x14ac:dyDescent="0.55000000000000004">
      <c r="B36" s="19"/>
      <c r="C36" s="6" t="s">
        <v>91</v>
      </c>
      <c r="L36" s="20"/>
    </row>
    <row r="37" spans="2:13" x14ac:dyDescent="0.55000000000000004">
      <c r="B37" s="19"/>
      <c r="C37" s="6" t="s">
        <v>140</v>
      </c>
      <c r="L37" s="20"/>
    </row>
    <row r="38" spans="2:13" x14ac:dyDescent="0.55000000000000004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6"/>
    </row>
    <row r="40" spans="2:13" x14ac:dyDescent="0.55000000000000004">
      <c r="B40" s="15"/>
      <c r="C40" s="17"/>
      <c r="D40" s="17"/>
      <c r="E40" s="17"/>
      <c r="F40" s="17"/>
      <c r="G40" s="17"/>
      <c r="H40" s="17"/>
      <c r="I40" s="18"/>
    </row>
    <row r="41" spans="2:13" ht="18.3" x14ac:dyDescent="0.7">
      <c r="B41" s="19"/>
      <c r="C41" s="5" t="s">
        <v>69</v>
      </c>
      <c r="I41" s="20"/>
    </row>
    <row r="42" spans="2:13" ht="14.4" customHeight="1" x14ac:dyDescent="0.7">
      <c r="B42" s="19"/>
      <c r="C42" s="5"/>
      <c r="I42" s="20"/>
    </row>
    <row r="43" spans="2:13" x14ac:dyDescent="0.55000000000000004">
      <c r="B43" s="19"/>
      <c r="D43" s="40" t="s">
        <v>14</v>
      </c>
      <c r="E43" s="40" t="s">
        <v>56</v>
      </c>
      <c r="F43" s="40" t="s">
        <v>57</v>
      </c>
      <c r="G43" s="40" t="s">
        <v>58</v>
      </c>
      <c r="I43" s="20"/>
    </row>
    <row r="44" spans="2:13" ht="14.4" customHeight="1" x14ac:dyDescent="0.55000000000000004">
      <c r="B44" s="19"/>
      <c r="D44" s="43" t="s">
        <v>60</v>
      </c>
      <c r="E44" s="44" t="s">
        <v>1</v>
      </c>
      <c r="F44" s="45">
        <v>8.5</v>
      </c>
      <c r="G44" s="45" t="s">
        <v>61</v>
      </c>
      <c r="I44" s="20"/>
    </row>
    <row r="45" spans="2:13" ht="14.4" customHeight="1" x14ac:dyDescent="0.55000000000000004">
      <c r="B45" s="19"/>
      <c r="D45" s="43" t="s">
        <v>59</v>
      </c>
      <c r="E45" s="44" t="s">
        <v>1</v>
      </c>
      <c r="F45" s="45">
        <v>14.4</v>
      </c>
      <c r="G45" s="45" t="s">
        <v>62</v>
      </c>
      <c r="I45" s="20"/>
      <c r="M45" s="12"/>
    </row>
    <row r="46" spans="2:13" ht="28.8" x14ac:dyDescent="0.55000000000000004">
      <c r="B46" s="19"/>
      <c r="D46" s="43" t="s">
        <v>55</v>
      </c>
      <c r="E46" s="44" t="s">
        <v>1</v>
      </c>
      <c r="F46" s="46">
        <f>F44+(F45-F44)/(40-14)*K10</f>
        <v>9.180769230769231</v>
      </c>
      <c r="G46" s="45"/>
      <c r="I46" s="20"/>
      <c r="M46" s="12"/>
    </row>
    <row r="47" spans="2:13" ht="28.8" x14ac:dyDescent="0.55000000000000004">
      <c r="B47" s="19"/>
      <c r="D47" s="43" t="s">
        <v>63</v>
      </c>
      <c r="E47" s="44" t="s">
        <v>1</v>
      </c>
      <c r="F47" s="46">
        <f>F44+(F45-F44)/(40-14)*(E10+K10)</f>
        <v>15.307692307692308</v>
      </c>
      <c r="G47" s="45"/>
      <c r="I47" s="20"/>
    </row>
    <row r="48" spans="2:13" x14ac:dyDescent="0.55000000000000004">
      <c r="B48" s="19"/>
      <c r="D48" s="43" t="s">
        <v>52</v>
      </c>
      <c r="E48" s="44" t="s">
        <v>2</v>
      </c>
      <c r="F48" s="45">
        <v>132</v>
      </c>
      <c r="G48" s="45"/>
      <c r="I48" s="20"/>
      <c r="M48" s="13"/>
    </row>
    <row r="49" spans="2:9" x14ac:dyDescent="0.55000000000000004">
      <c r="B49" s="19"/>
      <c r="D49" s="43" t="s">
        <v>53</v>
      </c>
      <c r="E49" s="44" t="s">
        <v>2</v>
      </c>
      <c r="F49" s="45">
        <v>132</v>
      </c>
      <c r="G49" s="45"/>
      <c r="I49" s="20"/>
    </row>
    <row r="50" spans="2:9" ht="28.8" x14ac:dyDescent="0.55000000000000004">
      <c r="B50" s="19"/>
      <c r="D50" s="43" t="s">
        <v>64</v>
      </c>
      <c r="E50" s="44" t="s">
        <v>2</v>
      </c>
      <c r="F50" s="47">
        <f>F48*L10</f>
        <v>1955555.5555555557</v>
      </c>
      <c r="G50" s="45"/>
      <c r="I50" s="20"/>
    </row>
    <row r="51" spans="2:9" ht="28.8" x14ac:dyDescent="0.55000000000000004">
      <c r="B51" s="19"/>
      <c r="D51" s="43" t="s">
        <v>65</v>
      </c>
      <c r="E51" s="44" t="s">
        <v>2</v>
      </c>
      <c r="F51" s="47">
        <f>F49*L10</f>
        <v>1955555.5555555557</v>
      </c>
      <c r="G51" s="45"/>
      <c r="I51" s="20"/>
    </row>
    <row r="52" spans="2:9" ht="28.8" x14ac:dyDescent="0.55000000000000004">
      <c r="B52" s="19"/>
      <c r="D52" s="43" t="s">
        <v>54</v>
      </c>
      <c r="E52" s="44" t="s">
        <v>3</v>
      </c>
      <c r="F52" s="47">
        <f>F50*F47</f>
        <v>29935042.73504274</v>
      </c>
      <c r="G52" s="45"/>
      <c r="I52" s="20"/>
    </row>
    <row r="53" spans="2:9" ht="28.8" x14ac:dyDescent="0.55000000000000004">
      <c r="B53" s="19"/>
      <c r="D53" s="43" t="s">
        <v>55</v>
      </c>
      <c r="E53" s="44" t="s">
        <v>3</v>
      </c>
      <c r="F53" s="47">
        <f>F51*F46</f>
        <v>17953504.273504276</v>
      </c>
      <c r="G53" s="45"/>
      <c r="I53" s="20"/>
    </row>
    <row r="54" spans="2:9" x14ac:dyDescent="0.55000000000000004">
      <c r="B54" s="19"/>
      <c r="D54" s="43" t="s">
        <v>66</v>
      </c>
      <c r="E54" s="44" t="s">
        <v>17</v>
      </c>
      <c r="F54" s="48">
        <v>88.51</v>
      </c>
      <c r="G54" s="45" t="s">
        <v>132</v>
      </c>
      <c r="I54" s="20"/>
    </row>
    <row r="55" spans="2:9" x14ac:dyDescent="0.55000000000000004">
      <c r="B55" s="19"/>
      <c r="D55" s="43" t="s">
        <v>67</v>
      </c>
      <c r="E55" s="44" t="s">
        <v>13</v>
      </c>
      <c r="F55" s="48">
        <f>F52*F54/1000</f>
        <v>2649550.632478633</v>
      </c>
      <c r="G55" s="45"/>
      <c r="I55" s="20"/>
    </row>
    <row r="56" spans="2:9" x14ac:dyDescent="0.55000000000000004">
      <c r="B56" s="19"/>
      <c r="D56" s="43" t="s">
        <v>68</v>
      </c>
      <c r="E56" s="44" t="s">
        <v>13</v>
      </c>
      <c r="F56" s="48">
        <f>F54*F53/1000</f>
        <v>1589064.6632478635</v>
      </c>
      <c r="G56" s="45"/>
      <c r="I56" s="20"/>
    </row>
    <row r="57" spans="2:9" x14ac:dyDescent="0.55000000000000004">
      <c r="B57" s="34"/>
      <c r="C57" s="35"/>
      <c r="D57" s="35"/>
      <c r="E57" s="35"/>
      <c r="F57" s="35"/>
      <c r="G57" s="35"/>
      <c r="H57" s="35"/>
      <c r="I57" s="36"/>
    </row>
    <row r="59" spans="2:9" x14ac:dyDescent="0.55000000000000004">
      <c r="F59" s="48"/>
      <c r="G59" s="45"/>
    </row>
    <row r="60" spans="2:9" x14ac:dyDescent="0.55000000000000004">
      <c r="G60" s="14"/>
    </row>
  </sheetData>
  <mergeCells count="2">
    <mergeCell ref="C28:C29"/>
    <mergeCell ref="H28:I28"/>
  </mergeCells>
  <conditionalFormatting sqref="K18:K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{3D2C3050-EA88-4ECC-B29C-EAB0D754F3EB}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2C3050-EA88-4ECC-B29C-EAB0D754F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B570-09CE-4D1B-AE05-26B1B6E66BE1}">
  <dimension ref="A1:Q60"/>
  <sheetViews>
    <sheetView workbookViewId="0">
      <selection activeCell="K22" sqref="K22"/>
    </sheetView>
  </sheetViews>
  <sheetFormatPr baseColWidth="10" defaultColWidth="8.83984375" defaultRowHeight="14.4" x14ac:dyDescent="0.55000000000000004"/>
  <cols>
    <col min="1" max="1" width="5.41796875" style="6" customWidth="1"/>
    <col min="2" max="2" width="2.5234375" style="6" customWidth="1"/>
    <col min="3" max="3" width="4.1015625" style="6" customWidth="1"/>
    <col min="4" max="4" width="24.68359375" style="6" bestFit="1" customWidth="1"/>
    <col min="5" max="5" width="25.3125" style="6" customWidth="1"/>
    <col min="6" max="6" width="16.578125" style="6" customWidth="1"/>
    <col min="7" max="7" width="18" style="6" customWidth="1"/>
    <col min="8" max="8" width="20.578125" style="6" customWidth="1"/>
    <col min="9" max="10" width="18.578125" style="6" customWidth="1"/>
    <col min="11" max="11" width="18.9453125" style="6" customWidth="1"/>
    <col min="12" max="12" width="18.15625" style="6" customWidth="1"/>
    <col min="13" max="16" width="16.578125" style="6" customWidth="1"/>
    <col min="17" max="20" width="10.9453125" style="6" customWidth="1"/>
    <col min="21" max="21" width="19.47265625" style="6" customWidth="1"/>
    <col min="22" max="22" width="17.62890625" style="6" customWidth="1"/>
    <col min="23" max="23" width="13.3671875" style="6" customWidth="1"/>
    <col min="24" max="24" width="12.578125" style="6" customWidth="1"/>
    <col min="25" max="25" width="14.89453125" style="6" customWidth="1"/>
    <col min="26" max="26" width="14.83984375" style="6" customWidth="1"/>
    <col min="27" max="28" width="15.05078125" style="6" customWidth="1"/>
    <col min="29" max="16384" width="8.83984375" style="6"/>
  </cols>
  <sheetData>
    <row r="1" spans="1:17" ht="18.3" x14ac:dyDescent="0.7">
      <c r="A1" s="5" t="s">
        <v>130</v>
      </c>
    </row>
    <row r="2" spans="1:17" ht="18.3" x14ac:dyDescent="0.7">
      <c r="C2" s="5"/>
    </row>
    <row r="3" spans="1:17" x14ac:dyDescent="0.55000000000000004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18.3" x14ac:dyDescent="0.7">
      <c r="B4" s="19"/>
      <c r="C4" s="5" t="s">
        <v>41</v>
      </c>
      <c r="Q4" s="20"/>
    </row>
    <row r="5" spans="1:17" x14ac:dyDescent="0.55000000000000004">
      <c r="B5" s="19"/>
      <c r="Q5" s="20"/>
    </row>
    <row r="6" spans="1:17" x14ac:dyDescent="0.55000000000000004">
      <c r="B6" s="19"/>
      <c r="D6" s="21" t="s">
        <v>42</v>
      </c>
      <c r="E6" s="22" t="s">
        <v>43</v>
      </c>
      <c r="G6"/>
      <c r="Q6" s="20"/>
    </row>
    <row r="7" spans="1:17" x14ac:dyDescent="0.55000000000000004">
      <c r="B7" s="19"/>
      <c r="Q7" s="20"/>
    </row>
    <row r="8" spans="1:17" s="7" customFormat="1" ht="29.7" customHeight="1" x14ac:dyDescent="0.55000000000000004">
      <c r="B8" s="23"/>
      <c r="C8" s="24"/>
      <c r="D8" s="25" t="s">
        <v>110</v>
      </c>
      <c r="E8" s="25" t="s">
        <v>46</v>
      </c>
      <c r="F8" s="25" t="s">
        <v>44</v>
      </c>
      <c r="G8" s="25" t="s">
        <v>45</v>
      </c>
      <c r="H8" s="25" t="s">
        <v>106</v>
      </c>
      <c r="I8" s="25" t="s">
        <v>49</v>
      </c>
      <c r="J8" s="25" t="s">
        <v>107</v>
      </c>
      <c r="K8" s="25" t="s">
        <v>50</v>
      </c>
      <c r="L8" s="25" t="s">
        <v>108</v>
      </c>
      <c r="M8" s="25" t="s">
        <v>109</v>
      </c>
      <c r="N8" s="25" t="s">
        <v>51</v>
      </c>
      <c r="O8" s="25" t="s">
        <v>48</v>
      </c>
      <c r="P8" s="25" t="s">
        <v>47</v>
      </c>
      <c r="Q8" s="26"/>
    </row>
    <row r="9" spans="1:17" s="8" customFormat="1" x14ac:dyDescent="0.55000000000000004">
      <c r="B9" s="27"/>
      <c r="D9" s="9"/>
      <c r="E9" s="9" t="s">
        <v>0</v>
      </c>
      <c r="F9" s="9"/>
      <c r="G9" s="9" t="s">
        <v>0</v>
      </c>
      <c r="H9" s="9"/>
      <c r="I9" s="9" t="s">
        <v>0</v>
      </c>
      <c r="J9" s="9"/>
      <c r="K9" s="9" t="s">
        <v>0</v>
      </c>
      <c r="L9" s="9"/>
      <c r="M9" s="9"/>
      <c r="N9" s="9" t="s">
        <v>0</v>
      </c>
      <c r="O9" s="9" t="s">
        <v>0</v>
      </c>
      <c r="P9" s="9" t="s">
        <v>0</v>
      </c>
      <c r="Q9" s="28"/>
    </row>
    <row r="10" spans="1:17" s="10" customFormat="1" x14ac:dyDescent="0.55000000000000004">
      <c r="B10" s="29"/>
      <c r="C10" s="30"/>
      <c r="D10" s="31">
        <v>0</v>
      </c>
      <c r="E10" s="31">
        <v>27</v>
      </c>
      <c r="F10" s="31">
        <v>222</v>
      </c>
      <c r="G10" s="31">
        <v>400000</v>
      </c>
      <c r="H10" s="31">
        <v>15</v>
      </c>
      <c r="I10" s="31">
        <v>14.95</v>
      </c>
      <c r="J10" s="31">
        <v>60</v>
      </c>
      <c r="K10" s="31">
        <v>3</v>
      </c>
      <c r="L10" s="32">
        <f>G10/E10</f>
        <v>14814.814814814816</v>
      </c>
      <c r="M10" s="32">
        <f>L10*D10</f>
        <v>0</v>
      </c>
      <c r="N10" s="32">
        <f>G10/(F10*J10)</f>
        <v>30.03003003003003</v>
      </c>
      <c r="O10" s="32">
        <f>G10/F10</f>
        <v>1801.8018018018017</v>
      </c>
      <c r="P10" s="32">
        <f>H10*I10+J10*(K10+E10)</f>
        <v>2024.25</v>
      </c>
      <c r="Q10" s="33"/>
    </row>
    <row r="11" spans="1:17" x14ac:dyDescent="0.55000000000000004">
      <c r="B11" s="34"/>
      <c r="C11" s="35"/>
      <c r="D11" s="35"/>
      <c r="E11" s="54" t="s">
        <v>94</v>
      </c>
      <c r="F11" s="35"/>
      <c r="G11" s="35"/>
      <c r="H11" s="35"/>
      <c r="I11" s="35"/>
      <c r="J11" s="35"/>
      <c r="K11" s="35"/>
      <c r="L11" s="35"/>
      <c r="M11" s="35"/>
      <c r="N11" s="54" t="s">
        <v>95</v>
      </c>
      <c r="O11" s="50"/>
      <c r="P11" s="50"/>
      <c r="Q11" s="36"/>
    </row>
    <row r="12" spans="1:17" x14ac:dyDescent="0.55000000000000004">
      <c r="E12" s="11"/>
    </row>
    <row r="13" spans="1:17" x14ac:dyDescent="0.55000000000000004">
      <c r="B13" s="15"/>
      <c r="C13" s="17"/>
      <c r="D13" s="17"/>
      <c r="E13" s="37"/>
      <c r="F13" s="17"/>
      <c r="G13" s="17"/>
      <c r="H13" s="17"/>
      <c r="I13" s="17"/>
      <c r="J13" s="17"/>
      <c r="K13" s="17"/>
      <c r="L13" s="18"/>
      <c r="O13" s="13"/>
    </row>
    <row r="14" spans="1:17" ht="18.3" x14ac:dyDescent="0.7">
      <c r="B14" s="19"/>
      <c r="C14" s="5" t="s">
        <v>71</v>
      </c>
      <c r="L14" s="20"/>
      <c r="O14" s="13"/>
    </row>
    <row r="15" spans="1:17" x14ac:dyDescent="0.55000000000000004">
      <c r="B15" s="19"/>
      <c r="L15" s="20"/>
    </row>
    <row r="16" spans="1:17" ht="28.8" x14ac:dyDescent="0.55000000000000004">
      <c r="B16" s="19"/>
      <c r="C16" s="38" t="s">
        <v>72</v>
      </c>
      <c r="D16" s="38" t="s">
        <v>73</v>
      </c>
      <c r="E16" s="38" t="s">
        <v>74</v>
      </c>
      <c r="F16" s="38" t="s">
        <v>75</v>
      </c>
      <c r="G16" s="38" t="s">
        <v>76</v>
      </c>
      <c r="H16" s="38" t="s">
        <v>77</v>
      </c>
      <c r="I16" s="25" t="s">
        <v>80</v>
      </c>
      <c r="J16" s="25" t="s">
        <v>81</v>
      </c>
      <c r="L16" s="20"/>
    </row>
    <row r="17" spans="2:12" x14ac:dyDescent="0.55000000000000004">
      <c r="B17" s="19"/>
      <c r="C17" s="40"/>
      <c r="D17" s="40"/>
      <c r="E17" s="40"/>
      <c r="F17" s="40"/>
      <c r="G17" s="40"/>
      <c r="H17" s="40"/>
      <c r="I17" s="53" t="s">
        <v>3</v>
      </c>
      <c r="J17" s="53" t="s">
        <v>13</v>
      </c>
      <c r="K17" s="35"/>
      <c r="L17" s="20"/>
    </row>
    <row r="18" spans="2:12" x14ac:dyDescent="0.55000000000000004">
      <c r="B18" s="19"/>
      <c r="C18" s="6">
        <v>1</v>
      </c>
      <c r="D18" s="6" t="s">
        <v>16</v>
      </c>
      <c r="E18" s="6" t="s">
        <v>118</v>
      </c>
      <c r="F18" s="6" t="s">
        <v>5</v>
      </c>
      <c r="G18" s="6" t="s">
        <v>131</v>
      </c>
      <c r="H18" s="6" t="s">
        <v>78</v>
      </c>
      <c r="J18" s="39">
        <f>F55</f>
        <v>984862.90598290612</v>
      </c>
      <c r="K18" s="51">
        <f>J18</f>
        <v>984862.90598290612</v>
      </c>
      <c r="L18" s="57">
        <f>J18</f>
        <v>984862.90598290612</v>
      </c>
    </row>
    <row r="19" spans="2:12" x14ac:dyDescent="0.55000000000000004">
      <c r="B19" s="19"/>
      <c r="C19" s="35">
        <v>2</v>
      </c>
      <c r="D19" s="35" t="s">
        <v>16</v>
      </c>
      <c r="E19" s="35" t="s">
        <v>119</v>
      </c>
      <c r="F19" s="35" t="s">
        <v>5</v>
      </c>
      <c r="G19" s="35" t="s">
        <v>131</v>
      </c>
      <c r="H19" s="35" t="s">
        <v>79</v>
      </c>
      <c r="I19" s="35"/>
      <c r="J19" s="41">
        <f>F56</f>
        <v>590670.29059829074</v>
      </c>
      <c r="K19" s="52">
        <f>J19</f>
        <v>590670.29059829074</v>
      </c>
      <c r="L19" s="57">
        <f>K19+L18</f>
        <v>1575533.196581197</v>
      </c>
    </row>
    <row r="20" spans="2:12" x14ac:dyDescent="0.55000000000000004">
      <c r="B20" s="19"/>
      <c r="J20" s="39"/>
      <c r="L20" s="20"/>
    </row>
    <row r="21" spans="2:12" x14ac:dyDescent="0.55000000000000004">
      <c r="B21" s="19"/>
      <c r="I21" s="2" t="s">
        <v>143</v>
      </c>
      <c r="J21" s="42">
        <f>SUM(J18:J19)</f>
        <v>1575533.196581197</v>
      </c>
      <c r="K21" s="2" t="s">
        <v>13</v>
      </c>
      <c r="L21" s="20"/>
    </row>
    <row r="22" spans="2:12" x14ac:dyDescent="0.55000000000000004">
      <c r="B22" s="19"/>
      <c r="I22" s="2" t="s">
        <v>144</v>
      </c>
      <c r="J22" s="42">
        <f>J21/G10</f>
        <v>3.9388329914529923</v>
      </c>
      <c r="K22" s="2" t="s">
        <v>145</v>
      </c>
      <c r="L22" s="20"/>
    </row>
    <row r="23" spans="2:12" x14ac:dyDescent="0.55000000000000004"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6"/>
    </row>
    <row r="25" spans="2:12" x14ac:dyDescent="0.55000000000000004">
      <c r="B25" s="15"/>
      <c r="C25" s="17"/>
      <c r="D25" s="17"/>
      <c r="E25" s="17"/>
      <c r="F25" s="17"/>
      <c r="G25" s="17"/>
      <c r="H25" s="17"/>
      <c r="I25" s="17"/>
      <c r="J25" s="17"/>
      <c r="K25" s="17"/>
      <c r="L25" s="18"/>
    </row>
    <row r="26" spans="2:12" ht="18.3" x14ac:dyDescent="0.7">
      <c r="B26" s="19"/>
      <c r="C26" s="5" t="s">
        <v>70</v>
      </c>
      <c r="D26" s="5"/>
      <c r="L26" s="20"/>
    </row>
    <row r="27" spans="2:12" x14ac:dyDescent="0.55000000000000004">
      <c r="B27" s="19"/>
      <c r="L27" s="20"/>
    </row>
    <row r="28" spans="2:12" ht="28.8" x14ac:dyDescent="0.55000000000000004">
      <c r="B28" s="19"/>
      <c r="C28" s="58" t="s">
        <v>72</v>
      </c>
      <c r="D28" s="38" t="s">
        <v>83</v>
      </c>
      <c r="E28" s="38" t="s">
        <v>84</v>
      </c>
      <c r="F28" s="25" t="s">
        <v>85</v>
      </c>
      <c r="G28" s="25" t="s">
        <v>86</v>
      </c>
      <c r="H28" s="60" t="s">
        <v>87</v>
      </c>
      <c r="I28" s="60"/>
      <c r="J28" s="38" t="s">
        <v>88</v>
      </c>
      <c r="K28" s="38" t="s">
        <v>89</v>
      </c>
      <c r="L28" s="20"/>
    </row>
    <row r="29" spans="2:12" x14ac:dyDescent="0.55000000000000004">
      <c r="B29" s="19"/>
      <c r="C29" s="59"/>
      <c r="D29" s="49" t="s">
        <v>2</v>
      </c>
      <c r="E29" s="49" t="s">
        <v>19</v>
      </c>
      <c r="F29" s="49" t="s">
        <v>18</v>
      </c>
      <c r="G29" s="49" t="s">
        <v>20</v>
      </c>
      <c r="H29" s="49" t="s">
        <v>21</v>
      </c>
      <c r="I29" s="49" t="s">
        <v>3</v>
      </c>
      <c r="J29" s="49" t="s">
        <v>17</v>
      </c>
      <c r="K29" s="49" t="s">
        <v>13</v>
      </c>
      <c r="L29" s="20"/>
    </row>
    <row r="30" spans="2:12" x14ac:dyDescent="0.55000000000000004">
      <c r="B30" s="19"/>
      <c r="D30" s="30">
        <v>0</v>
      </c>
      <c r="E30" s="30">
        <f>P10*F10</f>
        <v>449383.5</v>
      </c>
      <c r="F30" s="30">
        <f>E30*D30</f>
        <v>0</v>
      </c>
      <c r="G30" s="30">
        <v>29.1</v>
      </c>
      <c r="H30" s="30">
        <f>G30*F30</f>
        <v>0</v>
      </c>
      <c r="I30" s="30">
        <f>0.0036*H30</f>
        <v>0</v>
      </c>
      <c r="J30" s="48">
        <f>88.8+(88.5-88.8)/1*0.6</f>
        <v>88.62</v>
      </c>
      <c r="K30" s="30">
        <f>J30*I30/1000</f>
        <v>0</v>
      </c>
      <c r="L30" s="20"/>
    </row>
    <row r="31" spans="2:12" x14ac:dyDescent="0.55000000000000004">
      <c r="B31" s="19"/>
      <c r="D31" s="30">
        <v>0</v>
      </c>
      <c r="E31" s="30">
        <f>P10*F10</f>
        <v>449383.5</v>
      </c>
      <c r="F31" s="30">
        <f>E31*D31</f>
        <v>0</v>
      </c>
      <c r="G31" s="30">
        <v>10.8</v>
      </c>
      <c r="H31" s="30">
        <f>G31*F31</f>
        <v>0</v>
      </c>
      <c r="I31" s="30">
        <f>0.0036*H31</f>
        <v>0</v>
      </c>
      <c r="J31" s="30">
        <v>49</v>
      </c>
      <c r="K31" s="30">
        <f>J31*I31/1000</f>
        <v>0</v>
      </c>
      <c r="L31" s="20"/>
    </row>
    <row r="32" spans="2:12" x14ac:dyDescent="0.55000000000000004">
      <c r="B32" s="19"/>
      <c r="D32" s="30">
        <v>0</v>
      </c>
      <c r="E32" s="30">
        <f>(P10-O10)*F10</f>
        <v>49383.500000000015</v>
      </c>
      <c r="F32" s="30">
        <f t="shared" ref="F32:F33" si="0">E32*D32</f>
        <v>0</v>
      </c>
      <c r="G32" s="30">
        <f>10.8</f>
        <v>10.8</v>
      </c>
      <c r="H32" s="30">
        <f t="shared" ref="H32:H33" si="1">G32*F32</f>
        <v>0</v>
      </c>
      <c r="I32" s="30">
        <f t="shared" ref="I32:I33" si="2">0.0036*H32</f>
        <v>0</v>
      </c>
      <c r="J32" s="30">
        <v>49</v>
      </c>
      <c r="K32" s="30">
        <f t="shared" ref="K32:K33" si="3">J32*I32/1000</f>
        <v>0</v>
      </c>
      <c r="L32" s="20"/>
    </row>
    <row r="33" spans="2:13" x14ac:dyDescent="0.55000000000000004">
      <c r="B33" s="19"/>
      <c r="D33" s="30">
        <v>0</v>
      </c>
      <c r="E33" s="30">
        <f>(P10-O10)*F10</f>
        <v>49383.500000000015</v>
      </c>
      <c r="F33" s="30">
        <f t="shared" si="0"/>
        <v>0</v>
      </c>
      <c r="G33" s="30">
        <v>29.1</v>
      </c>
      <c r="H33" s="30">
        <f t="shared" si="1"/>
        <v>0</v>
      </c>
      <c r="I33" s="30">
        <f t="shared" si="2"/>
        <v>0</v>
      </c>
      <c r="J33" s="48">
        <f>88.8+(88.5-88.8)/1*0.6</f>
        <v>88.62</v>
      </c>
      <c r="K33" s="30">
        <f t="shared" si="3"/>
        <v>0</v>
      </c>
      <c r="L33" s="20"/>
    </row>
    <row r="34" spans="2:13" x14ac:dyDescent="0.55000000000000004">
      <c r="B34" s="19"/>
      <c r="L34" s="20"/>
    </row>
    <row r="35" spans="2:13" x14ac:dyDescent="0.55000000000000004">
      <c r="B35" s="19"/>
      <c r="C35" s="6" t="s">
        <v>90</v>
      </c>
      <c r="L35" s="20"/>
    </row>
    <row r="36" spans="2:13" x14ac:dyDescent="0.55000000000000004">
      <c r="B36" s="19"/>
      <c r="C36" s="6" t="s">
        <v>91</v>
      </c>
      <c r="L36" s="20"/>
    </row>
    <row r="37" spans="2:13" x14ac:dyDescent="0.55000000000000004">
      <c r="B37" s="19"/>
      <c r="C37" s="6" t="s">
        <v>140</v>
      </c>
      <c r="L37" s="20"/>
    </row>
    <row r="38" spans="2:13" x14ac:dyDescent="0.55000000000000004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6"/>
    </row>
    <row r="40" spans="2:13" x14ac:dyDescent="0.55000000000000004">
      <c r="B40" s="15"/>
      <c r="C40" s="17"/>
      <c r="D40" s="17"/>
      <c r="E40" s="17"/>
      <c r="F40" s="17"/>
      <c r="G40" s="17"/>
      <c r="H40" s="17"/>
      <c r="I40" s="18"/>
    </row>
    <row r="41" spans="2:13" ht="18.3" x14ac:dyDescent="0.7">
      <c r="B41" s="19"/>
      <c r="C41" s="5" t="s">
        <v>69</v>
      </c>
      <c r="I41" s="20"/>
    </row>
    <row r="42" spans="2:13" ht="14.4" customHeight="1" x14ac:dyDescent="0.7">
      <c r="B42" s="19"/>
      <c r="C42" s="5"/>
      <c r="I42" s="20"/>
    </row>
    <row r="43" spans="2:13" x14ac:dyDescent="0.55000000000000004">
      <c r="B43" s="19"/>
      <c r="D43" s="40" t="s">
        <v>14</v>
      </c>
      <c r="E43" s="40" t="s">
        <v>56</v>
      </c>
      <c r="F43" s="40" t="s">
        <v>57</v>
      </c>
      <c r="G43" s="40" t="s">
        <v>58</v>
      </c>
      <c r="I43" s="20"/>
    </row>
    <row r="44" spans="2:13" ht="14.4" customHeight="1" x14ac:dyDescent="0.55000000000000004">
      <c r="B44" s="19"/>
      <c r="D44" s="43" t="s">
        <v>60</v>
      </c>
      <c r="E44" s="44" t="s">
        <v>1</v>
      </c>
      <c r="F44" s="45">
        <v>8.5</v>
      </c>
      <c r="G44" s="45" t="s">
        <v>61</v>
      </c>
      <c r="I44" s="20"/>
    </row>
    <row r="45" spans="2:13" ht="14.4" customHeight="1" x14ac:dyDescent="0.55000000000000004">
      <c r="B45" s="19"/>
      <c r="D45" s="43" t="s">
        <v>59</v>
      </c>
      <c r="E45" s="44" t="s">
        <v>1</v>
      </c>
      <c r="F45" s="45">
        <v>14.4</v>
      </c>
      <c r="G45" s="45" t="s">
        <v>62</v>
      </c>
      <c r="I45" s="20"/>
      <c r="M45" s="12"/>
    </row>
    <row r="46" spans="2:13" ht="28.8" x14ac:dyDescent="0.55000000000000004">
      <c r="B46" s="19"/>
      <c r="D46" s="43" t="s">
        <v>55</v>
      </c>
      <c r="E46" s="44" t="s">
        <v>1</v>
      </c>
      <c r="F46" s="46">
        <f>F44+(F45-F44)/(40-14)*K10</f>
        <v>9.180769230769231</v>
      </c>
      <c r="G46" s="45"/>
      <c r="I46" s="20"/>
      <c r="M46" s="12"/>
    </row>
    <row r="47" spans="2:13" ht="28.8" x14ac:dyDescent="0.55000000000000004">
      <c r="B47" s="19"/>
      <c r="D47" s="43" t="s">
        <v>63</v>
      </c>
      <c r="E47" s="44" t="s">
        <v>1</v>
      </c>
      <c r="F47" s="46">
        <f>F44+(F45-F44)/(40-14)*(E10+K10)</f>
        <v>15.307692307692308</v>
      </c>
      <c r="G47" s="45"/>
      <c r="I47" s="20"/>
    </row>
    <row r="48" spans="2:13" x14ac:dyDescent="0.55000000000000004">
      <c r="B48" s="19"/>
      <c r="D48" s="43" t="s">
        <v>52</v>
      </c>
      <c r="E48" s="44" t="s">
        <v>2</v>
      </c>
      <c r="F48" s="45">
        <v>132</v>
      </c>
      <c r="G48" s="45"/>
      <c r="I48" s="20"/>
      <c r="M48" s="13"/>
    </row>
    <row r="49" spans="2:9" x14ac:dyDescent="0.55000000000000004">
      <c r="B49" s="19"/>
      <c r="D49" s="43" t="s">
        <v>53</v>
      </c>
      <c r="E49" s="44" t="s">
        <v>2</v>
      </c>
      <c r="F49" s="45">
        <v>132</v>
      </c>
      <c r="G49" s="45"/>
      <c r="I49" s="20"/>
    </row>
    <row r="50" spans="2:9" ht="28.8" x14ac:dyDescent="0.55000000000000004">
      <c r="B50" s="19"/>
      <c r="D50" s="43" t="s">
        <v>64</v>
      </c>
      <c r="E50" s="44" t="s">
        <v>2</v>
      </c>
      <c r="F50" s="47">
        <f>F48*L10</f>
        <v>1955555.5555555557</v>
      </c>
      <c r="G50" s="45"/>
      <c r="I50" s="20"/>
    </row>
    <row r="51" spans="2:9" ht="28.8" x14ac:dyDescent="0.55000000000000004">
      <c r="B51" s="19"/>
      <c r="D51" s="43" t="s">
        <v>65</v>
      </c>
      <c r="E51" s="44" t="s">
        <v>2</v>
      </c>
      <c r="F51" s="47">
        <f>F49*L10</f>
        <v>1955555.5555555557</v>
      </c>
      <c r="G51" s="45"/>
      <c r="I51" s="20"/>
    </row>
    <row r="52" spans="2:9" ht="28.8" x14ac:dyDescent="0.55000000000000004">
      <c r="B52" s="19"/>
      <c r="D52" s="43" t="s">
        <v>54</v>
      </c>
      <c r="E52" s="44" t="s">
        <v>3</v>
      </c>
      <c r="F52" s="47">
        <f>F50*F47</f>
        <v>29935042.73504274</v>
      </c>
      <c r="G52" s="45"/>
      <c r="I52" s="20"/>
    </row>
    <row r="53" spans="2:9" ht="28.8" x14ac:dyDescent="0.55000000000000004">
      <c r="B53" s="19"/>
      <c r="D53" s="43" t="s">
        <v>55</v>
      </c>
      <c r="E53" s="44" t="s">
        <v>3</v>
      </c>
      <c r="F53" s="47">
        <f>F51*F46</f>
        <v>17953504.273504276</v>
      </c>
      <c r="G53" s="45"/>
      <c r="I53" s="20"/>
    </row>
    <row r="54" spans="2:9" ht="28.8" x14ac:dyDescent="0.55000000000000004">
      <c r="B54" s="19"/>
      <c r="D54" s="43" t="s">
        <v>93</v>
      </c>
      <c r="E54" s="44" t="s">
        <v>17</v>
      </c>
      <c r="F54" s="48">
        <f>(1-0.65)*94</f>
        <v>32.9</v>
      </c>
      <c r="G54" s="45" t="s">
        <v>133</v>
      </c>
      <c r="I54" s="20"/>
    </row>
    <row r="55" spans="2:9" x14ac:dyDescent="0.55000000000000004">
      <c r="B55" s="19"/>
      <c r="D55" s="43" t="s">
        <v>67</v>
      </c>
      <c r="E55" s="44" t="s">
        <v>13</v>
      </c>
      <c r="F55" s="48">
        <f>F52*F54/1000</f>
        <v>984862.90598290612</v>
      </c>
      <c r="G55" s="45"/>
      <c r="I55" s="20"/>
    </row>
    <row r="56" spans="2:9" x14ac:dyDescent="0.55000000000000004">
      <c r="B56" s="19"/>
      <c r="D56" s="43" t="s">
        <v>68</v>
      </c>
      <c r="E56" s="44" t="s">
        <v>13</v>
      </c>
      <c r="F56" s="48">
        <f>F54*F53/1000</f>
        <v>590670.29059829074</v>
      </c>
      <c r="G56" s="45"/>
      <c r="I56" s="20"/>
    </row>
    <row r="57" spans="2:9" x14ac:dyDescent="0.55000000000000004">
      <c r="B57" s="34"/>
      <c r="C57" s="35"/>
      <c r="D57" s="35"/>
      <c r="E57" s="35"/>
      <c r="F57" s="35"/>
      <c r="G57" s="35"/>
      <c r="H57" s="35"/>
      <c r="I57" s="36"/>
    </row>
    <row r="59" spans="2:9" x14ac:dyDescent="0.55000000000000004">
      <c r="F59" s="48"/>
      <c r="G59" s="45"/>
    </row>
    <row r="60" spans="2:9" x14ac:dyDescent="0.55000000000000004">
      <c r="G60" s="14"/>
    </row>
  </sheetData>
  <mergeCells count="2">
    <mergeCell ref="C28:C29"/>
    <mergeCell ref="H28:I28"/>
  </mergeCells>
  <conditionalFormatting sqref="K18:K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{07811EBE-31F6-4BE8-B3A6-BD97504047AB}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811EBE-31F6-4BE8-B3A6-BD97504047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E5E2-4156-485E-BEC4-8019B7677284}">
  <dimension ref="A1:Q60"/>
  <sheetViews>
    <sheetView workbookViewId="0">
      <selection activeCell="K22" sqref="K22"/>
    </sheetView>
  </sheetViews>
  <sheetFormatPr baseColWidth="10" defaultColWidth="8.83984375" defaultRowHeight="14.4" x14ac:dyDescent="0.55000000000000004"/>
  <cols>
    <col min="1" max="1" width="5.41796875" style="6" customWidth="1"/>
    <col min="2" max="2" width="2.5234375" style="6" customWidth="1"/>
    <col min="3" max="3" width="4.1015625" style="6" customWidth="1"/>
    <col min="4" max="4" width="24.68359375" style="6" bestFit="1" customWidth="1"/>
    <col min="5" max="5" width="25.3125" style="6" customWidth="1"/>
    <col min="6" max="6" width="16.578125" style="6" customWidth="1"/>
    <col min="7" max="7" width="18" style="6" customWidth="1"/>
    <col min="8" max="8" width="20.578125" style="6" customWidth="1"/>
    <col min="9" max="10" width="18.578125" style="6" customWidth="1"/>
    <col min="11" max="11" width="18.9453125" style="6" customWidth="1"/>
    <col min="12" max="12" width="18.15625" style="6" customWidth="1"/>
    <col min="13" max="16" width="16.578125" style="6" customWidth="1"/>
    <col min="17" max="20" width="10.9453125" style="6" customWidth="1"/>
    <col min="21" max="21" width="19.47265625" style="6" customWidth="1"/>
    <col min="22" max="22" width="17.62890625" style="6" customWidth="1"/>
    <col min="23" max="23" width="13.3671875" style="6" customWidth="1"/>
    <col min="24" max="24" width="12.578125" style="6" customWidth="1"/>
    <col min="25" max="25" width="14.89453125" style="6" customWidth="1"/>
    <col min="26" max="26" width="14.83984375" style="6" customWidth="1"/>
    <col min="27" max="28" width="15.05078125" style="6" customWidth="1"/>
    <col min="29" max="16384" width="8.83984375" style="6"/>
  </cols>
  <sheetData>
    <row r="1" spans="1:17" ht="18.3" x14ac:dyDescent="0.7">
      <c r="A1" s="5" t="s">
        <v>96</v>
      </c>
    </row>
    <row r="2" spans="1:17" ht="18.3" x14ac:dyDescent="0.7">
      <c r="C2" s="5"/>
    </row>
    <row r="3" spans="1:17" x14ac:dyDescent="0.55000000000000004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18.3" x14ac:dyDescent="0.7">
      <c r="B4" s="19"/>
      <c r="C4" s="5" t="s">
        <v>41</v>
      </c>
      <c r="Q4" s="20"/>
    </row>
    <row r="5" spans="1:17" x14ac:dyDescent="0.55000000000000004">
      <c r="B5" s="19"/>
      <c r="Q5" s="20"/>
    </row>
    <row r="6" spans="1:17" x14ac:dyDescent="0.55000000000000004">
      <c r="B6" s="19"/>
      <c r="D6" s="21" t="s">
        <v>42</v>
      </c>
      <c r="E6" s="22" t="s">
        <v>43</v>
      </c>
      <c r="G6"/>
      <c r="Q6" s="20"/>
    </row>
    <row r="7" spans="1:17" x14ac:dyDescent="0.55000000000000004">
      <c r="B7" s="19"/>
      <c r="Q7" s="20"/>
    </row>
    <row r="8" spans="1:17" s="7" customFormat="1" ht="29.7" customHeight="1" x14ac:dyDescent="0.55000000000000004">
      <c r="B8" s="23"/>
      <c r="C8" s="24"/>
      <c r="D8" s="25" t="s">
        <v>110</v>
      </c>
      <c r="E8" s="25" t="s">
        <v>46</v>
      </c>
      <c r="F8" s="25" t="s">
        <v>44</v>
      </c>
      <c r="G8" s="25" t="s">
        <v>45</v>
      </c>
      <c r="H8" s="25" t="s">
        <v>106</v>
      </c>
      <c r="I8" s="25" t="s">
        <v>49</v>
      </c>
      <c r="J8" s="25" t="s">
        <v>107</v>
      </c>
      <c r="K8" s="25" t="s">
        <v>50</v>
      </c>
      <c r="L8" s="25" t="s">
        <v>108</v>
      </c>
      <c r="M8" s="25" t="s">
        <v>109</v>
      </c>
      <c r="N8" s="25" t="s">
        <v>51</v>
      </c>
      <c r="O8" s="25" t="s">
        <v>48</v>
      </c>
      <c r="P8" s="25" t="s">
        <v>47</v>
      </c>
      <c r="Q8" s="26"/>
    </row>
    <row r="9" spans="1:17" s="8" customFormat="1" x14ac:dyDescent="0.55000000000000004">
      <c r="B9" s="27"/>
      <c r="D9" s="9"/>
      <c r="E9" s="9" t="s">
        <v>0</v>
      </c>
      <c r="F9" s="9"/>
      <c r="G9" s="9" t="s">
        <v>0</v>
      </c>
      <c r="H9" s="9"/>
      <c r="I9" s="9" t="s">
        <v>0</v>
      </c>
      <c r="J9" s="9"/>
      <c r="K9" s="9" t="s">
        <v>0</v>
      </c>
      <c r="L9" s="9"/>
      <c r="M9" s="9"/>
      <c r="N9" s="9" t="s">
        <v>0</v>
      </c>
      <c r="O9" s="9" t="s">
        <v>0</v>
      </c>
      <c r="P9" s="9" t="s">
        <v>0</v>
      </c>
      <c r="Q9" s="28"/>
    </row>
    <row r="10" spans="1:17" s="10" customFormat="1" x14ac:dyDescent="0.55000000000000004">
      <c r="B10" s="29"/>
      <c r="C10" s="30"/>
      <c r="D10" s="31">
        <v>0</v>
      </c>
      <c r="E10" s="31">
        <v>27</v>
      </c>
      <c r="F10" s="31">
        <v>222</v>
      </c>
      <c r="G10" s="31">
        <v>400000</v>
      </c>
      <c r="H10" s="31">
        <v>15</v>
      </c>
      <c r="I10" s="31">
        <v>14.95</v>
      </c>
      <c r="J10" s="31">
        <v>60</v>
      </c>
      <c r="K10" s="31">
        <v>3</v>
      </c>
      <c r="L10" s="32">
        <f>G10/E10</f>
        <v>14814.814814814816</v>
      </c>
      <c r="M10" s="32">
        <f>L10*D10</f>
        <v>0</v>
      </c>
      <c r="N10" s="32">
        <f>G10/(F10*J10)</f>
        <v>30.03003003003003</v>
      </c>
      <c r="O10" s="32">
        <f>G10/F10</f>
        <v>1801.8018018018017</v>
      </c>
      <c r="P10" s="32">
        <f>H10*I10+J10*(K10+E10)</f>
        <v>2024.25</v>
      </c>
      <c r="Q10" s="33"/>
    </row>
    <row r="11" spans="1:17" x14ac:dyDescent="0.55000000000000004">
      <c r="B11" s="34"/>
      <c r="C11" s="35"/>
      <c r="D11" s="35"/>
      <c r="E11" s="54" t="s">
        <v>94</v>
      </c>
      <c r="F11" s="35"/>
      <c r="G11" s="35"/>
      <c r="H11" s="35"/>
      <c r="I11" s="35"/>
      <c r="J11" s="35"/>
      <c r="K11" s="35"/>
      <c r="L11" s="35"/>
      <c r="M11" s="35"/>
      <c r="N11" s="54" t="s">
        <v>95</v>
      </c>
      <c r="O11" s="50"/>
      <c r="P11" s="50"/>
      <c r="Q11" s="36"/>
    </row>
    <row r="12" spans="1:17" x14ac:dyDescent="0.55000000000000004">
      <c r="E12" s="11"/>
    </row>
    <row r="13" spans="1:17" x14ac:dyDescent="0.55000000000000004">
      <c r="B13" s="15"/>
      <c r="C13" s="17"/>
      <c r="D13" s="17"/>
      <c r="E13" s="37"/>
      <c r="F13" s="17"/>
      <c r="G13" s="17"/>
      <c r="H13" s="17"/>
      <c r="I13" s="17"/>
      <c r="J13" s="17"/>
      <c r="K13" s="17"/>
      <c r="L13" s="18"/>
      <c r="O13" s="13"/>
    </row>
    <row r="14" spans="1:17" ht="18.3" x14ac:dyDescent="0.7">
      <c r="B14" s="19"/>
      <c r="C14" s="5" t="s">
        <v>71</v>
      </c>
      <c r="L14" s="20"/>
      <c r="O14" s="13"/>
    </row>
    <row r="15" spans="1:17" x14ac:dyDescent="0.55000000000000004">
      <c r="B15" s="19"/>
      <c r="L15" s="20"/>
    </row>
    <row r="16" spans="1:17" ht="28.8" x14ac:dyDescent="0.55000000000000004">
      <c r="B16" s="19"/>
      <c r="C16" s="38" t="s">
        <v>72</v>
      </c>
      <c r="D16" s="38" t="s">
        <v>73</v>
      </c>
      <c r="E16" s="38" t="s">
        <v>74</v>
      </c>
      <c r="F16" s="38" t="s">
        <v>75</v>
      </c>
      <c r="G16" s="38" t="s">
        <v>76</v>
      </c>
      <c r="H16" s="38" t="s">
        <v>77</v>
      </c>
      <c r="I16" s="25" t="s">
        <v>80</v>
      </c>
      <c r="J16" s="25" t="s">
        <v>81</v>
      </c>
      <c r="L16" s="20"/>
    </row>
    <row r="17" spans="2:12" x14ac:dyDescent="0.55000000000000004">
      <c r="B17" s="19"/>
      <c r="C17" s="40"/>
      <c r="D17" s="40"/>
      <c r="E17" s="40"/>
      <c r="F17" s="40"/>
      <c r="G17" s="40"/>
      <c r="H17" s="40"/>
      <c r="I17" s="53" t="s">
        <v>3</v>
      </c>
      <c r="J17" s="53" t="s">
        <v>13</v>
      </c>
      <c r="K17" s="35"/>
      <c r="L17" s="20"/>
    </row>
    <row r="18" spans="2:12" x14ac:dyDescent="0.55000000000000004">
      <c r="B18" s="19"/>
      <c r="C18" s="6">
        <v>1</v>
      </c>
      <c r="D18" s="6" t="s">
        <v>16</v>
      </c>
      <c r="E18" s="6" t="s">
        <v>118</v>
      </c>
      <c r="F18" s="6" t="s">
        <v>5</v>
      </c>
      <c r="G18" s="6" t="s">
        <v>38</v>
      </c>
      <c r="H18" s="6" t="s">
        <v>78</v>
      </c>
      <c r="J18" s="39">
        <f>F55</f>
        <v>238904.71658119664</v>
      </c>
      <c r="K18" s="51">
        <f>J18</f>
        <v>238904.71658119664</v>
      </c>
      <c r="L18" s="57">
        <f>J18</f>
        <v>238904.71658119664</v>
      </c>
    </row>
    <row r="19" spans="2:12" x14ac:dyDescent="0.55000000000000004">
      <c r="B19" s="19"/>
      <c r="C19" s="35">
        <v>2</v>
      </c>
      <c r="D19" s="35" t="s">
        <v>16</v>
      </c>
      <c r="E19" s="35" t="s">
        <v>119</v>
      </c>
      <c r="F19" s="35" t="s">
        <v>5</v>
      </c>
      <c r="G19" s="35" t="s">
        <v>38</v>
      </c>
      <c r="H19" s="35" t="s">
        <v>79</v>
      </c>
      <c r="I19" s="35"/>
      <c r="J19" s="41">
        <f>F56</f>
        <v>188678.91965811967</v>
      </c>
      <c r="K19" s="52">
        <f>J19</f>
        <v>188678.91965811967</v>
      </c>
      <c r="L19" s="57">
        <f>K19+L18</f>
        <v>427583.63623931631</v>
      </c>
    </row>
    <row r="20" spans="2:12" x14ac:dyDescent="0.55000000000000004">
      <c r="B20" s="19"/>
      <c r="J20" s="39"/>
      <c r="L20" s="20"/>
    </row>
    <row r="21" spans="2:12" x14ac:dyDescent="0.55000000000000004">
      <c r="B21" s="19"/>
      <c r="I21" s="2" t="s">
        <v>143</v>
      </c>
      <c r="J21" s="42">
        <f>SUM(J18:J19)</f>
        <v>427583.63623931631</v>
      </c>
      <c r="K21" s="2" t="s">
        <v>13</v>
      </c>
      <c r="L21" s="20"/>
    </row>
    <row r="22" spans="2:12" x14ac:dyDescent="0.55000000000000004">
      <c r="B22" s="19"/>
      <c r="I22" s="2" t="s">
        <v>144</v>
      </c>
      <c r="J22" s="42">
        <f>J21/G10</f>
        <v>1.0689590905982909</v>
      </c>
      <c r="K22" s="2" t="s">
        <v>145</v>
      </c>
      <c r="L22" s="20"/>
    </row>
    <row r="23" spans="2:12" x14ac:dyDescent="0.55000000000000004"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6"/>
    </row>
    <row r="25" spans="2:12" x14ac:dyDescent="0.55000000000000004">
      <c r="B25" s="15"/>
      <c r="C25" s="17"/>
      <c r="D25" s="17"/>
      <c r="E25" s="17"/>
      <c r="F25" s="17"/>
      <c r="G25" s="17"/>
      <c r="H25" s="17"/>
      <c r="I25" s="17"/>
      <c r="J25" s="17"/>
      <c r="K25" s="17"/>
      <c r="L25" s="18"/>
    </row>
    <row r="26" spans="2:12" ht="18.3" x14ac:dyDescent="0.7">
      <c r="B26" s="19"/>
      <c r="C26" s="5" t="s">
        <v>70</v>
      </c>
      <c r="D26" s="5"/>
      <c r="L26" s="20"/>
    </row>
    <row r="27" spans="2:12" x14ac:dyDescent="0.55000000000000004">
      <c r="B27" s="19"/>
      <c r="L27" s="20"/>
    </row>
    <row r="28" spans="2:12" ht="28.8" x14ac:dyDescent="0.55000000000000004">
      <c r="B28" s="19"/>
      <c r="C28" s="58" t="s">
        <v>72</v>
      </c>
      <c r="D28" s="38" t="s">
        <v>83</v>
      </c>
      <c r="E28" s="38" t="s">
        <v>84</v>
      </c>
      <c r="F28" s="25" t="s">
        <v>85</v>
      </c>
      <c r="G28" s="25" t="s">
        <v>86</v>
      </c>
      <c r="H28" s="60" t="s">
        <v>87</v>
      </c>
      <c r="I28" s="60"/>
      <c r="J28" s="38" t="s">
        <v>88</v>
      </c>
      <c r="K28" s="38" t="s">
        <v>89</v>
      </c>
      <c r="L28" s="20"/>
    </row>
    <row r="29" spans="2:12" x14ac:dyDescent="0.55000000000000004">
      <c r="B29" s="19"/>
      <c r="C29" s="59"/>
      <c r="D29" s="49" t="s">
        <v>2</v>
      </c>
      <c r="E29" s="49" t="s">
        <v>19</v>
      </c>
      <c r="F29" s="49" t="s">
        <v>18</v>
      </c>
      <c r="G29" s="49" t="s">
        <v>20</v>
      </c>
      <c r="H29" s="49" t="s">
        <v>21</v>
      </c>
      <c r="I29" s="49" t="s">
        <v>3</v>
      </c>
      <c r="J29" s="49" t="s">
        <v>17</v>
      </c>
      <c r="K29" s="49" t="s">
        <v>13</v>
      </c>
      <c r="L29" s="20"/>
    </row>
    <row r="30" spans="2:12" x14ac:dyDescent="0.55000000000000004">
      <c r="B30" s="19"/>
      <c r="D30" s="30">
        <v>0</v>
      </c>
      <c r="E30" s="30">
        <f>P10*F10</f>
        <v>449383.5</v>
      </c>
      <c r="F30" s="30">
        <f>E30*D30</f>
        <v>0</v>
      </c>
      <c r="G30" s="30">
        <v>29.1</v>
      </c>
      <c r="H30" s="30">
        <f>G30*F30</f>
        <v>0</v>
      </c>
      <c r="I30" s="30">
        <f>0.0036*H30</f>
        <v>0</v>
      </c>
      <c r="J30" s="48">
        <f>88.8+(88.5-88.8)/1*0.6</f>
        <v>88.62</v>
      </c>
      <c r="K30" s="30">
        <f>J30*I30/1000</f>
        <v>0</v>
      </c>
      <c r="L30" s="20"/>
    </row>
    <row r="31" spans="2:12" x14ac:dyDescent="0.55000000000000004">
      <c r="B31" s="19"/>
      <c r="D31" s="30">
        <v>0</v>
      </c>
      <c r="E31" s="30">
        <f>P10*F10</f>
        <v>449383.5</v>
      </c>
      <c r="F31" s="30">
        <f>E31*D31</f>
        <v>0</v>
      </c>
      <c r="G31" s="30">
        <v>10.8</v>
      </c>
      <c r="H31" s="30">
        <f>G31*F31</f>
        <v>0</v>
      </c>
      <c r="I31" s="30">
        <f>0.0036*H31</f>
        <v>0</v>
      </c>
      <c r="J31" s="30">
        <v>49</v>
      </c>
      <c r="K31" s="30">
        <f>J31*I31/1000</f>
        <v>0</v>
      </c>
      <c r="L31" s="20"/>
    </row>
    <row r="32" spans="2:12" x14ac:dyDescent="0.55000000000000004">
      <c r="B32" s="19"/>
      <c r="D32" s="30">
        <v>0</v>
      </c>
      <c r="E32" s="30">
        <f>(P10-O10)*F10</f>
        <v>49383.500000000015</v>
      </c>
      <c r="F32" s="30">
        <f t="shared" ref="F32:F33" si="0">E32*D32</f>
        <v>0</v>
      </c>
      <c r="G32" s="30">
        <f>10.8</f>
        <v>10.8</v>
      </c>
      <c r="H32" s="30">
        <f t="shared" ref="H32:H33" si="1">G32*F32</f>
        <v>0</v>
      </c>
      <c r="I32" s="30">
        <f t="shared" ref="I32:I33" si="2">0.0036*H32</f>
        <v>0</v>
      </c>
      <c r="J32" s="30">
        <v>49</v>
      </c>
      <c r="K32" s="30">
        <f t="shared" ref="K32:K33" si="3">J32*I32/1000</f>
        <v>0</v>
      </c>
      <c r="L32" s="20"/>
    </row>
    <row r="33" spans="2:13" x14ac:dyDescent="0.55000000000000004">
      <c r="B33" s="19"/>
      <c r="D33" s="30">
        <v>0</v>
      </c>
      <c r="E33" s="30">
        <f>(P10-O10)*F10</f>
        <v>49383.500000000015</v>
      </c>
      <c r="F33" s="30">
        <f t="shared" si="0"/>
        <v>0</v>
      </c>
      <c r="G33" s="30">
        <v>29.1</v>
      </c>
      <c r="H33" s="30">
        <f t="shared" si="1"/>
        <v>0</v>
      </c>
      <c r="I33" s="30">
        <f t="shared" si="2"/>
        <v>0</v>
      </c>
      <c r="J33" s="48">
        <f>88.8+(88.5-88.8)/1*0.6</f>
        <v>88.62</v>
      </c>
      <c r="K33" s="30">
        <f t="shared" si="3"/>
        <v>0</v>
      </c>
      <c r="L33" s="20"/>
    </row>
    <row r="34" spans="2:13" x14ac:dyDescent="0.55000000000000004">
      <c r="B34" s="19"/>
      <c r="L34" s="20"/>
    </row>
    <row r="35" spans="2:13" x14ac:dyDescent="0.55000000000000004">
      <c r="B35" s="19"/>
      <c r="C35" s="6" t="s">
        <v>90</v>
      </c>
      <c r="L35" s="20"/>
    </row>
    <row r="36" spans="2:13" x14ac:dyDescent="0.55000000000000004">
      <c r="B36" s="19"/>
      <c r="C36" s="6" t="s">
        <v>91</v>
      </c>
      <c r="L36" s="20"/>
    </row>
    <row r="37" spans="2:13" x14ac:dyDescent="0.55000000000000004">
      <c r="B37" s="19"/>
      <c r="C37" s="6" t="s">
        <v>140</v>
      </c>
      <c r="L37" s="20"/>
    </row>
    <row r="38" spans="2:13" x14ac:dyDescent="0.55000000000000004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6"/>
    </row>
    <row r="40" spans="2:13" x14ac:dyDescent="0.55000000000000004">
      <c r="B40" s="15"/>
      <c r="C40" s="17"/>
      <c r="D40" s="17"/>
      <c r="E40" s="17"/>
      <c r="F40" s="17"/>
      <c r="G40" s="17"/>
      <c r="H40" s="17"/>
      <c r="I40" s="18"/>
    </row>
    <row r="41" spans="2:13" ht="18.3" x14ac:dyDescent="0.7">
      <c r="B41" s="19"/>
      <c r="C41" s="5" t="s">
        <v>69</v>
      </c>
      <c r="I41" s="20"/>
    </row>
    <row r="42" spans="2:13" ht="14.4" customHeight="1" x14ac:dyDescent="0.7">
      <c r="B42" s="19"/>
      <c r="C42" s="5"/>
      <c r="I42" s="20"/>
    </row>
    <row r="43" spans="2:13" x14ac:dyDescent="0.55000000000000004">
      <c r="B43" s="19"/>
      <c r="D43" s="40" t="s">
        <v>14</v>
      </c>
      <c r="E43" s="40" t="s">
        <v>56</v>
      </c>
      <c r="F43" s="40" t="s">
        <v>57</v>
      </c>
      <c r="G43" s="40" t="s">
        <v>58</v>
      </c>
      <c r="I43" s="20"/>
    </row>
    <row r="44" spans="2:13" ht="14.4" customHeight="1" x14ac:dyDescent="0.55000000000000004">
      <c r="B44" s="19"/>
      <c r="D44" s="43" t="s">
        <v>60</v>
      </c>
      <c r="E44" s="44" t="s">
        <v>1</v>
      </c>
      <c r="F44" s="45">
        <v>5.3</v>
      </c>
      <c r="G44" s="45" t="s">
        <v>97</v>
      </c>
      <c r="I44" s="20"/>
    </row>
    <row r="45" spans="2:13" ht="14.4" customHeight="1" x14ac:dyDescent="0.55000000000000004">
      <c r="B45" s="19"/>
      <c r="D45" s="43" t="s">
        <v>59</v>
      </c>
      <c r="E45" s="44" t="s">
        <v>1</v>
      </c>
      <c r="F45" s="45">
        <v>6.7</v>
      </c>
      <c r="G45" s="45" t="s">
        <v>98</v>
      </c>
      <c r="I45" s="20"/>
      <c r="M45" s="12"/>
    </row>
    <row r="46" spans="2:13" ht="28.8" x14ac:dyDescent="0.55000000000000004">
      <c r="B46" s="19"/>
      <c r="D46" s="43" t="s">
        <v>55</v>
      </c>
      <c r="E46" s="44" t="s">
        <v>1</v>
      </c>
      <c r="F46" s="46">
        <f>F44+(F45-F44)/(40-14)*K10</f>
        <v>5.4615384615384617</v>
      </c>
      <c r="G46" s="45"/>
      <c r="I46" s="20"/>
      <c r="M46" s="12"/>
    </row>
    <row r="47" spans="2:13" ht="28.8" x14ac:dyDescent="0.55000000000000004">
      <c r="B47" s="19"/>
      <c r="D47" s="43" t="s">
        <v>63</v>
      </c>
      <c r="E47" s="44" t="s">
        <v>1</v>
      </c>
      <c r="F47" s="46">
        <f>F44+(F45-F44)/(40-14)*(E10+K10)</f>
        <v>6.9153846153846157</v>
      </c>
      <c r="G47" s="45"/>
      <c r="I47" s="20"/>
    </row>
    <row r="48" spans="2:13" x14ac:dyDescent="0.55000000000000004">
      <c r="B48" s="19"/>
      <c r="D48" s="43" t="s">
        <v>52</v>
      </c>
      <c r="E48" s="44" t="s">
        <v>2</v>
      </c>
      <c r="F48" s="45">
        <v>132</v>
      </c>
      <c r="G48" s="45"/>
      <c r="I48" s="20"/>
      <c r="M48" s="13"/>
    </row>
    <row r="49" spans="2:9" x14ac:dyDescent="0.55000000000000004">
      <c r="B49" s="19"/>
      <c r="D49" s="43" t="s">
        <v>53</v>
      </c>
      <c r="E49" s="44" t="s">
        <v>2</v>
      </c>
      <c r="F49" s="45">
        <v>132</v>
      </c>
      <c r="G49" s="45"/>
      <c r="I49" s="20"/>
    </row>
    <row r="50" spans="2:9" ht="28.8" x14ac:dyDescent="0.55000000000000004">
      <c r="B50" s="19"/>
      <c r="D50" s="43" t="s">
        <v>64</v>
      </c>
      <c r="E50" s="44" t="s">
        <v>2</v>
      </c>
      <c r="F50" s="47">
        <f>F48*L10</f>
        <v>1955555.5555555557</v>
      </c>
      <c r="G50" s="45"/>
      <c r="I50" s="20"/>
    </row>
    <row r="51" spans="2:9" ht="28.8" x14ac:dyDescent="0.55000000000000004">
      <c r="B51" s="19"/>
      <c r="D51" s="43" t="s">
        <v>65</v>
      </c>
      <c r="E51" s="44" t="s">
        <v>2</v>
      </c>
      <c r="F51" s="47">
        <f>F49*L10</f>
        <v>1955555.5555555557</v>
      </c>
      <c r="G51" s="45"/>
      <c r="I51" s="20"/>
    </row>
    <row r="52" spans="2:9" ht="28.8" x14ac:dyDescent="0.55000000000000004">
      <c r="B52" s="19"/>
      <c r="D52" s="43" t="s">
        <v>54</v>
      </c>
      <c r="E52" s="44" t="s">
        <v>3</v>
      </c>
      <c r="F52" s="47">
        <f>F50*F47</f>
        <v>13523418.803418806</v>
      </c>
      <c r="G52" s="45"/>
      <c r="I52" s="20"/>
    </row>
    <row r="53" spans="2:9" ht="28.8" x14ac:dyDescent="0.55000000000000004">
      <c r="B53" s="19"/>
      <c r="D53" s="43" t="s">
        <v>55</v>
      </c>
      <c r="E53" s="44" t="s">
        <v>3</v>
      </c>
      <c r="F53" s="47">
        <f>F51*F46</f>
        <v>10680341.880341882</v>
      </c>
      <c r="G53" s="45"/>
      <c r="I53" s="20"/>
    </row>
    <row r="54" spans="2:9" ht="28.8" x14ac:dyDescent="0.55000000000000004">
      <c r="B54" s="19"/>
      <c r="D54" s="43" t="s">
        <v>114</v>
      </c>
      <c r="E54" s="44" t="s">
        <v>17</v>
      </c>
      <c r="F54" s="48">
        <v>17.666</v>
      </c>
      <c r="G54" s="45" t="s">
        <v>137</v>
      </c>
      <c r="I54" s="20"/>
    </row>
    <row r="55" spans="2:9" x14ac:dyDescent="0.55000000000000004">
      <c r="B55" s="19"/>
      <c r="D55" s="43" t="s">
        <v>67</v>
      </c>
      <c r="E55" s="44" t="s">
        <v>13</v>
      </c>
      <c r="F55" s="48">
        <f>F52*F54/1000</f>
        <v>238904.71658119664</v>
      </c>
      <c r="G55" s="45"/>
      <c r="I55" s="20"/>
    </row>
    <row r="56" spans="2:9" x14ac:dyDescent="0.55000000000000004">
      <c r="B56" s="19"/>
      <c r="D56" s="43" t="s">
        <v>68</v>
      </c>
      <c r="E56" s="44" t="s">
        <v>13</v>
      </c>
      <c r="F56" s="48">
        <f>F54*F53/1000</f>
        <v>188678.91965811967</v>
      </c>
      <c r="G56" s="45"/>
      <c r="I56" s="20"/>
    </row>
    <row r="57" spans="2:9" x14ac:dyDescent="0.55000000000000004">
      <c r="B57" s="34"/>
      <c r="C57" s="35"/>
      <c r="D57" s="35"/>
      <c r="E57" s="35"/>
      <c r="F57" s="35"/>
      <c r="G57" s="35"/>
      <c r="H57" s="35"/>
      <c r="I57" s="36"/>
    </row>
    <row r="60" spans="2:9" x14ac:dyDescent="0.55000000000000004">
      <c r="G60" s="14"/>
    </row>
  </sheetData>
  <mergeCells count="2">
    <mergeCell ref="C28:C29"/>
    <mergeCell ref="H28:I28"/>
  </mergeCells>
  <conditionalFormatting sqref="K18:K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{AD07BD6B-1D16-4A8B-A44C-F1BE5055E81E}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7BD6B-1D16-4A8B-A44C-F1BE5055E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8419-4E42-4778-87C4-9953144EBFAB}">
  <dimension ref="A1:Q66"/>
  <sheetViews>
    <sheetView workbookViewId="0">
      <selection activeCell="K28" sqref="K28"/>
    </sheetView>
  </sheetViews>
  <sheetFormatPr baseColWidth="10" defaultColWidth="8.83984375" defaultRowHeight="14.4" x14ac:dyDescent="0.55000000000000004"/>
  <cols>
    <col min="1" max="1" width="5.41796875" style="6" customWidth="1"/>
    <col min="2" max="2" width="2.5234375" style="6" customWidth="1"/>
    <col min="3" max="3" width="4.1015625" style="6" customWidth="1"/>
    <col min="4" max="4" width="24.68359375" style="6" bestFit="1" customWidth="1"/>
    <col min="5" max="5" width="25.3125" style="6" customWidth="1"/>
    <col min="6" max="6" width="16.578125" style="6" customWidth="1"/>
    <col min="7" max="7" width="18" style="6" customWidth="1"/>
    <col min="8" max="8" width="20.578125" style="6" customWidth="1"/>
    <col min="9" max="10" width="18.578125" style="6" customWidth="1"/>
    <col min="11" max="11" width="18.9453125" style="6" customWidth="1"/>
    <col min="12" max="12" width="18.15625" style="6" customWidth="1"/>
    <col min="13" max="16" width="16.578125" style="6" customWidth="1"/>
    <col min="17" max="20" width="10.9453125" style="6" customWidth="1"/>
    <col min="21" max="21" width="19.47265625" style="6" customWidth="1"/>
    <col min="22" max="22" width="17.62890625" style="6" customWidth="1"/>
    <col min="23" max="23" width="13.3671875" style="6" customWidth="1"/>
    <col min="24" max="24" width="12.578125" style="6" customWidth="1"/>
    <col min="25" max="25" width="14.89453125" style="6" customWidth="1"/>
    <col min="26" max="26" width="14.83984375" style="6" customWidth="1"/>
    <col min="27" max="28" width="15.05078125" style="6" customWidth="1"/>
    <col min="29" max="16384" width="8.83984375" style="6"/>
  </cols>
  <sheetData>
    <row r="1" spans="1:17" ht="18.3" x14ac:dyDescent="0.7">
      <c r="A1" s="5" t="s">
        <v>112</v>
      </c>
    </row>
    <row r="2" spans="1:17" ht="18.3" x14ac:dyDescent="0.7">
      <c r="C2" s="5"/>
    </row>
    <row r="3" spans="1:17" x14ac:dyDescent="0.55000000000000004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18.3" x14ac:dyDescent="0.7">
      <c r="B4" s="19"/>
      <c r="C4" s="5" t="s">
        <v>41</v>
      </c>
      <c r="Q4" s="20"/>
    </row>
    <row r="5" spans="1:17" x14ac:dyDescent="0.55000000000000004">
      <c r="B5" s="19"/>
      <c r="Q5" s="20"/>
    </row>
    <row r="6" spans="1:17" x14ac:dyDescent="0.55000000000000004">
      <c r="B6" s="19"/>
      <c r="D6" s="21" t="s">
        <v>42</v>
      </c>
      <c r="E6" s="22" t="s">
        <v>43</v>
      </c>
      <c r="G6"/>
      <c r="Q6" s="20"/>
    </row>
    <row r="7" spans="1:17" x14ac:dyDescent="0.55000000000000004">
      <c r="B7" s="19"/>
      <c r="Q7" s="20"/>
    </row>
    <row r="8" spans="1:17" s="7" customFormat="1" ht="29.7" customHeight="1" x14ac:dyDescent="0.55000000000000004">
      <c r="B8" s="23"/>
      <c r="C8" s="24"/>
      <c r="D8" s="25" t="s">
        <v>110</v>
      </c>
      <c r="E8" s="25" t="s">
        <v>46</v>
      </c>
      <c r="F8" s="25" t="s">
        <v>44</v>
      </c>
      <c r="G8" s="25" t="s">
        <v>45</v>
      </c>
      <c r="H8" s="25" t="s">
        <v>106</v>
      </c>
      <c r="I8" s="25" t="s">
        <v>49</v>
      </c>
      <c r="J8" s="25" t="s">
        <v>107</v>
      </c>
      <c r="K8" s="25" t="s">
        <v>50</v>
      </c>
      <c r="L8" s="25" t="s">
        <v>108</v>
      </c>
      <c r="M8" s="25" t="s">
        <v>109</v>
      </c>
      <c r="N8" s="25" t="s">
        <v>51</v>
      </c>
      <c r="O8" s="25" t="s">
        <v>48</v>
      </c>
      <c r="P8" s="25" t="s">
        <v>47</v>
      </c>
      <c r="Q8" s="26"/>
    </row>
    <row r="9" spans="1:17" s="8" customFormat="1" x14ac:dyDescent="0.55000000000000004">
      <c r="B9" s="27"/>
      <c r="D9" s="9"/>
      <c r="E9" s="9" t="s">
        <v>0</v>
      </c>
      <c r="F9" s="9"/>
      <c r="G9" s="9" t="s">
        <v>0</v>
      </c>
      <c r="H9" s="9"/>
      <c r="I9" s="9" t="s">
        <v>0</v>
      </c>
      <c r="J9" s="9"/>
      <c r="K9" s="9" t="s">
        <v>0</v>
      </c>
      <c r="L9" s="9"/>
      <c r="M9" s="9"/>
      <c r="N9" s="9" t="s">
        <v>0</v>
      </c>
      <c r="O9" s="9" t="s">
        <v>0</v>
      </c>
      <c r="P9" s="9" t="s">
        <v>0</v>
      </c>
      <c r="Q9" s="28"/>
    </row>
    <row r="10" spans="1:17" s="10" customFormat="1" x14ac:dyDescent="0.55000000000000004">
      <c r="B10" s="29"/>
      <c r="C10" s="30"/>
      <c r="D10" s="31">
        <v>2</v>
      </c>
      <c r="E10" s="31">
        <v>30</v>
      </c>
      <c r="F10" s="31">
        <v>222</v>
      </c>
      <c r="G10" s="31">
        <v>400000</v>
      </c>
      <c r="H10" s="31">
        <v>15</v>
      </c>
      <c r="I10" s="31">
        <v>14.95</v>
      </c>
      <c r="J10" s="31">
        <v>60</v>
      </c>
      <c r="K10" s="31">
        <v>3</v>
      </c>
      <c r="L10" s="32">
        <f>G10/E10</f>
        <v>13333.333333333334</v>
      </c>
      <c r="M10" s="32">
        <f>L10*D10</f>
        <v>26666.666666666668</v>
      </c>
      <c r="N10" s="32">
        <f>G10/(F10*J10)</f>
        <v>30.03003003003003</v>
      </c>
      <c r="O10" s="32">
        <f>G10/F10</f>
        <v>1801.8018018018017</v>
      </c>
      <c r="P10" s="32">
        <f>H10*I10+J10*(K10+E10)</f>
        <v>2204.25</v>
      </c>
      <c r="Q10" s="33"/>
    </row>
    <row r="11" spans="1:17" x14ac:dyDescent="0.55000000000000004"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50"/>
      <c r="P11" s="50"/>
      <c r="Q11" s="36"/>
    </row>
    <row r="12" spans="1:17" x14ac:dyDescent="0.55000000000000004">
      <c r="E12" s="11"/>
    </row>
    <row r="13" spans="1:17" x14ac:dyDescent="0.55000000000000004">
      <c r="B13" s="15"/>
      <c r="C13" s="17"/>
      <c r="D13" s="17"/>
      <c r="E13" s="37"/>
      <c r="F13" s="17"/>
      <c r="G13" s="17"/>
      <c r="H13" s="17"/>
      <c r="I13" s="17"/>
      <c r="J13" s="17"/>
      <c r="K13" s="17"/>
      <c r="L13" s="18"/>
      <c r="O13" s="13"/>
    </row>
    <row r="14" spans="1:17" ht="18.3" x14ac:dyDescent="0.7">
      <c r="B14" s="19"/>
      <c r="C14" s="5" t="s">
        <v>71</v>
      </c>
      <c r="L14" s="20"/>
      <c r="O14" s="13"/>
    </row>
    <row r="15" spans="1:17" x14ac:dyDescent="0.55000000000000004">
      <c r="B15" s="19"/>
      <c r="L15" s="20"/>
    </row>
    <row r="16" spans="1:17" ht="28.8" x14ac:dyDescent="0.55000000000000004">
      <c r="B16" s="19"/>
      <c r="C16" s="38" t="s">
        <v>72</v>
      </c>
      <c r="D16" s="38" t="s">
        <v>73</v>
      </c>
      <c r="E16" s="38" t="s">
        <v>74</v>
      </c>
      <c r="F16" s="38" t="s">
        <v>75</v>
      </c>
      <c r="G16" s="38" t="s">
        <v>76</v>
      </c>
      <c r="H16" s="38" t="s">
        <v>77</v>
      </c>
      <c r="I16" s="25" t="s">
        <v>80</v>
      </c>
      <c r="J16" s="25" t="s">
        <v>81</v>
      </c>
      <c r="L16" s="20"/>
    </row>
    <row r="17" spans="2:12" x14ac:dyDescent="0.55000000000000004">
      <c r="B17" s="19"/>
      <c r="C17" s="40"/>
      <c r="D17" s="40"/>
      <c r="E17" s="40"/>
      <c r="F17" s="40"/>
      <c r="G17" s="40"/>
      <c r="H17" s="40"/>
      <c r="I17" s="53" t="s">
        <v>3</v>
      </c>
      <c r="J17" s="53" t="s">
        <v>13</v>
      </c>
      <c r="K17" s="35"/>
      <c r="L17" s="20"/>
    </row>
    <row r="18" spans="2:12" x14ac:dyDescent="0.55000000000000004">
      <c r="B18" s="19"/>
      <c r="C18" s="6">
        <v>1</v>
      </c>
      <c r="D18" s="6" t="s">
        <v>16</v>
      </c>
      <c r="E18" s="6" t="s">
        <v>104</v>
      </c>
      <c r="F18" s="6" t="s">
        <v>100</v>
      </c>
      <c r="G18" s="6" t="s">
        <v>11</v>
      </c>
      <c r="H18" s="6" t="s">
        <v>78</v>
      </c>
      <c r="J18" s="39">
        <f>K36</f>
        <v>85302.056936339286</v>
      </c>
      <c r="K18" s="51">
        <f>J18</f>
        <v>85302.056936339286</v>
      </c>
      <c r="L18" s="57">
        <f>K18</f>
        <v>85302.056936339286</v>
      </c>
    </row>
    <row r="19" spans="2:12" x14ac:dyDescent="0.55000000000000004">
      <c r="B19" s="19"/>
      <c r="C19" s="6">
        <v>1</v>
      </c>
      <c r="D19" s="6" t="s">
        <v>16</v>
      </c>
      <c r="E19" s="6" t="s">
        <v>105</v>
      </c>
      <c r="F19" s="6" t="s">
        <v>100</v>
      </c>
      <c r="G19" s="6" t="s">
        <v>38</v>
      </c>
      <c r="H19" s="6" t="s">
        <v>78</v>
      </c>
      <c r="J19" s="39">
        <f>K37</f>
        <v>104785.80917212802</v>
      </c>
      <c r="K19" s="51">
        <f>J19</f>
        <v>104785.80917212802</v>
      </c>
      <c r="L19" s="57">
        <f>K19+L18</f>
        <v>190087.86610846731</v>
      </c>
    </row>
    <row r="20" spans="2:12" x14ac:dyDescent="0.55000000000000004">
      <c r="B20" s="19"/>
      <c r="C20" s="6">
        <v>2</v>
      </c>
      <c r="D20" s="6" t="s">
        <v>15</v>
      </c>
      <c r="E20" s="6" t="s">
        <v>101</v>
      </c>
      <c r="F20" s="6" t="s">
        <v>4</v>
      </c>
      <c r="G20" s="6" t="s">
        <v>11</v>
      </c>
      <c r="H20" s="6" t="s">
        <v>78</v>
      </c>
      <c r="J20" s="39">
        <f>M10*'Hub operations'!C13</f>
        <v>140444.44444444444</v>
      </c>
      <c r="K20" s="51">
        <f t="shared" ref="K20:K25" si="0">J20</f>
        <v>140444.44444444444</v>
      </c>
      <c r="L20" s="57">
        <f t="shared" ref="L20:L25" si="1">K20+L19</f>
        <v>330532.31055291172</v>
      </c>
    </row>
    <row r="21" spans="2:12" x14ac:dyDescent="0.55000000000000004">
      <c r="B21" s="19"/>
      <c r="C21" s="6">
        <v>3</v>
      </c>
      <c r="D21" s="6" t="s">
        <v>16</v>
      </c>
      <c r="E21" s="6" t="s">
        <v>120</v>
      </c>
      <c r="F21" s="6" t="s">
        <v>35</v>
      </c>
      <c r="G21" s="6" t="s">
        <v>11</v>
      </c>
      <c r="H21" s="6" t="s">
        <v>78</v>
      </c>
      <c r="J21" s="39">
        <f>F61</f>
        <v>343406.99866666668</v>
      </c>
      <c r="K21" s="51">
        <f t="shared" si="0"/>
        <v>343406.99866666668</v>
      </c>
      <c r="L21" s="57">
        <f t="shared" si="1"/>
        <v>673939.3092195784</v>
      </c>
    </row>
    <row r="22" spans="2:12" x14ac:dyDescent="0.55000000000000004">
      <c r="B22" s="19"/>
      <c r="C22" s="6">
        <v>4</v>
      </c>
      <c r="D22" s="6" t="s">
        <v>16</v>
      </c>
      <c r="E22" s="6" t="s">
        <v>121</v>
      </c>
      <c r="F22" s="6" t="s">
        <v>35</v>
      </c>
      <c r="G22" s="6" t="s">
        <v>11</v>
      </c>
      <c r="H22" s="6" t="s">
        <v>79</v>
      </c>
      <c r="J22" s="39">
        <f>F62</f>
        <v>197188.47866666666</v>
      </c>
      <c r="K22" s="51">
        <f t="shared" si="0"/>
        <v>197188.47866666666</v>
      </c>
      <c r="L22" s="57">
        <f t="shared" si="1"/>
        <v>871127.78788624506</v>
      </c>
    </row>
    <row r="23" spans="2:12" x14ac:dyDescent="0.55000000000000004">
      <c r="B23" s="19"/>
      <c r="C23" s="6">
        <v>5</v>
      </c>
      <c r="D23" s="6" t="s">
        <v>15</v>
      </c>
      <c r="E23" s="6" t="s">
        <v>101</v>
      </c>
      <c r="F23" s="6" t="s">
        <v>4</v>
      </c>
      <c r="G23" s="6" t="s">
        <v>11</v>
      </c>
      <c r="H23" s="6" t="s">
        <v>79</v>
      </c>
      <c r="J23" s="39">
        <f>M10*'Hub operations'!C14</f>
        <v>126400.00000000001</v>
      </c>
      <c r="K23" s="51">
        <f t="shared" si="0"/>
        <v>126400.00000000001</v>
      </c>
      <c r="L23" s="57">
        <f t="shared" si="1"/>
        <v>997527.78788624506</v>
      </c>
    </row>
    <row r="24" spans="2:12" x14ac:dyDescent="0.55000000000000004">
      <c r="B24" s="19"/>
      <c r="C24" s="6">
        <v>6</v>
      </c>
      <c r="D24" s="6" t="s">
        <v>16</v>
      </c>
      <c r="E24" s="6" t="s">
        <v>102</v>
      </c>
      <c r="F24" s="6" t="s">
        <v>100</v>
      </c>
      <c r="G24" s="6" t="s">
        <v>38</v>
      </c>
      <c r="H24" s="6" t="s">
        <v>79</v>
      </c>
      <c r="J24" s="39">
        <f>K38</f>
        <v>19131.613972128005</v>
      </c>
      <c r="K24" s="51">
        <f t="shared" si="0"/>
        <v>19131.613972128005</v>
      </c>
      <c r="L24" s="57">
        <f t="shared" si="1"/>
        <v>1016659.4018583731</v>
      </c>
    </row>
    <row r="25" spans="2:12" x14ac:dyDescent="0.55000000000000004">
      <c r="B25" s="19"/>
      <c r="C25" s="35">
        <v>6</v>
      </c>
      <c r="D25" s="35" t="s">
        <v>16</v>
      </c>
      <c r="E25" s="35" t="s">
        <v>103</v>
      </c>
      <c r="F25" s="35" t="s">
        <v>100</v>
      </c>
      <c r="G25" s="35" t="s">
        <v>11</v>
      </c>
      <c r="H25" s="35" t="s">
        <v>79</v>
      </c>
      <c r="I25" s="35"/>
      <c r="J25" s="41">
        <f>K39</f>
        <v>15574.303784339285</v>
      </c>
      <c r="K25" s="52">
        <f t="shared" si="0"/>
        <v>15574.303784339285</v>
      </c>
      <c r="L25" s="57">
        <f t="shared" si="1"/>
        <v>1032233.7056427124</v>
      </c>
    </row>
    <row r="26" spans="2:12" x14ac:dyDescent="0.55000000000000004">
      <c r="B26" s="19"/>
      <c r="J26" s="39"/>
      <c r="L26" s="20"/>
    </row>
    <row r="27" spans="2:12" x14ac:dyDescent="0.55000000000000004">
      <c r="B27" s="19"/>
      <c r="I27" s="2" t="s">
        <v>143</v>
      </c>
      <c r="J27" s="42">
        <f>SUM(J18:J25)</f>
        <v>1032233.7056427124</v>
      </c>
      <c r="K27" s="2" t="s">
        <v>13</v>
      </c>
      <c r="L27" s="20"/>
    </row>
    <row r="28" spans="2:12" x14ac:dyDescent="0.55000000000000004">
      <c r="B28" s="19"/>
      <c r="I28" s="2" t="s">
        <v>144</v>
      </c>
      <c r="J28" s="42">
        <f>J27/G10</f>
        <v>2.5805842641067809</v>
      </c>
      <c r="K28" s="2" t="s">
        <v>145</v>
      </c>
      <c r="L28" s="20"/>
    </row>
    <row r="29" spans="2:12" x14ac:dyDescent="0.55000000000000004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6"/>
    </row>
    <row r="31" spans="2:12" x14ac:dyDescent="0.55000000000000004">
      <c r="B31" s="15"/>
      <c r="C31" s="17"/>
      <c r="D31" s="17"/>
      <c r="E31" s="17"/>
      <c r="F31" s="17"/>
      <c r="G31" s="17"/>
      <c r="H31" s="17"/>
      <c r="I31" s="17"/>
      <c r="J31" s="17"/>
      <c r="K31" s="17"/>
      <c r="L31" s="18"/>
    </row>
    <row r="32" spans="2:12" ht="18.3" x14ac:dyDescent="0.7">
      <c r="B32" s="19"/>
      <c r="C32" s="5" t="s">
        <v>70</v>
      </c>
      <c r="D32" s="5"/>
      <c r="L32" s="20"/>
    </row>
    <row r="33" spans="2:12" x14ac:dyDescent="0.55000000000000004">
      <c r="B33" s="19"/>
      <c r="L33" s="20"/>
    </row>
    <row r="34" spans="2:12" ht="28.8" x14ac:dyDescent="0.55000000000000004">
      <c r="B34" s="19"/>
      <c r="C34" s="58" t="s">
        <v>72</v>
      </c>
      <c r="D34" s="38" t="s">
        <v>83</v>
      </c>
      <c r="E34" s="38" t="s">
        <v>84</v>
      </c>
      <c r="F34" s="25" t="s">
        <v>85</v>
      </c>
      <c r="G34" s="25" t="s">
        <v>86</v>
      </c>
      <c r="H34" s="60" t="s">
        <v>87</v>
      </c>
      <c r="I34" s="60"/>
      <c r="J34" s="38" t="s">
        <v>88</v>
      </c>
      <c r="K34" s="38" t="s">
        <v>89</v>
      </c>
      <c r="L34" s="20"/>
    </row>
    <row r="35" spans="2:12" x14ac:dyDescent="0.55000000000000004">
      <c r="B35" s="19"/>
      <c r="C35" s="59"/>
      <c r="D35" s="49" t="s">
        <v>2</v>
      </c>
      <c r="E35" s="49" t="s">
        <v>19</v>
      </c>
      <c r="F35" s="49" t="s">
        <v>18</v>
      </c>
      <c r="G35" s="49" t="s">
        <v>20</v>
      </c>
      <c r="H35" s="49" t="s">
        <v>21</v>
      </c>
      <c r="I35" s="49" t="s">
        <v>3</v>
      </c>
      <c r="J35" s="49" t="s">
        <v>17</v>
      </c>
      <c r="K35" s="49" t="s">
        <v>13</v>
      </c>
      <c r="L35" s="20"/>
    </row>
    <row r="36" spans="2:12" x14ac:dyDescent="0.55000000000000004">
      <c r="B36" s="19"/>
      <c r="C36" s="6">
        <v>1</v>
      </c>
      <c r="D36" s="30">
        <v>18.8</v>
      </c>
      <c r="E36" s="30">
        <f>P10*F10</f>
        <v>489343.5</v>
      </c>
      <c r="F36" s="30">
        <f>E36*D36</f>
        <v>9199657.8000000007</v>
      </c>
      <c r="G36" s="30">
        <v>29.1</v>
      </c>
      <c r="H36" s="30">
        <f>G36*F36</f>
        <v>267710041.98000005</v>
      </c>
      <c r="I36" s="30">
        <f>0.0036*H36</f>
        <v>963756.15112800011</v>
      </c>
      <c r="J36" s="48">
        <v>88.51</v>
      </c>
      <c r="K36" s="30">
        <f>J36*I36/1000</f>
        <v>85302.056936339286</v>
      </c>
      <c r="L36" s="20"/>
    </row>
    <row r="37" spans="2:12" x14ac:dyDescent="0.55000000000000004">
      <c r="B37" s="19"/>
      <c r="C37" s="6">
        <v>1</v>
      </c>
      <c r="D37" s="30">
        <f>130-17.6</f>
        <v>112.4</v>
      </c>
      <c r="E37" s="30">
        <f>P10*F10</f>
        <v>489343.5</v>
      </c>
      <c r="F37" s="30">
        <f>E37*D37</f>
        <v>55002209.400000006</v>
      </c>
      <c r="G37" s="30">
        <v>10.8</v>
      </c>
      <c r="H37" s="30">
        <f>G37*F37</f>
        <v>594023861.5200001</v>
      </c>
      <c r="I37" s="30">
        <f>0.0036*H37</f>
        <v>2138485.9014720004</v>
      </c>
      <c r="J37" s="30">
        <v>49</v>
      </c>
      <c r="K37" s="30">
        <f>J37*I37/1000</f>
        <v>104785.80917212802</v>
      </c>
      <c r="L37" s="20"/>
    </row>
    <row r="38" spans="2:12" x14ac:dyDescent="0.55000000000000004">
      <c r="B38" s="19"/>
      <c r="C38" s="6">
        <v>6</v>
      </c>
      <c r="D38" s="30">
        <f>130-17.6</f>
        <v>112.4</v>
      </c>
      <c r="E38" s="30">
        <f>(P10-O10)*F10</f>
        <v>89343.500000000015</v>
      </c>
      <c r="F38" s="30">
        <f t="shared" ref="F38:F39" si="2">E38*D38</f>
        <v>10042209.400000002</v>
      </c>
      <c r="G38" s="30">
        <f>10.8</f>
        <v>10.8</v>
      </c>
      <c r="H38" s="30">
        <f t="shared" ref="H38:H39" si="3">G38*F38</f>
        <v>108455861.52000003</v>
      </c>
      <c r="I38" s="30">
        <f t="shared" ref="I38:I39" si="4">0.0036*H38</f>
        <v>390441.10147200007</v>
      </c>
      <c r="J38" s="30">
        <v>49</v>
      </c>
      <c r="K38" s="30">
        <f t="shared" ref="K38:K39" si="5">J38*I38/1000</f>
        <v>19131.613972128005</v>
      </c>
      <c r="L38" s="20"/>
    </row>
    <row r="39" spans="2:12" x14ac:dyDescent="0.55000000000000004">
      <c r="B39" s="19"/>
      <c r="C39" s="6">
        <v>6</v>
      </c>
      <c r="D39" s="30">
        <v>18.8</v>
      </c>
      <c r="E39" s="30">
        <f>(P10-O10)*F10</f>
        <v>89343.500000000015</v>
      </c>
      <c r="F39" s="30">
        <f t="shared" si="2"/>
        <v>1679657.8000000003</v>
      </c>
      <c r="G39" s="30">
        <v>29.1</v>
      </c>
      <c r="H39" s="30">
        <f t="shared" si="3"/>
        <v>48878041.980000012</v>
      </c>
      <c r="I39" s="30">
        <f t="shared" si="4"/>
        <v>175960.95112800004</v>
      </c>
      <c r="J39" s="48">
        <v>88.51</v>
      </c>
      <c r="K39" s="30">
        <f t="shared" si="5"/>
        <v>15574.303784339285</v>
      </c>
      <c r="L39" s="20"/>
    </row>
    <row r="40" spans="2:12" x14ac:dyDescent="0.55000000000000004">
      <c r="B40" s="19"/>
      <c r="L40" s="20"/>
    </row>
    <row r="41" spans="2:12" x14ac:dyDescent="0.55000000000000004">
      <c r="B41" s="19"/>
      <c r="C41" s="6" t="s">
        <v>90</v>
      </c>
      <c r="L41" s="20"/>
    </row>
    <row r="42" spans="2:12" x14ac:dyDescent="0.55000000000000004">
      <c r="B42" s="19"/>
      <c r="C42" s="6" t="s">
        <v>91</v>
      </c>
      <c r="L42" s="20"/>
    </row>
    <row r="43" spans="2:12" x14ac:dyDescent="0.55000000000000004">
      <c r="B43" s="19"/>
      <c r="C43" s="6" t="s">
        <v>140</v>
      </c>
      <c r="L43" s="20"/>
    </row>
    <row r="44" spans="2:12" x14ac:dyDescent="0.55000000000000004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6"/>
    </row>
    <row r="46" spans="2:12" x14ac:dyDescent="0.55000000000000004">
      <c r="B46" s="15"/>
      <c r="C46" s="17"/>
      <c r="D46" s="17"/>
      <c r="E46" s="17"/>
      <c r="F46" s="17"/>
      <c r="G46" s="17"/>
      <c r="H46" s="17"/>
      <c r="I46" s="18"/>
    </row>
    <row r="47" spans="2:12" ht="18.3" x14ac:dyDescent="0.7">
      <c r="B47" s="19"/>
      <c r="C47" s="5" t="s">
        <v>69</v>
      </c>
      <c r="I47" s="20"/>
    </row>
    <row r="48" spans="2:12" ht="14.4" customHeight="1" x14ac:dyDescent="0.7">
      <c r="B48" s="19"/>
      <c r="C48" s="5"/>
      <c r="I48" s="20"/>
    </row>
    <row r="49" spans="2:13" x14ac:dyDescent="0.55000000000000004">
      <c r="B49" s="19"/>
      <c r="D49" s="40" t="s">
        <v>14</v>
      </c>
      <c r="E49" s="40" t="s">
        <v>56</v>
      </c>
      <c r="F49" s="40" t="s">
        <v>57</v>
      </c>
      <c r="G49" s="40" t="s">
        <v>58</v>
      </c>
      <c r="I49" s="20"/>
    </row>
    <row r="50" spans="2:13" ht="14.4" customHeight="1" x14ac:dyDescent="0.55000000000000004">
      <c r="B50" s="19"/>
      <c r="D50" s="43" t="s">
        <v>60</v>
      </c>
      <c r="E50" s="44" t="s">
        <v>1</v>
      </c>
      <c r="F50" s="45">
        <v>8.5</v>
      </c>
      <c r="G50" s="45" t="s">
        <v>61</v>
      </c>
      <c r="I50" s="20"/>
    </row>
    <row r="51" spans="2:13" ht="14.4" customHeight="1" x14ac:dyDescent="0.55000000000000004">
      <c r="B51" s="19"/>
      <c r="D51" s="43" t="s">
        <v>59</v>
      </c>
      <c r="E51" s="44" t="s">
        <v>1</v>
      </c>
      <c r="F51" s="45">
        <v>14.4</v>
      </c>
      <c r="G51" s="45" t="s">
        <v>62</v>
      </c>
      <c r="I51" s="20"/>
      <c r="M51" s="12"/>
    </row>
    <row r="52" spans="2:13" ht="28.8" x14ac:dyDescent="0.55000000000000004">
      <c r="B52" s="19"/>
      <c r="D52" s="43" t="s">
        <v>55</v>
      </c>
      <c r="E52" s="44" t="s">
        <v>1</v>
      </c>
      <c r="F52" s="46">
        <f>F50+(F51-F50)/(40-14)*K10</f>
        <v>9.180769230769231</v>
      </c>
      <c r="G52" s="45"/>
      <c r="I52" s="20"/>
      <c r="M52" s="12"/>
    </row>
    <row r="53" spans="2:13" ht="28.8" x14ac:dyDescent="0.55000000000000004">
      <c r="B53" s="19"/>
      <c r="D53" s="43" t="s">
        <v>63</v>
      </c>
      <c r="E53" s="44" t="s">
        <v>1</v>
      </c>
      <c r="F53" s="46">
        <f>F50+(F51-F50)/(40-14)*(E10+K10)</f>
        <v>15.988461538461539</v>
      </c>
      <c r="G53" s="45"/>
      <c r="I53" s="20"/>
    </row>
    <row r="54" spans="2:13" x14ac:dyDescent="0.55000000000000004">
      <c r="B54" s="19"/>
      <c r="D54" s="43" t="s">
        <v>52</v>
      </c>
      <c r="E54" s="44" t="s">
        <v>2</v>
      </c>
      <c r="F54" s="45">
        <v>18.2</v>
      </c>
      <c r="G54" s="45"/>
      <c r="I54" s="20"/>
      <c r="M54" s="13"/>
    </row>
    <row r="55" spans="2:13" x14ac:dyDescent="0.55000000000000004">
      <c r="B55" s="19"/>
      <c r="D55" s="43" t="s">
        <v>53</v>
      </c>
      <c r="E55" s="44" t="s">
        <v>2</v>
      </c>
      <c r="F55" s="45">
        <v>18.2</v>
      </c>
      <c r="G55" s="45"/>
      <c r="I55" s="20"/>
    </row>
    <row r="56" spans="2:13" ht="28.8" x14ac:dyDescent="0.55000000000000004">
      <c r="B56" s="19"/>
      <c r="D56" s="43" t="s">
        <v>64</v>
      </c>
      <c r="E56" s="44" t="s">
        <v>2</v>
      </c>
      <c r="F56" s="47">
        <f>F54*L10</f>
        <v>242666.66666666666</v>
      </c>
      <c r="G56" s="45"/>
      <c r="I56" s="20"/>
    </row>
    <row r="57" spans="2:13" ht="28.8" x14ac:dyDescent="0.55000000000000004">
      <c r="B57" s="19"/>
      <c r="D57" s="43" t="s">
        <v>65</v>
      </c>
      <c r="E57" s="44" t="s">
        <v>2</v>
      </c>
      <c r="F57" s="47">
        <f>F55*L10</f>
        <v>242666.66666666666</v>
      </c>
      <c r="G57" s="45"/>
      <c r="I57" s="20"/>
    </row>
    <row r="58" spans="2:13" ht="28.8" x14ac:dyDescent="0.55000000000000004">
      <c r="B58" s="19"/>
      <c r="D58" s="43" t="s">
        <v>54</v>
      </c>
      <c r="E58" s="44" t="s">
        <v>3</v>
      </c>
      <c r="F58" s="47">
        <f>F56*F53</f>
        <v>3879866.6666666665</v>
      </c>
      <c r="G58" s="45"/>
      <c r="I58" s="20"/>
    </row>
    <row r="59" spans="2:13" ht="28.8" x14ac:dyDescent="0.55000000000000004">
      <c r="B59" s="19"/>
      <c r="D59" s="43" t="s">
        <v>55</v>
      </c>
      <c r="E59" s="44" t="s">
        <v>3</v>
      </c>
      <c r="F59" s="47">
        <f>F57*F52</f>
        <v>2227866.6666666665</v>
      </c>
      <c r="G59" s="45"/>
      <c r="I59" s="20"/>
    </row>
    <row r="60" spans="2:13" x14ac:dyDescent="0.55000000000000004">
      <c r="B60" s="19"/>
      <c r="D60" s="43" t="s">
        <v>66</v>
      </c>
      <c r="E60" s="44" t="s">
        <v>17</v>
      </c>
      <c r="F60" s="48">
        <v>88.51</v>
      </c>
      <c r="G60" s="45" t="s">
        <v>132</v>
      </c>
      <c r="I60" s="20"/>
    </row>
    <row r="61" spans="2:13" x14ac:dyDescent="0.55000000000000004">
      <c r="B61" s="19"/>
      <c r="D61" s="43" t="s">
        <v>67</v>
      </c>
      <c r="E61" s="44" t="s">
        <v>13</v>
      </c>
      <c r="F61" s="48">
        <f>F58*F60/1000</f>
        <v>343406.99866666668</v>
      </c>
      <c r="G61" s="45"/>
      <c r="I61" s="20"/>
    </row>
    <row r="62" spans="2:13" x14ac:dyDescent="0.55000000000000004">
      <c r="B62" s="19"/>
      <c r="D62" s="43" t="s">
        <v>68</v>
      </c>
      <c r="E62" s="44" t="s">
        <v>13</v>
      </c>
      <c r="F62" s="48">
        <f>F60*F59/1000</f>
        <v>197188.47866666666</v>
      </c>
      <c r="G62" s="45"/>
      <c r="I62" s="20"/>
    </row>
    <row r="63" spans="2:13" x14ac:dyDescent="0.55000000000000004">
      <c r="B63" s="34"/>
      <c r="C63" s="35"/>
      <c r="D63" s="35"/>
      <c r="E63" s="35"/>
      <c r="F63" s="35"/>
      <c r="G63" s="35"/>
      <c r="H63" s="35"/>
      <c r="I63" s="36"/>
    </row>
    <row r="66" spans="7:7" x14ac:dyDescent="0.55000000000000004">
      <c r="G66" s="14"/>
    </row>
  </sheetData>
  <mergeCells count="2">
    <mergeCell ref="C34:C35"/>
    <mergeCell ref="H34:I34"/>
  </mergeCells>
  <conditionalFormatting sqref="K18:K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{FBA66222-054C-49FF-9AF1-8E9BC40785D4}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A66222-054C-49FF-9AF1-8E9BC4078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3950-C340-453D-B1E4-3CF5B86ECDF7}">
  <dimension ref="A1:Q66"/>
  <sheetViews>
    <sheetView workbookViewId="0">
      <selection activeCell="K28" sqref="K28"/>
    </sheetView>
  </sheetViews>
  <sheetFormatPr baseColWidth="10" defaultColWidth="8.83984375" defaultRowHeight="14.4" x14ac:dyDescent="0.55000000000000004"/>
  <cols>
    <col min="1" max="1" width="5.41796875" style="6" customWidth="1"/>
    <col min="2" max="2" width="2.5234375" style="6" customWidth="1"/>
    <col min="3" max="3" width="4.1015625" style="6" customWidth="1"/>
    <col min="4" max="4" width="24.68359375" style="6" bestFit="1" customWidth="1"/>
    <col min="5" max="5" width="25.3125" style="6" customWidth="1"/>
    <col min="6" max="6" width="16.578125" style="6" customWidth="1"/>
    <col min="7" max="7" width="18" style="6" customWidth="1"/>
    <col min="8" max="8" width="20.578125" style="6" customWidth="1"/>
    <col min="9" max="10" width="18.578125" style="6" customWidth="1"/>
    <col min="11" max="11" width="18.9453125" style="6" customWidth="1"/>
    <col min="12" max="12" width="18.15625" style="6" customWidth="1"/>
    <col min="13" max="16" width="16.578125" style="6" customWidth="1"/>
    <col min="17" max="20" width="10.9453125" style="6" customWidth="1"/>
    <col min="21" max="21" width="19.47265625" style="6" customWidth="1"/>
    <col min="22" max="22" width="17.62890625" style="6" customWidth="1"/>
    <col min="23" max="23" width="13.3671875" style="6" customWidth="1"/>
    <col min="24" max="24" width="12.578125" style="6" customWidth="1"/>
    <col min="25" max="25" width="14.89453125" style="6" customWidth="1"/>
    <col min="26" max="26" width="14.83984375" style="6" customWidth="1"/>
    <col min="27" max="28" width="15.05078125" style="6" customWidth="1"/>
    <col min="29" max="16384" width="8.83984375" style="6"/>
  </cols>
  <sheetData>
    <row r="1" spans="1:17" ht="18.3" x14ac:dyDescent="0.7">
      <c r="A1" s="5" t="s">
        <v>111</v>
      </c>
    </row>
    <row r="2" spans="1:17" ht="18.3" x14ac:dyDescent="0.7">
      <c r="C2" s="5"/>
    </row>
    <row r="3" spans="1:17" x14ac:dyDescent="0.55000000000000004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18.3" x14ac:dyDescent="0.7">
      <c r="B4" s="19"/>
      <c r="C4" s="5" t="s">
        <v>41</v>
      </c>
      <c r="Q4" s="20"/>
    </row>
    <row r="5" spans="1:17" x14ac:dyDescent="0.55000000000000004">
      <c r="B5" s="19"/>
      <c r="Q5" s="20"/>
    </row>
    <row r="6" spans="1:17" x14ac:dyDescent="0.55000000000000004">
      <c r="B6" s="19"/>
      <c r="D6" s="21" t="s">
        <v>42</v>
      </c>
      <c r="E6" s="22" t="s">
        <v>43</v>
      </c>
      <c r="G6"/>
      <c r="Q6" s="20"/>
    </row>
    <row r="7" spans="1:17" x14ac:dyDescent="0.55000000000000004">
      <c r="B7" s="19"/>
      <c r="Q7" s="20"/>
    </row>
    <row r="8" spans="1:17" s="7" customFormat="1" ht="29.7" customHeight="1" x14ac:dyDescent="0.55000000000000004">
      <c r="B8" s="23"/>
      <c r="C8" s="24"/>
      <c r="D8" s="25" t="s">
        <v>110</v>
      </c>
      <c r="E8" s="25" t="s">
        <v>46</v>
      </c>
      <c r="F8" s="25" t="s">
        <v>44</v>
      </c>
      <c r="G8" s="25" t="s">
        <v>45</v>
      </c>
      <c r="H8" s="25" t="s">
        <v>106</v>
      </c>
      <c r="I8" s="25" t="s">
        <v>49</v>
      </c>
      <c r="J8" s="25" t="s">
        <v>107</v>
      </c>
      <c r="K8" s="25" t="s">
        <v>50</v>
      </c>
      <c r="L8" s="25" t="s">
        <v>108</v>
      </c>
      <c r="M8" s="25" t="s">
        <v>109</v>
      </c>
      <c r="N8" s="25" t="s">
        <v>51</v>
      </c>
      <c r="O8" s="25" t="s">
        <v>48</v>
      </c>
      <c r="P8" s="25" t="s">
        <v>47</v>
      </c>
      <c r="Q8" s="26"/>
    </row>
    <row r="9" spans="1:17" s="8" customFormat="1" x14ac:dyDescent="0.55000000000000004">
      <c r="B9" s="27"/>
      <c r="D9" s="9"/>
      <c r="E9" s="9" t="s">
        <v>0</v>
      </c>
      <c r="F9" s="9"/>
      <c r="G9" s="9" t="s">
        <v>0</v>
      </c>
      <c r="H9" s="9"/>
      <c r="I9" s="9" t="s">
        <v>0</v>
      </c>
      <c r="J9" s="9"/>
      <c r="K9" s="9" t="s">
        <v>0</v>
      </c>
      <c r="L9" s="9"/>
      <c r="M9" s="9"/>
      <c r="N9" s="9" t="s">
        <v>0</v>
      </c>
      <c r="O9" s="9" t="s">
        <v>0</v>
      </c>
      <c r="P9" s="9" t="s">
        <v>0</v>
      </c>
      <c r="Q9" s="28"/>
    </row>
    <row r="10" spans="1:17" s="10" customFormat="1" x14ac:dyDescent="0.55000000000000004">
      <c r="B10" s="29"/>
      <c r="C10" s="30"/>
      <c r="D10" s="31">
        <v>2</v>
      </c>
      <c r="E10" s="31">
        <v>30</v>
      </c>
      <c r="F10" s="31">
        <v>222</v>
      </c>
      <c r="G10" s="31">
        <v>400000</v>
      </c>
      <c r="H10" s="31">
        <v>15</v>
      </c>
      <c r="I10" s="31">
        <v>14.95</v>
      </c>
      <c r="J10" s="31">
        <v>60</v>
      </c>
      <c r="K10" s="31">
        <v>3</v>
      </c>
      <c r="L10" s="32">
        <f>G10/E10</f>
        <v>13333.333333333334</v>
      </c>
      <c r="M10" s="32">
        <f>L10*D10</f>
        <v>26666.666666666668</v>
      </c>
      <c r="N10" s="32">
        <f>G10/(F10*J10)</f>
        <v>30.03003003003003</v>
      </c>
      <c r="O10" s="32">
        <f>G10/F10</f>
        <v>1801.8018018018017</v>
      </c>
      <c r="P10" s="32">
        <f>H10*I10+J10*(K10+E10)</f>
        <v>2204.25</v>
      </c>
      <c r="Q10" s="33"/>
    </row>
    <row r="11" spans="1:17" x14ac:dyDescent="0.55000000000000004"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50"/>
      <c r="P11" s="50"/>
      <c r="Q11" s="36"/>
    </row>
    <row r="12" spans="1:17" x14ac:dyDescent="0.55000000000000004">
      <c r="E12" s="11"/>
    </row>
    <row r="13" spans="1:17" x14ac:dyDescent="0.55000000000000004">
      <c r="B13" s="15"/>
      <c r="C13" s="17"/>
      <c r="D13" s="17"/>
      <c r="E13" s="37"/>
      <c r="F13" s="17"/>
      <c r="G13" s="17"/>
      <c r="H13" s="17"/>
      <c r="I13" s="17"/>
      <c r="J13" s="17"/>
      <c r="K13" s="17"/>
      <c r="L13" s="18"/>
      <c r="O13" s="13"/>
    </row>
    <row r="14" spans="1:17" ht="18.3" x14ac:dyDescent="0.7">
      <c r="B14" s="19"/>
      <c r="C14" s="5" t="s">
        <v>71</v>
      </c>
      <c r="L14" s="20"/>
      <c r="O14" s="13"/>
    </row>
    <row r="15" spans="1:17" x14ac:dyDescent="0.55000000000000004">
      <c r="B15" s="19"/>
      <c r="L15" s="20"/>
    </row>
    <row r="16" spans="1:17" ht="28.8" x14ac:dyDescent="0.55000000000000004">
      <c r="B16" s="19"/>
      <c r="C16" s="38" t="s">
        <v>72</v>
      </c>
      <c r="D16" s="38" t="s">
        <v>73</v>
      </c>
      <c r="E16" s="38" t="s">
        <v>74</v>
      </c>
      <c r="F16" s="38" t="s">
        <v>75</v>
      </c>
      <c r="G16" s="38" t="s">
        <v>76</v>
      </c>
      <c r="H16" s="38" t="s">
        <v>77</v>
      </c>
      <c r="I16" s="25" t="s">
        <v>80</v>
      </c>
      <c r="J16" s="25" t="s">
        <v>81</v>
      </c>
      <c r="L16" s="20"/>
    </row>
    <row r="17" spans="2:12" x14ac:dyDescent="0.55000000000000004">
      <c r="B17" s="19"/>
      <c r="C17" s="40"/>
      <c r="D17" s="40"/>
      <c r="E17" s="40"/>
      <c r="F17" s="40"/>
      <c r="G17" s="40"/>
      <c r="H17" s="40"/>
      <c r="I17" s="53" t="s">
        <v>3</v>
      </c>
      <c r="J17" s="53" t="s">
        <v>13</v>
      </c>
      <c r="K17" s="35"/>
      <c r="L17" s="20"/>
    </row>
    <row r="18" spans="2:12" x14ac:dyDescent="0.55000000000000004">
      <c r="B18" s="19"/>
      <c r="C18" s="6">
        <v>1</v>
      </c>
      <c r="D18" s="6" t="s">
        <v>16</v>
      </c>
      <c r="E18" s="6" t="s">
        <v>104</v>
      </c>
      <c r="F18" s="6" t="s">
        <v>100</v>
      </c>
      <c r="G18" s="6" t="s">
        <v>11</v>
      </c>
      <c r="H18" s="6" t="s">
        <v>78</v>
      </c>
      <c r="J18" s="39">
        <f>K36</f>
        <v>85302.056936339286</v>
      </c>
      <c r="K18" s="51">
        <f>J18</f>
        <v>85302.056936339286</v>
      </c>
      <c r="L18" s="57">
        <f>K18</f>
        <v>85302.056936339286</v>
      </c>
    </row>
    <row r="19" spans="2:12" x14ac:dyDescent="0.55000000000000004">
      <c r="B19" s="19"/>
      <c r="C19" s="6">
        <v>1</v>
      </c>
      <c r="D19" s="6" t="s">
        <v>16</v>
      </c>
      <c r="E19" s="6" t="s">
        <v>105</v>
      </c>
      <c r="F19" s="6" t="s">
        <v>100</v>
      </c>
      <c r="G19" s="6" t="s">
        <v>38</v>
      </c>
      <c r="H19" s="6" t="s">
        <v>78</v>
      </c>
      <c r="J19" s="39">
        <f>K37</f>
        <v>104785.80917212802</v>
      </c>
      <c r="K19" s="51">
        <f>J19</f>
        <v>104785.80917212802</v>
      </c>
      <c r="L19" s="57">
        <f>K19+L18</f>
        <v>190087.86610846731</v>
      </c>
    </row>
    <row r="20" spans="2:12" x14ac:dyDescent="0.55000000000000004">
      <c r="B20" s="19"/>
      <c r="C20" s="6">
        <v>2</v>
      </c>
      <c r="D20" s="6" t="s">
        <v>15</v>
      </c>
      <c r="E20" s="6" t="s">
        <v>101</v>
      </c>
      <c r="F20" s="6" t="s">
        <v>4</v>
      </c>
      <c r="G20" s="6" t="s">
        <v>11</v>
      </c>
      <c r="H20" s="6" t="s">
        <v>78</v>
      </c>
      <c r="J20" s="39">
        <f>M10*'Hub operations'!C13</f>
        <v>140444.44444444444</v>
      </c>
      <c r="K20" s="51">
        <f t="shared" ref="K20:K25" si="0">J20</f>
        <v>140444.44444444444</v>
      </c>
      <c r="L20" s="57">
        <f t="shared" ref="L20:L25" si="1">K20+L19</f>
        <v>330532.31055291172</v>
      </c>
    </row>
    <row r="21" spans="2:12" x14ac:dyDescent="0.55000000000000004">
      <c r="B21" s="19"/>
      <c r="C21" s="6">
        <v>3</v>
      </c>
      <c r="D21" s="6" t="s">
        <v>16</v>
      </c>
      <c r="E21" s="6" t="s">
        <v>120</v>
      </c>
      <c r="F21" s="6" t="s">
        <v>35</v>
      </c>
      <c r="G21" s="6" t="s">
        <v>36</v>
      </c>
      <c r="H21" s="6" t="s">
        <v>78</v>
      </c>
      <c r="J21" s="39">
        <f>F61</f>
        <v>127647.61333333333</v>
      </c>
      <c r="K21" s="51">
        <f t="shared" si="0"/>
        <v>127647.61333333333</v>
      </c>
      <c r="L21" s="57">
        <f t="shared" si="1"/>
        <v>458179.92388624506</v>
      </c>
    </row>
    <row r="22" spans="2:12" x14ac:dyDescent="0.55000000000000004">
      <c r="B22" s="19"/>
      <c r="C22" s="6">
        <v>4</v>
      </c>
      <c r="D22" s="6" t="s">
        <v>16</v>
      </c>
      <c r="E22" s="6" t="s">
        <v>121</v>
      </c>
      <c r="F22" s="6" t="s">
        <v>35</v>
      </c>
      <c r="G22" s="6" t="s">
        <v>36</v>
      </c>
      <c r="H22" s="6" t="s">
        <v>79</v>
      </c>
      <c r="J22" s="39">
        <f>F62</f>
        <v>73296.813333333324</v>
      </c>
      <c r="K22" s="51">
        <f t="shared" si="0"/>
        <v>73296.813333333324</v>
      </c>
      <c r="L22" s="57">
        <f t="shared" si="1"/>
        <v>531476.73721957835</v>
      </c>
    </row>
    <row r="23" spans="2:12" x14ac:dyDescent="0.55000000000000004">
      <c r="B23" s="19"/>
      <c r="C23" s="6">
        <v>5</v>
      </c>
      <c r="D23" s="6" t="s">
        <v>15</v>
      </c>
      <c r="E23" s="6" t="s">
        <v>101</v>
      </c>
      <c r="F23" s="6" t="s">
        <v>4</v>
      </c>
      <c r="G23" s="6" t="s">
        <v>11</v>
      </c>
      <c r="H23" s="6" t="s">
        <v>79</v>
      </c>
      <c r="J23" s="39">
        <f>M10*'Hub operations'!C14</f>
        <v>126400.00000000001</v>
      </c>
      <c r="K23" s="51">
        <f t="shared" si="0"/>
        <v>126400.00000000001</v>
      </c>
      <c r="L23" s="57">
        <f t="shared" si="1"/>
        <v>657876.73721957835</v>
      </c>
    </row>
    <row r="24" spans="2:12" x14ac:dyDescent="0.55000000000000004">
      <c r="B24" s="19"/>
      <c r="C24" s="6">
        <v>6</v>
      </c>
      <c r="D24" s="6" t="s">
        <v>16</v>
      </c>
      <c r="E24" s="6" t="s">
        <v>102</v>
      </c>
      <c r="F24" s="6" t="s">
        <v>100</v>
      </c>
      <c r="G24" s="6" t="s">
        <v>38</v>
      </c>
      <c r="H24" s="6" t="s">
        <v>79</v>
      </c>
      <c r="J24" s="39">
        <f>K38</f>
        <v>19131.613972128005</v>
      </c>
      <c r="K24" s="51">
        <f t="shared" si="0"/>
        <v>19131.613972128005</v>
      </c>
      <c r="L24" s="57">
        <f t="shared" si="1"/>
        <v>677008.35119170637</v>
      </c>
    </row>
    <row r="25" spans="2:12" x14ac:dyDescent="0.55000000000000004">
      <c r="B25" s="19"/>
      <c r="C25" s="35">
        <v>6</v>
      </c>
      <c r="D25" s="35" t="s">
        <v>16</v>
      </c>
      <c r="E25" s="35" t="s">
        <v>103</v>
      </c>
      <c r="F25" s="35" t="s">
        <v>100</v>
      </c>
      <c r="G25" s="35" t="s">
        <v>11</v>
      </c>
      <c r="H25" s="35" t="s">
        <v>79</v>
      </c>
      <c r="I25" s="35"/>
      <c r="J25" s="41">
        <f>K39</f>
        <v>15574.303784339285</v>
      </c>
      <c r="K25" s="52">
        <f t="shared" si="0"/>
        <v>15574.303784339285</v>
      </c>
      <c r="L25" s="57">
        <f t="shared" si="1"/>
        <v>692582.65497604571</v>
      </c>
    </row>
    <row r="26" spans="2:12" x14ac:dyDescent="0.55000000000000004">
      <c r="B26" s="19"/>
      <c r="J26" s="39"/>
      <c r="L26" s="20"/>
    </row>
    <row r="27" spans="2:12" x14ac:dyDescent="0.55000000000000004">
      <c r="B27" s="19"/>
      <c r="I27" s="2" t="s">
        <v>143</v>
      </c>
      <c r="J27" s="42">
        <f>SUM(J18:J25)</f>
        <v>692582.65497604571</v>
      </c>
      <c r="K27" s="2" t="s">
        <v>13</v>
      </c>
      <c r="L27" s="20"/>
    </row>
    <row r="28" spans="2:12" x14ac:dyDescent="0.55000000000000004">
      <c r="B28" s="19"/>
      <c r="I28" s="2" t="s">
        <v>144</v>
      </c>
      <c r="J28" s="42">
        <f>J27/G10</f>
        <v>1.7314566374401144</v>
      </c>
      <c r="K28" s="2" t="s">
        <v>145</v>
      </c>
      <c r="L28" s="20"/>
    </row>
    <row r="29" spans="2:12" x14ac:dyDescent="0.55000000000000004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6"/>
    </row>
    <row r="31" spans="2:12" x14ac:dyDescent="0.55000000000000004">
      <c r="B31" s="15"/>
      <c r="C31" s="17"/>
      <c r="D31" s="17"/>
      <c r="E31" s="17"/>
      <c r="F31" s="17"/>
      <c r="G31" s="17"/>
      <c r="H31" s="17"/>
      <c r="I31" s="17"/>
      <c r="J31" s="17"/>
      <c r="K31" s="17"/>
      <c r="L31" s="18"/>
    </row>
    <row r="32" spans="2:12" ht="18.3" x14ac:dyDescent="0.7">
      <c r="B32" s="19"/>
      <c r="C32" s="5" t="s">
        <v>70</v>
      </c>
      <c r="D32" s="5"/>
      <c r="L32" s="20"/>
    </row>
    <row r="33" spans="2:12" x14ac:dyDescent="0.55000000000000004">
      <c r="B33" s="19"/>
      <c r="L33" s="20"/>
    </row>
    <row r="34" spans="2:12" ht="28.8" x14ac:dyDescent="0.55000000000000004">
      <c r="B34" s="19"/>
      <c r="C34" s="58" t="s">
        <v>72</v>
      </c>
      <c r="D34" s="38" t="s">
        <v>83</v>
      </c>
      <c r="E34" s="38" t="s">
        <v>84</v>
      </c>
      <c r="F34" s="25" t="s">
        <v>85</v>
      </c>
      <c r="G34" s="25" t="s">
        <v>86</v>
      </c>
      <c r="H34" s="60" t="s">
        <v>87</v>
      </c>
      <c r="I34" s="60"/>
      <c r="J34" s="38" t="s">
        <v>88</v>
      </c>
      <c r="K34" s="38" t="s">
        <v>89</v>
      </c>
      <c r="L34" s="20"/>
    </row>
    <row r="35" spans="2:12" x14ac:dyDescent="0.55000000000000004">
      <c r="B35" s="19"/>
      <c r="C35" s="59"/>
      <c r="D35" s="49" t="s">
        <v>2</v>
      </c>
      <c r="E35" s="49" t="s">
        <v>19</v>
      </c>
      <c r="F35" s="49" t="s">
        <v>18</v>
      </c>
      <c r="G35" s="49" t="s">
        <v>20</v>
      </c>
      <c r="H35" s="49" t="s">
        <v>21</v>
      </c>
      <c r="I35" s="49" t="s">
        <v>3</v>
      </c>
      <c r="J35" s="49" t="s">
        <v>17</v>
      </c>
      <c r="K35" s="49" t="s">
        <v>13</v>
      </c>
      <c r="L35" s="20"/>
    </row>
    <row r="36" spans="2:12" x14ac:dyDescent="0.55000000000000004">
      <c r="B36" s="19"/>
      <c r="C36" s="6">
        <v>1</v>
      </c>
      <c r="D36" s="30">
        <v>18.8</v>
      </c>
      <c r="E36" s="30">
        <f>P10*F10</f>
        <v>489343.5</v>
      </c>
      <c r="F36" s="30">
        <f>E36*D36</f>
        <v>9199657.8000000007</v>
      </c>
      <c r="G36" s="30">
        <v>29.1</v>
      </c>
      <c r="H36" s="30">
        <f>G36*F36</f>
        <v>267710041.98000005</v>
      </c>
      <c r="I36" s="30">
        <f>0.0036*H36</f>
        <v>963756.15112800011</v>
      </c>
      <c r="J36" s="48">
        <v>88.51</v>
      </c>
      <c r="K36" s="30">
        <f>J36*I36/1000</f>
        <v>85302.056936339286</v>
      </c>
      <c r="L36" s="20"/>
    </row>
    <row r="37" spans="2:12" x14ac:dyDescent="0.55000000000000004">
      <c r="B37" s="19"/>
      <c r="C37" s="6">
        <v>1</v>
      </c>
      <c r="D37" s="30">
        <f>130-17.6</f>
        <v>112.4</v>
      </c>
      <c r="E37" s="30">
        <f>P10*F10</f>
        <v>489343.5</v>
      </c>
      <c r="F37" s="30">
        <f>E37*D37</f>
        <v>55002209.400000006</v>
      </c>
      <c r="G37" s="30">
        <v>10.8</v>
      </c>
      <c r="H37" s="30">
        <f>G37*F37</f>
        <v>594023861.5200001</v>
      </c>
      <c r="I37" s="30">
        <f>0.0036*H37</f>
        <v>2138485.9014720004</v>
      </c>
      <c r="J37" s="30">
        <v>49</v>
      </c>
      <c r="K37" s="30">
        <f>J37*I37/1000</f>
        <v>104785.80917212802</v>
      </c>
      <c r="L37" s="20"/>
    </row>
    <row r="38" spans="2:12" x14ac:dyDescent="0.55000000000000004">
      <c r="B38" s="19"/>
      <c r="C38" s="6">
        <v>6</v>
      </c>
      <c r="D38" s="30">
        <f>130-17.6</f>
        <v>112.4</v>
      </c>
      <c r="E38" s="30">
        <f>(P10-O10)*F10</f>
        <v>89343.500000000015</v>
      </c>
      <c r="F38" s="30">
        <f t="shared" ref="F38:F39" si="2">E38*D38</f>
        <v>10042209.400000002</v>
      </c>
      <c r="G38" s="30">
        <f>10.8</f>
        <v>10.8</v>
      </c>
      <c r="H38" s="30">
        <f t="shared" ref="H38:H39" si="3">G38*F38</f>
        <v>108455861.52000003</v>
      </c>
      <c r="I38" s="30">
        <f t="shared" ref="I38:I39" si="4">0.0036*H38</f>
        <v>390441.10147200007</v>
      </c>
      <c r="J38" s="30">
        <v>49</v>
      </c>
      <c r="K38" s="30">
        <f t="shared" ref="K38:K39" si="5">J38*I38/1000</f>
        <v>19131.613972128005</v>
      </c>
      <c r="L38" s="20"/>
    </row>
    <row r="39" spans="2:12" x14ac:dyDescent="0.55000000000000004">
      <c r="B39" s="19"/>
      <c r="C39" s="6">
        <v>6</v>
      </c>
      <c r="D39" s="30">
        <v>18.8</v>
      </c>
      <c r="E39" s="30">
        <f>(P10-O10)*F10</f>
        <v>89343.500000000015</v>
      </c>
      <c r="F39" s="30">
        <f t="shared" si="2"/>
        <v>1679657.8000000003</v>
      </c>
      <c r="G39" s="30">
        <v>29.1</v>
      </c>
      <c r="H39" s="30">
        <f t="shared" si="3"/>
        <v>48878041.980000012</v>
      </c>
      <c r="I39" s="30">
        <f t="shared" si="4"/>
        <v>175960.95112800004</v>
      </c>
      <c r="J39" s="48">
        <v>88.51</v>
      </c>
      <c r="K39" s="30">
        <f t="shared" si="5"/>
        <v>15574.303784339285</v>
      </c>
      <c r="L39" s="20"/>
    </row>
    <row r="40" spans="2:12" x14ac:dyDescent="0.55000000000000004">
      <c r="B40" s="19"/>
      <c r="L40" s="20"/>
    </row>
    <row r="41" spans="2:12" x14ac:dyDescent="0.55000000000000004">
      <c r="B41" s="19"/>
      <c r="C41" s="6" t="s">
        <v>90</v>
      </c>
      <c r="L41" s="20"/>
    </row>
    <row r="42" spans="2:12" x14ac:dyDescent="0.55000000000000004">
      <c r="B42" s="19"/>
      <c r="C42" s="6" t="s">
        <v>91</v>
      </c>
      <c r="L42" s="20"/>
    </row>
    <row r="43" spans="2:12" x14ac:dyDescent="0.55000000000000004">
      <c r="B43" s="19"/>
      <c r="C43" s="6" t="s">
        <v>140</v>
      </c>
      <c r="L43" s="20"/>
    </row>
    <row r="44" spans="2:12" x14ac:dyDescent="0.55000000000000004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6"/>
    </row>
    <row r="46" spans="2:12" x14ac:dyDescent="0.55000000000000004">
      <c r="B46" s="15"/>
      <c r="C46" s="17"/>
      <c r="D46" s="17"/>
      <c r="E46" s="17"/>
      <c r="F46" s="17"/>
      <c r="G46" s="17"/>
      <c r="H46" s="17"/>
      <c r="I46" s="18"/>
    </row>
    <row r="47" spans="2:12" ht="18.3" x14ac:dyDescent="0.7">
      <c r="B47" s="19"/>
      <c r="C47" s="5" t="s">
        <v>69</v>
      </c>
      <c r="I47" s="20"/>
    </row>
    <row r="48" spans="2:12" ht="14.4" customHeight="1" x14ac:dyDescent="0.7">
      <c r="B48" s="19"/>
      <c r="C48" s="5"/>
      <c r="I48" s="20"/>
    </row>
    <row r="49" spans="2:13" x14ac:dyDescent="0.55000000000000004">
      <c r="B49" s="19"/>
      <c r="D49" s="40" t="s">
        <v>14</v>
      </c>
      <c r="E49" s="40" t="s">
        <v>56</v>
      </c>
      <c r="F49" s="40" t="s">
        <v>57</v>
      </c>
      <c r="G49" s="40" t="s">
        <v>58</v>
      </c>
      <c r="I49" s="20"/>
    </row>
    <row r="50" spans="2:13" ht="14.4" customHeight="1" x14ac:dyDescent="0.55000000000000004">
      <c r="B50" s="19"/>
      <c r="D50" s="43" t="s">
        <v>60</v>
      </c>
      <c r="E50" s="44" t="s">
        <v>1</v>
      </c>
      <c r="F50" s="45">
        <v>8.5</v>
      </c>
      <c r="G50" s="45" t="s">
        <v>61</v>
      </c>
      <c r="I50" s="20"/>
    </row>
    <row r="51" spans="2:13" ht="14.4" customHeight="1" x14ac:dyDescent="0.55000000000000004">
      <c r="B51" s="19"/>
      <c r="D51" s="43" t="s">
        <v>59</v>
      </c>
      <c r="E51" s="44" t="s">
        <v>1</v>
      </c>
      <c r="F51" s="45">
        <v>14.4</v>
      </c>
      <c r="G51" s="45" t="s">
        <v>62</v>
      </c>
      <c r="I51" s="20"/>
      <c r="M51" s="12"/>
    </row>
    <row r="52" spans="2:13" ht="28.8" x14ac:dyDescent="0.55000000000000004">
      <c r="B52" s="19"/>
      <c r="D52" s="43" t="s">
        <v>55</v>
      </c>
      <c r="E52" s="44" t="s">
        <v>1</v>
      </c>
      <c r="F52" s="46">
        <f>F50+(F51-F50)/(40-14)*K10</f>
        <v>9.180769230769231</v>
      </c>
      <c r="G52" s="45"/>
      <c r="I52" s="20"/>
      <c r="M52" s="12"/>
    </row>
    <row r="53" spans="2:13" ht="28.8" x14ac:dyDescent="0.55000000000000004">
      <c r="B53" s="19"/>
      <c r="D53" s="43" t="s">
        <v>63</v>
      </c>
      <c r="E53" s="44" t="s">
        <v>1</v>
      </c>
      <c r="F53" s="46">
        <f>F50+(F51-F50)/(40-14)*(E10+K10)</f>
        <v>15.988461538461539</v>
      </c>
      <c r="G53" s="45"/>
      <c r="I53" s="20"/>
    </row>
    <row r="54" spans="2:13" x14ac:dyDescent="0.55000000000000004">
      <c r="B54" s="19"/>
      <c r="D54" s="43" t="s">
        <v>52</v>
      </c>
      <c r="E54" s="44" t="s">
        <v>2</v>
      </c>
      <c r="F54" s="45">
        <v>18.2</v>
      </c>
      <c r="G54" s="45"/>
      <c r="I54" s="20"/>
      <c r="M54" s="13"/>
    </row>
    <row r="55" spans="2:13" x14ac:dyDescent="0.55000000000000004">
      <c r="B55" s="19"/>
      <c r="D55" s="43" t="s">
        <v>53</v>
      </c>
      <c r="E55" s="44" t="s">
        <v>2</v>
      </c>
      <c r="F55" s="45">
        <v>18.2</v>
      </c>
      <c r="G55" s="45"/>
      <c r="I55" s="20"/>
    </row>
    <row r="56" spans="2:13" ht="28.8" x14ac:dyDescent="0.55000000000000004">
      <c r="B56" s="19"/>
      <c r="D56" s="43" t="s">
        <v>64</v>
      </c>
      <c r="E56" s="44" t="s">
        <v>2</v>
      </c>
      <c r="F56" s="47">
        <f>F54*L10</f>
        <v>242666.66666666666</v>
      </c>
      <c r="G56" s="45"/>
      <c r="I56" s="20"/>
    </row>
    <row r="57" spans="2:13" ht="28.8" x14ac:dyDescent="0.55000000000000004">
      <c r="B57" s="19"/>
      <c r="D57" s="43" t="s">
        <v>65</v>
      </c>
      <c r="E57" s="44" t="s">
        <v>2</v>
      </c>
      <c r="F57" s="47">
        <f>F55*L10</f>
        <v>242666.66666666666</v>
      </c>
      <c r="G57" s="45"/>
      <c r="I57" s="20"/>
    </row>
    <row r="58" spans="2:13" ht="28.8" x14ac:dyDescent="0.55000000000000004">
      <c r="B58" s="19"/>
      <c r="D58" s="43" t="s">
        <v>54</v>
      </c>
      <c r="E58" s="44" t="s">
        <v>3</v>
      </c>
      <c r="F58" s="47">
        <f>F56*F53</f>
        <v>3879866.6666666665</v>
      </c>
      <c r="G58" s="45"/>
      <c r="I58" s="20"/>
    </row>
    <row r="59" spans="2:13" ht="28.8" x14ac:dyDescent="0.55000000000000004">
      <c r="B59" s="19"/>
      <c r="D59" s="43" t="s">
        <v>55</v>
      </c>
      <c r="E59" s="44" t="s">
        <v>3</v>
      </c>
      <c r="F59" s="47">
        <f>F57*F52</f>
        <v>2227866.6666666665</v>
      </c>
      <c r="G59" s="45"/>
      <c r="I59" s="20"/>
    </row>
    <row r="60" spans="2:13" ht="28.8" x14ac:dyDescent="0.55000000000000004">
      <c r="B60" s="19"/>
      <c r="D60" s="43" t="s">
        <v>93</v>
      </c>
      <c r="E60" s="44" t="s">
        <v>17</v>
      </c>
      <c r="F60" s="48">
        <f>(1-0.65)*94</f>
        <v>32.9</v>
      </c>
      <c r="G60" s="45" t="s">
        <v>133</v>
      </c>
      <c r="I60" s="20"/>
    </row>
    <row r="61" spans="2:13" x14ac:dyDescent="0.55000000000000004">
      <c r="B61" s="19"/>
      <c r="D61" s="43" t="s">
        <v>67</v>
      </c>
      <c r="E61" s="44" t="s">
        <v>13</v>
      </c>
      <c r="F61" s="48">
        <f>F58*F60/1000</f>
        <v>127647.61333333333</v>
      </c>
      <c r="G61" s="45"/>
      <c r="I61" s="20"/>
    </row>
    <row r="62" spans="2:13" x14ac:dyDescent="0.55000000000000004">
      <c r="B62" s="19"/>
      <c r="D62" s="43" t="s">
        <v>68</v>
      </c>
      <c r="E62" s="44" t="s">
        <v>13</v>
      </c>
      <c r="F62" s="48">
        <f>F60*F59/1000</f>
        <v>73296.813333333324</v>
      </c>
      <c r="G62" s="45"/>
      <c r="I62" s="20"/>
    </row>
    <row r="63" spans="2:13" x14ac:dyDescent="0.55000000000000004">
      <c r="B63" s="34"/>
      <c r="C63" s="35"/>
      <c r="D63" s="35"/>
      <c r="E63" s="35"/>
      <c r="F63" s="35"/>
      <c r="G63" s="35"/>
      <c r="H63" s="35"/>
      <c r="I63" s="36"/>
    </row>
    <row r="66" spans="7:7" x14ac:dyDescent="0.55000000000000004">
      <c r="G66" s="14"/>
    </row>
  </sheetData>
  <mergeCells count="2">
    <mergeCell ref="C34:C35"/>
    <mergeCell ref="H34:I34"/>
  </mergeCells>
  <conditionalFormatting sqref="K18:K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{89C90C87-EF47-49DC-A59E-75E2C68B3D4C}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C90C87-EF47-49DC-A59E-75E2C68B3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FFF4-1D30-468F-8BA0-F8A7D9B4E84B}">
  <dimension ref="A1:Q66"/>
  <sheetViews>
    <sheetView workbookViewId="0">
      <selection activeCell="K28" sqref="K28"/>
    </sheetView>
  </sheetViews>
  <sheetFormatPr baseColWidth="10" defaultColWidth="8.83984375" defaultRowHeight="14.4" x14ac:dyDescent="0.55000000000000004"/>
  <cols>
    <col min="1" max="1" width="5.41796875" style="6" customWidth="1"/>
    <col min="2" max="2" width="2.5234375" style="6" customWidth="1"/>
    <col min="3" max="3" width="4.1015625" style="6" customWidth="1"/>
    <col min="4" max="4" width="24.68359375" style="6" bestFit="1" customWidth="1"/>
    <col min="5" max="5" width="25.3125" style="6" customWidth="1"/>
    <col min="6" max="6" width="16.578125" style="6" customWidth="1"/>
    <col min="7" max="7" width="18" style="6" customWidth="1"/>
    <col min="8" max="8" width="20.578125" style="6" customWidth="1"/>
    <col min="9" max="10" width="18.578125" style="6" customWidth="1"/>
    <col min="11" max="11" width="18.9453125" style="6" customWidth="1"/>
    <col min="12" max="12" width="18.15625" style="6" customWidth="1"/>
    <col min="13" max="16" width="16.578125" style="6" customWidth="1"/>
    <col min="17" max="20" width="10.9453125" style="6" customWidth="1"/>
    <col min="21" max="21" width="19.47265625" style="6" customWidth="1"/>
    <col min="22" max="22" width="17.62890625" style="6" customWidth="1"/>
    <col min="23" max="23" width="13.3671875" style="6" customWidth="1"/>
    <col min="24" max="24" width="12.578125" style="6" customWidth="1"/>
    <col min="25" max="25" width="14.89453125" style="6" customWidth="1"/>
    <col min="26" max="26" width="14.83984375" style="6" customWidth="1"/>
    <col min="27" max="28" width="15.05078125" style="6" customWidth="1"/>
    <col min="29" max="16384" width="8.83984375" style="6"/>
  </cols>
  <sheetData>
    <row r="1" spans="1:17" ht="18.3" x14ac:dyDescent="0.7">
      <c r="A1" s="5" t="s">
        <v>113</v>
      </c>
    </row>
    <row r="2" spans="1:17" ht="18.3" x14ac:dyDescent="0.7">
      <c r="C2" s="5"/>
    </row>
    <row r="3" spans="1:17" x14ac:dyDescent="0.55000000000000004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18.3" x14ac:dyDescent="0.7">
      <c r="B4" s="19"/>
      <c r="C4" s="5" t="s">
        <v>41</v>
      </c>
      <c r="Q4" s="20"/>
    </row>
    <row r="5" spans="1:17" x14ac:dyDescent="0.55000000000000004">
      <c r="B5" s="19"/>
      <c r="Q5" s="20"/>
    </row>
    <row r="6" spans="1:17" x14ac:dyDescent="0.55000000000000004">
      <c r="B6" s="19"/>
      <c r="D6" s="21" t="s">
        <v>42</v>
      </c>
      <c r="E6" s="22" t="s">
        <v>43</v>
      </c>
      <c r="G6"/>
      <c r="Q6" s="20"/>
    </row>
    <row r="7" spans="1:17" x14ac:dyDescent="0.55000000000000004">
      <c r="B7" s="19"/>
      <c r="Q7" s="20"/>
    </row>
    <row r="8" spans="1:17" s="7" customFormat="1" ht="29.7" customHeight="1" x14ac:dyDescent="0.55000000000000004">
      <c r="B8" s="23"/>
      <c r="C8" s="24"/>
      <c r="D8" s="25" t="s">
        <v>110</v>
      </c>
      <c r="E8" s="25" t="s">
        <v>46</v>
      </c>
      <c r="F8" s="25" t="s">
        <v>44</v>
      </c>
      <c r="G8" s="25" t="s">
        <v>45</v>
      </c>
      <c r="H8" s="25" t="s">
        <v>106</v>
      </c>
      <c r="I8" s="25" t="s">
        <v>49</v>
      </c>
      <c r="J8" s="25" t="s">
        <v>107</v>
      </c>
      <c r="K8" s="25" t="s">
        <v>50</v>
      </c>
      <c r="L8" s="25" t="s">
        <v>108</v>
      </c>
      <c r="M8" s="25" t="s">
        <v>109</v>
      </c>
      <c r="N8" s="25" t="s">
        <v>51</v>
      </c>
      <c r="O8" s="25" t="s">
        <v>48</v>
      </c>
      <c r="P8" s="25" t="s">
        <v>47</v>
      </c>
      <c r="Q8" s="26"/>
    </row>
    <row r="9" spans="1:17" s="8" customFormat="1" x14ac:dyDescent="0.55000000000000004">
      <c r="B9" s="27"/>
      <c r="D9" s="9"/>
      <c r="E9" s="9" t="s">
        <v>0</v>
      </c>
      <c r="F9" s="9"/>
      <c r="G9" s="9" t="s">
        <v>0</v>
      </c>
      <c r="H9" s="9"/>
      <c r="I9" s="9" t="s">
        <v>0</v>
      </c>
      <c r="J9" s="9"/>
      <c r="K9" s="9" t="s">
        <v>0</v>
      </c>
      <c r="L9" s="9"/>
      <c r="M9" s="9"/>
      <c r="N9" s="9" t="s">
        <v>0</v>
      </c>
      <c r="O9" s="9" t="s">
        <v>0</v>
      </c>
      <c r="P9" s="9" t="s">
        <v>0</v>
      </c>
      <c r="Q9" s="28"/>
    </row>
    <row r="10" spans="1:17" s="10" customFormat="1" x14ac:dyDescent="0.55000000000000004">
      <c r="B10" s="29"/>
      <c r="C10" s="30"/>
      <c r="D10" s="31">
        <v>2</v>
      </c>
      <c r="E10" s="31">
        <v>30</v>
      </c>
      <c r="F10" s="31">
        <v>222</v>
      </c>
      <c r="G10" s="31">
        <v>400000</v>
      </c>
      <c r="H10" s="31">
        <v>15</v>
      </c>
      <c r="I10" s="31">
        <v>14.95</v>
      </c>
      <c r="J10" s="31">
        <v>60</v>
      </c>
      <c r="K10" s="31">
        <v>3</v>
      </c>
      <c r="L10" s="32">
        <f>G10/E10</f>
        <v>13333.333333333334</v>
      </c>
      <c r="M10" s="32">
        <f>L10*D10</f>
        <v>26666.666666666668</v>
      </c>
      <c r="N10" s="32">
        <f>G10/(F10*J10)</f>
        <v>30.03003003003003</v>
      </c>
      <c r="O10" s="32">
        <f>G10/F10</f>
        <v>1801.8018018018017</v>
      </c>
      <c r="P10" s="32">
        <f>H10*I10+J10*(K10+E10)</f>
        <v>2204.25</v>
      </c>
      <c r="Q10" s="33"/>
    </row>
    <row r="11" spans="1:17" x14ac:dyDescent="0.55000000000000004"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50"/>
      <c r="P11" s="50"/>
      <c r="Q11" s="36"/>
    </row>
    <row r="12" spans="1:17" x14ac:dyDescent="0.55000000000000004">
      <c r="E12" s="11"/>
    </row>
    <row r="13" spans="1:17" x14ac:dyDescent="0.55000000000000004">
      <c r="B13" s="15"/>
      <c r="C13" s="17"/>
      <c r="D13" s="17"/>
      <c r="E13" s="37"/>
      <c r="F13" s="17"/>
      <c r="G13" s="17"/>
      <c r="H13" s="17"/>
      <c r="I13" s="17"/>
      <c r="J13" s="17"/>
      <c r="K13" s="17"/>
      <c r="L13" s="18"/>
      <c r="O13" s="13"/>
    </row>
    <row r="14" spans="1:17" ht="18.3" x14ac:dyDescent="0.7">
      <c r="B14" s="19"/>
      <c r="C14" s="5" t="s">
        <v>71</v>
      </c>
      <c r="L14" s="20"/>
      <c r="O14" s="13"/>
    </row>
    <row r="15" spans="1:17" x14ac:dyDescent="0.55000000000000004">
      <c r="B15" s="19"/>
      <c r="L15" s="20"/>
    </row>
    <row r="16" spans="1:17" ht="28.8" x14ac:dyDescent="0.55000000000000004">
      <c r="B16" s="19"/>
      <c r="C16" s="38" t="s">
        <v>72</v>
      </c>
      <c r="D16" s="38" t="s">
        <v>73</v>
      </c>
      <c r="E16" s="38" t="s">
        <v>74</v>
      </c>
      <c r="F16" s="38" t="s">
        <v>75</v>
      </c>
      <c r="G16" s="38" t="s">
        <v>76</v>
      </c>
      <c r="H16" s="38" t="s">
        <v>77</v>
      </c>
      <c r="I16" s="25" t="s">
        <v>80</v>
      </c>
      <c r="J16" s="25" t="s">
        <v>81</v>
      </c>
      <c r="L16" s="20"/>
    </row>
    <row r="17" spans="2:13" x14ac:dyDescent="0.55000000000000004">
      <c r="B17" s="19"/>
      <c r="C17" s="40"/>
      <c r="D17" s="40"/>
      <c r="E17" s="40"/>
      <c r="F17" s="40"/>
      <c r="G17" s="40"/>
      <c r="H17" s="40"/>
      <c r="I17" s="53" t="s">
        <v>3</v>
      </c>
      <c r="J17" s="53" t="s">
        <v>13</v>
      </c>
      <c r="K17" s="35"/>
      <c r="L17" s="20"/>
    </row>
    <row r="18" spans="2:13" x14ac:dyDescent="0.55000000000000004">
      <c r="B18" s="19"/>
      <c r="C18" s="6">
        <v>1</v>
      </c>
      <c r="D18" s="6" t="s">
        <v>16</v>
      </c>
      <c r="E18" s="6" t="s">
        <v>104</v>
      </c>
      <c r="F18" s="6" t="s">
        <v>100</v>
      </c>
      <c r="G18" s="6" t="s">
        <v>11</v>
      </c>
      <c r="H18" s="6" t="s">
        <v>78</v>
      </c>
      <c r="J18" s="39">
        <f>K36</f>
        <v>85302.056936339286</v>
      </c>
      <c r="K18" s="51">
        <f>J18</f>
        <v>85302.056936339286</v>
      </c>
      <c r="L18" s="57">
        <f>K18</f>
        <v>85302.056936339286</v>
      </c>
    </row>
    <row r="19" spans="2:13" x14ac:dyDescent="0.55000000000000004">
      <c r="B19" s="19"/>
      <c r="C19" s="6">
        <v>1</v>
      </c>
      <c r="D19" s="6" t="s">
        <v>16</v>
      </c>
      <c r="E19" s="6" t="s">
        <v>105</v>
      </c>
      <c r="F19" s="6" t="s">
        <v>100</v>
      </c>
      <c r="G19" s="6" t="s">
        <v>38</v>
      </c>
      <c r="H19" s="6" t="s">
        <v>78</v>
      </c>
      <c r="J19" s="39">
        <f>K37</f>
        <v>104785.80917212802</v>
      </c>
      <c r="K19" s="51">
        <f>J19</f>
        <v>104785.80917212802</v>
      </c>
      <c r="L19" s="57">
        <f>K19+L18</f>
        <v>190087.86610846731</v>
      </c>
      <c r="M19" s="13">
        <f>L19+K20/2</f>
        <v>260310.08833068953</v>
      </c>
    </row>
    <row r="20" spans="2:13" x14ac:dyDescent="0.55000000000000004">
      <c r="B20" s="19"/>
      <c r="C20" s="6">
        <v>2</v>
      </c>
      <c r="D20" s="6" t="s">
        <v>15</v>
      </c>
      <c r="E20" s="6" t="s">
        <v>101</v>
      </c>
      <c r="F20" s="6" t="s">
        <v>4</v>
      </c>
      <c r="G20" s="6" t="s">
        <v>11</v>
      </c>
      <c r="H20" s="6" t="s">
        <v>78</v>
      </c>
      <c r="J20" s="39">
        <f>M10*'Hub operations'!C13</f>
        <v>140444.44444444444</v>
      </c>
      <c r="K20" s="51">
        <f t="shared" ref="K20:K25" si="0">J20</f>
        <v>140444.44444444444</v>
      </c>
      <c r="L20" s="57">
        <f t="shared" ref="L20:L25" si="1">K20+L19</f>
        <v>330532.31055291172</v>
      </c>
    </row>
    <row r="21" spans="2:13" x14ac:dyDescent="0.55000000000000004">
      <c r="B21" s="19"/>
      <c r="C21" s="6">
        <v>3</v>
      </c>
      <c r="D21" s="6" t="s">
        <v>16</v>
      </c>
      <c r="E21" s="6" t="s">
        <v>120</v>
      </c>
      <c r="F21" s="6" t="s">
        <v>35</v>
      </c>
      <c r="G21" s="6" t="s">
        <v>38</v>
      </c>
      <c r="H21" s="6" t="s">
        <v>78</v>
      </c>
      <c r="J21" s="39">
        <f>F61</f>
        <v>30338.41066666667</v>
      </c>
      <c r="K21" s="51">
        <f t="shared" si="0"/>
        <v>30338.41066666667</v>
      </c>
      <c r="L21" s="57">
        <f t="shared" si="1"/>
        <v>360870.72121957841</v>
      </c>
    </row>
    <row r="22" spans="2:13" x14ac:dyDescent="0.55000000000000004">
      <c r="B22" s="19"/>
      <c r="C22" s="6">
        <v>4</v>
      </c>
      <c r="D22" s="6" t="s">
        <v>16</v>
      </c>
      <c r="E22" s="6" t="s">
        <v>121</v>
      </c>
      <c r="F22" s="6" t="s">
        <v>35</v>
      </c>
      <c r="G22" s="6" t="s">
        <v>38</v>
      </c>
      <c r="H22" s="6" t="s">
        <v>79</v>
      </c>
      <c r="J22" s="39">
        <f>F62</f>
        <v>23413.338666666663</v>
      </c>
      <c r="K22" s="51">
        <f t="shared" si="0"/>
        <v>23413.338666666663</v>
      </c>
      <c r="L22" s="57">
        <f t="shared" si="1"/>
        <v>384284.05988624506</v>
      </c>
      <c r="M22" s="13">
        <f>L22+0.5*K23</f>
        <v>447484.05988624506</v>
      </c>
    </row>
    <row r="23" spans="2:13" x14ac:dyDescent="0.55000000000000004">
      <c r="B23" s="19"/>
      <c r="C23" s="6">
        <v>5</v>
      </c>
      <c r="D23" s="6" t="s">
        <v>15</v>
      </c>
      <c r="E23" s="6" t="s">
        <v>101</v>
      </c>
      <c r="F23" s="6" t="s">
        <v>4</v>
      </c>
      <c r="G23" s="6" t="s">
        <v>11</v>
      </c>
      <c r="H23" s="6" t="s">
        <v>79</v>
      </c>
      <c r="J23" s="39">
        <f>M10*'Hub operations'!C14</f>
        <v>126400.00000000001</v>
      </c>
      <c r="K23" s="51">
        <f t="shared" si="0"/>
        <v>126400.00000000001</v>
      </c>
      <c r="L23" s="57">
        <f t="shared" si="1"/>
        <v>510684.05988624506</v>
      </c>
    </row>
    <row r="24" spans="2:13" x14ac:dyDescent="0.55000000000000004">
      <c r="B24" s="19"/>
      <c r="C24" s="6">
        <v>6</v>
      </c>
      <c r="D24" s="6" t="s">
        <v>16</v>
      </c>
      <c r="E24" s="6" t="s">
        <v>102</v>
      </c>
      <c r="F24" s="6" t="s">
        <v>100</v>
      </c>
      <c r="G24" s="6" t="s">
        <v>38</v>
      </c>
      <c r="H24" s="6" t="s">
        <v>79</v>
      </c>
      <c r="J24" s="39">
        <f>K38</f>
        <v>19131.613972128005</v>
      </c>
      <c r="K24" s="51">
        <f t="shared" si="0"/>
        <v>19131.613972128005</v>
      </c>
      <c r="L24" s="57">
        <f t="shared" si="1"/>
        <v>529815.67385837308</v>
      </c>
    </row>
    <row r="25" spans="2:13" x14ac:dyDescent="0.55000000000000004">
      <c r="B25" s="19"/>
      <c r="C25" s="35">
        <v>6</v>
      </c>
      <c r="D25" s="35" t="s">
        <v>16</v>
      </c>
      <c r="E25" s="35" t="s">
        <v>103</v>
      </c>
      <c r="F25" s="35" t="s">
        <v>100</v>
      </c>
      <c r="G25" s="35" t="s">
        <v>11</v>
      </c>
      <c r="H25" s="35" t="s">
        <v>79</v>
      </c>
      <c r="I25" s="35"/>
      <c r="J25" s="41">
        <f>K39</f>
        <v>15574.303784339285</v>
      </c>
      <c r="K25" s="52">
        <f t="shared" si="0"/>
        <v>15574.303784339285</v>
      </c>
      <c r="L25" s="57">
        <f t="shared" si="1"/>
        <v>545389.97764271242</v>
      </c>
    </row>
    <row r="26" spans="2:13" x14ac:dyDescent="0.55000000000000004">
      <c r="B26" s="19"/>
      <c r="J26" s="39"/>
      <c r="L26" s="20"/>
    </row>
    <row r="27" spans="2:13" x14ac:dyDescent="0.55000000000000004">
      <c r="B27" s="19"/>
      <c r="I27" s="2" t="s">
        <v>143</v>
      </c>
      <c r="J27" s="42">
        <f>SUM(J18:J25)</f>
        <v>545389.97764271242</v>
      </c>
      <c r="K27" s="2" t="s">
        <v>13</v>
      </c>
      <c r="L27" s="20"/>
    </row>
    <row r="28" spans="2:13" x14ac:dyDescent="0.55000000000000004">
      <c r="B28" s="19"/>
      <c r="I28" s="2" t="s">
        <v>144</v>
      </c>
      <c r="J28" s="42">
        <f>J27/G10</f>
        <v>1.3634749441067811</v>
      </c>
      <c r="K28" s="2" t="s">
        <v>145</v>
      </c>
      <c r="L28" s="20"/>
    </row>
    <row r="29" spans="2:13" x14ac:dyDescent="0.55000000000000004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6"/>
    </row>
    <row r="31" spans="2:13" x14ac:dyDescent="0.55000000000000004">
      <c r="B31" s="15"/>
      <c r="C31" s="17"/>
      <c r="D31" s="17"/>
      <c r="E31" s="17"/>
      <c r="F31" s="17"/>
      <c r="G31" s="17"/>
      <c r="H31" s="17"/>
      <c r="I31" s="17"/>
      <c r="J31" s="17"/>
      <c r="K31" s="17"/>
      <c r="L31" s="18"/>
    </row>
    <row r="32" spans="2:13" ht="18.3" x14ac:dyDescent="0.7">
      <c r="B32" s="19"/>
      <c r="C32" s="5" t="s">
        <v>70</v>
      </c>
      <c r="D32" s="5"/>
      <c r="L32" s="20"/>
    </row>
    <row r="33" spans="2:12" x14ac:dyDescent="0.55000000000000004">
      <c r="B33" s="19"/>
      <c r="L33" s="20"/>
    </row>
    <row r="34" spans="2:12" ht="28.8" x14ac:dyDescent="0.55000000000000004">
      <c r="B34" s="19"/>
      <c r="C34" s="58" t="s">
        <v>72</v>
      </c>
      <c r="D34" s="38" t="s">
        <v>83</v>
      </c>
      <c r="E34" s="38" t="s">
        <v>84</v>
      </c>
      <c r="F34" s="25" t="s">
        <v>85</v>
      </c>
      <c r="G34" s="25" t="s">
        <v>86</v>
      </c>
      <c r="H34" s="60" t="s">
        <v>87</v>
      </c>
      <c r="I34" s="60"/>
      <c r="J34" s="38" t="s">
        <v>88</v>
      </c>
      <c r="K34" s="38" t="s">
        <v>89</v>
      </c>
      <c r="L34" s="20"/>
    </row>
    <row r="35" spans="2:12" x14ac:dyDescent="0.55000000000000004">
      <c r="B35" s="19"/>
      <c r="C35" s="59"/>
      <c r="D35" s="49" t="s">
        <v>2</v>
      </c>
      <c r="E35" s="49" t="s">
        <v>19</v>
      </c>
      <c r="F35" s="49" t="s">
        <v>18</v>
      </c>
      <c r="G35" s="49" t="s">
        <v>20</v>
      </c>
      <c r="H35" s="49" t="s">
        <v>21</v>
      </c>
      <c r="I35" s="49" t="s">
        <v>3</v>
      </c>
      <c r="J35" s="49" t="s">
        <v>17</v>
      </c>
      <c r="K35" s="49" t="s">
        <v>13</v>
      </c>
      <c r="L35" s="20"/>
    </row>
    <row r="36" spans="2:12" x14ac:dyDescent="0.55000000000000004">
      <c r="B36" s="19"/>
      <c r="C36" s="6">
        <v>1</v>
      </c>
      <c r="D36" s="30">
        <v>18.8</v>
      </c>
      <c r="E36" s="30">
        <f>P10*F10</f>
        <v>489343.5</v>
      </c>
      <c r="F36" s="30">
        <f>E36*D36</f>
        <v>9199657.8000000007</v>
      </c>
      <c r="G36" s="30">
        <v>29.1</v>
      </c>
      <c r="H36" s="30">
        <f>G36*F36</f>
        <v>267710041.98000005</v>
      </c>
      <c r="I36" s="30">
        <f>0.0036*H36</f>
        <v>963756.15112800011</v>
      </c>
      <c r="J36" s="48">
        <v>88.51</v>
      </c>
      <c r="K36" s="30">
        <f>J36*I36/1000</f>
        <v>85302.056936339286</v>
      </c>
      <c r="L36" s="20"/>
    </row>
    <row r="37" spans="2:12" x14ac:dyDescent="0.55000000000000004">
      <c r="B37" s="19"/>
      <c r="C37" s="6">
        <v>1</v>
      </c>
      <c r="D37" s="30">
        <f>130-17.6</f>
        <v>112.4</v>
      </c>
      <c r="E37" s="30">
        <f>P10*F10</f>
        <v>489343.5</v>
      </c>
      <c r="F37" s="30">
        <f>E37*D37</f>
        <v>55002209.400000006</v>
      </c>
      <c r="G37" s="30">
        <v>10.8</v>
      </c>
      <c r="H37" s="30">
        <f>G37*F37</f>
        <v>594023861.5200001</v>
      </c>
      <c r="I37" s="30">
        <f>0.0036*H37</f>
        <v>2138485.9014720004</v>
      </c>
      <c r="J37" s="30">
        <v>49</v>
      </c>
      <c r="K37" s="30">
        <f>J37*I37/1000</f>
        <v>104785.80917212802</v>
      </c>
      <c r="L37" s="20"/>
    </row>
    <row r="38" spans="2:12" x14ac:dyDescent="0.55000000000000004">
      <c r="B38" s="19"/>
      <c r="C38" s="6">
        <v>6</v>
      </c>
      <c r="D38" s="30">
        <f>130-17.6</f>
        <v>112.4</v>
      </c>
      <c r="E38" s="30">
        <f>(P10-O10)*F10</f>
        <v>89343.500000000015</v>
      </c>
      <c r="F38" s="30">
        <f t="shared" ref="F38:F39" si="2">E38*D38</f>
        <v>10042209.400000002</v>
      </c>
      <c r="G38" s="30">
        <f>10.8</f>
        <v>10.8</v>
      </c>
      <c r="H38" s="30">
        <f t="shared" ref="H38:H39" si="3">G38*F38</f>
        <v>108455861.52000003</v>
      </c>
      <c r="I38" s="30">
        <f t="shared" ref="I38:I39" si="4">0.0036*H38</f>
        <v>390441.10147200007</v>
      </c>
      <c r="J38" s="30">
        <v>49</v>
      </c>
      <c r="K38" s="30">
        <f t="shared" ref="K38:K39" si="5">J38*I38/1000</f>
        <v>19131.613972128005</v>
      </c>
      <c r="L38" s="20"/>
    </row>
    <row r="39" spans="2:12" x14ac:dyDescent="0.55000000000000004">
      <c r="B39" s="19"/>
      <c r="C39" s="6">
        <v>6</v>
      </c>
      <c r="D39" s="30">
        <v>18.8</v>
      </c>
      <c r="E39" s="30">
        <f>(P10-O10)*F10</f>
        <v>89343.500000000015</v>
      </c>
      <c r="F39" s="30">
        <f t="shared" si="2"/>
        <v>1679657.8000000003</v>
      </c>
      <c r="G39" s="30">
        <v>29.1</v>
      </c>
      <c r="H39" s="30">
        <f t="shared" si="3"/>
        <v>48878041.980000012</v>
      </c>
      <c r="I39" s="30">
        <f t="shared" si="4"/>
        <v>175960.95112800004</v>
      </c>
      <c r="J39" s="48">
        <v>88.51</v>
      </c>
      <c r="K39" s="30">
        <f t="shared" si="5"/>
        <v>15574.303784339285</v>
      </c>
      <c r="L39" s="20"/>
    </row>
    <row r="40" spans="2:12" x14ac:dyDescent="0.55000000000000004">
      <c r="B40" s="19"/>
      <c r="L40" s="20"/>
    </row>
    <row r="41" spans="2:12" x14ac:dyDescent="0.55000000000000004">
      <c r="B41" s="19"/>
      <c r="C41" s="6" t="s">
        <v>90</v>
      </c>
      <c r="L41" s="20"/>
    </row>
    <row r="42" spans="2:12" x14ac:dyDescent="0.55000000000000004">
      <c r="B42" s="19"/>
      <c r="C42" s="6" t="s">
        <v>91</v>
      </c>
      <c r="L42" s="20"/>
    </row>
    <row r="43" spans="2:12" x14ac:dyDescent="0.55000000000000004">
      <c r="B43" s="19"/>
      <c r="C43" s="6" t="s">
        <v>140</v>
      </c>
      <c r="L43" s="20"/>
    </row>
    <row r="44" spans="2:12" x14ac:dyDescent="0.55000000000000004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6"/>
    </row>
    <row r="46" spans="2:12" x14ac:dyDescent="0.55000000000000004">
      <c r="B46" s="15"/>
      <c r="C46" s="17"/>
      <c r="D46" s="17"/>
      <c r="E46" s="17"/>
      <c r="F46" s="17"/>
      <c r="G46" s="17"/>
      <c r="H46" s="17"/>
      <c r="I46" s="18"/>
    </row>
    <row r="47" spans="2:12" ht="18.3" x14ac:dyDescent="0.7">
      <c r="B47" s="19"/>
      <c r="C47" s="5" t="s">
        <v>69</v>
      </c>
      <c r="I47" s="20"/>
    </row>
    <row r="48" spans="2:12" ht="14.4" customHeight="1" x14ac:dyDescent="0.7">
      <c r="B48" s="19"/>
      <c r="C48" s="5"/>
      <c r="I48" s="20"/>
    </row>
    <row r="49" spans="2:13" x14ac:dyDescent="0.55000000000000004">
      <c r="B49" s="19"/>
      <c r="D49" s="40" t="s">
        <v>14</v>
      </c>
      <c r="E49" s="40" t="s">
        <v>56</v>
      </c>
      <c r="F49" s="40" t="s">
        <v>57</v>
      </c>
      <c r="G49" s="40" t="s">
        <v>58</v>
      </c>
      <c r="I49" s="20"/>
    </row>
    <row r="50" spans="2:13" ht="14.4" customHeight="1" x14ac:dyDescent="0.55000000000000004">
      <c r="B50" s="19"/>
      <c r="D50" s="43" t="s">
        <v>60</v>
      </c>
      <c r="E50" s="44" t="s">
        <v>1</v>
      </c>
      <c r="F50" s="45">
        <v>5.3</v>
      </c>
      <c r="G50" s="45" t="s">
        <v>97</v>
      </c>
      <c r="I50" s="20"/>
    </row>
    <row r="51" spans="2:13" ht="14.4" customHeight="1" x14ac:dyDescent="0.55000000000000004">
      <c r="B51" s="19"/>
      <c r="D51" s="43" t="s">
        <v>59</v>
      </c>
      <c r="E51" s="44" t="s">
        <v>1</v>
      </c>
      <c r="F51" s="45">
        <v>6.7</v>
      </c>
      <c r="G51" s="45" t="s">
        <v>98</v>
      </c>
      <c r="I51" s="20"/>
      <c r="M51" s="12"/>
    </row>
    <row r="52" spans="2:13" ht="28.8" x14ac:dyDescent="0.55000000000000004">
      <c r="B52" s="19"/>
      <c r="D52" s="43" t="s">
        <v>55</v>
      </c>
      <c r="E52" s="44" t="s">
        <v>1</v>
      </c>
      <c r="F52" s="46">
        <f>F50+(F51-F50)/(40-14)*K10</f>
        <v>5.4615384615384617</v>
      </c>
      <c r="G52" s="45"/>
      <c r="I52" s="20"/>
      <c r="M52" s="12"/>
    </row>
    <row r="53" spans="2:13" ht="28.8" x14ac:dyDescent="0.55000000000000004">
      <c r="B53" s="19"/>
      <c r="D53" s="43" t="s">
        <v>63</v>
      </c>
      <c r="E53" s="44" t="s">
        <v>1</v>
      </c>
      <c r="F53" s="46">
        <f>F50+(F51-F50)/(40-14)*(E10+K10)</f>
        <v>7.0769230769230775</v>
      </c>
      <c r="G53" s="45"/>
      <c r="I53" s="20"/>
    </row>
    <row r="54" spans="2:13" x14ac:dyDescent="0.55000000000000004">
      <c r="B54" s="19"/>
      <c r="D54" s="43" t="s">
        <v>52</v>
      </c>
      <c r="E54" s="44" t="s">
        <v>2</v>
      </c>
      <c r="F54" s="45">
        <v>18.2</v>
      </c>
      <c r="G54" s="45"/>
      <c r="I54" s="20"/>
      <c r="M54" s="13"/>
    </row>
    <row r="55" spans="2:13" x14ac:dyDescent="0.55000000000000004">
      <c r="B55" s="19"/>
      <c r="D55" s="43" t="s">
        <v>53</v>
      </c>
      <c r="E55" s="44" t="s">
        <v>2</v>
      </c>
      <c r="F55" s="45">
        <v>18.2</v>
      </c>
      <c r="G55" s="45"/>
      <c r="I55" s="20"/>
    </row>
    <row r="56" spans="2:13" ht="28.8" x14ac:dyDescent="0.55000000000000004">
      <c r="B56" s="19"/>
      <c r="D56" s="43" t="s">
        <v>64</v>
      </c>
      <c r="E56" s="44" t="s">
        <v>2</v>
      </c>
      <c r="F56" s="47">
        <f>F54*L10</f>
        <v>242666.66666666666</v>
      </c>
      <c r="G56" s="45"/>
      <c r="I56" s="20"/>
    </row>
    <row r="57" spans="2:13" ht="28.8" x14ac:dyDescent="0.55000000000000004">
      <c r="B57" s="19"/>
      <c r="D57" s="43" t="s">
        <v>65</v>
      </c>
      <c r="E57" s="44" t="s">
        <v>2</v>
      </c>
      <c r="F57" s="47">
        <f>F55*L10</f>
        <v>242666.66666666666</v>
      </c>
      <c r="G57" s="45"/>
      <c r="I57" s="20"/>
    </row>
    <row r="58" spans="2:13" ht="28.8" x14ac:dyDescent="0.55000000000000004">
      <c r="B58" s="19"/>
      <c r="D58" s="43" t="s">
        <v>54</v>
      </c>
      <c r="E58" s="44" t="s">
        <v>3</v>
      </c>
      <c r="F58" s="47">
        <f>F56*F53</f>
        <v>1717333.3333333335</v>
      </c>
      <c r="G58" s="45"/>
      <c r="I58" s="20"/>
    </row>
    <row r="59" spans="2:13" ht="28.8" x14ac:dyDescent="0.55000000000000004">
      <c r="B59" s="19"/>
      <c r="D59" s="43" t="s">
        <v>55</v>
      </c>
      <c r="E59" s="44" t="s">
        <v>3</v>
      </c>
      <c r="F59" s="47">
        <f>F57*F52</f>
        <v>1325333.3333333333</v>
      </c>
      <c r="G59" s="45"/>
      <c r="I59" s="20"/>
    </row>
    <row r="60" spans="2:13" ht="28.8" x14ac:dyDescent="0.55000000000000004">
      <c r="B60" s="19"/>
      <c r="D60" s="43" t="s">
        <v>114</v>
      </c>
      <c r="E60" s="44" t="s">
        <v>17</v>
      </c>
      <c r="F60" s="48">
        <v>17.666</v>
      </c>
      <c r="G60" s="45" t="s">
        <v>137</v>
      </c>
      <c r="I60" s="20"/>
    </row>
    <row r="61" spans="2:13" x14ac:dyDescent="0.55000000000000004">
      <c r="B61" s="19"/>
      <c r="D61" s="43" t="s">
        <v>67</v>
      </c>
      <c r="E61" s="44" t="s">
        <v>13</v>
      </c>
      <c r="F61" s="48">
        <f>F58*F60/1000</f>
        <v>30338.41066666667</v>
      </c>
      <c r="G61" s="45"/>
      <c r="I61" s="20"/>
    </row>
    <row r="62" spans="2:13" x14ac:dyDescent="0.55000000000000004">
      <c r="B62" s="19"/>
      <c r="D62" s="43" t="s">
        <v>68</v>
      </c>
      <c r="E62" s="44" t="s">
        <v>13</v>
      </c>
      <c r="F62" s="48">
        <f>F60*F59/1000</f>
        <v>23413.338666666663</v>
      </c>
      <c r="G62" s="45"/>
      <c r="I62" s="20"/>
    </row>
    <row r="63" spans="2:13" x14ac:dyDescent="0.55000000000000004">
      <c r="B63" s="34"/>
      <c r="C63" s="35"/>
      <c r="D63" s="35"/>
      <c r="E63" s="35"/>
      <c r="F63" s="35"/>
      <c r="G63" s="35"/>
      <c r="H63" s="35"/>
      <c r="I63" s="36"/>
    </row>
    <row r="66" spans="7:7" x14ac:dyDescent="0.55000000000000004">
      <c r="G66" s="14"/>
    </row>
  </sheetData>
  <mergeCells count="2">
    <mergeCell ref="C34:C35"/>
    <mergeCell ref="H34:I34"/>
  </mergeCells>
  <conditionalFormatting sqref="K18:K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{D33EB360-ACDC-4BC5-BDFE-E71E6DC0C021}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3EB360-ACDC-4BC5-BDFE-E71E6DC0C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K18:K25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A696-CD23-425B-851B-DDD62485BD83}">
  <dimension ref="A1:Q66"/>
  <sheetViews>
    <sheetView workbookViewId="0">
      <selection activeCell="K28" sqref="K28"/>
    </sheetView>
  </sheetViews>
  <sheetFormatPr baseColWidth="10" defaultColWidth="8.83984375" defaultRowHeight="14.4" x14ac:dyDescent="0.55000000000000004"/>
  <cols>
    <col min="1" max="1" width="5.41796875" style="6" customWidth="1"/>
    <col min="2" max="2" width="2.5234375" style="6" customWidth="1"/>
    <col min="3" max="3" width="4.1015625" style="6" customWidth="1"/>
    <col min="4" max="4" width="24.68359375" style="6" bestFit="1" customWidth="1"/>
    <col min="5" max="5" width="25.3125" style="6" customWidth="1"/>
    <col min="6" max="6" width="16.578125" style="6" customWidth="1"/>
    <col min="7" max="7" width="18" style="6" customWidth="1"/>
    <col min="8" max="8" width="20.578125" style="6" customWidth="1"/>
    <col min="9" max="10" width="18.578125" style="6" customWidth="1"/>
    <col min="11" max="11" width="18.9453125" style="6" customWidth="1"/>
    <col min="12" max="12" width="18.15625" style="6" customWidth="1"/>
    <col min="13" max="16" width="16.578125" style="6" customWidth="1"/>
    <col min="17" max="20" width="10.9453125" style="6" customWidth="1"/>
    <col min="21" max="21" width="19.47265625" style="6" customWidth="1"/>
    <col min="22" max="22" width="17.62890625" style="6" customWidth="1"/>
    <col min="23" max="23" width="13.3671875" style="6" customWidth="1"/>
    <col min="24" max="24" width="12.578125" style="6" customWidth="1"/>
    <col min="25" max="25" width="14.89453125" style="6" customWidth="1"/>
    <col min="26" max="26" width="14.83984375" style="6" customWidth="1"/>
    <col min="27" max="28" width="15.05078125" style="6" customWidth="1"/>
    <col min="29" max="16384" width="8.83984375" style="6"/>
  </cols>
  <sheetData>
    <row r="1" spans="1:17" ht="18.3" x14ac:dyDescent="0.7">
      <c r="A1" s="5" t="s">
        <v>116</v>
      </c>
    </row>
    <row r="2" spans="1:17" ht="18.3" x14ac:dyDescent="0.7">
      <c r="C2" s="5"/>
    </row>
    <row r="3" spans="1:17" x14ac:dyDescent="0.55000000000000004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18.3" x14ac:dyDescent="0.7">
      <c r="B4" s="19"/>
      <c r="C4" s="5" t="s">
        <v>41</v>
      </c>
      <c r="Q4" s="20"/>
    </row>
    <row r="5" spans="1:17" x14ac:dyDescent="0.55000000000000004">
      <c r="B5" s="19"/>
      <c r="Q5" s="20"/>
    </row>
    <row r="6" spans="1:17" x14ac:dyDescent="0.55000000000000004">
      <c r="B6" s="19"/>
      <c r="D6" s="21" t="s">
        <v>42</v>
      </c>
      <c r="E6" s="22" t="s">
        <v>43</v>
      </c>
      <c r="G6"/>
      <c r="Q6" s="20"/>
    </row>
    <row r="7" spans="1:17" x14ac:dyDescent="0.55000000000000004">
      <c r="B7" s="19"/>
      <c r="Q7" s="20"/>
    </row>
    <row r="8" spans="1:17" s="7" customFormat="1" ht="29.7" customHeight="1" x14ac:dyDescent="0.55000000000000004">
      <c r="B8" s="23"/>
      <c r="C8" s="24"/>
      <c r="D8" s="25" t="s">
        <v>110</v>
      </c>
      <c r="E8" s="25" t="s">
        <v>46</v>
      </c>
      <c r="F8" s="25" t="s">
        <v>44</v>
      </c>
      <c r="G8" s="25" t="s">
        <v>45</v>
      </c>
      <c r="H8" s="25" t="s">
        <v>106</v>
      </c>
      <c r="I8" s="25" t="s">
        <v>49</v>
      </c>
      <c r="J8" s="25" t="s">
        <v>107</v>
      </c>
      <c r="K8" s="25" t="s">
        <v>50</v>
      </c>
      <c r="L8" s="25" t="s">
        <v>108</v>
      </c>
      <c r="M8" s="25" t="s">
        <v>109</v>
      </c>
      <c r="N8" s="25" t="s">
        <v>51</v>
      </c>
      <c r="O8" s="25" t="s">
        <v>48</v>
      </c>
      <c r="P8" s="25" t="s">
        <v>47</v>
      </c>
      <c r="Q8" s="26"/>
    </row>
    <row r="9" spans="1:17" s="8" customFormat="1" x14ac:dyDescent="0.55000000000000004">
      <c r="B9" s="27"/>
      <c r="D9" s="9"/>
      <c r="E9" s="9" t="s">
        <v>0</v>
      </c>
      <c r="F9" s="9"/>
      <c r="G9" s="9" t="s">
        <v>0</v>
      </c>
      <c r="H9" s="9"/>
      <c r="I9" s="9" t="s">
        <v>0</v>
      </c>
      <c r="J9" s="9"/>
      <c r="K9" s="9" t="s">
        <v>0</v>
      </c>
      <c r="L9" s="9"/>
      <c r="M9" s="9"/>
      <c r="N9" s="9" t="s">
        <v>0</v>
      </c>
      <c r="O9" s="9" t="s">
        <v>0</v>
      </c>
      <c r="P9" s="9" t="s">
        <v>0</v>
      </c>
      <c r="Q9" s="28"/>
    </row>
    <row r="10" spans="1:17" s="10" customFormat="1" x14ac:dyDescent="0.55000000000000004">
      <c r="B10" s="29"/>
      <c r="C10" s="30"/>
      <c r="D10" s="31">
        <v>2</v>
      </c>
      <c r="E10" s="31">
        <v>30</v>
      </c>
      <c r="F10" s="31">
        <v>222</v>
      </c>
      <c r="G10" s="31">
        <v>400000</v>
      </c>
      <c r="H10" s="31">
        <v>15</v>
      </c>
      <c r="I10" s="31">
        <v>14.95</v>
      </c>
      <c r="J10" s="31">
        <v>60</v>
      </c>
      <c r="K10" s="31">
        <v>3</v>
      </c>
      <c r="L10" s="32">
        <f>G10/E10</f>
        <v>13333.333333333334</v>
      </c>
      <c r="M10" s="32">
        <f>L10*D10</f>
        <v>26666.666666666668</v>
      </c>
      <c r="N10" s="32">
        <f>G10/(F10*J10)</f>
        <v>30.03003003003003</v>
      </c>
      <c r="O10" s="32">
        <f>G10/F10</f>
        <v>1801.8018018018017</v>
      </c>
      <c r="P10" s="32">
        <f>H10*I10+J10*(K10+E10)</f>
        <v>2204.25</v>
      </c>
      <c r="Q10" s="33"/>
    </row>
    <row r="11" spans="1:17" x14ac:dyDescent="0.55000000000000004"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50"/>
      <c r="P11" s="50"/>
      <c r="Q11" s="36"/>
    </row>
    <row r="12" spans="1:17" x14ac:dyDescent="0.55000000000000004">
      <c r="E12" s="11"/>
    </row>
    <row r="13" spans="1:17" x14ac:dyDescent="0.55000000000000004">
      <c r="B13" s="15"/>
      <c r="C13" s="17"/>
      <c r="D13" s="17"/>
      <c r="E13" s="37"/>
      <c r="F13" s="17"/>
      <c r="G13" s="17"/>
      <c r="H13" s="17"/>
      <c r="I13" s="17"/>
      <c r="J13" s="17"/>
      <c r="K13" s="17"/>
      <c r="L13" s="18"/>
      <c r="O13" s="13"/>
    </row>
    <row r="14" spans="1:17" ht="18.3" x14ac:dyDescent="0.7">
      <c r="B14" s="19"/>
      <c r="C14" s="5" t="s">
        <v>71</v>
      </c>
      <c r="L14" s="20"/>
      <c r="O14" s="13"/>
    </row>
    <row r="15" spans="1:17" x14ac:dyDescent="0.55000000000000004">
      <c r="B15" s="19"/>
      <c r="L15" s="20"/>
    </row>
    <row r="16" spans="1:17" ht="28.8" x14ac:dyDescent="0.55000000000000004">
      <c r="B16" s="19"/>
      <c r="C16" s="38" t="s">
        <v>72</v>
      </c>
      <c r="D16" s="38" t="s">
        <v>73</v>
      </c>
      <c r="E16" s="38" t="s">
        <v>74</v>
      </c>
      <c r="F16" s="38" t="s">
        <v>75</v>
      </c>
      <c r="G16" s="38" t="s">
        <v>76</v>
      </c>
      <c r="H16" s="38" t="s">
        <v>77</v>
      </c>
      <c r="I16" s="25" t="s">
        <v>80</v>
      </c>
      <c r="J16" s="25" t="s">
        <v>81</v>
      </c>
      <c r="L16" s="20"/>
    </row>
    <row r="17" spans="2:12" x14ac:dyDescent="0.55000000000000004">
      <c r="B17" s="19"/>
      <c r="C17" s="40"/>
      <c r="D17" s="40"/>
      <c r="E17" s="40"/>
      <c r="F17" s="40"/>
      <c r="G17" s="40"/>
      <c r="H17" s="40"/>
      <c r="I17" s="53" t="s">
        <v>3</v>
      </c>
      <c r="J17" s="53" t="s">
        <v>13</v>
      </c>
      <c r="K17" s="35"/>
      <c r="L17" s="20"/>
    </row>
    <row r="18" spans="2:12" x14ac:dyDescent="0.55000000000000004">
      <c r="B18" s="19"/>
      <c r="C18" s="6">
        <v>1</v>
      </c>
      <c r="D18" s="6" t="s">
        <v>16</v>
      </c>
      <c r="E18" s="6" t="s">
        <v>104</v>
      </c>
      <c r="F18" s="6" t="s">
        <v>100</v>
      </c>
      <c r="G18" s="6" t="s">
        <v>11</v>
      </c>
      <c r="H18" s="6" t="s">
        <v>78</v>
      </c>
      <c r="J18" s="39">
        <f>K36</f>
        <v>85302.056936339286</v>
      </c>
      <c r="K18" s="51">
        <f>J18</f>
        <v>85302.056936339286</v>
      </c>
      <c r="L18" s="57">
        <f>K18</f>
        <v>85302.056936339286</v>
      </c>
    </row>
    <row r="19" spans="2:12" x14ac:dyDescent="0.55000000000000004">
      <c r="B19" s="19"/>
      <c r="C19" s="6">
        <v>1</v>
      </c>
      <c r="D19" s="6" t="s">
        <v>16</v>
      </c>
      <c r="E19" s="6" t="s">
        <v>105</v>
      </c>
      <c r="F19" s="6" t="s">
        <v>100</v>
      </c>
      <c r="G19" s="6" t="s">
        <v>38</v>
      </c>
      <c r="H19" s="6" t="s">
        <v>78</v>
      </c>
      <c r="J19" s="39">
        <f>K37</f>
        <v>104785.80917212802</v>
      </c>
      <c r="K19" s="51">
        <f>J19</f>
        <v>104785.80917212802</v>
      </c>
      <c r="L19" s="57">
        <f>K19+L18</f>
        <v>190087.86610846731</v>
      </c>
    </row>
    <row r="20" spans="2:12" x14ac:dyDescent="0.55000000000000004">
      <c r="B20" s="19"/>
      <c r="C20" s="6">
        <v>2</v>
      </c>
      <c r="D20" s="6" t="s">
        <v>15</v>
      </c>
      <c r="E20" s="6" t="s">
        <v>101</v>
      </c>
      <c r="F20" s="6" t="s">
        <v>40</v>
      </c>
      <c r="G20" s="6" t="s">
        <v>38</v>
      </c>
      <c r="H20" s="6" t="s">
        <v>78</v>
      </c>
      <c r="J20" s="39">
        <f>M10*'Hub operations'!C23</f>
        <v>7631.7119999999995</v>
      </c>
      <c r="K20" s="51">
        <f t="shared" ref="K20:K25" si="0">J20</f>
        <v>7631.7119999999995</v>
      </c>
      <c r="L20" s="57">
        <f t="shared" ref="L20:L25" si="1">K20+L19</f>
        <v>197719.57810846731</v>
      </c>
    </row>
    <row r="21" spans="2:12" x14ac:dyDescent="0.55000000000000004">
      <c r="B21" s="19"/>
      <c r="C21" s="6">
        <v>3</v>
      </c>
      <c r="D21" s="6" t="s">
        <v>16</v>
      </c>
      <c r="E21" s="6" t="s">
        <v>120</v>
      </c>
      <c r="F21" s="6" t="s">
        <v>35</v>
      </c>
      <c r="G21" s="6" t="s">
        <v>11</v>
      </c>
      <c r="H21" s="6" t="s">
        <v>78</v>
      </c>
      <c r="J21" s="39">
        <f>F61</f>
        <v>343406.99866666668</v>
      </c>
      <c r="K21" s="51">
        <f t="shared" si="0"/>
        <v>343406.99866666668</v>
      </c>
      <c r="L21" s="57">
        <f t="shared" si="1"/>
        <v>541126.57677513396</v>
      </c>
    </row>
    <row r="22" spans="2:12" x14ac:dyDescent="0.55000000000000004">
      <c r="B22" s="19"/>
      <c r="C22" s="6">
        <v>4</v>
      </c>
      <c r="D22" s="6" t="s">
        <v>16</v>
      </c>
      <c r="E22" s="6" t="s">
        <v>121</v>
      </c>
      <c r="F22" s="6" t="s">
        <v>35</v>
      </c>
      <c r="G22" s="6" t="s">
        <v>11</v>
      </c>
      <c r="H22" s="6" t="s">
        <v>79</v>
      </c>
      <c r="J22" s="39">
        <f>F62</f>
        <v>197188.47866666666</v>
      </c>
      <c r="K22" s="51">
        <f t="shared" si="0"/>
        <v>197188.47866666666</v>
      </c>
      <c r="L22" s="57">
        <f t="shared" si="1"/>
        <v>738315.05544180062</v>
      </c>
    </row>
    <row r="23" spans="2:12" x14ac:dyDescent="0.55000000000000004">
      <c r="B23" s="19"/>
      <c r="C23" s="6">
        <v>5</v>
      </c>
      <c r="D23" s="6" t="s">
        <v>15</v>
      </c>
      <c r="E23" s="6" t="s">
        <v>101</v>
      </c>
      <c r="F23" s="6" t="s">
        <v>40</v>
      </c>
      <c r="G23" s="6" t="s">
        <v>38</v>
      </c>
      <c r="H23" s="6" t="s">
        <v>79</v>
      </c>
      <c r="J23" s="39">
        <f>M10*'Hub operations'!C24</f>
        <v>6783.7440000000006</v>
      </c>
      <c r="K23" s="51">
        <f t="shared" si="0"/>
        <v>6783.7440000000006</v>
      </c>
      <c r="L23" s="57">
        <f t="shared" si="1"/>
        <v>745098.79944180057</v>
      </c>
    </row>
    <row r="24" spans="2:12" x14ac:dyDescent="0.55000000000000004">
      <c r="B24" s="19"/>
      <c r="C24" s="6">
        <v>6</v>
      </c>
      <c r="D24" s="6" t="s">
        <v>16</v>
      </c>
      <c r="E24" s="6" t="s">
        <v>102</v>
      </c>
      <c r="F24" s="6" t="s">
        <v>100</v>
      </c>
      <c r="G24" s="6" t="s">
        <v>38</v>
      </c>
      <c r="H24" s="6" t="s">
        <v>79</v>
      </c>
      <c r="J24" s="39">
        <f>K38</f>
        <v>19131.613972128005</v>
      </c>
      <c r="K24" s="51">
        <f t="shared" si="0"/>
        <v>19131.613972128005</v>
      </c>
      <c r="L24" s="57">
        <f t="shared" si="1"/>
        <v>764230.41341392859</v>
      </c>
    </row>
    <row r="25" spans="2:12" x14ac:dyDescent="0.55000000000000004">
      <c r="B25" s="19"/>
      <c r="C25" s="35">
        <v>6</v>
      </c>
      <c r="D25" s="35" t="s">
        <v>16</v>
      </c>
      <c r="E25" s="35" t="s">
        <v>103</v>
      </c>
      <c r="F25" s="35" t="s">
        <v>100</v>
      </c>
      <c r="G25" s="35" t="s">
        <v>11</v>
      </c>
      <c r="H25" s="35" t="s">
        <v>79</v>
      </c>
      <c r="I25" s="35"/>
      <c r="J25" s="41">
        <f>K39</f>
        <v>15574.303784339285</v>
      </c>
      <c r="K25" s="52">
        <f t="shared" si="0"/>
        <v>15574.303784339285</v>
      </c>
      <c r="L25" s="57">
        <f t="shared" si="1"/>
        <v>779804.71719826793</v>
      </c>
    </row>
    <row r="26" spans="2:12" x14ac:dyDescent="0.55000000000000004">
      <c r="B26" s="19"/>
      <c r="J26" s="39"/>
      <c r="L26" s="20"/>
    </row>
    <row r="27" spans="2:12" x14ac:dyDescent="0.55000000000000004">
      <c r="B27" s="19"/>
      <c r="I27" s="2" t="s">
        <v>143</v>
      </c>
      <c r="J27" s="42">
        <f>SUM(J18:J25)</f>
        <v>779804.71719826793</v>
      </c>
      <c r="K27" s="2" t="s">
        <v>13</v>
      </c>
      <c r="L27" s="20"/>
    </row>
    <row r="28" spans="2:12" x14ac:dyDescent="0.55000000000000004">
      <c r="B28" s="19"/>
      <c r="I28" s="2" t="s">
        <v>144</v>
      </c>
      <c r="J28" s="42">
        <f>J27/G10</f>
        <v>1.9495117929956698</v>
      </c>
      <c r="K28" s="2" t="s">
        <v>145</v>
      </c>
      <c r="L28" s="20"/>
    </row>
    <row r="29" spans="2:12" x14ac:dyDescent="0.55000000000000004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6"/>
    </row>
    <row r="31" spans="2:12" x14ac:dyDescent="0.55000000000000004">
      <c r="B31" s="15"/>
      <c r="C31" s="17"/>
      <c r="D31" s="17"/>
      <c r="E31" s="17"/>
      <c r="F31" s="17"/>
      <c r="G31" s="17"/>
      <c r="H31" s="17"/>
      <c r="I31" s="17"/>
      <c r="J31" s="17"/>
      <c r="K31" s="17"/>
      <c r="L31" s="18"/>
    </row>
    <row r="32" spans="2:12" ht="18.3" x14ac:dyDescent="0.7">
      <c r="B32" s="19"/>
      <c r="C32" s="5" t="s">
        <v>70</v>
      </c>
      <c r="D32" s="5"/>
      <c r="L32" s="20"/>
    </row>
    <row r="33" spans="2:12" x14ac:dyDescent="0.55000000000000004">
      <c r="B33" s="19"/>
      <c r="L33" s="20"/>
    </row>
    <row r="34" spans="2:12" ht="28.8" x14ac:dyDescent="0.55000000000000004">
      <c r="B34" s="19"/>
      <c r="C34" s="58" t="s">
        <v>72</v>
      </c>
      <c r="D34" s="38" t="s">
        <v>83</v>
      </c>
      <c r="E34" s="38" t="s">
        <v>84</v>
      </c>
      <c r="F34" s="25" t="s">
        <v>85</v>
      </c>
      <c r="G34" s="25" t="s">
        <v>86</v>
      </c>
      <c r="H34" s="60" t="s">
        <v>87</v>
      </c>
      <c r="I34" s="60"/>
      <c r="J34" s="38" t="s">
        <v>88</v>
      </c>
      <c r="K34" s="38" t="s">
        <v>89</v>
      </c>
      <c r="L34" s="20"/>
    </row>
    <row r="35" spans="2:12" x14ac:dyDescent="0.55000000000000004">
      <c r="B35" s="19"/>
      <c r="C35" s="59"/>
      <c r="D35" s="49" t="s">
        <v>2</v>
      </c>
      <c r="E35" s="49" t="s">
        <v>19</v>
      </c>
      <c r="F35" s="49" t="s">
        <v>18</v>
      </c>
      <c r="G35" s="49" t="s">
        <v>20</v>
      </c>
      <c r="H35" s="49" t="s">
        <v>21</v>
      </c>
      <c r="I35" s="49" t="s">
        <v>3</v>
      </c>
      <c r="J35" s="49" t="s">
        <v>17</v>
      </c>
      <c r="K35" s="49" t="s">
        <v>13</v>
      </c>
      <c r="L35" s="20"/>
    </row>
    <row r="36" spans="2:12" x14ac:dyDescent="0.55000000000000004">
      <c r="B36" s="19"/>
      <c r="C36" s="6">
        <v>1</v>
      </c>
      <c r="D36" s="30">
        <v>18.8</v>
      </c>
      <c r="E36" s="30">
        <f>P10*F10</f>
        <v>489343.5</v>
      </c>
      <c r="F36" s="30">
        <f>E36*D36</f>
        <v>9199657.8000000007</v>
      </c>
      <c r="G36" s="30">
        <v>29.1</v>
      </c>
      <c r="H36" s="30">
        <f>G36*F36</f>
        <v>267710041.98000005</v>
      </c>
      <c r="I36" s="30">
        <f>0.0036*H36</f>
        <v>963756.15112800011</v>
      </c>
      <c r="J36" s="48">
        <v>88.51</v>
      </c>
      <c r="K36" s="30">
        <f>J36*I36/1000</f>
        <v>85302.056936339286</v>
      </c>
      <c r="L36" s="20"/>
    </row>
    <row r="37" spans="2:12" x14ac:dyDescent="0.55000000000000004">
      <c r="B37" s="19"/>
      <c r="C37" s="6">
        <v>1</v>
      </c>
      <c r="D37" s="30">
        <f>130-17.6</f>
        <v>112.4</v>
      </c>
      <c r="E37" s="30">
        <f>P10*F10</f>
        <v>489343.5</v>
      </c>
      <c r="F37" s="30">
        <f>E37*D37</f>
        <v>55002209.400000006</v>
      </c>
      <c r="G37" s="30">
        <v>10.8</v>
      </c>
      <c r="H37" s="30">
        <f>G37*F37</f>
        <v>594023861.5200001</v>
      </c>
      <c r="I37" s="30">
        <f>0.0036*H37</f>
        <v>2138485.9014720004</v>
      </c>
      <c r="J37" s="30">
        <v>49</v>
      </c>
      <c r="K37" s="30">
        <f>J37*I37/1000</f>
        <v>104785.80917212802</v>
      </c>
      <c r="L37" s="20"/>
    </row>
    <row r="38" spans="2:12" x14ac:dyDescent="0.55000000000000004">
      <c r="B38" s="19"/>
      <c r="C38" s="6">
        <v>6</v>
      </c>
      <c r="D38" s="30">
        <f>130-17.6</f>
        <v>112.4</v>
      </c>
      <c r="E38" s="30">
        <f>(P10-O10)*F10</f>
        <v>89343.500000000015</v>
      </c>
      <c r="F38" s="30">
        <f t="shared" ref="F38:F39" si="2">E38*D38</f>
        <v>10042209.400000002</v>
      </c>
      <c r="G38" s="30">
        <f>10.8</f>
        <v>10.8</v>
      </c>
      <c r="H38" s="30">
        <f t="shared" ref="H38:H39" si="3">G38*F38</f>
        <v>108455861.52000003</v>
      </c>
      <c r="I38" s="30">
        <f t="shared" ref="I38:I39" si="4">0.0036*H38</f>
        <v>390441.10147200007</v>
      </c>
      <c r="J38" s="30">
        <v>49</v>
      </c>
      <c r="K38" s="30">
        <f t="shared" ref="K38:K39" si="5">J38*I38/1000</f>
        <v>19131.613972128005</v>
      </c>
      <c r="L38" s="20"/>
    </row>
    <row r="39" spans="2:12" x14ac:dyDescent="0.55000000000000004">
      <c r="B39" s="19"/>
      <c r="C39" s="6">
        <v>6</v>
      </c>
      <c r="D39" s="30">
        <v>18.8</v>
      </c>
      <c r="E39" s="30">
        <f>(P10-O10)*F10</f>
        <v>89343.500000000015</v>
      </c>
      <c r="F39" s="30">
        <f t="shared" si="2"/>
        <v>1679657.8000000003</v>
      </c>
      <c r="G39" s="30">
        <v>29.1</v>
      </c>
      <c r="H39" s="30">
        <f t="shared" si="3"/>
        <v>48878041.980000012</v>
      </c>
      <c r="I39" s="30">
        <f t="shared" si="4"/>
        <v>175960.95112800004</v>
      </c>
      <c r="J39" s="48">
        <v>88.51</v>
      </c>
      <c r="K39" s="30">
        <f t="shared" si="5"/>
        <v>15574.303784339285</v>
      </c>
      <c r="L39" s="20"/>
    </row>
    <row r="40" spans="2:12" x14ac:dyDescent="0.55000000000000004">
      <c r="B40" s="19"/>
      <c r="L40" s="20"/>
    </row>
    <row r="41" spans="2:12" x14ac:dyDescent="0.55000000000000004">
      <c r="B41" s="19"/>
      <c r="C41" s="6" t="s">
        <v>90</v>
      </c>
      <c r="L41" s="20"/>
    </row>
    <row r="42" spans="2:12" x14ac:dyDescent="0.55000000000000004">
      <c r="B42" s="19"/>
      <c r="C42" s="6" t="s">
        <v>91</v>
      </c>
      <c r="L42" s="20"/>
    </row>
    <row r="43" spans="2:12" x14ac:dyDescent="0.55000000000000004">
      <c r="B43" s="19"/>
      <c r="C43" s="6" t="s">
        <v>140</v>
      </c>
      <c r="L43" s="20"/>
    </row>
    <row r="44" spans="2:12" x14ac:dyDescent="0.55000000000000004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6"/>
    </row>
    <row r="46" spans="2:12" x14ac:dyDescent="0.55000000000000004">
      <c r="B46" s="15"/>
      <c r="C46" s="17"/>
      <c r="D46" s="17"/>
      <c r="E46" s="17"/>
      <c r="F46" s="17"/>
      <c r="G46" s="17"/>
      <c r="H46" s="17"/>
      <c r="I46" s="18"/>
    </row>
    <row r="47" spans="2:12" ht="18.3" x14ac:dyDescent="0.7">
      <c r="B47" s="19"/>
      <c r="C47" s="5" t="s">
        <v>69</v>
      </c>
      <c r="I47" s="20"/>
    </row>
    <row r="48" spans="2:12" ht="14.4" customHeight="1" x14ac:dyDescent="0.7">
      <c r="B48" s="19"/>
      <c r="C48" s="5"/>
      <c r="I48" s="20"/>
    </row>
    <row r="49" spans="2:13" x14ac:dyDescent="0.55000000000000004">
      <c r="B49" s="19"/>
      <c r="D49" s="40" t="s">
        <v>14</v>
      </c>
      <c r="E49" s="40" t="s">
        <v>56</v>
      </c>
      <c r="F49" s="40" t="s">
        <v>57</v>
      </c>
      <c r="G49" s="40" t="s">
        <v>58</v>
      </c>
      <c r="I49" s="20"/>
    </row>
    <row r="50" spans="2:13" ht="14.4" customHeight="1" x14ac:dyDescent="0.55000000000000004">
      <c r="B50" s="19"/>
      <c r="D50" s="43" t="s">
        <v>60</v>
      </c>
      <c r="E50" s="44" t="s">
        <v>1</v>
      </c>
      <c r="F50" s="45">
        <v>8.5</v>
      </c>
      <c r="G50" s="45" t="s">
        <v>61</v>
      </c>
      <c r="I50" s="20"/>
    </row>
    <row r="51" spans="2:13" ht="14.4" customHeight="1" x14ac:dyDescent="0.55000000000000004">
      <c r="B51" s="19"/>
      <c r="D51" s="43" t="s">
        <v>59</v>
      </c>
      <c r="E51" s="44" t="s">
        <v>1</v>
      </c>
      <c r="F51" s="45">
        <v>14.4</v>
      </c>
      <c r="G51" s="45" t="s">
        <v>62</v>
      </c>
      <c r="I51" s="20"/>
      <c r="M51" s="12"/>
    </row>
    <row r="52" spans="2:13" ht="28.8" x14ac:dyDescent="0.55000000000000004">
      <c r="B52" s="19"/>
      <c r="D52" s="43" t="s">
        <v>55</v>
      </c>
      <c r="E52" s="44" t="s">
        <v>1</v>
      </c>
      <c r="F52" s="46">
        <f>F50+(F51-F50)/(40-14)*K10</f>
        <v>9.180769230769231</v>
      </c>
      <c r="G52" s="45"/>
      <c r="I52" s="20"/>
      <c r="M52" s="12"/>
    </row>
    <row r="53" spans="2:13" ht="28.8" x14ac:dyDescent="0.55000000000000004">
      <c r="B53" s="19"/>
      <c r="D53" s="43" t="s">
        <v>63</v>
      </c>
      <c r="E53" s="44" t="s">
        <v>1</v>
      </c>
      <c r="F53" s="46">
        <f>F50+(F51-F50)/(40-14)*(E10+K10)</f>
        <v>15.988461538461539</v>
      </c>
      <c r="G53" s="45"/>
      <c r="I53" s="20"/>
    </row>
    <row r="54" spans="2:13" x14ac:dyDescent="0.55000000000000004">
      <c r="B54" s="19"/>
      <c r="D54" s="43" t="s">
        <v>52</v>
      </c>
      <c r="E54" s="44" t="s">
        <v>2</v>
      </c>
      <c r="F54" s="45">
        <v>18.2</v>
      </c>
      <c r="G54" s="45"/>
      <c r="I54" s="20"/>
      <c r="M54" s="13"/>
    </row>
    <row r="55" spans="2:13" x14ac:dyDescent="0.55000000000000004">
      <c r="B55" s="19"/>
      <c r="D55" s="43" t="s">
        <v>53</v>
      </c>
      <c r="E55" s="44" t="s">
        <v>2</v>
      </c>
      <c r="F55" s="45">
        <v>18.2</v>
      </c>
      <c r="G55" s="45"/>
      <c r="I55" s="20"/>
    </row>
    <row r="56" spans="2:13" ht="28.8" x14ac:dyDescent="0.55000000000000004">
      <c r="B56" s="19"/>
      <c r="D56" s="43" t="s">
        <v>64</v>
      </c>
      <c r="E56" s="44" t="s">
        <v>2</v>
      </c>
      <c r="F56" s="47">
        <f>F54*L10</f>
        <v>242666.66666666666</v>
      </c>
      <c r="G56" s="45"/>
      <c r="I56" s="20"/>
    </row>
    <row r="57" spans="2:13" ht="28.8" x14ac:dyDescent="0.55000000000000004">
      <c r="B57" s="19"/>
      <c r="D57" s="43" t="s">
        <v>65</v>
      </c>
      <c r="E57" s="44" t="s">
        <v>2</v>
      </c>
      <c r="F57" s="47">
        <f>F55*L10</f>
        <v>242666.66666666666</v>
      </c>
      <c r="G57" s="45"/>
      <c r="I57" s="20"/>
    </row>
    <row r="58" spans="2:13" ht="28.8" x14ac:dyDescent="0.55000000000000004">
      <c r="B58" s="19"/>
      <c r="D58" s="43" t="s">
        <v>54</v>
      </c>
      <c r="E58" s="44" t="s">
        <v>3</v>
      </c>
      <c r="F58" s="47">
        <f>F56*F53</f>
        <v>3879866.6666666665</v>
      </c>
      <c r="G58" s="45"/>
      <c r="I58" s="20"/>
    </row>
    <row r="59" spans="2:13" ht="28.8" x14ac:dyDescent="0.55000000000000004">
      <c r="B59" s="19"/>
      <c r="D59" s="43" t="s">
        <v>55</v>
      </c>
      <c r="E59" s="44" t="s">
        <v>3</v>
      </c>
      <c r="F59" s="47">
        <f>F57*F52</f>
        <v>2227866.6666666665</v>
      </c>
      <c r="G59" s="45"/>
      <c r="I59" s="20"/>
    </row>
    <row r="60" spans="2:13" x14ac:dyDescent="0.55000000000000004">
      <c r="B60" s="19"/>
      <c r="D60" s="43" t="s">
        <v>66</v>
      </c>
      <c r="E60" s="44" t="s">
        <v>17</v>
      </c>
      <c r="F60" s="48">
        <v>88.51</v>
      </c>
      <c r="G60" s="45" t="s">
        <v>92</v>
      </c>
      <c r="I60" s="20"/>
    </row>
    <row r="61" spans="2:13" x14ac:dyDescent="0.55000000000000004">
      <c r="B61" s="19"/>
      <c r="D61" s="43" t="s">
        <v>67</v>
      </c>
      <c r="E61" s="44" t="s">
        <v>13</v>
      </c>
      <c r="F61" s="48">
        <f>F58*F60/1000</f>
        <v>343406.99866666668</v>
      </c>
      <c r="G61" s="45"/>
      <c r="I61" s="20"/>
    </row>
    <row r="62" spans="2:13" x14ac:dyDescent="0.55000000000000004">
      <c r="B62" s="19"/>
      <c r="D62" s="43" t="s">
        <v>68</v>
      </c>
      <c r="E62" s="44" t="s">
        <v>13</v>
      </c>
      <c r="F62" s="48">
        <f>F60*F59/1000</f>
        <v>197188.47866666666</v>
      </c>
      <c r="G62" s="45"/>
      <c r="I62" s="20"/>
    </row>
    <row r="63" spans="2:13" x14ac:dyDescent="0.55000000000000004">
      <c r="B63" s="34"/>
      <c r="C63" s="35"/>
      <c r="D63" s="35"/>
      <c r="E63" s="35"/>
      <c r="F63" s="35"/>
      <c r="G63" s="35"/>
      <c r="H63" s="35"/>
      <c r="I63" s="36"/>
    </row>
    <row r="66" spans="7:7" x14ac:dyDescent="0.55000000000000004">
      <c r="G66" s="14"/>
    </row>
  </sheetData>
  <mergeCells count="2">
    <mergeCell ref="C34:C35"/>
    <mergeCell ref="H34:I34"/>
  </mergeCells>
  <conditionalFormatting sqref="K18:K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{6E6B0D6B-792D-4CCF-B9FC-0D4551BE9D20}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6B0D6B-792D-4CCF-B9FC-0D4551BE9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K18:K25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38FE-4688-4093-84E3-650CCE8C81F7}">
  <dimension ref="A1:Q66"/>
  <sheetViews>
    <sheetView workbookViewId="0">
      <selection activeCell="K28" sqref="K28"/>
    </sheetView>
  </sheetViews>
  <sheetFormatPr baseColWidth="10" defaultColWidth="8.83984375" defaultRowHeight="14.4" x14ac:dyDescent="0.55000000000000004"/>
  <cols>
    <col min="1" max="1" width="5.41796875" style="6" customWidth="1"/>
    <col min="2" max="2" width="2.5234375" style="6" customWidth="1"/>
    <col min="3" max="3" width="4.1015625" style="6" customWidth="1"/>
    <col min="4" max="4" width="24.68359375" style="6" bestFit="1" customWidth="1"/>
    <col min="5" max="5" width="25.3125" style="6" customWidth="1"/>
    <col min="6" max="6" width="16.578125" style="6" customWidth="1"/>
    <col min="7" max="7" width="18" style="6" customWidth="1"/>
    <col min="8" max="8" width="20.578125" style="6" customWidth="1"/>
    <col min="9" max="10" width="18.578125" style="6" customWidth="1"/>
    <col min="11" max="11" width="18.9453125" style="6" customWidth="1"/>
    <col min="12" max="12" width="18.15625" style="6" customWidth="1"/>
    <col min="13" max="16" width="16.578125" style="6" customWidth="1"/>
    <col min="17" max="20" width="10.9453125" style="6" customWidth="1"/>
    <col min="21" max="21" width="19.47265625" style="6" customWidth="1"/>
    <col min="22" max="22" width="17.62890625" style="6" customWidth="1"/>
    <col min="23" max="23" width="13.3671875" style="6" customWidth="1"/>
    <col min="24" max="24" width="12.578125" style="6" customWidth="1"/>
    <col min="25" max="25" width="14.89453125" style="6" customWidth="1"/>
    <col min="26" max="26" width="14.83984375" style="6" customWidth="1"/>
    <col min="27" max="28" width="15.05078125" style="6" customWidth="1"/>
    <col min="29" max="16384" width="8.83984375" style="6"/>
  </cols>
  <sheetData>
    <row r="1" spans="1:17" ht="18.3" x14ac:dyDescent="0.7">
      <c r="A1" s="5" t="s">
        <v>115</v>
      </c>
    </row>
    <row r="2" spans="1:17" ht="18.3" x14ac:dyDescent="0.7">
      <c r="C2" s="5"/>
    </row>
    <row r="3" spans="1:17" x14ac:dyDescent="0.55000000000000004"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1:17" ht="18.3" x14ac:dyDescent="0.7">
      <c r="B4" s="19"/>
      <c r="C4" s="5" t="s">
        <v>41</v>
      </c>
      <c r="Q4" s="20"/>
    </row>
    <row r="5" spans="1:17" x14ac:dyDescent="0.55000000000000004">
      <c r="B5" s="19"/>
      <c r="Q5" s="20"/>
    </row>
    <row r="6" spans="1:17" x14ac:dyDescent="0.55000000000000004">
      <c r="B6" s="19"/>
      <c r="D6" s="21" t="s">
        <v>42</v>
      </c>
      <c r="E6" s="22" t="s">
        <v>43</v>
      </c>
      <c r="G6"/>
      <c r="Q6" s="20"/>
    </row>
    <row r="7" spans="1:17" x14ac:dyDescent="0.55000000000000004">
      <c r="B7" s="19"/>
      <c r="Q7" s="20"/>
    </row>
    <row r="8" spans="1:17" s="7" customFormat="1" ht="29.7" customHeight="1" x14ac:dyDescent="0.55000000000000004">
      <c r="B8" s="23"/>
      <c r="C8" s="24"/>
      <c r="D8" s="25" t="s">
        <v>110</v>
      </c>
      <c r="E8" s="25" t="s">
        <v>46</v>
      </c>
      <c r="F8" s="25" t="s">
        <v>44</v>
      </c>
      <c r="G8" s="25" t="s">
        <v>45</v>
      </c>
      <c r="H8" s="25" t="s">
        <v>106</v>
      </c>
      <c r="I8" s="25" t="s">
        <v>49</v>
      </c>
      <c r="J8" s="25" t="s">
        <v>107</v>
      </c>
      <c r="K8" s="25" t="s">
        <v>50</v>
      </c>
      <c r="L8" s="25" t="s">
        <v>108</v>
      </c>
      <c r="M8" s="25" t="s">
        <v>109</v>
      </c>
      <c r="N8" s="25" t="s">
        <v>51</v>
      </c>
      <c r="O8" s="25" t="s">
        <v>48</v>
      </c>
      <c r="P8" s="25" t="s">
        <v>47</v>
      </c>
      <c r="Q8" s="26"/>
    </row>
    <row r="9" spans="1:17" s="8" customFormat="1" x14ac:dyDescent="0.55000000000000004">
      <c r="B9" s="27"/>
      <c r="D9" s="9"/>
      <c r="E9" s="9" t="s">
        <v>0</v>
      </c>
      <c r="F9" s="9"/>
      <c r="G9" s="9" t="s">
        <v>0</v>
      </c>
      <c r="H9" s="9"/>
      <c r="I9" s="9" t="s">
        <v>0</v>
      </c>
      <c r="J9" s="9"/>
      <c r="K9" s="9" t="s">
        <v>0</v>
      </c>
      <c r="L9" s="9"/>
      <c r="M9" s="9"/>
      <c r="N9" s="9" t="s">
        <v>0</v>
      </c>
      <c r="O9" s="9" t="s">
        <v>0</v>
      </c>
      <c r="P9" s="9" t="s">
        <v>0</v>
      </c>
      <c r="Q9" s="28"/>
    </row>
    <row r="10" spans="1:17" s="10" customFormat="1" x14ac:dyDescent="0.55000000000000004">
      <c r="B10" s="29"/>
      <c r="C10" s="30"/>
      <c r="D10" s="31">
        <v>2</v>
      </c>
      <c r="E10" s="31">
        <v>30</v>
      </c>
      <c r="F10" s="31">
        <v>222</v>
      </c>
      <c r="G10" s="31">
        <v>400000</v>
      </c>
      <c r="H10" s="31">
        <v>15</v>
      </c>
      <c r="I10" s="31">
        <v>14.95</v>
      </c>
      <c r="J10" s="31">
        <v>60</v>
      </c>
      <c r="K10" s="31">
        <v>3</v>
      </c>
      <c r="L10" s="32">
        <f>G10/E10</f>
        <v>13333.333333333334</v>
      </c>
      <c r="M10" s="32">
        <f>L10*D10</f>
        <v>26666.666666666668</v>
      </c>
      <c r="N10" s="32">
        <f>G10/(F10*J10)</f>
        <v>30.03003003003003</v>
      </c>
      <c r="O10" s="32">
        <f>G10/F10</f>
        <v>1801.8018018018017</v>
      </c>
      <c r="P10" s="32">
        <f>H10*I10+J10*(K10+E10)</f>
        <v>2204.25</v>
      </c>
      <c r="Q10" s="33"/>
    </row>
    <row r="11" spans="1:17" x14ac:dyDescent="0.55000000000000004"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50"/>
      <c r="P11" s="50"/>
      <c r="Q11" s="36"/>
    </row>
    <row r="12" spans="1:17" x14ac:dyDescent="0.55000000000000004">
      <c r="E12" s="11"/>
    </row>
    <row r="13" spans="1:17" x14ac:dyDescent="0.55000000000000004">
      <c r="B13" s="15"/>
      <c r="C13" s="17"/>
      <c r="D13" s="17"/>
      <c r="E13" s="37"/>
      <c r="F13" s="17"/>
      <c r="G13" s="17"/>
      <c r="H13" s="17"/>
      <c r="I13" s="17"/>
      <c r="J13" s="17"/>
      <c r="K13" s="17"/>
      <c r="L13" s="18"/>
      <c r="O13" s="13"/>
    </row>
    <row r="14" spans="1:17" ht="18.3" x14ac:dyDescent="0.7">
      <c r="B14" s="19"/>
      <c r="C14" s="5" t="s">
        <v>71</v>
      </c>
      <c r="L14" s="20"/>
      <c r="O14" s="13"/>
    </row>
    <row r="15" spans="1:17" x14ac:dyDescent="0.55000000000000004">
      <c r="B15" s="19"/>
      <c r="L15" s="20"/>
    </row>
    <row r="16" spans="1:17" ht="28.8" x14ac:dyDescent="0.55000000000000004">
      <c r="B16" s="19"/>
      <c r="C16" s="38" t="s">
        <v>72</v>
      </c>
      <c r="D16" s="38" t="s">
        <v>73</v>
      </c>
      <c r="E16" s="38" t="s">
        <v>74</v>
      </c>
      <c r="F16" s="38" t="s">
        <v>75</v>
      </c>
      <c r="G16" s="38" t="s">
        <v>76</v>
      </c>
      <c r="H16" s="38" t="s">
        <v>77</v>
      </c>
      <c r="I16" s="25" t="s">
        <v>80</v>
      </c>
      <c r="J16" s="25" t="s">
        <v>81</v>
      </c>
      <c r="L16" s="20"/>
    </row>
    <row r="17" spans="2:12" x14ac:dyDescent="0.55000000000000004">
      <c r="B17" s="19"/>
      <c r="C17" s="40"/>
      <c r="D17" s="40"/>
      <c r="E17" s="40"/>
      <c r="F17" s="40"/>
      <c r="G17" s="40"/>
      <c r="H17" s="40"/>
      <c r="I17" s="53" t="s">
        <v>3</v>
      </c>
      <c r="J17" s="53" t="s">
        <v>13</v>
      </c>
      <c r="K17" s="35"/>
      <c r="L17" s="20"/>
    </row>
    <row r="18" spans="2:12" x14ac:dyDescent="0.55000000000000004">
      <c r="B18" s="19"/>
      <c r="C18" s="6">
        <v>1</v>
      </c>
      <c r="D18" s="6" t="s">
        <v>16</v>
      </c>
      <c r="E18" s="6" t="s">
        <v>104</v>
      </c>
      <c r="F18" s="6" t="s">
        <v>100</v>
      </c>
      <c r="G18" s="6" t="s">
        <v>11</v>
      </c>
      <c r="H18" s="6" t="s">
        <v>78</v>
      </c>
      <c r="J18" s="39">
        <f>K36</f>
        <v>85302.056936339286</v>
      </c>
      <c r="K18" s="51">
        <f>J18</f>
        <v>85302.056936339286</v>
      </c>
      <c r="L18" s="57">
        <f>K18</f>
        <v>85302.056936339286</v>
      </c>
    </row>
    <row r="19" spans="2:12" x14ac:dyDescent="0.55000000000000004">
      <c r="B19" s="19"/>
      <c r="C19" s="6">
        <v>1</v>
      </c>
      <c r="D19" s="6" t="s">
        <v>16</v>
      </c>
      <c r="E19" s="6" t="s">
        <v>105</v>
      </c>
      <c r="F19" s="6" t="s">
        <v>100</v>
      </c>
      <c r="G19" s="6" t="s">
        <v>38</v>
      </c>
      <c r="H19" s="6" t="s">
        <v>78</v>
      </c>
      <c r="J19" s="39">
        <f>K37</f>
        <v>104785.80917212802</v>
      </c>
      <c r="K19" s="51">
        <f>J19</f>
        <v>104785.80917212802</v>
      </c>
      <c r="L19" s="57">
        <f>K19+L18</f>
        <v>190087.86610846731</v>
      </c>
    </row>
    <row r="20" spans="2:12" x14ac:dyDescent="0.55000000000000004">
      <c r="B20" s="19"/>
      <c r="C20" s="6">
        <v>2</v>
      </c>
      <c r="D20" s="6" t="s">
        <v>15</v>
      </c>
      <c r="E20" s="6" t="s">
        <v>101</v>
      </c>
      <c r="F20" s="6" t="s">
        <v>40</v>
      </c>
      <c r="G20" s="6" t="s">
        <v>38</v>
      </c>
      <c r="H20" s="6" t="s">
        <v>78</v>
      </c>
      <c r="J20" s="39">
        <f>M10*'Hub operations'!C23</f>
        <v>7631.7119999999995</v>
      </c>
      <c r="K20" s="51">
        <f t="shared" ref="K20:K25" si="0">J20</f>
        <v>7631.7119999999995</v>
      </c>
      <c r="L20" s="57">
        <f t="shared" ref="L20:L25" si="1">K20+L19</f>
        <v>197719.57810846731</v>
      </c>
    </row>
    <row r="21" spans="2:12" x14ac:dyDescent="0.55000000000000004">
      <c r="B21" s="19"/>
      <c r="C21" s="6">
        <v>3</v>
      </c>
      <c r="D21" s="6" t="s">
        <v>16</v>
      </c>
      <c r="E21" s="6" t="s">
        <v>120</v>
      </c>
      <c r="F21" s="6" t="s">
        <v>35</v>
      </c>
      <c r="G21" s="6" t="s">
        <v>36</v>
      </c>
      <c r="H21" s="6" t="s">
        <v>78</v>
      </c>
      <c r="J21" s="39">
        <f>F61</f>
        <v>127647.61333333333</v>
      </c>
      <c r="K21" s="51">
        <f t="shared" si="0"/>
        <v>127647.61333333333</v>
      </c>
      <c r="L21" s="57">
        <f t="shared" si="1"/>
        <v>325367.19144180062</v>
      </c>
    </row>
    <row r="22" spans="2:12" x14ac:dyDescent="0.55000000000000004">
      <c r="B22" s="19"/>
      <c r="C22" s="6">
        <v>4</v>
      </c>
      <c r="D22" s="6" t="s">
        <v>16</v>
      </c>
      <c r="E22" s="6" t="s">
        <v>121</v>
      </c>
      <c r="F22" s="6" t="s">
        <v>35</v>
      </c>
      <c r="G22" s="6" t="s">
        <v>36</v>
      </c>
      <c r="H22" s="6" t="s">
        <v>79</v>
      </c>
      <c r="J22" s="39">
        <f>F62</f>
        <v>73296.813333333324</v>
      </c>
      <c r="K22" s="51">
        <f t="shared" si="0"/>
        <v>73296.813333333324</v>
      </c>
      <c r="L22" s="57">
        <f t="shared" si="1"/>
        <v>398664.00477513392</v>
      </c>
    </row>
    <row r="23" spans="2:12" x14ac:dyDescent="0.55000000000000004">
      <c r="B23" s="19"/>
      <c r="C23" s="6">
        <v>5</v>
      </c>
      <c r="D23" s="6" t="s">
        <v>15</v>
      </c>
      <c r="E23" s="6" t="s">
        <v>101</v>
      </c>
      <c r="F23" s="6" t="s">
        <v>40</v>
      </c>
      <c r="G23" s="6" t="s">
        <v>38</v>
      </c>
      <c r="H23" s="6" t="s">
        <v>79</v>
      </c>
      <c r="J23" s="39">
        <f>M10*'Hub operations'!C24</f>
        <v>6783.7440000000006</v>
      </c>
      <c r="K23" s="51">
        <f t="shared" si="0"/>
        <v>6783.7440000000006</v>
      </c>
      <c r="L23" s="57">
        <f t="shared" si="1"/>
        <v>405447.74877513392</v>
      </c>
    </row>
    <row r="24" spans="2:12" x14ac:dyDescent="0.55000000000000004">
      <c r="B24" s="19"/>
      <c r="C24" s="6">
        <v>6</v>
      </c>
      <c r="D24" s="6" t="s">
        <v>16</v>
      </c>
      <c r="E24" s="6" t="s">
        <v>102</v>
      </c>
      <c r="F24" s="6" t="s">
        <v>100</v>
      </c>
      <c r="G24" s="6" t="s">
        <v>38</v>
      </c>
      <c r="H24" s="6" t="s">
        <v>79</v>
      </c>
      <c r="J24" s="39">
        <f>K38</f>
        <v>19131.613972128005</v>
      </c>
      <c r="K24" s="51">
        <f t="shared" si="0"/>
        <v>19131.613972128005</v>
      </c>
      <c r="L24" s="57">
        <f t="shared" si="1"/>
        <v>424579.36274726194</v>
      </c>
    </row>
    <row r="25" spans="2:12" x14ac:dyDescent="0.55000000000000004">
      <c r="B25" s="19"/>
      <c r="C25" s="35">
        <v>6</v>
      </c>
      <c r="D25" s="35" t="s">
        <v>16</v>
      </c>
      <c r="E25" s="35" t="s">
        <v>103</v>
      </c>
      <c r="F25" s="35" t="s">
        <v>100</v>
      </c>
      <c r="G25" s="35" t="s">
        <v>11</v>
      </c>
      <c r="H25" s="35" t="s">
        <v>79</v>
      </c>
      <c r="I25" s="35"/>
      <c r="J25" s="41">
        <f>K39</f>
        <v>15574.303784339285</v>
      </c>
      <c r="K25" s="52">
        <f t="shared" si="0"/>
        <v>15574.303784339285</v>
      </c>
      <c r="L25" s="57">
        <f t="shared" si="1"/>
        <v>440153.66653160122</v>
      </c>
    </row>
    <row r="26" spans="2:12" x14ac:dyDescent="0.55000000000000004">
      <c r="B26" s="19"/>
      <c r="J26" s="39"/>
      <c r="L26" s="20"/>
    </row>
    <row r="27" spans="2:12" x14ac:dyDescent="0.55000000000000004">
      <c r="B27" s="19"/>
      <c r="I27" s="2" t="s">
        <v>143</v>
      </c>
      <c r="J27" s="42">
        <f>SUM(J18:J25)</f>
        <v>440153.66653160122</v>
      </c>
      <c r="K27" s="2" t="s">
        <v>13</v>
      </c>
      <c r="L27" s="20"/>
    </row>
    <row r="28" spans="2:12" x14ac:dyDescent="0.55000000000000004">
      <c r="B28" s="19"/>
      <c r="I28" s="2" t="s">
        <v>144</v>
      </c>
      <c r="J28" s="42">
        <f>J27/G10</f>
        <v>1.100384166329003</v>
      </c>
      <c r="K28" s="2" t="s">
        <v>145</v>
      </c>
      <c r="L28" s="20"/>
    </row>
    <row r="29" spans="2:12" x14ac:dyDescent="0.55000000000000004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6"/>
    </row>
    <row r="31" spans="2:12" x14ac:dyDescent="0.55000000000000004">
      <c r="B31" s="15"/>
      <c r="C31" s="17"/>
      <c r="D31" s="17"/>
      <c r="E31" s="17"/>
      <c r="F31" s="17"/>
      <c r="G31" s="17"/>
      <c r="H31" s="17"/>
      <c r="I31" s="17"/>
      <c r="J31" s="17"/>
      <c r="K31" s="17"/>
      <c r="L31" s="18"/>
    </row>
    <row r="32" spans="2:12" ht="18.3" x14ac:dyDescent="0.7">
      <c r="B32" s="19"/>
      <c r="C32" s="5" t="s">
        <v>70</v>
      </c>
      <c r="D32" s="5"/>
      <c r="L32" s="20"/>
    </row>
    <row r="33" spans="2:12" x14ac:dyDescent="0.55000000000000004">
      <c r="B33" s="19"/>
      <c r="L33" s="20"/>
    </row>
    <row r="34" spans="2:12" ht="28.8" x14ac:dyDescent="0.55000000000000004">
      <c r="B34" s="19"/>
      <c r="C34" s="58" t="s">
        <v>72</v>
      </c>
      <c r="D34" s="38" t="s">
        <v>83</v>
      </c>
      <c r="E34" s="38" t="s">
        <v>84</v>
      </c>
      <c r="F34" s="25" t="s">
        <v>85</v>
      </c>
      <c r="G34" s="25" t="s">
        <v>86</v>
      </c>
      <c r="H34" s="60" t="s">
        <v>87</v>
      </c>
      <c r="I34" s="60"/>
      <c r="J34" s="38" t="s">
        <v>88</v>
      </c>
      <c r="K34" s="38" t="s">
        <v>89</v>
      </c>
      <c r="L34" s="20"/>
    </row>
    <row r="35" spans="2:12" x14ac:dyDescent="0.55000000000000004">
      <c r="B35" s="19"/>
      <c r="C35" s="59"/>
      <c r="D35" s="49" t="s">
        <v>2</v>
      </c>
      <c r="E35" s="49" t="s">
        <v>19</v>
      </c>
      <c r="F35" s="49" t="s">
        <v>18</v>
      </c>
      <c r="G35" s="49" t="s">
        <v>20</v>
      </c>
      <c r="H35" s="49" t="s">
        <v>21</v>
      </c>
      <c r="I35" s="49" t="s">
        <v>3</v>
      </c>
      <c r="J35" s="49" t="s">
        <v>17</v>
      </c>
      <c r="K35" s="49" t="s">
        <v>13</v>
      </c>
      <c r="L35" s="20"/>
    </row>
    <row r="36" spans="2:12" x14ac:dyDescent="0.55000000000000004">
      <c r="B36" s="19"/>
      <c r="C36" s="6">
        <v>1</v>
      </c>
      <c r="D36" s="30">
        <v>18.8</v>
      </c>
      <c r="E36" s="30">
        <f>P10*F10</f>
        <v>489343.5</v>
      </c>
      <c r="F36" s="30">
        <f>E36*D36</f>
        <v>9199657.8000000007</v>
      </c>
      <c r="G36" s="30">
        <v>29.1</v>
      </c>
      <c r="H36" s="30">
        <f>G36*F36</f>
        <v>267710041.98000005</v>
      </c>
      <c r="I36" s="30">
        <f>0.0036*H36</f>
        <v>963756.15112800011</v>
      </c>
      <c r="J36" s="48">
        <v>88.51</v>
      </c>
      <c r="K36" s="30">
        <f>J36*I36/1000</f>
        <v>85302.056936339286</v>
      </c>
      <c r="L36" s="20"/>
    </row>
    <row r="37" spans="2:12" x14ac:dyDescent="0.55000000000000004">
      <c r="B37" s="19"/>
      <c r="C37" s="6">
        <v>1</v>
      </c>
      <c r="D37" s="30">
        <f>130-17.6</f>
        <v>112.4</v>
      </c>
      <c r="E37" s="30">
        <f>P10*F10</f>
        <v>489343.5</v>
      </c>
      <c r="F37" s="30">
        <f>E37*D37</f>
        <v>55002209.400000006</v>
      </c>
      <c r="G37" s="30">
        <v>10.8</v>
      </c>
      <c r="H37" s="30">
        <f>G37*F37</f>
        <v>594023861.5200001</v>
      </c>
      <c r="I37" s="30">
        <f>0.0036*H37</f>
        <v>2138485.9014720004</v>
      </c>
      <c r="J37" s="30">
        <v>49</v>
      </c>
      <c r="K37" s="30">
        <f>J37*I37/1000</f>
        <v>104785.80917212802</v>
      </c>
      <c r="L37" s="20"/>
    </row>
    <row r="38" spans="2:12" x14ac:dyDescent="0.55000000000000004">
      <c r="B38" s="19"/>
      <c r="C38" s="6">
        <v>6</v>
      </c>
      <c r="D38" s="30">
        <f>130-17.6</f>
        <v>112.4</v>
      </c>
      <c r="E38" s="30">
        <f>(P10-O10)*F10</f>
        <v>89343.500000000015</v>
      </c>
      <c r="F38" s="30">
        <f t="shared" ref="F38:F39" si="2">E38*D38</f>
        <v>10042209.400000002</v>
      </c>
      <c r="G38" s="30">
        <f>10.8</f>
        <v>10.8</v>
      </c>
      <c r="H38" s="30">
        <f t="shared" ref="H38:H39" si="3">G38*F38</f>
        <v>108455861.52000003</v>
      </c>
      <c r="I38" s="30">
        <f t="shared" ref="I38:I39" si="4">0.0036*H38</f>
        <v>390441.10147200007</v>
      </c>
      <c r="J38" s="30">
        <v>49</v>
      </c>
      <c r="K38" s="30">
        <f t="shared" ref="K38:K39" si="5">J38*I38/1000</f>
        <v>19131.613972128005</v>
      </c>
      <c r="L38" s="20"/>
    </row>
    <row r="39" spans="2:12" x14ac:dyDescent="0.55000000000000004">
      <c r="B39" s="19"/>
      <c r="C39" s="6">
        <v>6</v>
      </c>
      <c r="D39" s="30">
        <v>18.8</v>
      </c>
      <c r="E39" s="30">
        <f>(P10-O10)*F10</f>
        <v>89343.500000000015</v>
      </c>
      <c r="F39" s="30">
        <f t="shared" si="2"/>
        <v>1679657.8000000003</v>
      </c>
      <c r="G39" s="30">
        <v>29.1</v>
      </c>
      <c r="H39" s="30">
        <f t="shared" si="3"/>
        <v>48878041.980000012</v>
      </c>
      <c r="I39" s="30">
        <f t="shared" si="4"/>
        <v>175960.95112800004</v>
      </c>
      <c r="J39" s="48">
        <v>88.51</v>
      </c>
      <c r="K39" s="30">
        <f t="shared" si="5"/>
        <v>15574.303784339285</v>
      </c>
      <c r="L39" s="20"/>
    </row>
    <row r="40" spans="2:12" x14ac:dyDescent="0.55000000000000004">
      <c r="B40" s="19"/>
      <c r="L40" s="20"/>
    </row>
    <row r="41" spans="2:12" x14ac:dyDescent="0.55000000000000004">
      <c r="B41" s="19"/>
      <c r="C41" s="6" t="s">
        <v>90</v>
      </c>
      <c r="L41" s="20"/>
    </row>
    <row r="42" spans="2:12" x14ac:dyDescent="0.55000000000000004">
      <c r="B42" s="19"/>
      <c r="C42" s="6" t="s">
        <v>91</v>
      </c>
      <c r="L42" s="20"/>
    </row>
    <row r="43" spans="2:12" x14ac:dyDescent="0.55000000000000004">
      <c r="B43" s="19"/>
      <c r="C43" s="6" t="s">
        <v>140</v>
      </c>
      <c r="L43" s="20"/>
    </row>
    <row r="44" spans="2:12" x14ac:dyDescent="0.55000000000000004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6"/>
    </row>
    <row r="46" spans="2:12" x14ac:dyDescent="0.55000000000000004">
      <c r="B46" s="15"/>
      <c r="C46" s="17"/>
      <c r="D46" s="17"/>
      <c r="E46" s="17"/>
      <c r="F46" s="17"/>
      <c r="G46" s="17"/>
      <c r="H46" s="17"/>
      <c r="I46" s="18"/>
    </row>
    <row r="47" spans="2:12" ht="18.3" x14ac:dyDescent="0.7">
      <c r="B47" s="19"/>
      <c r="C47" s="5" t="s">
        <v>69</v>
      </c>
      <c r="I47" s="20"/>
    </row>
    <row r="48" spans="2:12" ht="14.4" customHeight="1" x14ac:dyDescent="0.7">
      <c r="B48" s="19"/>
      <c r="C48" s="5"/>
      <c r="I48" s="20"/>
    </row>
    <row r="49" spans="2:13" x14ac:dyDescent="0.55000000000000004">
      <c r="B49" s="19"/>
      <c r="D49" s="40" t="s">
        <v>14</v>
      </c>
      <c r="E49" s="40" t="s">
        <v>56</v>
      </c>
      <c r="F49" s="40" t="s">
        <v>57</v>
      </c>
      <c r="G49" s="40" t="s">
        <v>58</v>
      </c>
      <c r="I49" s="20"/>
    </row>
    <row r="50" spans="2:13" ht="14.4" customHeight="1" x14ac:dyDescent="0.55000000000000004">
      <c r="B50" s="19"/>
      <c r="D50" s="43" t="s">
        <v>60</v>
      </c>
      <c r="E50" s="44" t="s">
        <v>1</v>
      </c>
      <c r="F50" s="45">
        <v>8.5</v>
      </c>
      <c r="G50" s="45" t="s">
        <v>61</v>
      </c>
      <c r="I50" s="20"/>
    </row>
    <row r="51" spans="2:13" ht="14.4" customHeight="1" x14ac:dyDescent="0.55000000000000004">
      <c r="B51" s="19"/>
      <c r="D51" s="43" t="s">
        <v>59</v>
      </c>
      <c r="E51" s="44" t="s">
        <v>1</v>
      </c>
      <c r="F51" s="45">
        <v>14.4</v>
      </c>
      <c r="G51" s="45" t="s">
        <v>62</v>
      </c>
      <c r="I51" s="20"/>
      <c r="M51" s="12"/>
    </row>
    <row r="52" spans="2:13" ht="28.8" x14ac:dyDescent="0.55000000000000004">
      <c r="B52" s="19"/>
      <c r="D52" s="43" t="s">
        <v>55</v>
      </c>
      <c r="E52" s="44" t="s">
        <v>1</v>
      </c>
      <c r="F52" s="46">
        <f>F50+(F51-F50)/(40-14)*K10</f>
        <v>9.180769230769231</v>
      </c>
      <c r="G52" s="45"/>
      <c r="I52" s="20"/>
      <c r="M52" s="12"/>
    </row>
    <row r="53" spans="2:13" ht="28.8" x14ac:dyDescent="0.55000000000000004">
      <c r="B53" s="19"/>
      <c r="D53" s="43" t="s">
        <v>63</v>
      </c>
      <c r="E53" s="44" t="s">
        <v>1</v>
      </c>
      <c r="F53" s="46">
        <f>F50+(F51-F50)/(40-14)*(E10+K10)</f>
        <v>15.988461538461539</v>
      </c>
      <c r="G53" s="45"/>
      <c r="I53" s="20"/>
    </row>
    <row r="54" spans="2:13" x14ac:dyDescent="0.55000000000000004">
      <c r="B54" s="19"/>
      <c r="D54" s="43" t="s">
        <v>52</v>
      </c>
      <c r="E54" s="44" t="s">
        <v>2</v>
      </c>
      <c r="F54" s="45">
        <v>18.2</v>
      </c>
      <c r="G54" s="45"/>
      <c r="I54" s="20"/>
      <c r="M54" s="13"/>
    </row>
    <row r="55" spans="2:13" x14ac:dyDescent="0.55000000000000004">
      <c r="B55" s="19"/>
      <c r="D55" s="43" t="s">
        <v>53</v>
      </c>
      <c r="E55" s="44" t="s">
        <v>2</v>
      </c>
      <c r="F55" s="45">
        <v>18.2</v>
      </c>
      <c r="G55" s="45"/>
      <c r="I55" s="20"/>
    </row>
    <row r="56" spans="2:13" ht="28.8" x14ac:dyDescent="0.55000000000000004">
      <c r="B56" s="19"/>
      <c r="D56" s="43" t="s">
        <v>64</v>
      </c>
      <c r="E56" s="44" t="s">
        <v>2</v>
      </c>
      <c r="F56" s="47">
        <f>F54*L10</f>
        <v>242666.66666666666</v>
      </c>
      <c r="G56" s="45"/>
      <c r="I56" s="20"/>
    </row>
    <row r="57" spans="2:13" ht="28.8" x14ac:dyDescent="0.55000000000000004">
      <c r="B57" s="19"/>
      <c r="D57" s="43" t="s">
        <v>65</v>
      </c>
      <c r="E57" s="44" t="s">
        <v>2</v>
      </c>
      <c r="F57" s="47">
        <f>F55*L10</f>
        <v>242666.66666666666</v>
      </c>
      <c r="G57" s="45"/>
      <c r="I57" s="20"/>
    </row>
    <row r="58" spans="2:13" ht="28.8" x14ac:dyDescent="0.55000000000000004">
      <c r="B58" s="19"/>
      <c r="D58" s="43" t="s">
        <v>54</v>
      </c>
      <c r="E58" s="44" t="s">
        <v>3</v>
      </c>
      <c r="F58" s="47">
        <f>F56*F53</f>
        <v>3879866.6666666665</v>
      </c>
      <c r="G58" s="45"/>
      <c r="I58" s="20"/>
    </row>
    <row r="59" spans="2:13" ht="28.8" x14ac:dyDescent="0.55000000000000004">
      <c r="B59" s="19"/>
      <c r="D59" s="43" t="s">
        <v>55</v>
      </c>
      <c r="E59" s="44" t="s">
        <v>3</v>
      </c>
      <c r="F59" s="47">
        <f>F57*F52</f>
        <v>2227866.6666666665</v>
      </c>
      <c r="G59" s="45"/>
      <c r="I59" s="20"/>
    </row>
    <row r="60" spans="2:13" ht="28.8" x14ac:dyDescent="0.55000000000000004">
      <c r="B60" s="19"/>
      <c r="D60" s="43" t="s">
        <v>93</v>
      </c>
      <c r="E60" s="44" t="s">
        <v>17</v>
      </c>
      <c r="F60" s="48">
        <f>(1-0.65)*94</f>
        <v>32.9</v>
      </c>
      <c r="G60" s="45" t="s">
        <v>133</v>
      </c>
      <c r="I60" s="20"/>
    </row>
    <row r="61" spans="2:13" x14ac:dyDescent="0.55000000000000004">
      <c r="B61" s="19"/>
      <c r="D61" s="43" t="s">
        <v>67</v>
      </c>
      <c r="E61" s="44" t="s">
        <v>13</v>
      </c>
      <c r="F61" s="48">
        <f>F58*F60/1000</f>
        <v>127647.61333333333</v>
      </c>
      <c r="G61" s="45"/>
      <c r="I61" s="20"/>
    </row>
    <row r="62" spans="2:13" x14ac:dyDescent="0.55000000000000004">
      <c r="B62" s="19"/>
      <c r="D62" s="43" t="s">
        <v>68</v>
      </c>
      <c r="E62" s="44" t="s">
        <v>13</v>
      </c>
      <c r="F62" s="48">
        <f>F60*F59/1000</f>
        <v>73296.813333333324</v>
      </c>
      <c r="G62" s="45"/>
      <c r="I62" s="20"/>
    </row>
    <row r="63" spans="2:13" x14ac:dyDescent="0.55000000000000004">
      <c r="B63" s="34"/>
      <c r="C63" s="35"/>
      <c r="D63" s="35"/>
      <c r="E63" s="35"/>
      <c r="F63" s="35"/>
      <c r="G63" s="35"/>
      <c r="H63" s="35"/>
      <c r="I63" s="36"/>
    </row>
    <row r="66" spans="7:7" x14ac:dyDescent="0.55000000000000004">
      <c r="G66" s="14"/>
    </row>
  </sheetData>
  <mergeCells count="2">
    <mergeCell ref="C34:C35"/>
    <mergeCell ref="H34:I34"/>
  </mergeCells>
  <conditionalFormatting sqref="K18:K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{569CE1C4-9F26-43A0-A4D7-511693A5331D}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9CE1C4-9F26-43A0-A4D7-511693A53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Overview</vt:lpstr>
      <vt:lpstr>Scenario 1a</vt:lpstr>
      <vt:lpstr>Scenario 1b</vt:lpstr>
      <vt:lpstr>Scenario 1c</vt:lpstr>
      <vt:lpstr>Scenario 2a</vt:lpstr>
      <vt:lpstr>Scenario 2b</vt:lpstr>
      <vt:lpstr>Scenario 2c</vt:lpstr>
      <vt:lpstr>Scenario 3a</vt:lpstr>
      <vt:lpstr>Scenario 3b</vt:lpstr>
      <vt:lpstr>Scenario 3c</vt:lpstr>
      <vt:lpstr>Hub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Miklautsch</dc:creator>
  <cp:lastModifiedBy>Philipp Miklautsch</cp:lastModifiedBy>
  <dcterms:created xsi:type="dcterms:W3CDTF">2015-06-05T18:19:34Z</dcterms:created>
  <dcterms:modified xsi:type="dcterms:W3CDTF">2023-07-04T09:39:31Z</dcterms:modified>
</cp:coreProperties>
</file>