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5B47986D-5ACB-2C4D-AAA7-DCB78B144E80}" xr6:coauthVersionLast="47" xr6:coauthVersionMax="47" xr10:uidLastSave="{00000000-0000-0000-0000-000000000000}"/>
  <bookViews>
    <workbookView xWindow="7880" yWindow="620" windowWidth="30520" windowHeight="19240" activeTab="3" xr2:uid="{00000000-000D-0000-FFFF-FFFF00000000}"/>
  </bookViews>
  <sheets>
    <sheet name="summary" sheetId="4" r:id="rId1"/>
    <sheet name="Sheet1" sheetId="5" r:id="rId2"/>
    <sheet name="draft" sheetId="3" r:id="rId3"/>
    <sheet name="weighted" sheetId="6" r:id="rId4"/>
    <sheet name="weighted_high_cap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6" l="1"/>
  <c r="J71" i="6"/>
  <c r="Q37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34" i="6"/>
  <c r="C2" i="7"/>
  <c r="C3" i="7"/>
  <c r="B3" i="7"/>
  <c r="B2" i="7"/>
  <c r="D34" i="6"/>
  <c r="M71" i="6"/>
  <c r="G71" i="6"/>
  <c r="D71" i="6"/>
  <c r="K47" i="5"/>
  <c r="K34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35" i="5"/>
  <c r="N36" i="5"/>
  <c r="N34" i="5"/>
  <c r="J74" i="5"/>
  <c r="J67" i="5"/>
  <c r="M66" i="5"/>
  <c r="J66" i="5"/>
  <c r="G66" i="5"/>
  <c r="D66" i="5"/>
  <c r="J64" i="5"/>
  <c r="J63" i="5"/>
  <c r="J62" i="5"/>
  <c r="D62" i="5"/>
  <c r="M61" i="5"/>
  <c r="J61" i="5"/>
  <c r="G61" i="5"/>
  <c r="D61" i="5"/>
  <c r="M60" i="5"/>
  <c r="J60" i="5"/>
  <c r="D60" i="5"/>
  <c r="M49" i="5"/>
  <c r="M48" i="5"/>
  <c r="G48" i="5"/>
  <c r="M47" i="5"/>
  <c r="J47" i="5"/>
  <c r="G47" i="5"/>
  <c r="G71" i="5" s="1"/>
  <c r="M42" i="5"/>
  <c r="M41" i="5"/>
  <c r="M40" i="5"/>
  <c r="M39" i="5"/>
  <c r="M38" i="5"/>
  <c r="J38" i="5"/>
  <c r="J37" i="5"/>
  <c r="M36" i="5"/>
  <c r="M71" i="5" s="1"/>
  <c r="J36" i="5"/>
  <c r="M35" i="5"/>
  <c r="G35" i="5"/>
  <c r="M34" i="5"/>
  <c r="J34" i="5"/>
  <c r="G34" i="5"/>
  <c r="D34" i="5"/>
  <c r="J28" i="5"/>
  <c r="D28" i="5"/>
  <c r="J23" i="5"/>
  <c r="J22" i="5"/>
  <c r="J21" i="5"/>
  <c r="J20" i="5"/>
  <c r="J71" i="5" s="1"/>
  <c r="D20" i="5"/>
  <c r="D11" i="5"/>
  <c r="J5" i="5"/>
  <c r="D5" i="5"/>
  <c r="D71" i="5" s="1"/>
  <c r="G71" i="4"/>
  <c r="M40" i="4"/>
  <c r="M41" i="4"/>
  <c r="M42" i="4"/>
  <c r="M38" i="4"/>
  <c r="M61" i="4"/>
  <c r="M35" i="4"/>
  <c r="M34" i="4"/>
  <c r="M49" i="4"/>
  <c r="M39" i="4"/>
  <c r="M47" i="4"/>
  <c r="M66" i="4"/>
  <c r="M60" i="4"/>
  <c r="M48" i="4"/>
  <c r="M36" i="4"/>
  <c r="J28" i="4"/>
  <c r="J37" i="4"/>
  <c r="J38" i="4"/>
  <c r="J66" i="4"/>
  <c r="J67" i="4"/>
  <c r="J36" i="4"/>
  <c r="J5" i="4"/>
  <c r="J22" i="4"/>
  <c r="J64" i="4"/>
  <c r="J20" i="4"/>
  <c r="J23" i="4"/>
  <c r="J60" i="4"/>
  <c r="J61" i="4"/>
  <c r="J62" i="4"/>
  <c r="J21" i="4"/>
  <c r="J47" i="4"/>
  <c r="J34" i="4"/>
  <c r="J63" i="4"/>
  <c r="D62" i="4"/>
  <c r="G61" i="4"/>
  <c r="D66" i="4"/>
  <c r="D28" i="4"/>
  <c r="G34" i="4"/>
  <c r="G35" i="4"/>
  <c r="G47" i="4"/>
  <c r="G66" i="4"/>
  <c r="G48" i="4"/>
  <c r="D37" i="3"/>
  <c r="D34" i="4" s="1"/>
  <c r="D5" i="4"/>
  <c r="D71" i="4" s="1"/>
  <c r="D11" i="4"/>
  <c r="D20" i="4"/>
  <c r="D61" i="4"/>
  <c r="D60" i="4"/>
  <c r="M88" i="3"/>
  <c r="H21" i="3"/>
  <c r="H35" i="3"/>
  <c r="H79" i="3"/>
  <c r="H62" i="3"/>
  <c r="J88" i="3"/>
  <c r="D79" i="3"/>
  <c r="D68" i="3"/>
  <c r="D64" i="3"/>
  <c r="D63" i="3"/>
  <c r="D21" i="3"/>
  <c r="D12" i="3"/>
  <c r="D29" i="3"/>
  <c r="D6" i="3"/>
  <c r="H3" i="3"/>
  <c r="N51" i="6" l="1"/>
  <c r="N60" i="6"/>
  <c r="N42" i="6"/>
  <c r="N41" i="6"/>
  <c r="N38" i="6"/>
  <c r="N49" i="6"/>
  <c r="N59" i="6"/>
  <c r="N57" i="6"/>
  <c r="N56" i="6"/>
  <c r="N55" i="6"/>
  <c r="N39" i="6"/>
  <c r="N50" i="6"/>
  <c r="N37" i="6"/>
  <c r="N40" i="6"/>
  <c r="N58" i="6"/>
  <c r="N48" i="6"/>
  <c r="N47" i="6"/>
  <c r="N46" i="6"/>
  <c r="N45" i="6"/>
  <c r="N36" i="6"/>
  <c r="N54" i="6"/>
  <c r="N44" i="6"/>
  <c r="N35" i="6"/>
  <c r="N53" i="6"/>
  <c r="N43" i="6"/>
  <c r="N52" i="6"/>
  <c r="N34" i="6"/>
  <c r="D74" i="6"/>
  <c r="D74" i="5"/>
  <c r="K66" i="5"/>
  <c r="D74" i="4"/>
  <c r="D75" i="4"/>
  <c r="B34" i="4"/>
  <c r="J71" i="4"/>
  <c r="M71" i="4"/>
  <c r="D88" i="3"/>
  <c r="D92" i="3" s="1"/>
  <c r="B79" i="3" s="1"/>
  <c r="B12" i="3"/>
  <c r="H29" i="3"/>
  <c r="H6" i="3"/>
  <c r="H12" i="3"/>
  <c r="O35" i="6" l="1"/>
  <c r="K66" i="6"/>
  <c r="H11" i="6"/>
  <c r="H28" i="6"/>
  <c r="H5" i="6"/>
  <c r="H66" i="6"/>
  <c r="H60" i="6"/>
  <c r="H20" i="6"/>
  <c r="H2" i="6"/>
  <c r="K47" i="6"/>
  <c r="K34" i="6"/>
  <c r="K60" i="6"/>
  <c r="H34" i="6"/>
  <c r="E47" i="6"/>
  <c r="B60" i="6"/>
  <c r="B47" i="6"/>
  <c r="B11" i="6"/>
  <c r="B66" i="6"/>
  <c r="E34" i="6"/>
  <c r="E66" i="6"/>
  <c r="B28" i="6"/>
  <c r="E60" i="6"/>
  <c r="B34" i="6"/>
  <c r="B5" i="6"/>
  <c r="J76" i="6"/>
  <c r="D75" i="6"/>
  <c r="H47" i="6"/>
  <c r="B20" i="6"/>
  <c r="H28" i="5"/>
  <c r="H11" i="5"/>
  <c r="K60" i="5"/>
  <c r="H34" i="5"/>
  <c r="H5" i="5"/>
  <c r="H47" i="5"/>
  <c r="H66" i="5"/>
  <c r="H2" i="5"/>
  <c r="H60" i="5"/>
  <c r="H20" i="5"/>
  <c r="J76" i="5"/>
  <c r="E47" i="5"/>
  <c r="E66" i="5"/>
  <c r="B11" i="5"/>
  <c r="B60" i="5"/>
  <c r="B47" i="5"/>
  <c r="B28" i="5"/>
  <c r="B66" i="5"/>
  <c r="B5" i="5"/>
  <c r="E34" i="5"/>
  <c r="E60" i="5"/>
  <c r="D75" i="5"/>
  <c r="B20" i="5"/>
  <c r="B34" i="5"/>
  <c r="J74" i="4"/>
  <c r="E34" i="4"/>
  <c r="B47" i="4"/>
  <c r="B11" i="4"/>
  <c r="B60" i="4"/>
  <c r="E66" i="4"/>
  <c r="B5" i="4"/>
  <c r="E60" i="4"/>
  <c r="E47" i="4"/>
  <c r="B66" i="4"/>
  <c r="B28" i="4"/>
  <c r="B20" i="4"/>
  <c r="B6" i="3"/>
  <c r="B62" i="3"/>
  <c r="B35" i="3"/>
  <c r="B29" i="3"/>
  <c r="E88" i="3"/>
  <c r="B21" i="3"/>
  <c r="H88" i="3"/>
  <c r="H20" i="4" l="1"/>
  <c r="K66" i="4"/>
  <c r="H11" i="4"/>
  <c r="K47" i="4"/>
  <c r="K34" i="4"/>
  <c r="H66" i="4"/>
  <c r="H60" i="4"/>
  <c r="H47" i="4"/>
  <c r="H34" i="4"/>
  <c r="K60" i="4"/>
  <c r="H5" i="4"/>
  <c r="H2" i="4"/>
  <c r="H28" i="4"/>
  <c r="J76" i="4"/>
  <c r="B88" i="3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6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  <comment ref="K6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6" authorId="0" shapeId="0" xr:uid="{6EE932AF-FEBC-594D-B933-584167DD55FA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  <comment ref="K6" authorId="0" shapeId="0" xr:uid="{92B849B2-07F4-9942-A54C-F3CCE79C546A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6" authorId="0" shapeId="0" xr:uid="{7C6BA07D-A88F-934D-94DA-7C2DC16B285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  <comment ref="K6" authorId="0" shapeId="0" xr:uid="{C427677E-C3C1-A743-9812-10D58DC839AA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<sst xmlns="http://schemas.openxmlformats.org/spreadsheetml/2006/main" count="363" uniqueCount="161">
  <si>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</si>
  <si>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</si>
  <si>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</si>
  <si>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</si>
  <si>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</si>
  <si>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</si>
  <si>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</si>
  <si>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</si>
  <si>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</si>
  <si>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</si>
  <si>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</si>
  <si>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</si>
  <si>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</si>
  <si>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</si>
  <si>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</si>
  <si>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</si>
  <si>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</si>
  <si>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</si>
  <si>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</si>
  <si>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</si>
  <si>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</si>
  <si>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</si>
  <si>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</si>
  <si>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</si>
  <si>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</si>
  <si>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</si>
  <si>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</si>
  <si>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</si>
  <si>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</si>
  <si>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</si>
  <si>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</si>
  <si>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</si>
  <si>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</si>
  <si>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</si>
  <si>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</si>
  <si>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</si>
  <si>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</si>
  <si>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</si>
  <si>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</si>
  <si>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</si>
  <si>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</si>
  <si>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</si>
  <si>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</si>
  <si>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</si>
  <si>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</si>
  <si>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</si>
  <si>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</si>
  <si>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</si>
  <si>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</si>
  <si>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</si>
  <si>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</si>
  <si>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</si>
  <si>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</si>
  <si>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</si>
  <si>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</si>
  <si>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</si>
  <si>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</si>
  <si>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</si>
  <si>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</si>
  <si>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</si>
  <si>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</si>
  <si>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</si>
  <si>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</si>
  <si>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</si>
  <si>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</si>
  <si>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</si>
  <si>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</si>
  <si>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</si>
  <si>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</si>
  <si>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</si>
  <si>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</si>
  <si>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</si>
  <si>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</si>
  <si>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</si>
  <si>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</si>
  <si>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</si>
  <si>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</si>
  <si>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</si>
  <si>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</si>
  <si>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</si>
  <si>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</si>
  <si>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</si>
  <si>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</si>
  <si>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</si>
  <si>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</si>
  <si>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</si>
  <si>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</si>
  <si>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</si>
  <si>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</si>
  <si>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</si>
  <si>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</si>
  <si>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</si>
  <si>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</si>
  <si>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</si>
  <si>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</si>
  <si>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</si>
  <si>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</si>
  <si>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</si>
  <si>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</si>
  <si>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</si>
  <si>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</si>
  <si>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</si>
  <si>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</si>
  <si>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</si>
  <si>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</si>
  <si>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</si>
  <si>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</si>
  <si>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</si>
  <si>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</si>
  <si>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</si>
  <si>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</si>
  <si>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</si>
  <si>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</si>
  <si>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</si>
  <si>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</si>
  <si>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</si>
  <si>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</si>
  <si>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</si>
  <si>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</si>
  <si>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</si>
  <si>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</si>
  <si>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</si>
  <si>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</si>
  <si>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</si>
  <si>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>Metro +BRT +bus</t>
  </si>
  <si>
    <t>Metro+BRT+other</t>
  </si>
  <si>
    <t>metro+bus+other</t>
  </si>
  <si>
    <t>Metro bus +Bus</t>
  </si>
  <si>
    <t>Metrobus +others</t>
  </si>
  <si>
    <t>Metrobus+ bus+other</t>
  </si>
  <si>
    <t>Non BRT bus</t>
  </si>
  <si>
    <t>Metro+BRT+ bus+other</t>
  </si>
  <si>
    <t>Other mode combined (no public transit)</t>
  </si>
  <si>
    <t>BRT+Bus</t>
  </si>
  <si>
    <t>BRT+metro</t>
  </si>
  <si>
    <t>BRT+other</t>
  </si>
  <si>
    <t>Bus+Metro</t>
  </si>
  <si>
    <t>Bus+ other</t>
  </si>
  <si>
    <t>Bus+other Bus (two mode of bus connect)</t>
  </si>
  <si>
    <t>Metro+ other mode of metro</t>
  </si>
  <si>
    <t>Metro+other</t>
  </si>
  <si>
    <t>Other mode combined (no public transit involved)</t>
  </si>
  <si>
    <t>BRT +bus +metro</t>
  </si>
  <si>
    <t>BRT +bus +other</t>
  </si>
  <si>
    <t>BRT + Metro+other</t>
  </si>
  <si>
    <t>Bus+metro+other</t>
  </si>
  <si>
    <t>BRT+bus+metro+other</t>
  </si>
  <si>
    <t>Metro &amp; Light rail</t>
  </si>
  <si>
    <t>x</t>
  </si>
  <si>
    <t>count</t>
  </si>
  <si>
    <t>count2</t>
  </si>
  <si>
    <t>single_label</t>
  </si>
  <si>
    <t>multi_label</t>
  </si>
  <si>
    <t>single_la_17</t>
  </si>
  <si>
    <t>count_2</t>
  </si>
  <si>
    <t>count_1</t>
  </si>
  <si>
    <t>multi_la_17</t>
  </si>
  <si>
    <t>Bus Only</t>
  </si>
  <si>
    <t>High Capacity Only</t>
  </si>
  <si>
    <t>Bus +High Capacity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</si>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</sst>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10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0" fillId="0" borderId="0" xfId="0" applyAlignment="1"/>
    <xf numFmtId="0" fontId="17" fillId="3" borderId="17" xfId="0" applyFont="1" applyFill="1" applyBorder="1" applyAlignment="1">
      <alignment horizontal="left" vertical="center" wrapText="1"/>
    </xf>
    <xf numFmtId="10" fontId="1" fillId="0" borderId="0" xfId="1" applyNumberFormat="1" applyFont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10" fontId="15" fillId="3" borderId="6" xfId="1" applyNumberFormat="1" applyFont="1" applyFill="1" applyBorder="1" applyAlignment="1">
      <alignment horizontal="left" vertical="center"/>
    </xf>
    <xf numFmtId="10" fontId="15" fillId="3" borderId="0" xfId="1" applyNumberFormat="1" applyFont="1" applyFill="1" applyAlignment="1">
      <alignment horizontal="left" vertical="center"/>
    </xf>
    <xf numFmtId="10" fontId="15" fillId="2" borderId="0" xfId="1" applyNumberFormat="1" applyFont="1" applyFill="1" applyAlignment="1">
      <alignment horizontal="left" vertical="center"/>
    </xf>
    <xf numFmtId="10" fontId="15" fillId="3" borderId="1" xfId="1" applyNumberFormat="1" applyFont="1" applyFill="1" applyBorder="1" applyAlignment="1">
      <alignment horizontal="left" vertical="center"/>
    </xf>
    <xf numFmtId="10" fontId="14" fillId="3" borderId="3" xfId="1" applyNumberFormat="1" applyFont="1" applyFill="1" applyBorder="1" applyAlignment="1">
      <alignment horizontal="left" vertical="center"/>
    </xf>
    <xf numFmtId="10" fontId="1" fillId="0" borderId="0" xfId="1" applyNumberFormat="1" applyFont="1" applyAlignment="1">
      <alignment horizontal="left" vertical="center"/>
    </xf>
    <xf numFmtId="0" fontId="7" fillId="0" borderId="0" xfId="0" applyFont="1">
      <alignment vertical="center"/>
    </xf>
    <xf numFmtId="10" fontId="1" fillId="0" borderId="0" xfId="0" applyNumberFormat="1" applyFont="1" applyAlignment="1">
      <alignment horizontal="left" vertical="center"/>
    </xf>
    <xf numFmtId="10" fontId="0" fillId="0" borderId="0" xfId="1" applyNumberFormat="1" applyFont="1" applyAlignment="1"/>
    <xf numFmtId="10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V76"/>
  <sheetViews>
    <sheetView topLeftCell="A35" workbookViewId="0">
      <selection activeCell="C28" sqref="C28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7" width="27.33203125" style="1" customWidth="1"/>
    <col min="8" max="8" width="23.5" style="5" customWidth="1"/>
    <col min="9" max="9" width="44.1640625" style="1" customWidth="1"/>
    <col min="10" max="10" width="43.1640625" style="18" customWidth="1"/>
    <col min="11" max="11" width="17.33203125" style="5" customWidth="1"/>
    <col min="12" max="12" width="36" style="1" customWidth="1"/>
    <col min="13" max="13" width="20" style="18" customWidth="1"/>
    <col min="14" max="15" width="9" style="1"/>
    <col min="21" max="16384" width="9" style="1"/>
  </cols>
  <sheetData>
    <row r="1" spans="1:828" s="6" customFormat="1" ht="26" thickBot="1" x14ac:dyDescent="0.25">
      <c r="A1" s="20" t="s">
        <v>148</v>
      </c>
      <c r="B1" s="13">
        <v>2007</v>
      </c>
      <c r="C1" s="14" t="s">
        <v>151</v>
      </c>
      <c r="D1" s="15" t="s">
        <v>149</v>
      </c>
      <c r="E1" s="13">
        <v>2007</v>
      </c>
      <c r="F1" s="14" t="s">
        <v>152</v>
      </c>
      <c r="G1" s="14" t="s">
        <v>150</v>
      </c>
      <c r="H1" s="13">
        <v>2017</v>
      </c>
      <c r="I1" s="14" t="s">
        <v>153</v>
      </c>
      <c r="J1" s="15" t="s">
        <v>155</v>
      </c>
      <c r="K1" s="13">
        <v>2017</v>
      </c>
      <c r="L1" s="14" t="s">
        <v>156</v>
      </c>
      <c r="M1" s="15" t="s">
        <v>154</v>
      </c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8" customFormat="1" ht="19" x14ac:dyDescent="0.2">
      <c r="A2" s="22" t="s">
        <v>2</v>
      </c>
      <c r="B2" s="39"/>
      <c r="C2" s="40" t="s">
        <v>12</v>
      </c>
      <c r="D2" s="41">
        <v>0</v>
      </c>
      <c r="E2" s="40"/>
      <c r="F2" s="40"/>
      <c r="G2" s="40"/>
      <c r="H2" s="39">
        <f>J2/J74</f>
        <v>0.30326903614412504</v>
      </c>
      <c r="I2" s="40" t="s">
        <v>24</v>
      </c>
      <c r="J2" s="41">
        <v>161216</v>
      </c>
      <c r="K2" s="39"/>
      <c r="L2" s="40"/>
      <c r="M2" s="41"/>
      <c r="N2" s="1"/>
      <c r="O2" s="1"/>
      <c r="P2" s="87"/>
      <c r="Q2" s="87"/>
      <c r="R2" s="87"/>
      <c r="S2" s="87"/>
      <c r="T2" s="8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</row>
    <row r="3" spans="1:828" s="8" customFormat="1" ht="18" x14ac:dyDescent="0.2">
      <c r="A3" s="23"/>
      <c r="B3" s="42"/>
      <c r="C3" s="43"/>
      <c r="D3" s="44"/>
      <c r="E3" s="43"/>
      <c r="F3" s="43"/>
      <c r="G3" s="43"/>
      <c r="H3" s="42"/>
      <c r="I3" s="43"/>
      <c r="J3" s="44"/>
      <c r="K3" s="42"/>
      <c r="L3" s="43"/>
      <c r="M3" s="44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9" thickBot="1" x14ac:dyDescent="0.25">
      <c r="A4" s="24"/>
      <c r="B4" s="45"/>
      <c r="C4" s="46"/>
      <c r="D4" s="47"/>
      <c r="E4" s="46"/>
      <c r="F4" s="46"/>
      <c r="G4" s="46"/>
      <c r="H4" s="45"/>
      <c r="I4" s="46"/>
      <c r="J4" s="47"/>
      <c r="K4" s="45"/>
      <c r="L4" s="46"/>
      <c r="M4" s="47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10" customFormat="1" ht="19" x14ac:dyDescent="0.2">
      <c r="A5" s="25" t="s">
        <v>3</v>
      </c>
      <c r="B5" s="91">
        <f>D5/$D$74</f>
        <v>1.9766095464387023E-2</v>
      </c>
      <c r="C5" s="51" t="s">
        <v>25</v>
      </c>
      <c r="D5" s="50">
        <f>4558+34</f>
        <v>4592</v>
      </c>
      <c r="E5" s="49"/>
      <c r="F5" s="49"/>
      <c r="G5" s="49"/>
      <c r="H5" s="48">
        <f>J5/J74</f>
        <v>2.1973536194915669E-2</v>
      </c>
      <c r="I5" s="49" t="s">
        <v>15</v>
      </c>
      <c r="J5" s="50">
        <f>11541+140</f>
        <v>11681</v>
      </c>
      <c r="K5" s="48"/>
      <c r="L5" s="49"/>
      <c r="M5" s="50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8" x14ac:dyDescent="0.2">
      <c r="A6" s="26"/>
      <c r="B6" s="52"/>
      <c r="C6" s="51"/>
      <c r="D6" s="52"/>
      <c r="E6" s="51"/>
      <c r="F6" s="51"/>
      <c r="G6" s="51"/>
      <c r="H6" s="53"/>
      <c r="I6" s="54"/>
      <c r="J6" s="55"/>
      <c r="K6" s="53"/>
      <c r="L6" s="54"/>
      <c r="M6" s="55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2"/>
      <c r="C7" s="51"/>
      <c r="D7" s="52"/>
      <c r="E7" s="51"/>
      <c r="F7" s="51"/>
      <c r="G7" s="51"/>
      <c r="H7" s="53"/>
      <c r="I7" s="51"/>
      <c r="J7" s="52"/>
      <c r="K7" s="53"/>
      <c r="L7" s="51"/>
      <c r="M7" s="52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2"/>
      <c r="C8" s="51"/>
      <c r="D8" s="52"/>
      <c r="E8" s="51"/>
      <c r="F8" s="51"/>
      <c r="G8" s="5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2"/>
      <c r="C9" s="51"/>
      <c r="D9" s="52"/>
      <c r="E9" s="51"/>
      <c r="F9" s="51"/>
      <c r="G9" s="5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9" thickBot="1" x14ac:dyDescent="0.25">
      <c r="A10" s="26"/>
      <c r="B10" s="52"/>
      <c r="C10" s="51"/>
      <c r="D10" s="52"/>
      <c r="E10" s="51"/>
      <c r="F10" s="51"/>
      <c r="G10" s="5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7" customFormat="1" ht="19" x14ac:dyDescent="0.2">
      <c r="A11" s="22" t="s">
        <v>4</v>
      </c>
      <c r="B11" s="48">
        <f t="shared" ref="B11:B66" si="0">D11/$D$74</f>
        <v>0.28212743794040041</v>
      </c>
      <c r="C11" s="40" t="s">
        <v>26</v>
      </c>
      <c r="D11" s="41">
        <f>65534+9</f>
        <v>65543</v>
      </c>
      <c r="E11" s="40"/>
      <c r="F11" s="40"/>
      <c r="G11" s="40"/>
      <c r="H11" s="39">
        <f>J11/J74</f>
        <v>0.20742333434914614</v>
      </c>
      <c r="I11" s="40" t="s">
        <v>13</v>
      </c>
      <c r="J11" s="41">
        <v>110265</v>
      </c>
      <c r="K11" s="39"/>
      <c r="L11" s="40"/>
      <c r="M11" s="41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8" customFormat="1" ht="18" x14ac:dyDescent="0.2">
      <c r="A12" s="27"/>
      <c r="B12" s="43"/>
      <c r="C12" s="43"/>
      <c r="D12" s="44"/>
      <c r="E12" s="43"/>
      <c r="F12" s="43"/>
      <c r="G12" s="43"/>
      <c r="H12" s="42"/>
      <c r="I12" s="43"/>
      <c r="J12" s="44"/>
      <c r="K12" s="42"/>
      <c r="L12" s="43"/>
      <c r="M12" s="44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3"/>
      <c r="C13" s="43"/>
      <c r="D13" s="44"/>
      <c r="E13" s="43"/>
      <c r="F13" s="43"/>
      <c r="G13" s="43"/>
      <c r="H13" s="42"/>
      <c r="I13" s="56"/>
      <c r="J13" s="57"/>
      <c r="K13" s="42"/>
      <c r="L13" s="56"/>
      <c r="M13" s="57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3"/>
      <c r="C14" s="43"/>
      <c r="D14" s="44"/>
      <c r="E14" s="43"/>
      <c r="F14" s="43"/>
      <c r="G14" s="43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3"/>
      <c r="C15" s="43"/>
      <c r="D15" s="44"/>
      <c r="E15" s="43"/>
      <c r="F15" s="43"/>
      <c r="G15" s="43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3"/>
      <c r="C16" s="43"/>
      <c r="D16" s="44"/>
      <c r="E16" s="43"/>
      <c r="F16" s="43"/>
      <c r="G16" s="43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3"/>
      <c r="C17" s="43"/>
      <c r="D17" s="44"/>
      <c r="E17" s="43"/>
      <c r="F17" s="43"/>
      <c r="G17" s="43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3"/>
      <c r="C18" s="43"/>
      <c r="D18" s="44"/>
      <c r="E18" s="43"/>
      <c r="F18" s="43"/>
      <c r="G18" s="43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9" thickBot="1" x14ac:dyDescent="0.25">
      <c r="A19" s="23"/>
      <c r="B19" s="43"/>
      <c r="C19" s="43"/>
      <c r="D19" s="44"/>
      <c r="E19" s="43"/>
      <c r="F19" s="43"/>
      <c r="G19" s="43"/>
      <c r="H19" s="42"/>
      <c r="I19" s="43"/>
      <c r="J19" s="44"/>
      <c r="K19" s="42"/>
      <c r="L19" s="43"/>
      <c r="M19" s="44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9" customFormat="1" ht="19" x14ac:dyDescent="0.2">
      <c r="A20" s="25" t="s">
        <v>5</v>
      </c>
      <c r="B20" s="92">
        <f t="shared" si="0"/>
        <v>6.1945531321427189E-2</v>
      </c>
      <c r="C20" s="49" t="s">
        <v>27</v>
      </c>
      <c r="D20" s="50">
        <f>14365+26</f>
        <v>14391</v>
      </c>
      <c r="E20" s="49"/>
      <c r="F20" s="49"/>
      <c r="G20" s="49"/>
      <c r="H20" s="48">
        <f>SUM(J20:J23)/J74</f>
        <v>4.9857598091776804E-2</v>
      </c>
      <c r="I20" s="49" t="s">
        <v>17</v>
      </c>
      <c r="J20" s="50">
        <f>2286+170</f>
        <v>2456</v>
      </c>
      <c r="K20" s="48"/>
      <c r="L20" s="49"/>
      <c r="M20" s="50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10" customFormat="1" ht="18" x14ac:dyDescent="0.2">
      <c r="A21" s="26"/>
      <c r="B21" s="51"/>
      <c r="C21" s="51"/>
      <c r="D21" s="52"/>
      <c r="E21" s="51"/>
      <c r="F21" s="51"/>
      <c r="G21" s="51"/>
      <c r="H21" s="53"/>
      <c r="I21" s="51" t="s">
        <v>18</v>
      </c>
      <c r="J21" s="52">
        <f>16624+3325</f>
        <v>19949</v>
      </c>
      <c r="K21" s="53"/>
      <c r="L21" s="51"/>
      <c r="M21" s="52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1"/>
      <c r="C22" s="51"/>
      <c r="D22" s="52"/>
      <c r="E22" s="51"/>
      <c r="F22" s="51"/>
      <c r="G22" s="51"/>
      <c r="H22" s="53"/>
      <c r="I22" s="51" t="s">
        <v>102</v>
      </c>
      <c r="J22" s="52">
        <f>849+159</f>
        <v>1008</v>
      </c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1"/>
      <c r="C23" s="51"/>
      <c r="D23" s="52"/>
      <c r="E23" s="51"/>
      <c r="F23" s="51"/>
      <c r="G23" s="51"/>
      <c r="H23" s="53"/>
      <c r="I23" s="51" t="s">
        <v>103</v>
      </c>
      <c r="J23" s="52">
        <f>2607+484</f>
        <v>3091</v>
      </c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1"/>
      <c r="C24" s="51"/>
      <c r="D24" s="52"/>
      <c r="E24" s="51"/>
      <c r="F24" s="51"/>
      <c r="G24" s="51"/>
      <c r="H24" s="53"/>
      <c r="I24" s="51"/>
      <c r="J24" s="52"/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1"/>
      <c r="C25" s="51"/>
      <c r="D25" s="52"/>
      <c r="E25" s="51"/>
      <c r="F25" s="51"/>
      <c r="G25" s="5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1"/>
      <c r="C26" s="51"/>
      <c r="D26" s="52"/>
      <c r="E26" s="51"/>
      <c r="F26" s="51"/>
      <c r="G26" s="5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1" customFormat="1" ht="19" thickBot="1" x14ac:dyDescent="0.25">
      <c r="A27" s="28"/>
      <c r="B27" s="51"/>
      <c r="C27" s="59"/>
      <c r="D27" s="60"/>
      <c r="E27" s="59"/>
      <c r="F27" s="59"/>
      <c r="G27" s="59"/>
      <c r="H27" s="58"/>
      <c r="I27" s="59"/>
      <c r="J27" s="60"/>
      <c r="K27" s="58"/>
      <c r="L27" s="59"/>
      <c r="M27" s="60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8" customFormat="1" ht="19" x14ac:dyDescent="0.2">
      <c r="A28" s="23" t="s">
        <v>0</v>
      </c>
      <c r="B28" s="93">
        <f t="shared" si="0"/>
        <v>3.839581261810371E-3</v>
      </c>
      <c r="C28" s="43" t="s">
        <v>28</v>
      </c>
      <c r="D28" s="44">
        <f>885+7</f>
        <v>892</v>
      </c>
      <c r="E28" s="43"/>
      <c r="F28" s="43"/>
      <c r="G28" s="43"/>
      <c r="H28" s="61">
        <f>J28/J74</f>
        <v>1.0673559144760852E-2</v>
      </c>
      <c r="I28" s="43" t="s">
        <v>16</v>
      </c>
      <c r="J28" s="44">
        <f>5614+60</f>
        <v>5674</v>
      </c>
      <c r="K28" s="61"/>
      <c r="L28" s="43"/>
      <c r="M28" s="44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8" x14ac:dyDescent="0.2">
      <c r="A29" s="23"/>
      <c r="B29" s="43"/>
      <c r="C29" s="43"/>
      <c r="D29" s="44"/>
      <c r="E29" s="43"/>
      <c r="F29" s="43"/>
      <c r="G29" s="43"/>
      <c r="H29" s="42"/>
      <c r="I29" s="43"/>
      <c r="J29" s="44"/>
      <c r="K29" s="42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3"/>
      <c r="C30" s="43"/>
      <c r="D30" s="44"/>
      <c r="E30" s="43"/>
      <c r="F30" s="43"/>
      <c r="G30" s="43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3"/>
      <c r="C31" s="43"/>
      <c r="D31" s="44"/>
      <c r="E31" s="43"/>
      <c r="F31" s="43"/>
      <c r="G31" s="43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3"/>
      <c r="C32" s="43"/>
      <c r="D32" s="44"/>
      <c r="E32" s="43"/>
      <c r="F32" s="43"/>
      <c r="G32" s="43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9" thickBot="1" x14ac:dyDescent="0.25">
      <c r="A33" s="24"/>
      <c r="B33" s="43"/>
      <c r="C33" s="46"/>
      <c r="D33" s="47"/>
      <c r="E33" s="46"/>
      <c r="F33" s="46"/>
      <c r="G33" s="46"/>
      <c r="H33" s="45"/>
      <c r="I33" s="46"/>
      <c r="J33" s="47"/>
      <c r="K33" s="45"/>
      <c r="L33" s="46"/>
      <c r="M33" s="47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10" customFormat="1" ht="19" x14ac:dyDescent="0.2">
      <c r="A34" s="25" t="s">
        <v>147</v>
      </c>
      <c r="B34" s="94">
        <f t="shared" si="0"/>
        <v>6.1304166290026128E-2</v>
      </c>
      <c r="C34" s="49" t="s">
        <v>118</v>
      </c>
      <c r="D34" s="50">
        <f>draft!D35+draft!D36+draft!D37</f>
        <v>14242</v>
      </c>
      <c r="E34" s="94">
        <f>SUM(G34:G41)/D74</f>
        <v>0.19672258164490761</v>
      </c>
      <c r="F34" s="51" t="s">
        <v>121</v>
      </c>
      <c r="G34" s="52">
        <f>3204+122+2</f>
        <v>3328</v>
      </c>
      <c r="H34" s="48">
        <f>SUM(J34:J38)/J74</f>
        <v>2.4616530660616937E-2</v>
      </c>
      <c r="I34" s="49" t="s">
        <v>14</v>
      </c>
      <c r="J34" s="50">
        <f>1461+11409</f>
        <v>12870</v>
      </c>
      <c r="K34" s="48">
        <f>SUM(M34:M42)/J74</f>
        <v>0.10643649100629428</v>
      </c>
      <c r="L34" s="49" t="s">
        <v>134</v>
      </c>
      <c r="M34" s="50">
        <f>282+1644+27+2</f>
        <v>1955</v>
      </c>
      <c r="N34" s="1"/>
      <c r="O34" s="1"/>
      <c r="P34" s="87"/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8" x14ac:dyDescent="0.2">
      <c r="A35" s="88"/>
      <c r="D35" s="52"/>
      <c r="E35" s="51"/>
      <c r="F35" s="51" t="s">
        <v>111</v>
      </c>
      <c r="G35" s="52">
        <f>296+49+3</f>
        <v>348</v>
      </c>
      <c r="H35" s="70"/>
      <c r="I35" s="51"/>
      <c r="J35" s="52"/>
      <c r="K35" s="70"/>
      <c r="L35" s="51" t="s">
        <v>136</v>
      </c>
      <c r="M35" s="52">
        <f>10105+34296+2885+62</f>
        <v>47348</v>
      </c>
      <c r="N35" s="1"/>
      <c r="O35" s="1"/>
      <c r="P35" s="87"/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18" x14ac:dyDescent="0.2">
      <c r="A36" s="26"/>
      <c r="D36" s="52"/>
      <c r="E36" s="51"/>
      <c r="F36" s="51" t="s">
        <v>113</v>
      </c>
      <c r="G36" s="52">
        <v>1663</v>
      </c>
      <c r="H36" s="53"/>
      <c r="I36" s="51" t="s">
        <v>100</v>
      </c>
      <c r="J36" s="52">
        <f>2+115</f>
        <v>117</v>
      </c>
      <c r="K36" s="53"/>
      <c r="L36" s="51" t="s">
        <v>139</v>
      </c>
      <c r="M36" s="52">
        <f>26+256</f>
        <v>282</v>
      </c>
      <c r="N36" s="1"/>
      <c r="O36" s="1"/>
      <c r="P36" s="87"/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D37" s="52"/>
      <c r="E37" s="51"/>
      <c r="F37" s="51" t="s">
        <v>112</v>
      </c>
      <c r="G37" s="52">
        <v>38029</v>
      </c>
      <c r="H37" s="53"/>
      <c r="I37" s="51" t="s">
        <v>22</v>
      </c>
      <c r="J37" s="52">
        <f>8+49</f>
        <v>57</v>
      </c>
      <c r="K37" s="53"/>
      <c r="L37" s="51"/>
      <c r="M37" s="52"/>
      <c r="N37" s="1"/>
      <c r="O37" s="1"/>
      <c r="P37" s="87"/>
      <c r="Q37" s="87"/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D38" s="52"/>
      <c r="E38" s="51"/>
      <c r="F38" s="10" t="s">
        <v>124</v>
      </c>
      <c r="G38" s="52">
        <v>497</v>
      </c>
      <c r="H38" s="53"/>
      <c r="I38" s="51" t="s">
        <v>101</v>
      </c>
      <c r="J38" s="52">
        <f>2+40</f>
        <v>42</v>
      </c>
      <c r="K38" s="53"/>
      <c r="L38" s="51" t="s">
        <v>140</v>
      </c>
      <c r="M38" s="52">
        <f>781+1398+85+2</f>
        <v>2266</v>
      </c>
      <c r="N38" s="1"/>
      <c r="O38" s="1"/>
      <c r="P38" s="87"/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D39" s="52"/>
      <c r="E39" s="51"/>
      <c r="F39" s="10" t="s">
        <v>125</v>
      </c>
      <c r="G39" s="52">
        <v>30</v>
      </c>
      <c r="H39" s="53"/>
      <c r="I39" s="51"/>
      <c r="J39" s="52"/>
      <c r="K39" s="53"/>
      <c r="L39" s="51" t="s">
        <v>142</v>
      </c>
      <c r="M39" s="52">
        <f>614+1552+83</f>
        <v>2249</v>
      </c>
      <c r="N39" s="1"/>
      <c r="O39" s="1"/>
      <c r="P39" s="87"/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D40" s="52"/>
      <c r="E40" s="51"/>
      <c r="F40" s="51" t="s">
        <v>126</v>
      </c>
      <c r="G40" s="52">
        <v>1793</v>
      </c>
      <c r="H40" s="53"/>
      <c r="I40" s="51"/>
      <c r="J40" s="52"/>
      <c r="K40" s="53"/>
      <c r="L40" s="51" t="s">
        <v>144</v>
      </c>
      <c r="M40" s="52">
        <f>185+202+9</f>
        <v>396</v>
      </c>
      <c r="N40" s="1"/>
      <c r="O40" s="1"/>
      <c r="P40" s="87"/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D41" s="52"/>
      <c r="E41" s="51"/>
      <c r="F41" s="51" t="s">
        <v>131</v>
      </c>
      <c r="G41" s="52">
        <v>14</v>
      </c>
      <c r="H41" s="53"/>
      <c r="I41" s="51"/>
      <c r="J41" s="52"/>
      <c r="K41" s="53"/>
      <c r="L41" s="51" t="s">
        <v>145</v>
      </c>
      <c r="M41" s="52">
        <f>760+1012+156+10</f>
        <v>1938</v>
      </c>
      <c r="N41" s="1"/>
      <c r="O41" s="1"/>
      <c r="P41" s="87"/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D42" s="52"/>
      <c r="E42" s="51"/>
      <c r="F42" s="51"/>
      <c r="G42" s="51"/>
      <c r="H42" s="53"/>
      <c r="I42" s="51"/>
      <c r="J42" s="52"/>
      <c r="K42" s="53"/>
      <c r="L42" s="51" t="s">
        <v>146</v>
      </c>
      <c r="M42" s="52">
        <f>71+68+8</f>
        <v>147</v>
      </c>
      <c r="N42" s="1"/>
      <c r="O42" s="1"/>
      <c r="P42" s="87"/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C43" s="51"/>
      <c r="D43" s="52"/>
      <c r="E43" s="51"/>
      <c r="F43" s="51"/>
      <c r="G43" s="51"/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C44" s="51"/>
      <c r="D44" s="52"/>
      <c r="E44" s="51"/>
      <c r="F44" s="51"/>
      <c r="G44" s="51"/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C45" s="51"/>
      <c r="D45" s="52"/>
      <c r="E45" s="51"/>
      <c r="F45" s="51"/>
      <c r="G45" s="51"/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C46" s="51"/>
      <c r="D46" s="52"/>
      <c r="E46" s="51"/>
      <c r="F46" s="51"/>
      <c r="G46" s="51"/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80" customFormat="1" ht="19" x14ac:dyDescent="0.2">
      <c r="A47" s="78" t="s">
        <v>116</v>
      </c>
      <c r="B47" s="76">
        <f t="shared" si="0"/>
        <v>2.21679859846675E-3</v>
      </c>
      <c r="C47" s="79" t="s">
        <v>117</v>
      </c>
      <c r="D47" s="66">
        <v>515</v>
      </c>
      <c r="E47" s="95">
        <f>SUM(G47:G49)/D74</f>
        <v>4.9501327926927434E-3</v>
      </c>
      <c r="F47" s="90" t="s">
        <v>127</v>
      </c>
      <c r="G47" s="90">
        <f>898+140+14</f>
        <v>1052</v>
      </c>
      <c r="H47" s="65">
        <f>J47/J74</f>
        <v>9.3417156702295355E-3</v>
      </c>
      <c r="I47" s="79" t="s">
        <v>19</v>
      </c>
      <c r="J47" s="66">
        <f>806+4160</f>
        <v>4966</v>
      </c>
      <c r="K47" s="65">
        <f>SUM(M47:M49)/J74</f>
        <v>1.1860555235762632E-2</v>
      </c>
      <c r="L47" s="79" t="s">
        <v>133</v>
      </c>
      <c r="M47" s="66">
        <f>1439+4046+114+2</f>
        <v>5601</v>
      </c>
      <c r="N47" s="81"/>
      <c r="O47" s="1"/>
      <c r="P47" s="1"/>
      <c r="Q47" s="1"/>
      <c r="R47" s="1"/>
      <c r="S47" s="1"/>
      <c r="T47" s="1"/>
      <c r="U47" s="1"/>
      <c r="V47" s="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</row>
    <row r="48" spans="1:828" s="10" customFormat="1" ht="18" x14ac:dyDescent="0.2">
      <c r="A48" s="29"/>
      <c r="D48" s="52"/>
      <c r="E48" s="51"/>
      <c r="F48" s="10" t="s">
        <v>128</v>
      </c>
      <c r="G48" s="52">
        <f>66</f>
        <v>66</v>
      </c>
      <c r="H48" s="53"/>
      <c r="K48" s="53"/>
      <c r="L48" s="51" t="s">
        <v>135</v>
      </c>
      <c r="M48" s="52">
        <f>179+281+2</f>
        <v>462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</row>
    <row r="49" spans="1:828" s="10" customFormat="1" ht="18" x14ac:dyDescent="0.2">
      <c r="A49" s="29"/>
      <c r="D49" s="52"/>
      <c r="E49" s="51"/>
      <c r="F49" s="10" t="s">
        <v>129</v>
      </c>
      <c r="G49" s="52">
        <v>32</v>
      </c>
      <c r="H49" s="53"/>
      <c r="K49" s="53"/>
      <c r="L49" s="51" t="s">
        <v>143</v>
      </c>
      <c r="M49" s="52">
        <f>136+99+7</f>
        <v>242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D50" s="52"/>
      <c r="E50" s="51"/>
      <c r="F50" s="51"/>
      <c r="G50" s="51"/>
      <c r="H50" s="53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D51" s="52"/>
      <c r="E51" s="51"/>
      <c r="F51" s="51"/>
      <c r="G51" s="51"/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D52" s="52"/>
      <c r="E52" s="51"/>
      <c r="F52" s="51"/>
      <c r="G52" s="51"/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D53" s="52"/>
      <c r="E53" s="51"/>
      <c r="F53" s="51"/>
      <c r="G53" s="51"/>
      <c r="H53" s="53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C54" s="51"/>
      <c r="D54" s="52"/>
      <c r="E54" s="51"/>
      <c r="F54" s="51"/>
      <c r="G54" s="51"/>
      <c r="H54" s="53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C55" s="51"/>
      <c r="D55" s="52"/>
      <c r="E55" s="51"/>
      <c r="F55" s="51"/>
      <c r="G55" s="51"/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C56" s="51"/>
      <c r="D56" s="52"/>
      <c r="E56" s="51"/>
      <c r="F56" s="51"/>
      <c r="G56" s="51"/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C57" s="51"/>
      <c r="D57" s="52"/>
      <c r="E57" s="51"/>
      <c r="F57" s="51"/>
      <c r="G57" s="51"/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C58" s="51"/>
      <c r="D58" s="52"/>
      <c r="E58" s="51"/>
      <c r="F58" s="51"/>
      <c r="G58" s="51"/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30"/>
      <c r="C59" s="68"/>
      <c r="D59" s="69"/>
      <c r="E59" s="68"/>
      <c r="F59" s="68"/>
      <c r="G59" s="69"/>
      <c r="H59" s="68"/>
      <c r="I59" s="68"/>
      <c r="J59" s="69"/>
      <c r="K59" s="68"/>
      <c r="L59" s="68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9" x14ac:dyDescent="0.2">
      <c r="A60" s="29" t="s">
        <v>130</v>
      </c>
      <c r="B60" s="76">
        <f>SUM(D60:D62)/D74</f>
        <v>0.33523160164774857</v>
      </c>
      <c r="C60" s="54" t="s">
        <v>122</v>
      </c>
      <c r="D60" s="52">
        <f>827+10</f>
        <v>837</v>
      </c>
      <c r="E60" s="92">
        <f>SUM(G60:G61)/D74</f>
        <v>2.1987198526151767E-2</v>
      </c>
      <c r="F60" s="51" t="s">
        <v>120</v>
      </c>
      <c r="G60" s="52">
        <v>2879</v>
      </c>
      <c r="H60" s="70">
        <f>SUM(J60:J64)/J74</f>
        <v>0.23289013796242997</v>
      </c>
      <c r="I60" s="51" t="s">
        <v>99</v>
      </c>
      <c r="J60" s="52">
        <f>132+699</f>
        <v>831</v>
      </c>
      <c r="K60" s="70">
        <f>SUM(M60:M61)/J74</f>
        <v>1.9475389112743935E-2</v>
      </c>
      <c r="L60" s="51" t="s">
        <v>138</v>
      </c>
      <c r="M60" s="52">
        <f>1393+4394+36</f>
        <v>5823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8" x14ac:dyDescent="0.2">
      <c r="A61" s="29"/>
      <c r="B61" s="76"/>
      <c r="C61" s="51" t="s">
        <v>34</v>
      </c>
      <c r="D61" s="52">
        <f>2058+69</f>
        <v>2127</v>
      </c>
      <c r="E61" s="51"/>
      <c r="F61" s="51" t="s">
        <v>123</v>
      </c>
      <c r="G61" s="52">
        <f>1727+445+53+4</f>
        <v>2229</v>
      </c>
      <c r="H61" s="53"/>
      <c r="I61" s="51" t="s">
        <v>20</v>
      </c>
      <c r="J61" s="52">
        <f>444+1651</f>
        <v>2095</v>
      </c>
      <c r="K61" s="53"/>
      <c r="L61" s="51" t="s">
        <v>137</v>
      </c>
      <c r="M61" s="52">
        <f>1923+2436+168+3</f>
        <v>4530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76"/>
      <c r="C62" s="51" t="s">
        <v>119</v>
      </c>
      <c r="D62" s="52">
        <f>55631+17214+1932+131+8</f>
        <v>74916</v>
      </c>
      <c r="E62" s="51"/>
      <c r="F62" s="51"/>
      <c r="G62" s="51"/>
      <c r="H62" s="53"/>
      <c r="I62" s="51" t="s">
        <v>21</v>
      </c>
      <c r="J62" s="52">
        <f>1443+3469</f>
        <v>4912</v>
      </c>
      <c r="K62" s="53"/>
      <c r="L62" s="51"/>
      <c r="M62" s="5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D63" s="52"/>
      <c r="E63" s="51"/>
      <c r="F63" s="51"/>
      <c r="G63" s="51"/>
      <c r="H63" s="53"/>
      <c r="I63" s="51" t="s">
        <v>23</v>
      </c>
      <c r="J63" s="52">
        <f>36083+77585</f>
        <v>113668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D64" s="52"/>
      <c r="E64" s="51"/>
      <c r="F64" s="51"/>
      <c r="G64" s="51"/>
      <c r="H64" s="53"/>
      <c r="I64" s="51" t="s">
        <v>104</v>
      </c>
      <c r="J64" s="52">
        <f>2128+169</f>
        <v>2297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2" customFormat="1" ht="19" thickBot="1" x14ac:dyDescent="0.25">
      <c r="A65" s="30"/>
      <c r="B65" s="10"/>
      <c r="D65" s="69"/>
      <c r="E65" s="68"/>
      <c r="F65" s="68"/>
      <c r="G65" s="68"/>
      <c r="H65" s="67"/>
      <c r="I65" s="68"/>
      <c r="J65" s="69"/>
      <c r="K65" s="67"/>
      <c r="L65" s="68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0" customFormat="1" ht="19" x14ac:dyDescent="0.2">
      <c r="A66" s="26" t="s">
        <v>1</v>
      </c>
      <c r="B66" s="48">
        <f t="shared" si="0"/>
        <v>9.452601402394142E-3</v>
      </c>
      <c r="C66" s="51" t="s">
        <v>36</v>
      </c>
      <c r="D66" s="52">
        <f>2174+19+3</f>
        <v>2196</v>
      </c>
      <c r="E66" s="92">
        <f>G66/D74</f>
        <v>4.5627310958733111E-4</v>
      </c>
      <c r="F66" s="51" t="s">
        <v>132</v>
      </c>
      <c r="G66" s="52">
        <f>104+2</f>
        <v>106</v>
      </c>
      <c r="H66" s="70">
        <f>SUM(J66:J67)/J74</f>
        <v>1.7268817932482308E-3</v>
      </c>
      <c r="I66" s="51" t="s">
        <v>106</v>
      </c>
      <c r="J66" s="52">
        <f>490+97</f>
        <v>587</v>
      </c>
      <c r="K66" s="70">
        <f>M66/J74</f>
        <v>4.5523463394996934E-4</v>
      </c>
      <c r="L66" s="51" t="s">
        <v>141</v>
      </c>
      <c r="M66" s="52">
        <f>179+61+2</f>
        <v>242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8" x14ac:dyDescent="0.2">
      <c r="A67" s="31"/>
      <c r="B67" s="53"/>
      <c r="D67" s="52"/>
      <c r="E67" s="51"/>
      <c r="F67" s="51"/>
      <c r="G67" s="51"/>
      <c r="H67" s="53"/>
      <c r="I67" s="51" t="s">
        <v>105</v>
      </c>
      <c r="J67" s="52">
        <f>232+99</f>
        <v>331</v>
      </c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C68" s="51"/>
      <c r="D68" s="52"/>
      <c r="E68" s="51"/>
      <c r="F68" s="51"/>
      <c r="G68" s="51"/>
      <c r="H68" s="53"/>
      <c r="I68" s="51"/>
      <c r="J68" s="52"/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51"/>
      <c r="F69" s="51"/>
      <c r="G69" s="51"/>
      <c r="H69" s="53"/>
      <c r="I69" s="51"/>
      <c r="J69" s="52"/>
      <c r="K69" s="53"/>
      <c r="L69" s="51"/>
      <c r="M69" s="52"/>
      <c r="N69" s="1"/>
      <c r="O69" s="1"/>
      <c r="P69"/>
      <c r="Q69"/>
      <c r="R69"/>
      <c r="S69"/>
      <c r="T6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9" thickBot="1" x14ac:dyDescent="0.25">
      <c r="A70" s="32"/>
      <c r="B70" s="58"/>
      <c r="C70" s="59"/>
      <c r="D70" s="60"/>
      <c r="E70" s="59"/>
      <c r="F70" s="59"/>
      <c r="G70" s="59"/>
      <c r="H70" s="58"/>
      <c r="I70" s="59"/>
      <c r="J70" s="60"/>
      <c r="K70" s="58"/>
      <c r="L70" s="59"/>
      <c r="M70" s="60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9" customFormat="1" ht="18" x14ac:dyDescent="0.2">
      <c r="A71" s="33" t="s">
        <v>9</v>
      </c>
      <c r="B71" s="71"/>
      <c r="C71" s="72"/>
      <c r="D71" s="73">
        <f>SUM(D5:D66)</f>
        <v>180251</v>
      </c>
      <c r="E71" s="72"/>
      <c r="F71" s="72"/>
      <c r="G71" s="72">
        <f>SUM(G34:G66)</f>
        <v>52066</v>
      </c>
      <c r="H71" s="71"/>
      <c r="I71" s="72"/>
      <c r="J71" s="73">
        <f>SUM(J2:J67)</f>
        <v>458113</v>
      </c>
      <c r="K71" s="71"/>
      <c r="L71" s="72"/>
      <c r="M71" s="73">
        <f>SUM(M2:M67)</f>
        <v>73481</v>
      </c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ht="16" x14ac:dyDescent="0.2">
      <c r="D72" s="74"/>
      <c r="E72" s="89"/>
      <c r="F72" s="89"/>
      <c r="G72" s="89"/>
      <c r="K72" s="10"/>
      <c r="L72" s="10"/>
      <c r="M72" s="52"/>
    </row>
    <row r="73" spans="1:828" ht="16" x14ac:dyDescent="0.2">
      <c r="K73" s="10"/>
      <c r="L73" s="10"/>
      <c r="M73" s="52"/>
    </row>
    <row r="74" spans="1:828" ht="16" x14ac:dyDescent="0.2">
      <c r="D74" s="18">
        <f>D71+G71</f>
        <v>232317</v>
      </c>
      <c r="J74" s="18">
        <f>J71+M71</f>
        <v>531594</v>
      </c>
      <c r="K74" s="10"/>
      <c r="L74" s="10"/>
      <c r="M74" s="52"/>
    </row>
    <row r="75" spans="1:828" ht="16" x14ac:dyDescent="0.2">
      <c r="D75" s="74">
        <f>D71/D74</f>
        <v>0.7758838139266605</v>
      </c>
      <c r="K75" s="10"/>
      <c r="L75" s="10"/>
      <c r="M75" s="52"/>
    </row>
    <row r="76" spans="1:828" x14ac:dyDescent="0.2">
      <c r="J76" s="74">
        <f>J71/J74</f>
        <v>0.8617723300112492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7E51-94AE-954E-AE89-351E6F7B1711}">
  <dimension ref="A1:AEV76"/>
  <sheetViews>
    <sheetView topLeftCell="A45" workbookViewId="0">
      <selection activeCell="D61" sqref="D61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7" width="27.33203125" style="1" customWidth="1"/>
    <col min="8" max="8" width="23.5" style="5" customWidth="1"/>
    <col min="9" max="9" width="44.1640625" style="1" customWidth="1"/>
    <col min="10" max="10" width="43.1640625" style="18" customWidth="1"/>
    <col min="11" max="11" width="17.33203125" style="5" customWidth="1"/>
    <col min="12" max="12" width="36" style="1" customWidth="1"/>
    <col min="13" max="13" width="20" style="18" customWidth="1"/>
    <col min="14" max="15" width="9" style="1"/>
    <col min="21" max="16384" width="9" style="1"/>
  </cols>
  <sheetData>
    <row r="1" spans="1:828" s="6" customFormat="1" ht="26" thickBot="1" x14ac:dyDescent="0.25">
      <c r="A1" s="20" t="s">
        <v>148</v>
      </c>
      <c r="B1" s="13">
        <v>2007</v>
      </c>
      <c r="C1" s="14" t="s">
        <v>151</v>
      </c>
      <c r="D1" s="15" t="s">
        <v>149</v>
      </c>
      <c r="E1" s="13">
        <v>2007</v>
      </c>
      <c r="F1" s="14" t="s">
        <v>152</v>
      </c>
      <c r="G1" s="14" t="s">
        <v>150</v>
      </c>
      <c r="H1" s="13">
        <v>2017</v>
      </c>
      <c r="I1" s="14" t="s">
        <v>153</v>
      </c>
      <c r="J1" s="15" t="s">
        <v>155</v>
      </c>
      <c r="K1" s="13">
        <v>2017</v>
      </c>
      <c r="L1" s="14" t="s">
        <v>156</v>
      </c>
      <c r="M1" s="15" t="s">
        <v>154</v>
      </c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8" customFormat="1" ht="19" x14ac:dyDescent="0.2">
      <c r="A2" s="22" t="s">
        <v>2</v>
      </c>
      <c r="B2" s="39"/>
      <c r="C2" s="40" t="s">
        <v>12</v>
      </c>
      <c r="D2" s="41">
        <v>0</v>
      </c>
      <c r="E2" s="40"/>
      <c r="F2" s="40"/>
      <c r="G2" s="40"/>
      <c r="H2" s="39">
        <f>J2/J74</f>
        <v>0.43527423335079296</v>
      </c>
      <c r="I2" s="40" t="s">
        <v>24</v>
      </c>
      <c r="J2" s="41">
        <v>161216</v>
      </c>
      <c r="K2" s="39"/>
      <c r="L2" s="40"/>
      <c r="M2" s="41"/>
      <c r="N2" s="1"/>
      <c r="O2" s="1"/>
      <c r="P2" s="87"/>
      <c r="Q2" s="87"/>
      <c r="R2" s="87"/>
      <c r="S2" s="87"/>
      <c r="T2" s="8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</row>
    <row r="3" spans="1:828" s="8" customFormat="1" ht="18" x14ac:dyDescent="0.2">
      <c r="A3" s="23"/>
      <c r="B3" s="42"/>
      <c r="C3" s="43"/>
      <c r="D3" s="44"/>
      <c r="E3" s="43"/>
      <c r="F3" s="43"/>
      <c r="G3" s="43"/>
      <c r="H3" s="42"/>
      <c r="I3" s="43"/>
      <c r="J3" s="44"/>
      <c r="K3" s="42"/>
      <c r="L3" s="43"/>
      <c r="M3" s="44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9" thickBot="1" x14ac:dyDescent="0.25">
      <c r="A4" s="24"/>
      <c r="B4" s="45"/>
      <c r="C4" s="46"/>
      <c r="D4" s="47"/>
      <c r="E4" s="46"/>
      <c r="F4" s="46"/>
      <c r="G4" s="46"/>
      <c r="H4" s="45"/>
      <c r="I4" s="46"/>
      <c r="J4" s="47"/>
      <c r="K4" s="45"/>
      <c r="L4" s="46"/>
      <c r="M4" s="47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10" customFormat="1" ht="19" x14ac:dyDescent="0.2">
      <c r="A5" s="25" t="s">
        <v>3</v>
      </c>
      <c r="B5" s="91">
        <f>D5/$D$74</f>
        <v>1.9766095464387023E-2</v>
      </c>
      <c r="C5" s="51" t="s">
        <v>25</v>
      </c>
      <c r="D5" s="50">
        <f>4558+34</f>
        <v>4592</v>
      </c>
      <c r="E5" s="49"/>
      <c r="F5" s="49"/>
      <c r="G5" s="49"/>
      <c r="H5" s="48">
        <f>J5/J74</f>
        <v>3.1538050316163489E-2</v>
      </c>
      <c r="I5" s="49" t="s">
        <v>15</v>
      </c>
      <c r="J5" s="50">
        <f>11541+140</f>
        <v>11681</v>
      </c>
      <c r="K5" s="48"/>
      <c r="L5" s="49"/>
      <c r="M5" s="50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8" x14ac:dyDescent="0.2">
      <c r="A6" s="26"/>
      <c r="B6" s="52"/>
      <c r="C6" s="51"/>
      <c r="D6" s="52"/>
      <c r="E6" s="51"/>
      <c r="F6" s="51"/>
      <c r="G6" s="51"/>
      <c r="H6" s="53"/>
      <c r="I6" s="54"/>
      <c r="J6" s="55"/>
      <c r="K6" s="53"/>
      <c r="L6" s="54"/>
      <c r="M6" s="55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2"/>
      <c r="C7" s="51"/>
      <c r="D7" s="52"/>
      <c r="E7" s="51"/>
      <c r="F7" s="51"/>
      <c r="G7" s="51"/>
      <c r="H7" s="53"/>
      <c r="I7" s="51"/>
      <c r="J7" s="52"/>
      <c r="K7" s="53"/>
      <c r="L7" s="51"/>
      <c r="M7" s="52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2"/>
      <c r="C8" s="51"/>
      <c r="D8" s="52"/>
      <c r="E8" s="51"/>
      <c r="F8" s="51"/>
      <c r="G8" s="5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2"/>
      <c r="C9" s="51"/>
      <c r="D9" s="52"/>
      <c r="E9" s="51"/>
      <c r="F9" s="51"/>
      <c r="G9" s="5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9" thickBot="1" x14ac:dyDescent="0.25">
      <c r="A10" s="26"/>
      <c r="B10" s="52"/>
      <c r="C10" s="51"/>
      <c r="D10" s="52"/>
      <c r="E10" s="51"/>
      <c r="F10" s="51"/>
      <c r="G10" s="5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7" customFormat="1" ht="19" x14ac:dyDescent="0.2">
      <c r="A11" s="22" t="s">
        <v>4</v>
      </c>
      <c r="B11" s="48">
        <f t="shared" ref="B11:B66" si="0">D11/$D$74</f>
        <v>0.28212743794040041</v>
      </c>
      <c r="C11" s="40" t="s">
        <v>26</v>
      </c>
      <c r="D11" s="41">
        <f>65534+9</f>
        <v>65543</v>
      </c>
      <c r="E11" s="40"/>
      <c r="F11" s="40"/>
      <c r="G11" s="40"/>
      <c r="H11" s="39">
        <f>J11/J74</f>
        <v>0.29770936718703594</v>
      </c>
      <c r="I11" s="40" t="s">
        <v>13</v>
      </c>
      <c r="J11" s="41">
        <v>110265</v>
      </c>
      <c r="K11" s="39"/>
      <c r="L11" s="40"/>
      <c r="M11" s="41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8" customFormat="1" ht="18" x14ac:dyDescent="0.2">
      <c r="A12" s="27"/>
      <c r="B12" s="43"/>
      <c r="C12" s="43"/>
      <c r="D12" s="44"/>
      <c r="E12" s="43"/>
      <c r="F12" s="43"/>
      <c r="G12" s="43"/>
      <c r="H12" s="42"/>
      <c r="I12" s="43"/>
      <c r="J12" s="44"/>
      <c r="K12" s="42"/>
      <c r="L12" s="43"/>
      <c r="M12" s="44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3"/>
      <c r="C13" s="43"/>
      <c r="D13" s="44"/>
      <c r="E13" s="43"/>
      <c r="F13" s="43"/>
      <c r="G13" s="43"/>
      <c r="H13" s="42"/>
      <c r="I13" s="56"/>
      <c r="J13" s="57"/>
      <c r="K13" s="42"/>
      <c r="L13" s="56"/>
      <c r="M13" s="57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3"/>
      <c r="C14" s="43"/>
      <c r="D14" s="44"/>
      <c r="E14" s="43"/>
      <c r="F14" s="43"/>
      <c r="G14" s="43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3"/>
      <c r="C15" s="43"/>
      <c r="D15" s="44"/>
      <c r="E15" s="43"/>
      <c r="F15" s="43"/>
      <c r="G15" s="43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3"/>
      <c r="C16" s="43"/>
      <c r="D16" s="44"/>
      <c r="E16" s="43"/>
      <c r="F16" s="43"/>
      <c r="G16" s="43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3"/>
      <c r="C17" s="43"/>
      <c r="D17" s="44"/>
      <c r="E17" s="43"/>
      <c r="F17" s="43"/>
      <c r="G17" s="43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3"/>
      <c r="C18" s="43"/>
      <c r="D18" s="44"/>
      <c r="E18" s="43"/>
      <c r="F18" s="43"/>
      <c r="G18" s="43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9" thickBot="1" x14ac:dyDescent="0.25">
      <c r="A19" s="23"/>
      <c r="B19" s="43"/>
      <c r="C19" s="43"/>
      <c r="D19" s="44"/>
      <c r="E19" s="43"/>
      <c r="F19" s="43"/>
      <c r="G19" s="43"/>
      <c r="H19" s="42"/>
      <c r="I19" s="43"/>
      <c r="J19" s="44"/>
      <c r="K19" s="42"/>
      <c r="L19" s="43"/>
      <c r="M19" s="44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9" customFormat="1" ht="19" x14ac:dyDescent="0.2">
      <c r="A20" s="25" t="s">
        <v>5</v>
      </c>
      <c r="B20" s="92">
        <f t="shared" si="0"/>
        <v>6.1945531321427189E-2</v>
      </c>
      <c r="C20" s="49" t="s">
        <v>27</v>
      </c>
      <c r="D20" s="50">
        <f>14365+26</f>
        <v>14391</v>
      </c>
      <c r="E20" s="49"/>
      <c r="F20" s="49"/>
      <c r="G20" s="49"/>
      <c r="H20" s="48">
        <f>SUM(J20:J23)/J74</f>
        <v>7.1559325877886909E-2</v>
      </c>
      <c r="I20" s="49" t="s">
        <v>17</v>
      </c>
      <c r="J20" s="50">
        <f>2286+170</f>
        <v>2456</v>
      </c>
      <c r="K20" s="48"/>
      <c r="L20" s="49"/>
      <c r="M20" s="50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10" customFormat="1" ht="18" x14ac:dyDescent="0.2">
      <c r="A21" s="26"/>
      <c r="B21" s="51"/>
      <c r="C21" s="51"/>
      <c r="D21" s="52"/>
      <c r="E21" s="51"/>
      <c r="F21" s="51"/>
      <c r="G21" s="51"/>
      <c r="H21" s="53"/>
      <c r="I21" s="51" t="s">
        <v>18</v>
      </c>
      <c r="J21" s="52">
        <f>16624+3325</f>
        <v>19949</v>
      </c>
      <c r="K21" s="53"/>
      <c r="L21" s="51"/>
      <c r="M21" s="52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1"/>
      <c r="C22" s="51"/>
      <c r="D22" s="52"/>
      <c r="E22" s="51"/>
      <c r="F22" s="51"/>
      <c r="G22" s="51"/>
      <c r="H22" s="53"/>
      <c r="I22" s="51" t="s">
        <v>102</v>
      </c>
      <c r="J22" s="52">
        <f>849+159</f>
        <v>1008</v>
      </c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1"/>
      <c r="C23" s="51"/>
      <c r="D23" s="52"/>
      <c r="E23" s="51"/>
      <c r="F23" s="51"/>
      <c r="G23" s="51"/>
      <c r="H23" s="53"/>
      <c r="I23" s="51" t="s">
        <v>103</v>
      </c>
      <c r="J23" s="52">
        <f>2607+484</f>
        <v>3091</v>
      </c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1"/>
      <c r="C24" s="51"/>
      <c r="D24" s="52"/>
      <c r="E24" s="51"/>
      <c r="F24" s="51"/>
      <c r="G24" s="51"/>
      <c r="H24" s="53"/>
      <c r="I24" s="51"/>
      <c r="J24" s="52"/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1"/>
      <c r="C25" s="51"/>
      <c r="D25" s="52"/>
      <c r="E25" s="51"/>
      <c r="F25" s="51"/>
      <c r="G25" s="5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1"/>
      <c r="C26" s="51"/>
      <c r="D26" s="52"/>
      <c r="E26" s="51"/>
      <c r="F26" s="51"/>
      <c r="G26" s="5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1" customFormat="1" ht="19" thickBot="1" x14ac:dyDescent="0.25">
      <c r="A27" s="28"/>
      <c r="B27" s="51"/>
      <c r="C27" s="59"/>
      <c r="D27" s="60"/>
      <c r="E27" s="59"/>
      <c r="F27" s="59"/>
      <c r="G27" s="59"/>
      <c r="H27" s="58"/>
      <c r="I27" s="59"/>
      <c r="J27" s="60"/>
      <c r="K27" s="58"/>
      <c r="L27" s="59"/>
      <c r="M27" s="60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8" customFormat="1" ht="19" x14ac:dyDescent="0.2">
      <c r="A28" s="23" t="s">
        <v>0</v>
      </c>
      <c r="B28" s="93">
        <f t="shared" si="0"/>
        <v>3.839581261810371E-3</v>
      </c>
      <c r="C28" s="43" t="s">
        <v>28</v>
      </c>
      <c r="D28" s="44">
        <f>885+7</f>
        <v>892</v>
      </c>
      <c r="E28" s="43"/>
      <c r="F28" s="43"/>
      <c r="G28" s="43"/>
      <c r="H28" s="61">
        <f>J28/J74</f>
        <v>1.5319484418620976E-2</v>
      </c>
      <c r="I28" s="43" t="s">
        <v>16</v>
      </c>
      <c r="J28" s="44">
        <f>5614+60</f>
        <v>5674</v>
      </c>
      <c r="K28" s="61"/>
      <c r="L28" s="43"/>
      <c r="M28" s="44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8" x14ac:dyDescent="0.2">
      <c r="A29" s="23"/>
      <c r="B29" s="43"/>
      <c r="C29" s="43"/>
      <c r="D29" s="44"/>
      <c r="E29" s="43"/>
      <c r="F29" s="43"/>
      <c r="G29" s="43"/>
      <c r="H29" s="42"/>
      <c r="I29" s="43"/>
      <c r="J29" s="44"/>
      <c r="K29" s="42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3"/>
      <c r="C30" s="43"/>
      <c r="D30" s="44"/>
      <c r="E30" s="43"/>
      <c r="F30" s="43"/>
      <c r="G30" s="43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3"/>
      <c r="C31" s="43"/>
      <c r="D31" s="44"/>
      <c r="E31" s="43"/>
      <c r="F31" s="43"/>
      <c r="G31" s="43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3"/>
      <c r="C32" s="43"/>
      <c r="D32" s="44"/>
      <c r="E32" s="43"/>
      <c r="F32" s="43"/>
      <c r="G32" s="43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9" thickBot="1" x14ac:dyDescent="0.25">
      <c r="A33" s="24"/>
      <c r="B33" s="43"/>
      <c r="C33" s="46"/>
      <c r="D33" s="47"/>
      <c r="E33" s="46"/>
      <c r="F33" s="46"/>
      <c r="G33" s="46"/>
      <c r="H33" s="45"/>
      <c r="I33" s="46"/>
      <c r="J33" s="47"/>
      <c r="K33" s="45"/>
      <c r="L33" s="46"/>
      <c r="M33" s="47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10" customFormat="1" ht="19" x14ac:dyDescent="0.2">
      <c r="A34" s="25" t="s">
        <v>147</v>
      </c>
      <c r="B34" s="94">
        <f t="shared" si="0"/>
        <v>6.1304166290026128E-2</v>
      </c>
      <c r="C34" s="49" t="s">
        <v>118</v>
      </c>
      <c r="D34" s="50">
        <f>draft!D35+draft!D36+draft!D37</f>
        <v>14242</v>
      </c>
      <c r="E34" s="94">
        <f>SUM(G34:G41)/D74</f>
        <v>0.19672258164490761</v>
      </c>
      <c r="F34" s="51" t="s">
        <v>121</v>
      </c>
      <c r="G34" s="52">
        <f>3204+122+2</f>
        <v>3328</v>
      </c>
      <c r="H34" s="48">
        <f>SUM(J34:J38)/J74</f>
        <v>3.5331472171673262E-2</v>
      </c>
      <c r="I34" s="49" t="s">
        <v>14</v>
      </c>
      <c r="J34" s="50">
        <f>1461+11409</f>
        <v>12870</v>
      </c>
      <c r="K34" s="48">
        <f>SUM(M34:M42)/J74-N36-N34-N38</f>
        <v>0.1406077034813083</v>
      </c>
      <c r="L34" s="49" t="s">
        <v>134</v>
      </c>
      <c r="M34" s="50">
        <f>282+1644+27+2</f>
        <v>1955</v>
      </c>
      <c r="N34" s="96">
        <f>M34/$J$74</f>
        <v>5.2783912651399381E-3</v>
      </c>
      <c r="O34" s="1"/>
      <c r="P34" s="87"/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8" x14ac:dyDescent="0.2">
      <c r="A35" s="88"/>
      <c r="D35" s="52"/>
      <c r="E35" s="51"/>
      <c r="F35" s="51" t="s">
        <v>111</v>
      </c>
      <c r="G35" s="52">
        <f>296+49+3</f>
        <v>348</v>
      </c>
      <c r="H35" s="70"/>
      <c r="I35" s="51"/>
      <c r="J35" s="52"/>
      <c r="K35" s="70"/>
      <c r="L35" s="51" t="s">
        <v>136</v>
      </c>
      <c r="M35" s="52">
        <f>10105+34296+2885+62</f>
        <v>47348</v>
      </c>
      <c r="N35" s="96">
        <f t="shared" ref="N35:N49" si="1">M35/$J$74</f>
        <v>0.12783696655848889</v>
      </c>
      <c r="O35" s="1"/>
      <c r="P35" s="87"/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18" x14ac:dyDescent="0.2">
      <c r="A36" s="26"/>
      <c r="D36" s="52"/>
      <c r="E36" s="51"/>
      <c r="F36" s="51" t="s">
        <v>113</v>
      </c>
      <c r="G36" s="52">
        <v>1663</v>
      </c>
      <c r="H36" s="53"/>
      <c r="I36" s="51" t="s">
        <v>100</v>
      </c>
      <c r="J36" s="52">
        <f>2+115</f>
        <v>117</v>
      </c>
      <c r="K36" s="53"/>
      <c r="L36" s="51" t="s">
        <v>139</v>
      </c>
      <c r="M36" s="52">
        <f>26+256</f>
        <v>282</v>
      </c>
      <c r="N36" s="96">
        <f t="shared" si="1"/>
        <v>7.6138431548310106E-4</v>
      </c>
      <c r="O36" s="1"/>
      <c r="P36" s="87"/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D37" s="52"/>
      <c r="E37" s="51"/>
      <c r="F37" s="51" t="s">
        <v>112</v>
      </c>
      <c r="G37" s="52">
        <v>38029</v>
      </c>
      <c r="H37" s="53"/>
      <c r="I37" s="51" t="s">
        <v>22</v>
      </c>
      <c r="J37" s="52">
        <f>8+49</f>
        <v>57</v>
      </c>
      <c r="K37" s="53"/>
      <c r="L37" s="51"/>
      <c r="M37" s="52"/>
      <c r="N37" s="96">
        <f t="shared" si="1"/>
        <v>0</v>
      </c>
      <c r="O37" s="1"/>
      <c r="P37" s="87"/>
      <c r="Q37" s="87"/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D38" s="52"/>
      <c r="E38" s="51"/>
      <c r="F38" s="10" t="s">
        <v>124</v>
      </c>
      <c r="G38" s="52">
        <v>497</v>
      </c>
      <c r="H38" s="53"/>
      <c r="I38" s="51" t="s">
        <v>101</v>
      </c>
      <c r="J38" s="52">
        <f>2+40</f>
        <v>42</v>
      </c>
      <c r="K38" s="53"/>
      <c r="L38" s="51" t="s">
        <v>140</v>
      </c>
      <c r="M38" s="52">
        <f>781+1398+85+2</f>
        <v>2266</v>
      </c>
      <c r="N38" s="96">
        <f t="shared" si="1"/>
        <v>6.1180739676762663E-3</v>
      </c>
      <c r="O38" s="1"/>
      <c r="P38" s="87"/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D39" s="52"/>
      <c r="E39" s="51"/>
      <c r="F39" s="10" t="s">
        <v>125</v>
      </c>
      <c r="G39" s="52">
        <v>30</v>
      </c>
      <c r="H39" s="53"/>
      <c r="I39" s="51"/>
      <c r="J39" s="52"/>
      <c r="K39" s="53"/>
      <c r="L39" s="51" t="s">
        <v>142</v>
      </c>
      <c r="M39" s="52">
        <f>614+1552+83</f>
        <v>2249</v>
      </c>
      <c r="N39" s="96">
        <f t="shared" si="1"/>
        <v>6.0721749131967878E-3</v>
      </c>
      <c r="O39" s="1"/>
      <c r="P39" s="87"/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D40" s="52"/>
      <c r="E40" s="51"/>
      <c r="F40" s="51" t="s">
        <v>126</v>
      </c>
      <c r="G40" s="52">
        <v>1793</v>
      </c>
      <c r="H40" s="53"/>
      <c r="I40" s="51"/>
      <c r="J40" s="52"/>
      <c r="K40" s="53"/>
      <c r="L40" s="51" t="s">
        <v>144</v>
      </c>
      <c r="M40" s="52">
        <f>185+202+9</f>
        <v>396</v>
      </c>
      <c r="N40" s="96">
        <f t="shared" si="1"/>
        <v>1.0691779749337164E-3</v>
      </c>
      <c r="O40" s="1"/>
      <c r="P40" s="87"/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D41" s="52"/>
      <c r="E41" s="51"/>
      <c r="F41" s="51" t="s">
        <v>131</v>
      </c>
      <c r="G41" s="52">
        <v>14</v>
      </c>
      <c r="H41" s="53"/>
      <c r="I41" s="51"/>
      <c r="J41" s="52"/>
      <c r="K41" s="53"/>
      <c r="L41" s="51" t="s">
        <v>145</v>
      </c>
      <c r="M41" s="52">
        <f>760+1012+156+10</f>
        <v>1938</v>
      </c>
      <c r="N41" s="96">
        <f t="shared" si="1"/>
        <v>5.2324922106604605E-3</v>
      </c>
      <c r="O41" s="1"/>
      <c r="P41" s="87"/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D42" s="52"/>
      <c r="E42" s="51"/>
      <c r="F42" s="51"/>
      <c r="G42" s="51"/>
      <c r="H42" s="53"/>
      <c r="I42" s="51"/>
      <c r="J42" s="52"/>
      <c r="K42" s="53"/>
      <c r="L42" s="51" t="s">
        <v>146</v>
      </c>
      <c r="M42" s="52">
        <f>71+68+8</f>
        <v>147</v>
      </c>
      <c r="N42" s="96">
        <f t="shared" si="1"/>
        <v>3.96891824028425E-4</v>
      </c>
      <c r="O42" s="1"/>
      <c r="P42" s="87"/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C43" s="51"/>
      <c r="D43" s="52"/>
      <c r="E43" s="51"/>
      <c r="F43" s="51"/>
      <c r="G43" s="51"/>
      <c r="H43" s="53"/>
      <c r="I43" s="51"/>
      <c r="J43" s="52"/>
      <c r="K43" s="53"/>
      <c r="L43" s="51"/>
      <c r="M43" s="52"/>
      <c r="N43" s="96">
        <f t="shared" si="1"/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C44" s="51"/>
      <c r="D44" s="52"/>
      <c r="E44" s="51"/>
      <c r="F44" s="51"/>
      <c r="G44" s="51"/>
      <c r="H44" s="53"/>
      <c r="I44" s="51"/>
      <c r="J44" s="52"/>
      <c r="K44" s="53"/>
      <c r="L44" s="51"/>
      <c r="M44" s="52"/>
      <c r="N44" s="96">
        <f t="shared" si="1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C45" s="51"/>
      <c r="D45" s="52"/>
      <c r="E45" s="51"/>
      <c r="F45" s="51"/>
      <c r="G45" s="51"/>
      <c r="H45" s="53"/>
      <c r="I45" s="51"/>
      <c r="J45" s="52"/>
      <c r="K45" s="53"/>
      <c r="L45" s="51"/>
      <c r="M45" s="52"/>
      <c r="N45" s="96">
        <f t="shared" si="1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C46" s="51"/>
      <c r="D46" s="52"/>
      <c r="E46" s="51"/>
      <c r="F46" s="51"/>
      <c r="G46" s="51"/>
      <c r="H46" s="53"/>
      <c r="I46" s="51"/>
      <c r="J46" s="52"/>
      <c r="K46" s="53"/>
      <c r="L46" s="51"/>
      <c r="M46" s="52"/>
      <c r="N46" s="96">
        <f t="shared" si="1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80" customFormat="1" ht="19" x14ac:dyDescent="0.2">
      <c r="A47" s="78" t="s">
        <v>116</v>
      </c>
      <c r="B47" s="76">
        <f t="shared" si="0"/>
        <v>2.21679859846675E-3</v>
      </c>
      <c r="C47" s="79" t="s">
        <v>117</v>
      </c>
      <c r="D47" s="66">
        <v>515</v>
      </c>
      <c r="E47" s="95">
        <f>SUM(G47:G49)/D74</f>
        <v>4.9501327926927434E-3</v>
      </c>
      <c r="F47" s="90" t="s">
        <v>127</v>
      </c>
      <c r="G47" s="90">
        <f>898+140+14</f>
        <v>1052</v>
      </c>
      <c r="H47" s="65">
        <f>J47/J74</f>
        <v>1.3407923796769786E-2</v>
      </c>
      <c r="I47" s="79" t="s">
        <v>19</v>
      </c>
      <c r="J47" s="66">
        <f>806+4160</f>
        <v>4966</v>
      </c>
      <c r="K47" s="65">
        <f>SUM(M47:M49)/J74-N48</f>
        <v>1.5775775019034606E-2</v>
      </c>
      <c r="L47" s="79" t="s">
        <v>133</v>
      </c>
      <c r="M47" s="66">
        <f>1439+4046+114+2</f>
        <v>5601</v>
      </c>
      <c r="N47" s="96">
        <f t="shared" si="1"/>
        <v>1.5122388478797337E-2</v>
      </c>
      <c r="O47" s="1"/>
      <c r="P47" s="1"/>
      <c r="Q47" s="1"/>
      <c r="R47" s="1"/>
      <c r="S47" s="1"/>
      <c r="T47" s="1"/>
      <c r="U47" s="1"/>
      <c r="V47" s="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</row>
    <row r="48" spans="1:828" s="10" customFormat="1" ht="18" x14ac:dyDescent="0.2">
      <c r="A48" s="29"/>
      <c r="D48" s="52"/>
      <c r="E48" s="51"/>
      <c r="F48" s="10" t="s">
        <v>128</v>
      </c>
      <c r="G48" s="52">
        <f>66</f>
        <v>66</v>
      </c>
      <c r="H48" s="53"/>
      <c r="K48" s="53"/>
      <c r="L48" s="51" t="s">
        <v>135</v>
      </c>
      <c r="M48" s="52">
        <f>179+281+2</f>
        <v>462</v>
      </c>
      <c r="N48" s="96">
        <f t="shared" si="1"/>
        <v>1.2473743040893358E-3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</row>
    <row r="49" spans="1:828" s="10" customFormat="1" ht="18" x14ac:dyDescent="0.2">
      <c r="A49" s="29"/>
      <c r="D49" s="52"/>
      <c r="E49" s="51"/>
      <c r="F49" s="10" t="s">
        <v>129</v>
      </c>
      <c r="G49" s="52">
        <v>32</v>
      </c>
      <c r="H49" s="53"/>
      <c r="K49" s="53"/>
      <c r="L49" s="51" t="s">
        <v>143</v>
      </c>
      <c r="M49" s="52">
        <f>136+99+7</f>
        <v>242</v>
      </c>
      <c r="N49" s="96">
        <f t="shared" si="1"/>
        <v>6.5338654023727109E-4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D50" s="52"/>
      <c r="E50" s="51"/>
      <c r="F50" s="51"/>
      <c r="G50" s="51"/>
      <c r="H50" s="53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D51" s="52"/>
      <c r="E51" s="51"/>
      <c r="F51" s="51"/>
      <c r="G51" s="51"/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D52" s="52"/>
      <c r="E52" s="51"/>
      <c r="F52" s="51"/>
      <c r="G52" s="51"/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D53" s="52"/>
      <c r="E53" s="51"/>
      <c r="F53" s="51"/>
      <c r="G53" s="51"/>
      <c r="H53" s="53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C54" s="51"/>
      <c r="D54" s="52"/>
      <c r="E54" s="51"/>
      <c r="F54" s="51"/>
      <c r="G54" s="51"/>
      <c r="H54" s="53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C55" s="51"/>
      <c r="D55" s="52"/>
      <c r="E55" s="51"/>
      <c r="F55" s="51"/>
      <c r="G55" s="51"/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C56" s="51"/>
      <c r="D56" s="52"/>
      <c r="E56" s="51"/>
      <c r="F56" s="51"/>
      <c r="G56" s="51"/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C57" s="51"/>
      <c r="D57" s="52"/>
      <c r="E57" s="51"/>
      <c r="F57" s="51"/>
      <c r="G57" s="51"/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C58" s="51"/>
      <c r="D58" s="52"/>
      <c r="E58" s="51"/>
      <c r="F58" s="51"/>
      <c r="G58" s="51"/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30"/>
      <c r="C59" s="68"/>
      <c r="D59" s="69"/>
      <c r="E59" s="68"/>
      <c r="F59" s="68"/>
      <c r="G59" s="69"/>
      <c r="H59" s="68"/>
      <c r="I59" s="68"/>
      <c r="J59" s="69"/>
      <c r="K59" s="68"/>
      <c r="L59" s="68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9" x14ac:dyDescent="0.2">
      <c r="A60" s="29" t="s">
        <v>130</v>
      </c>
      <c r="B60" s="76">
        <f>SUM(D60:D62)/D74</f>
        <v>0.33523160164774857</v>
      </c>
      <c r="C60" s="54" t="s">
        <v>122</v>
      </c>
      <c r="D60" s="52">
        <f>827+10</f>
        <v>837</v>
      </c>
      <c r="E60" s="92">
        <f>SUM(G60:G61)/D74</f>
        <v>2.1987198526151767E-2</v>
      </c>
      <c r="F60" s="51" t="s">
        <v>120</v>
      </c>
      <c r="G60" s="52">
        <v>2879</v>
      </c>
      <c r="H60" s="70">
        <f>SUM(J60:J64)/J74</f>
        <v>0.33426121421898708</v>
      </c>
      <c r="I60" s="51" t="s">
        <v>99</v>
      </c>
      <c r="J60" s="52">
        <f>132+699</f>
        <v>831</v>
      </c>
      <c r="K60" s="70">
        <f>SUM(M60:M61)/J74</f>
        <v>2.7952524178001932E-2</v>
      </c>
      <c r="L60" s="51" t="s">
        <v>138</v>
      </c>
      <c r="M60" s="52">
        <f>1393+4394+36</f>
        <v>5823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8" x14ac:dyDescent="0.2">
      <c r="A61" s="29"/>
      <c r="B61" s="76"/>
      <c r="C61" s="51" t="s">
        <v>34</v>
      </c>
      <c r="D61" s="52">
        <f>2058+69</f>
        <v>2127</v>
      </c>
      <c r="E61" s="51"/>
      <c r="F61" s="51" t="s">
        <v>123</v>
      </c>
      <c r="G61" s="52">
        <f>1727+445+53+4</f>
        <v>2229</v>
      </c>
      <c r="H61" s="53"/>
      <c r="I61" s="51" t="s">
        <v>20</v>
      </c>
      <c r="J61" s="52">
        <f>444+1651</f>
        <v>2095</v>
      </c>
      <c r="K61" s="53"/>
      <c r="L61" s="51" t="s">
        <v>137</v>
      </c>
      <c r="M61" s="52">
        <f>1923+2436+168+3</f>
        <v>4530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76"/>
      <c r="C62" s="51" t="s">
        <v>119</v>
      </c>
      <c r="D62" s="52">
        <f>55631+17214+1932+131+8</f>
        <v>74916</v>
      </c>
      <c r="E62" s="51"/>
      <c r="F62" s="51"/>
      <c r="G62" s="51"/>
      <c r="H62" s="53"/>
      <c r="I62" s="51" t="s">
        <v>21</v>
      </c>
      <c r="J62" s="52">
        <f>1443+3469</f>
        <v>4912</v>
      </c>
      <c r="K62" s="53"/>
      <c r="L62" s="51"/>
      <c r="M62" s="5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D63" s="52"/>
      <c r="E63" s="51"/>
      <c r="F63" s="51"/>
      <c r="G63" s="51"/>
      <c r="H63" s="53"/>
      <c r="I63" s="51" t="s">
        <v>23</v>
      </c>
      <c r="J63" s="52">
        <f>36083+77585</f>
        <v>113668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D64" s="52"/>
      <c r="E64" s="51"/>
      <c r="F64" s="51"/>
      <c r="G64" s="51"/>
      <c r="H64" s="53"/>
      <c r="I64" s="51" t="s">
        <v>104</v>
      </c>
      <c r="J64" s="52">
        <f>2128+169</f>
        <v>2297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2" customFormat="1" ht="19" thickBot="1" x14ac:dyDescent="0.25">
      <c r="A65" s="30"/>
      <c r="B65" s="10"/>
      <c r="D65" s="69"/>
      <c r="E65" s="68"/>
      <c r="F65" s="68"/>
      <c r="G65" s="68"/>
      <c r="H65" s="67"/>
      <c r="I65" s="68"/>
      <c r="J65" s="69"/>
      <c r="K65" s="67"/>
      <c r="L65" s="68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0" customFormat="1" ht="19" x14ac:dyDescent="0.2">
      <c r="A66" s="26" t="s">
        <v>1</v>
      </c>
      <c r="B66" s="48">
        <f t="shared" si="0"/>
        <v>9.452601402394142E-3</v>
      </c>
      <c r="C66" s="51" t="s">
        <v>36</v>
      </c>
      <c r="D66" s="52">
        <f>2174+19+3</f>
        <v>2196</v>
      </c>
      <c r="E66" s="92">
        <f>G66/D74</f>
        <v>4.5627310958733111E-4</v>
      </c>
      <c r="F66" s="51" t="s">
        <v>132</v>
      </c>
      <c r="G66" s="52">
        <f>104+2</f>
        <v>106</v>
      </c>
      <c r="H66" s="70">
        <f>SUM(J66:J67)/J74</f>
        <v>2.4785489418917969E-3</v>
      </c>
      <c r="I66" s="51" t="s">
        <v>106</v>
      </c>
      <c r="J66" s="52">
        <f>490+97</f>
        <v>587</v>
      </c>
      <c r="K66" s="70">
        <f>M66/J74</f>
        <v>6.5338654023727109E-4</v>
      </c>
      <c r="L66" s="51" t="s">
        <v>141</v>
      </c>
      <c r="M66" s="52">
        <f>179+61+2</f>
        <v>242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8" x14ac:dyDescent="0.2">
      <c r="A67" s="31"/>
      <c r="B67" s="53"/>
      <c r="D67" s="52"/>
      <c r="E67" s="51"/>
      <c r="F67" s="51"/>
      <c r="G67" s="51"/>
      <c r="H67" s="53"/>
      <c r="I67" s="51" t="s">
        <v>105</v>
      </c>
      <c r="J67" s="52">
        <f>232+99</f>
        <v>331</v>
      </c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C68" s="51"/>
      <c r="D68" s="52"/>
      <c r="E68" s="51"/>
      <c r="F68" s="51"/>
      <c r="G68" s="51"/>
      <c r="H68" s="53"/>
      <c r="I68" s="51"/>
      <c r="J68" s="52"/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51"/>
      <c r="F69" s="51"/>
      <c r="G69" s="51"/>
      <c r="H69" s="53"/>
      <c r="I69" s="51"/>
      <c r="J69" s="52"/>
      <c r="K69" s="53"/>
      <c r="L69" s="51"/>
      <c r="M69" s="52"/>
      <c r="N69" s="1"/>
      <c r="O69" s="1"/>
      <c r="P69"/>
      <c r="Q69"/>
      <c r="R69"/>
      <c r="S69"/>
      <c r="T6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9" thickBot="1" x14ac:dyDescent="0.25">
      <c r="A70" s="32"/>
      <c r="B70" s="58"/>
      <c r="C70" s="59"/>
      <c r="D70" s="60"/>
      <c r="E70" s="59"/>
      <c r="F70" s="59"/>
      <c r="G70" s="59"/>
      <c r="H70" s="58"/>
      <c r="I70" s="59"/>
      <c r="J70" s="60"/>
      <c r="K70" s="58"/>
      <c r="L70" s="59"/>
      <c r="M70" s="60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9" customFormat="1" ht="18" x14ac:dyDescent="0.2">
      <c r="A71" s="33" t="s">
        <v>9</v>
      </c>
      <c r="B71" s="71"/>
      <c r="C71" s="72"/>
      <c r="D71" s="73">
        <f>SUM(D5:D66)</f>
        <v>180251</v>
      </c>
      <c r="E71" s="72"/>
      <c r="F71" s="72"/>
      <c r="G71" s="72">
        <f>SUM(G34:G66)</f>
        <v>52066</v>
      </c>
      <c r="H71" s="71"/>
      <c r="I71" s="72"/>
      <c r="J71" s="73">
        <f>SUM(J2:J67)</f>
        <v>458113</v>
      </c>
      <c r="K71" s="71"/>
      <c r="L71" s="72"/>
      <c r="M71" s="73">
        <f>SUM(M2:M67)</f>
        <v>73481</v>
      </c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ht="16" x14ac:dyDescent="0.2">
      <c r="D72" s="74"/>
      <c r="E72" s="89"/>
      <c r="F72" s="89"/>
      <c r="G72" s="89"/>
      <c r="K72" s="10"/>
      <c r="L72" s="10"/>
      <c r="M72" s="52"/>
    </row>
    <row r="73" spans="1:828" ht="16" x14ac:dyDescent="0.2">
      <c r="K73" s="10"/>
      <c r="L73" s="10"/>
      <c r="M73" s="52"/>
    </row>
    <row r="74" spans="1:828" ht="16" x14ac:dyDescent="0.2">
      <c r="D74" s="18">
        <f>D71+G71</f>
        <v>232317</v>
      </c>
      <c r="J74" s="18">
        <f>J71+M71-J2</f>
        <v>370378</v>
      </c>
      <c r="K74" s="10"/>
      <c r="L74" s="10"/>
      <c r="M74" s="52"/>
    </row>
    <row r="75" spans="1:828" ht="16" x14ac:dyDescent="0.2">
      <c r="D75" s="74">
        <f>D71/D74</f>
        <v>0.7758838139266605</v>
      </c>
      <c r="K75" s="10"/>
      <c r="L75" s="10"/>
      <c r="M75" s="52"/>
    </row>
    <row r="76" spans="1:828" x14ac:dyDescent="0.2">
      <c r="J76" s="74">
        <f>J71/J74</f>
        <v>1.2368796202798222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101"/>
  <sheetViews>
    <sheetView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88" sqref="D88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1.8362711539076745E-2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0.26209651620333346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5.754742634121373E-2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3.5669727118589848E-3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5.695159793979334E-2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5732+438+5</f>
        <v>6175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0.30520810006718063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8.7054928180683964E-3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0.7124388176205253</v>
      </c>
      <c r="C88" s="72"/>
      <c r="D88" s="73">
        <f>SUM(D3:D81)</f>
        <v>178161</v>
      </c>
      <c r="E88" s="75">
        <f>G88/D92</f>
        <v>0.2179652260149077</v>
      </c>
      <c r="G88" s="73">
        <v>54507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0.7124388176205253</v>
      </c>
      <c r="E89" s="76">
        <f>G89/$D$92</f>
        <v>6.3273777152180175E-2</v>
      </c>
      <c r="F89" s="10" t="s">
        <v>93</v>
      </c>
      <c r="G89" s="10">
        <v>15823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5.9822771041939922E-3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3.3190441152947949E-4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250072</v>
      </c>
      <c r="E92" s="77">
        <f t="shared" si="0"/>
        <v>7.9976966633609529E-6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  <row r="101" spans="2:4" x14ac:dyDescent="0.2">
      <c r="B101" s="5">
        <v>54507</v>
      </c>
      <c r="C101" s="1">
        <v>160406</v>
      </c>
      <c r="D101" s="18">
        <v>15823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4D51-B6D3-8F4C-BF41-09C2D5BD7196}">
  <dimension ref="A1:AEV76"/>
  <sheetViews>
    <sheetView tabSelected="1" topLeftCell="D28" zoomScale="120" zoomScaleNormal="120" workbookViewId="0">
      <selection activeCell="J74" sqref="J74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6" width="27.33203125" style="1" customWidth="1"/>
    <col min="7" max="7" width="27" style="1" customWidth="1"/>
    <col min="8" max="8" width="15.6640625" style="5" customWidth="1"/>
    <col min="9" max="9" width="30.1640625" style="1" customWidth="1"/>
    <col min="10" max="10" width="15.5" style="18" customWidth="1"/>
    <col min="11" max="11" width="26.83203125" style="5" customWidth="1"/>
    <col min="12" max="12" width="37.6640625" style="1" customWidth="1"/>
    <col min="13" max="13" width="15.5" style="18" customWidth="1"/>
    <col min="14" max="14" width="13" style="1" customWidth="1"/>
    <col min="15" max="15" width="12.1640625" style="1" customWidth="1"/>
    <col min="21" max="16384" width="9" style="1"/>
  </cols>
  <sheetData>
    <row r="1" spans="1:828" s="6" customFormat="1" ht="26" thickBot="1" x14ac:dyDescent="0.25">
      <c r="A1" s="20" t="s">
        <v>148</v>
      </c>
      <c r="B1" s="13">
        <v>2007</v>
      </c>
      <c r="C1" s="14" t="s">
        <v>151</v>
      </c>
      <c r="D1" s="15" t="s">
        <v>149</v>
      </c>
      <c r="E1" s="13">
        <v>2007</v>
      </c>
      <c r="F1" s="14" t="s">
        <v>152</v>
      </c>
      <c r="G1" s="14" t="s">
        <v>150</v>
      </c>
      <c r="H1" s="13">
        <v>2017</v>
      </c>
      <c r="I1" s="14" t="s">
        <v>153</v>
      </c>
      <c r="J1" s="15" t="s">
        <v>155</v>
      </c>
      <c r="K1" s="13">
        <v>2017</v>
      </c>
      <c r="L1" s="14" t="s">
        <v>156</v>
      </c>
      <c r="M1" s="15" t="s">
        <v>154</v>
      </c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8" customFormat="1" ht="19" x14ac:dyDescent="0.2">
      <c r="A2" s="22" t="s">
        <v>2</v>
      </c>
      <c r="B2" s="39"/>
      <c r="C2" s="40" t="s">
        <v>12</v>
      </c>
      <c r="D2" s="41">
        <v>0</v>
      </c>
      <c r="E2" s="40"/>
      <c r="F2" s="40"/>
      <c r="G2" s="40"/>
      <c r="H2" s="39">
        <f>J2/J74</f>
        <v>0.42301111618638326</v>
      </c>
      <c r="I2" s="40" t="s">
        <v>24</v>
      </c>
      <c r="J2" s="44">
        <v>11150966</v>
      </c>
      <c r="K2" s="39"/>
      <c r="L2" s="40"/>
      <c r="M2" s="41"/>
      <c r="N2" s="1"/>
      <c r="O2" s="1"/>
      <c r="P2" s="87"/>
      <c r="Q2" s="87"/>
      <c r="R2" s="87"/>
      <c r="S2" s="87"/>
      <c r="T2" s="8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</row>
    <row r="3" spans="1:828" s="8" customFormat="1" ht="18" x14ac:dyDescent="0.2">
      <c r="A3" s="23"/>
      <c r="B3" s="42"/>
      <c r="C3" s="43"/>
      <c r="D3" s="44"/>
      <c r="E3" s="43"/>
      <c r="F3" s="43"/>
      <c r="G3" s="43"/>
      <c r="H3" s="42"/>
      <c r="I3" s="43"/>
      <c r="J3" s="44"/>
      <c r="K3" s="42"/>
      <c r="L3" s="43"/>
      <c r="M3" s="44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9" thickBot="1" x14ac:dyDescent="0.25">
      <c r="A4" s="24"/>
      <c r="B4" s="45"/>
      <c r="C4" s="46"/>
      <c r="D4" s="47"/>
      <c r="E4" s="46"/>
      <c r="F4" s="46"/>
      <c r="G4" s="46"/>
      <c r="H4" s="45"/>
      <c r="I4" s="46"/>
      <c r="J4" s="47"/>
      <c r="K4" s="45"/>
      <c r="L4" s="46"/>
      <c r="M4" s="47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10" customFormat="1" ht="19" x14ac:dyDescent="0.2">
      <c r="A5" s="25" t="s">
        <v>3</v>
      </c>
      <c r="B5" s="91">
        <f>D5/$D$74</f>
        <v>1.9767600277250455E-2</v>
      </c>
      <c r="C5" s="51" t="s">
        <v>25</v>
      </c>
      <c r="D5" s="50">
        <v>433981</v>
      </c>
      <c r="E5" s="49"/>
      <c r="F5" s="49"/>
      <c r="G5" s="49"/>
      <c r="H5" s="48">
        <f>J5/J74</f>
        <v>2.6568562890936051E-2</v>
      </c>
      <c r="I5" s="49" t="s">
        <v>15</v>
      </c>
      <c r="J5" s="50">
        <v>700372</v>
      </c>
      <c r="K5" s="48"/>
      <c r="L5" s="49"/>
      <c r="M5" s="50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8" x14ac:dyDescent="0.2">
      <c r="A6" s="26"/>
      <c r="B6" s="52"/>
      <c r="C6" s="51"/>
      <c r="D6" s="52"/>
      <c r="E6" s="51"/>
      <c r="F6" s="51"/>
      <c r="G6" s="51"/>
      <c r="H6" s="53"/>
      <c r="I6" s="54"/>
      <c r="J6" s="55"/>
      <c r="K6" s="53"/>
      <c r="L6" s="54"/>
      <c r="M6" s="55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2"/>
      <c r="C7" s="51"/>
      <c r="D7" s="52"/>
      <c r="E7" s="51"/>
      <c r="F7" s="51"/>
      <c r="G7" s="51"/>
      <c r="H7" s="53"/>
      <c r="I7" s="51"/>
      <c r="J7" s="52"/>
      <c r="K7" s="53"/>
      <c r="L7" s="51"/>
      <c r="M7" s="52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2"/>
      <c r="C8" s="51"/>
      <c r="D8" s="52"/>
      <c r="E8" s="51"/>
      <c r="F8" s="51"/>
      <c r="G8" s="5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2"/>
      <c r="C9" s="51"/>
      <c r="D9" s="52"/>
      <c r="E9" s="51"/>
      <c r="F9" s="51"/>
      <c r="G9" s="5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9" thickBot="1" x14ac:dyDescent="0.25">
      <c r="A10" s="26"/>
      <c r="B10" s="52"/>
      <c r="C10" s="51"/>
      <c r="D10" s="52"/>
      <c r="E10" s="51"/>
      <c r="F10" s="51"/>
      <c r="G10" s="5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7" customFormat="1" ht="19" x14ac:dyDescent="0.2">
      <c r="A11" s="22" t="s">
        <v>4</v>
      </c>
      <c r="B11" s="48">
        <f t="shared" ref="B11:B66" si="0">D11/$D$74</f>
        <v>0.28603134249244916</v>
      </c>
      <c r="C11" s="40" t="s">
        <v>26</v>
      </c>
      <c r="D11" s="41">
        <v>6279577</v>
      </c>
      <c r="E11" s="40"/>
      <c r="F11" s="40"/>
      <c r="G11" s="40"/>
      <c r="H11" s="39">
        <f>J11/J74</f>
        <v>0.24522519672959933</v>
      </c>
      <c r="I11" s="40" t="s">
        <v>13</v>
      </c>
      <c r="J11" s="41">
        <v>6464364</v>
      </c>
      <c r="K11" s="39"/>
      <c r="L11" s="40"/>
      <c r="M11" s="41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8" customFormat="1" ht="18" x14ac:dyDescent="0.2">
      <c r="A12" s="27"/>
      <c r="B12" s="43"/>
      <c r="C12" s="43"/>
      <c r="D12" s="44"/>
      <c r="E12" s="43"/>
      <c r="F12" s="43"/>
      <c r="G12" s="43"/>
      <c r="H12" s="42"/>
      <c r="I12" s="43"/>
      <c r="J12" s="44"/>
      <c r="K12" s="42"/>
      <c r="L12" s="43"/>
      <c r="M12" s="44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3"/>
      <c r="C13" s="43"/>
      <c r="D13" s="44"/>
      <c r="E13" s="43"/>
      <c r="F13" s="43"/>
      <c r="G13" s="43"/>
      <c r="H13" s="42"/>
      <c r="I13" s="56"/>
      <c r="J13" s="57"/>
      <c r="K13" s="42"/>
      <c r="L13" s="56"/>
      <c r="M13" s="57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3"/>
      <c r="C14" s="43"/>
      <c r="D14" s="44"/>
      <c r="E14" s="43"/>
      <c r="F14" s="43"/>
      <c r="G14" s="43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3"/>
      <c r="C15" s="43"/>
      <c r="D15" s="44"/>
      <c r="E15" s="43"/>
      <c r="F15" s="43"/>
      <c r="G15" s="43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3"/>
      <c r="C16" s="43"/>
      <c r="D16" s="44"/>
      <c r="E16" s="43"/>
      <c r="F16" s="43"/>
      <c r="G16" s="43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3"/>
      <c r="C17" s="43"/>
      <c r="D17" s="44"/>
      <c r="E17" s="43"/>
      <c r="F17" s="43"/>
      <c r="G17" s="43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3"/>
      <c r="C18" s="43"/>
      <c r="D18" s="44"/>
      <c r="E18" s="43"/>
      <c r="F18" s="43"/>
      <c r="G18" s="43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9" thickBot="1" x14ac:dyDescent="0.25">
      <c r="A19" s="23"/>
      <c r="B19" s="43"/>
      <c r="C19" s="43"/>
      <c r="D19" s="44"/>
      <c r="E19" s="43"/>
      <c r="F19" s="43"/>
      <c r="G19" s="43"/>
      <c r="H19" s="42"/>
      <c r="I19" s="43"/>
      <c r="J19" s="44"/>
      <c r="K19" s="42"/>
      <c r="L19" s="43"/>
      <c r="M19" s="44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9" customFormat="1" ht="19" x14ac:dyDescent="0.2">
      <c r="A20" s="25" t="s">
        <v>5</v>
      </c>
      <c r="B20" s="92">
        <f t="shared" si="0"/>
        <v>6.0708958216888036E-2</v>
      </c>
      <c r="C20" s="49" t="s">
        <v>27</v>
      </c>
      <c r="D20" s="50">
        <v>1332814</v>
      </c>
      <c r="E20" s="49"/>
      <c r="F20" s="49"/>
      <c r="G20" s="49"/>
      <c r="H20" s="48">
        <f>SUM(J20:J23)/J74</f>
        <v>5.7869811796086551E-2</v>
      </c>
      <c r="I20" s="49" t="s">
        <v>17</v>
      </c>
      <c r="J20" s="50">
        <v>1525502</v>
      </c>
      <c r="K20" s="48"/>
      <c r="L20" s="49"/>
      <c r="M20" s="50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10" customFormat="1" ht="18" x14ac:dyDescent="0.2">
      <c r="A21" s="26"/>
      <c r="B21" s="51"/>
      <c r="C21" s="51"/>
      <c r="D21" s="52"/>
      <c r="E21" s="51"/>
      <c r="F21" s="51"/>
      <c r="G21" s="51"/>
      <c r="H21" s="53"/>
      <c r="I21" s="51" t="s">
        <v>18</v>
      </c>
      <c r="J21" s="52"/>
      <c r="K21" s="53"/>
      <c r="L21" s="51"/>
      <c r="M21" s="52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1"/>
      <c r="C22" s="51"/>
      <c r="D22" s="52"/>
      <c r="E22" s="51"/>
      <c r="F22" s="51"/>
      <c r="G22" s="51"/>
      <c r="H22" s="53"/>
      <c r="I22" s="51" t="s">
        <v>102</v>
      </c>
      <c r="J22" s="52"/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1"/>
      <c r="C23" s="51"/>
      <c r="D23" s="52"/>
      <c r="E23" s="51"/>
      <c r="F23" s="51"/>
      <c r="G23" s="51"/>
      <c r="H23" s="53"/>
      <c r="I23" s="51" t="s">
        <v>103</v>
      </c>
      <c r="J23" s="52"/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1"/>
      <c r="C24" s="51"/>
      <c r="D24" s="52"/>
      <c r="E24" s="51"/>
      <c r="F24" s="51"/>
      <c r="G24" s="51"/>
      <c r="H24" s="53"/>
      <c r="I24" s="51"/>
      <c r="J24" s="52"/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1"/>
      <c r="C25" s="51"/>
      <c r="D25" s="52"/>
      <c r="E25" s="51"/>
      <c r="F25" s="51"/>
      <c r="G25" s="5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1"/>
      <c r="C26" s="51"/>
      <c r="D26" s="52"/>
      <c r="E26" s="51"/>
      <c r="F26" s="51"/>
      <c r="G26" s="5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1" customFormat="1" ht="19" thickBot="1" x14ac:dyDescent="0.25">
      <c r="A27" s="28"/>
      <c r="B27" s="51"/>
      <c r="C27" s="59"/>
      <c r="D27" s="60"/>
      <c r="E27" s="59"/>
      <c r="F27" s="59"/>
      <c r="G27" s="59"/>
      <c r="H27" s="58"/>
      <c r="I27" s="59"/>
      <c r="J27" s="60"/>
      <c r="K27" s="58"/>
      <c r="L27" s="59"/>
      <c r="M27" s="60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8" customFormat="1" ht="19" x14ac:dyDescent="0.2">
      <c r="A28" s="23" t="s">
        <v>0</v>
      </c>
      <c r="B28" s="93">
        <f t="shared" si="0"/>
        <v>4.1888194568345301E-3</v>
      </c>
      <c r="C28" s="43" t="s">
        <v>28</v>
      </c>
      <c r="D28" s="44">
        <v>91962</v>
      </c>
      <c r="E28" s="43"/>
      <c r="F28" s="43"/>
      <c r="G28" s="43"/>
      <c r="H28" s="61">
        <f>J28/J74</f>
        <v>1.3912294213910291E-2</v>
      </c>
      <c r="I28" s="43" t="s">
        <v>16</v>
      </c>
      <c r="J28" s="44">
        <v>366741</v>
      </c>
      <c r="K28" s="61"/>
      <c r="L28" s="43"/>
      <c r="M28" s="44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8" x14ac:dyDescent="0.2">
      <c r="A29" s="23"/>
      <c r="B29" s="43"/>
      <c r="C29" s="43"/>
      <c r="D29" s="44"/>
      <c r="E29" s="43"/>
      <c r="F29" s="43"/>
      <c r="G29" s="43"/>
      <c r="H29" s="42"/>
      <c r="I29" s="43"/>
      <c r="J29" s="44"/>
      <c r="K29" s="42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3"/>
      <c r="C30" s="43"/>
      <c r="D30" s="44"/>
      <c r="E30" s="43"/>
      <c r="F30" s="43"/>
      <c r="G30" s="43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3"/>
      <c r="C31" s="43"/>
      <c r="D31" s="44"/>
      <c r="E31" s="43"/>
      <c r="F31" s="43"/>
      <c r="G31" s="43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3"/>
      <c r="C32" s="43"/>
      <c r="D32" s="44"/>
      <c r="E32" s="43"/>
      <c r="F32" s="43"/>
      <c r="G32" s="43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9" thickBot="1" x14ac:dyDescent="0.25">
      <c r="A33" s="24"/>
      <c r="B33" s="43"/>
      <c r="C33" s="46"/>
      <c r="D33" s="47"/>
      <c r="E33" s="46"/>
      <c r="F33" s="46"/>
      <c r="G33" s="46"/>
      <c r="H33" s="45"/>
      <c r="I33" s="46"/>
      <c r="J33" s="47"/>
      <c r="K33" s="45"/>
      <c r="L33" s="46"/>
      <c r="M33" s="47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10" customFormat="1" ht="19" x14ac:dyDescent="0.2">
      <c r="A34" s="25" t="s">
        <v>147</v>
      </c>
      <c r="B34" s="94">
        <f t="shared" si="0"/>
        <v>5.9375497770194498E-2</v>
      </c>
      <c r="C34" s="49" t="s">
        <v>118</v>
      </c>
      <c r="D34" s="50">
        <f>664855+3787+634897</f>
        <v>1303539</v>
      </c>
      <c r="E34" s="94">
        <f>SUM(G34:G41)/D74</f>
        <v>0.19658472880557426</v>
      </c>
      <c r="F34" s="51" t="s">
        <v>121</v>
      </c>
      <c r="G34" s="52">
        <v>353671</v>
      </c>
      <c r="H34" s="48">
        <f>SUM(J34:J38)/J74</f>
        <v>3.4427845847162672E-2</v>
      </c>
      <c r="I34" s="49" t="s">
        <v>14</v>
      </c>
      <c r="J34" s="50">
        <v>907550</v>
      </c>
      <c r="K34" s="48">
        <f>SUM(M34:M42)/J74</f>
        <v>0.22709867319167698</v>
      </c>
      <c r="L34" s="49" t="s">
        <v>134</v>
      </c>
      <c r="M34" s="50">
        <v>213171</v>
      </c>
      <c r="N34" s="96">
        <f>M34/$J$74</f>
        <v>8.0866269925464317E-3</v>
      </c>
      <c r="O34" s="1"/>
      <c r="P34" s="99">
        <f>G34/$D$74</f>
        <v>1.610952313040305E-2</v>
      </c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8" x14ac:dyDescent="0.2">
      <c r="A35" s="88"/>
      <c r="D35" s="52"/>
      <c r="E35" s="51"/>
      <c r="F35" s="51" t="s">
        <v>111</v>
      </c>
      <c r="G35" s="52">
        <v>31793</v>
      </c>
      <c r="H35" s="70"/>
      <c r="I35" s="51"/>
      <c r="J35" s="52"/>
      <c r="K35" s="70"/>
      <c r="L35" s="51" t="s">
        <v>136</v>
      </c>
      <c r="M35" s="52">
        <v>4987834</v>
      </c>
      <c r="N35" s="96">
        <f t="shared" ref="N35:N60" si="1">M35/$J$74</f>
        <v>0.18921313433225362</v>
      </c>
      <c r="O35" s="98">
        <f>N35+N39+N41+N42+N47+N49</f>
        <v>0.23062476288297731</v>
      </c>
      <c r="P35" s="99">
        <f t="shared" ref="P35:P61" si="2">G35/$D$74</f>
        <v>1.4481539874202413E-3</v>
      </c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18" x14ac:dyDescent="0.2">
      <c r="A36" s="26"/>
      <c r="D36" s="52"/>
      <c r="E36" s="51"/>
      <c r="F36" s="51" t="s">
        <v>113</v>
      </c>
      <c r="G36" s="52">
        <v>156108</v>
      </c>
      <c r="H36" s="53"/>
      <c r="I36" s="51" t="s">
        <v>100</v>
      </c>
      <c r="J36" s="52"/>
      <c r="K36" s="53"/>
      <c r="L36" s="51" t="s">
        <v>139</v>
      </c>
      <c r="M36" s="52">
        <v>28870</v>
      </c>
      <c r="N36" s="96">
        <f t="shared" si="1"/>
        <v>1.095181433097445E-3</v>
      </c>
      <c r="O36" s="1"/>
      <c r="P36" s="99">
        <f t="shared" si="2"/>
        <v>7.1106351293743599E-3</v>
      </c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D37" s="52"/>
      <c r="E37" s="51"/>
      <c r="F37" s="51" t="s">
        <v>112</v>
      </c>
      <c r="G37" s="52">
        <v>3549086</v>
      </c>
      <c r="H37" s="53"/>
      <c r="I37" s="51" t="s">
        <v>22</v>
      </c>
      <c r="J37" s="52"/>
      <c r="K37" s="53"/>
      <c r="L37" s="51"/>
      <c r="M37" s="52"/>
      <c r="N37" s="96">
        <f t="shared" si="1"/>
        <v>0</v>
      </c>
      <c r="O37" s="1"/>
      <c r="P37" s="99">
        <f t="shared" si="2"/>
        <v>0.16165895142318606</v>
      </c>
      <c r="Q37" s="100">
        <f>P37+P38+P40+P41+P47+P49</f>
        <v>0.17634555496710716</v>
      </c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D38" s="52"/>
      <c r="E38" s="51"/>
      <c r="F38" s="10" t="s">
        <v>124</v>
      </c>
      <c r="G38" s="52">
        <v>47236</v>
      </c>
      <c r="H38" s="53"/>
      <c r="I38" s="51" t="s">
        <v>101</v>
      </c>
      <c r="J38" s="52"/>
      <c r="K38" s="53"/>
      <c r="L38" s="51" t="s">
        <v>140</v>
      </c>
      <c r="M38" s="52">
        <v>240590</v>
      </c>
      <c r="N38" s="96">
        <f t="shared" si="1"/>
        <v>9.1267648420129653E-3</v>
      </c>
      <c r="O38" s="1"/>
      <c r="P38" s="99">
        <f t="shared" si="2"/>
        <v>2.1515743009399087E-3</v>
      </c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D39" s="52"/>
      <c r="E39" s="51"/>
      <c r="F39" s="10" t="s">
        <v>125</v>
      </c>
      <c r="G39" s="52">
        <v>3211</v>
      </c>
      <c r="H39" s="53"/>
      <c r="I39" s="51"/>
      <c r="J39" s="52"/>
      <c r="K39" s="53"/>
      <c r="L39" s="51" t="s">
        <v>142</v>
      </c>
      <c r="M39" s="52">
        <v>247637</v>
      </c>
      <c r="N39" s="96">
        <f t="shared" si="1"/>
        <v>9.3940922946987183E-3</v>
      </c>
      <c r="O39" s="1"/>
      <c r="P39" s="99">
        <f t="shared" si="2"/>
        <v>1.4625931662964786E-4</v>
      </c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D40" s="52"/>
      <c r="E40" s="51"/>
      <c r="F40" s="51" t="s">
        <v>126</v>
      </c>
      <c r="G40" s="52">
        <v>173027</v>
      </c>
      <c r="H40" s="53"/>
      <c r="I40" s="51"/>
      <c r="J40" s="52"/>
      <c r="K40" s="53"/>
      <c r="L40" s="51" t="s">
        <v>144</v>
      </c>
      <c r="M40" s="52">
        <v>44399</v>
      </c>
      <c r="N40" s="96">
        <f t="shared" si="1"/>
        <v>1.6842729632176468E-3</v>
      </c>
      <c r="O40" s="1"/>
      <c r="P40" s="99">
        <f t="shared" si="2"/>
        <v>7.8812864461158764E-3</v>
      </c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D41" s="52"/>
      <c r="E41" s="51"/>
      <c r="F41" s="51" t="s">
        <v>131</v>
      </c>
      <c r="G41" s="52">
        <v>1720</v>
      </c>
      <c r="H41" s="53"/>
      <c r="I41" s="51"/>
      <c r="J41" s="52"/>
      <c r="K41" s="53"/>
      <c r="L41" s="51" t="s">
        <v>145</v>
      </c>
      <c r="M41" s="52">
        <v>206744</v>
      </c>
      <c r="N41" s="96">
        <f t="shared" si="1"/>
        <v>7.8428191965465247E-3</v>
      </c>
      <c r="O41" s="1"/>
      <c r="P41" s="99">
        <f t="shared" si="2"/>
        <v>7.8345071505136823E-5</v>
      </c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D42" s="52"/>
      <c r="E42" s="51"/>
      <c r="F42" s="51"/>
      <c r="G42" s="51"/>
      <c r="H42" s="53"/>
      <c r="I42" s="51"/>
      <c r="J42" s="52"/>
      <c r="K42" s="53"/>
      <c r="L42" s="51" t="s">
        <v>146</v>
      </c>
      <c r="M42" s="52">
        <v>17287</v>
      </c>
      <c r="N42" s="96">
        <f t="shared" si="1"/>
        <v>6.5578113730362087E-4</v>
      </c>
      <c r="O42" s="1"/>
      <c r="P42" s="99">
        <f t="shared" si="2"/>
        <v>0</v>
      </c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C43" s="51"/>
      <c r="D43" s="52"/>
      <c r="E43" s="51"/>
      <c r="F43" s="51"/>
      <c r="G43" s="51"/>
      <c r="H43" s="53"/>
      <c r="I43" s="51"/>
      <c r="J43" s="52"/>
      <c r="K43" s="53"/>
      <c r="L43" s="51"/>
      <c r="M43" s="52"/>
      <c r="N43" s="96">
        <f t="shared" si="1"/>
        <v>0</v>
      </c>
      <c r="O43" s="1"/>
      <c r="P43" s="99">
        <f t="shared" si="2"/>
        <v>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C44" s="51"/>
      <c r="D44" s="52"/>
      <c r="E44" s="51"/>
      <c r="F44" s="51"/>
      <c r="G44" s="51"/>
      <c r="H44" s="53"/>
      <c r="I44" s="51"/>
      <c r="J44" s="52"/>
      <c r="K44" s="53"/>
      <c r="L44" s="51"/>
      <c r="M44" s="52"/>
      <c r="N44" s="96">
        <f t="shared" si="1"/>
        <v>0</v>
      </c>
      <c r="O44" s="1"/>
      <c r="P44" s="99">
        <f t="shared" si="2"/>
        <v>0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C45" s="51"/>
      <c r="D45" s="52"/>
      <c r="E45" s="51"/>
      <c r="F45" s="51"/>
      <c r="G45" s="51"/>
      <c r="H45" s="53"/>
      <c r="I45" s="51"/>
      <c r="J45" s="52"/>
      <c r="K45" s="53"/>
      <c r="L45" s="51"/>
      <c r="M45" s="52"/>
      <c r="N45" s="96">
        <f t="shared" si="1"/>
        <v>0</v>
      </c>
      <c r="O45" s="1"/>
      <c r="P45" s="99">
        <f t="shared" si="2"/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C46" s="51"/>
      <c r="D46" s="52"/>
      <c r="E46" s="51"/>
      <c r="F46" s="51"/>
      <c r="G46" s="51"/>
      <c r="H46" s="53"/>
      <c r="I46" s="51"/>
      <c r="J46" s="52"/>
      <c r="K46" s="53"/>
      <c r="L46" s="51"/>
      <c r="M46" s="52"/>
      <c r="N46" s="96">
        <f t="shared" si="1"/>
        <v>0</v>
      </c>
      <c r="O46" s="1"/>
      <c r="P46" s="99">
        <f t="shared" si="2"/>
        <v>0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80" customFormat="1" ht="19" x14ac:dyDescent="0.2">
      <c r="A47" s="78" t="s">
        <v>116</v>
      </c>
      <c r="B47" s="76">
        <f t="shared" si="0"/>
        <v>1.9419101357433127E-3</v>
      </c>
      <c r="C47" s="79" t="s">
        <v>117</v>
      </c>
      <c r="D47" s="66">
        <v>42633</v>
      </c>
      <c r="E47" s="95">
        <f>SUM(G47:G49)/D74</f>
        <v>4.8516552013361299E-3</v>
      </c>
      <c r="F47" s="90" t="s">
        <v>127</v>
      </c>
      <c r="G47" s="90">
        <v>97345</v>
      </c>
      <c r="H47" s="65">
        <f>J47/J74</f>
        <v>1.2587075364453203E-2</v>
      </c>
      <c r="I47" s="79" t="s">
        <v>19</v>
      </c>
      <c r="J47" s="66">
        <v>331807</v>
      </c>
      <c r="K47" s="65">
        <f>SUM(M47:M49)/J74</f>
        <v>2.5513592483785378E-2</v>
      </c>
      <c r="L47" s="79" t="s">
        <v>133</v>
      </c>
      <c r="M47" s="66">
        <v>592314</v>
      </c>
      <c r="N47" s="96">
        <f t="shared" si="1"/>
        <v>2.2469390210033947E-2</v>
      </c>
      <c r="O47" s="1"/>
      <c r="P47" s="99">
        <f t="shared" si="2"/>
        <v>4.4340122009695017E-3</v>
      </c>
      <c r="Q47" s="1"/>
      <c r="R47" s="1"/>
      <c r="S47" s="1"/>
      <c r="T47" s="1"/>
      <c r="U47" s="1"/>
      <c r="V47" s="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</row>
    <row r="48" spans="1:828" s="10" customFormat="1" ht="18" x14ac:dyDescent="0.2">
      <c r="A48" s="29"/>
      <c r="D48" s="52"/>
      <c r="E48" s="51"/>
      <c r="F48" s="10" t="s">
        <v>128</v>
      </c>
      <c r="G48" s="52">
        <v>6065</v>
      </c>
      <c r="H48" s="53"/>
      <c r="K48" s="53"/>
      <c r="L48" s="51" t="s">
        <v>135</v>
      </c>
      <c r="M48" s="52">
        <v>52581</v>
      </c>
      <c r="N48" s="96">
        <f t="shared" si="1"/>
        <v>1.9946565616105563E-3</v>
      </c>
      <c r="O48" s="1"/>
      <c r="P48" s="99">
        <f t="shared" si="2"/>
        <v>2.7625747597596212E-4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</row>
    <row r="49" spans="1:828" s="10" customFormat="1" ht="18" x14ac:dyDescent="0.2">
      <c r="A49" s="29"/>
      <c r="D49" s="52"/>
      <c r="E49" s="51"/>
      <c r="F49" s="10" t="s">
        <v>129</v>
      </c>
      <c r="G49" s="52">
        <v>3104</v>
      </c>
      <c r="H49" s="53"/>
      <c r="K49" s="53"/>
      <c r="L49" s="51" t="s">
        <v>143</v>
      </c>
      <c r="M49" s="52">
        <v>27667</v>
      </c>
      <c r="N49" s="96">
        <f t="shared" si="1"/>
        <v>1.0495457121408734E-3</v>
      </c>
      <c r="O49" s="1"/>
      <c r="P49" s="99">
        <f t="shared" si="2"/>
        <v>1.4138552439066552E-4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D50" s="52"/>
      <c r="E50" s="51"/>
      <c r="F50" s="51"/>
      <c r="G50" s="51"/>
      <c r="H50" s="53"/>
      <c r="K50" s="53"/>
      <c r="L50" s="51"/>
      <c r="M50" s="52"/>
      <c r="N50" s="96">
        <f t="shared" si="1"/>
        <v>0</v>
      </c>
      <c r="O50" s="1"/>
      <c r="P50" s="99">
        <f t="shared" si="2"/>
        <v>0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D51" s="52"/>
      <c r="E51" s="51"/>
      <c r="F51" s="51"/>
      <c r="G51" s="51"/>
      <c r="H51" s="53"/>
      <c r="I51" s="51"/>
      <c r="J51" s="52"/>
      <c r="K51" s="53"/>
      <c r="L51" s="51"/>
      <c r="M51" s="52"/>
      <c r="N51" s="96">
        <f t="shared" si="1"/>
        <v>0</v>
      </c>
      <c r="O51" s="1"/>
      <c r="P51" s="99">
        <f t="shared" si="2"/>
        <v>0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D52" s="52"/>
      <c r="E52" s="51"/>
      <c r="F52" s="51"/>
      <c r="G52" s="51"/>
      <c r="H52" s="53"/>
      <c r="I52" s="51"/>
      <c r="J52" s="52"/>
      <c r="K52" s="53"/>
      <c r="L52" s="51"/>
      <c r="M52" s="52"/>
      <c r="N52" s="96">
        <f t="shared" si="1"/>
        <v>0</v>
      </c>
      <c r="O52" s="1"/>
      <c r="P52" s="99">
        <f t="shared" si="2"/>
        <v>0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D53" s="52"/>
      <c r="E53" s="51"/>
      <c r="F53" s="51"/>
      <c r="G53" s="51"/>
      <c r="H53" s="53"/>
      <c r="K53" s="53"/>
      <c r="L53" s="51"/>
      <c r="M53" s="52"/>
      <c r="N53" s="96">
        <f t="shared" si="1"/>
        <v>0</v>
      </c>
      <c r="O53" s="1"/>
      <c r="P53" s="99">
        <f t="shared" si="2"/>
        <v>0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C54" s="51"/>
      <c r="D54" s="52"/>
      <c r="E54" s="51"/>
      <c r="F54" s="51"/>
      <c r="G54" s="51"/>
      <c r="H54" s="53"/>
      <c r="K54" s="53"/>
      <c r="L54" s="51"/>
      <c r="M54" s="52"/>
      <c r="N54" s="96">
        <f t="shared" si="1"/>
        <v>0</v>
      </c>
      <c r="O54" s="1"/>
      <c r="P54" s="99">
        <f t="shared" si="2"/>
        <v>0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C55" s="51"/>
      <c r="D55" s="52"/>
      <c r="E55" s="51"/>
      <c r="F55" s="51"/>
      <c r="G55" s="51"/>
      <c r="H55" s="53"/>
      <c r="I55" s="51"/>
      <c r="J55" s="52"/>
      <c r="K55" s="53"/>
      <c r="L55" s="51"/>
      <c r="M55" s="52"/>
      <c r="N55" s="96">
        <f t="shared" si="1"/>
        <v>0</v>
      </c>
      <c r="O55" s="1"/>
      <c r="P55" s="99">
        <f t="shared" si="2"/>
        <v>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C56" s="51"/>
      <c r="D56" s="52"/>
      <c r="E56" s="51"/>
      <c r="F56" s="51"/>
      <c r="G56" s="51"/>
      <c r="H56" s="53"/>
      <c r="I56" s="51"/>
      <c r="J56" s="52"/>
      <c r="K56" s="53"/>
      <c r="L56" s="51"/>
      <c r="M56" s="52"/>
      <c r="N56" s="96">
        <f t="shared" si="1"/>
        <v>0</v>
      </c>
      <c r="O56" s="1"/>
      <c r="P56" s="99">
        <f t="shared" si="2"/>
        <v>0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C57" s="51"/>
      <c r="D57" s="52"/>
      <c r="E57" s="51"/>
      <c r="F57" s="51"/>
      <c r="G57" s="51"/>
      <c r="H57" s="53"/>
      <c r="I57" s="51"/>
      <c r="J57" s="52"/>
      <c r="K57" s="53"/>
      <c r="L57" s="51"/>
      <c r="M57" s="52"/>
      <c r="N57" s="96">
        <f t="shared" si="1"/>
        <v>0</v>
      </c>
      <c r="O57" s="1"/>
      <c r="P57" s="99">
        <f t="shared" si="2"/>
        <v>0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C58" s="51"/>
      <c r="D58" s="52"/>
      <c r="E58" s="51"/>
      <c r="F58" s="51"/>
      <c r="G58" s="51"/>
      <c r="H58" s="53"/>
      <c r="I58" s="51"/>
      <c r="J58" s="52"/>
      <c r="K58" s="53"/>
      <c r="L58" s="51"/>
      <c r="M58" s="52"/>
      <c r="N58" s="96">
        <f t="shared" si="1"/>
        <v>0</v>
      </c>
      <c r="O58" s="1"/>
      <c r="P58" s="99">
        <f t="shared" si="2"/>
        <v>0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30"/>
      <c r="C59" s="68"/>
      <c r="D59" s="69"/>
      <c r="E59" s="68"/>
      <c r="F59" s="68"/>
      <c r="G59" s="69"/>
      <c r="H59" s="68"/>
      <c r="I59" s="68"/>
      <c r="J59" s="69"/>
      <c r="K59" s="68"/>
      <c r="L59" s="68"/>
      <c r="M59" s="69"/>
      <c r="N59" s="96">
        <f t="shared" si="1"/>
        <v>0</v>
      </c>
      <c r="O59" s="1"/>
      <c r="P59" s="99">
        <f t="shared" si="2"/>
        <v>0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9" x14ac:dyDescent="0.2">
      <c r="A60" s="29" t="s">
        <v>130</v>
      </c>
      <c r="B60" s="76">
        <f>SUM(D60:D62)/D74</f>
        <v>0.32564097086487992</v>
      </c>
      <c r="C60" s="54" t="s">
        <v>122</v>
      </c>
      <c r="D60" s="52">
        <v>72261</v>
      </c>
      <c r="E60" s="92">
        <f>SUM(G60:G61)/D74</f>
        <v>3.1318533433098796E-2</v>
      </c>
      <c r="F60" s="51" t="s">
        <v>120</v>
      </c>
      <c r="G60" s="52">
        <v>460506</v>
      </c>
      <c r="H60" s="70">
        <f>SUM(J60:J64)/J74</f>
        <v>0.31204989019924145</v>
      </c>
      <c r="I60" s="51" t="s">
        <v>99</v>
      </c>
      <c r="J60" s="52">
        <v>8225925</v>
      </c>
      <c r="K60" s="70">
        <f>SUM(M60:M61)/J74</f>
        <v>4.1661923219777269E-2</v>
      </c>
      <c r="L60" s="51" t="s">
        <v>138</v>
      </c>
      <c r="M60" s="52">
        <v>625678</v>
      </c>
      <c r="N60" s="96">
        <f t="shared" si="1"/>
        <v>2.3735051219173648E-2</v>
      </c>
      <c r="O60" s="1"/>
      <c r="P60" s="99">
        <f t="shared" si="2"/>
        <v>2.0975799708456123E-2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8" x14ac:dyDescent="0.2">
      <c r="A61" s="29"/>
      <c r="B61" s="76"/>
      <c r="C61" s="51" t="s">
        <v>34</v>
      </c>
      <c r="D61" s="52">
        <v>191924</v>
      </c>
      <c r="E61" s="51"/>
      <c r="F61" s="51" t="s">
        <v>123</v>
      </c>
      <c r="G61" s="52">
        <v>227066</v>
      </c>
      <c r="H61" s="53"/>
      <c r="I61" s="51" t="s">
        <v>20</v>
      </c>
      <c r="J61" s="52"/>
      <c r="K61" s="53"/>
      <c r="L61" s="51" t="s">
        <v>137</v>
      </c>
      <c r="M61" s="52">
        <v>472569</v>
      </c>
      <c r="N61" s="1"/>
      <c r="O61" s="1"/>
      <c r="P61" s="99">
        <f t="shared" si="2"/>
        <v>1.0342733724642672E-2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76"/>
      <c r="C62" s="51" t="s">
        <v>119</v>
      </c>
      <c r="D62" s="52">
        <v>6884988</v>
      </c>
      <c r="E62" s="51"/>
      <c r="F62" s="51"/>
      <c r="G62" s="51"/>
      <c r="H62" s="53"/>
      <c r="I62" s="51" t="s">
        <v>21</v>
      </c>
      <c r="J62" s="52"/>
      <c r="K62" s="53"/>
      <c r="L62" s="51"/>
      <c r="M62" s="5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D63" s="52"/>
      <c r="E63" s="51"/>
      <c r="F63" s="51"/>
      <c r="G63" s="51"/>
      <c r="H63" s="53"/>
      <c r="I63" s="51" t="s">
        <v>23</v>
      </c>
      <c r="J63" s="52"/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D64" s="52"/>
      <c r="E64" s="51"/>
      <c r="F64" s="51"/>
      <c r="G64" s="51"/>
      <c r="H64" s="53"/>
      <c r="I64" s="51" t="s">
        <v>104</v>
      </c>
      <c r="J64" s="52"/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2" customFormat="1" ht="19" thickBot="1" x14ac:dyDescent="0.25">
      <c r="A65" s="30"/>
      <c r="B65" s="10"/>
      <c r="D65" s="69"/>
      <c r="E65" s="68"/>
      <c r="F65" s="68"/>
      <c r="G65" s="68"/>
      <c r="H65" s="67"/>
      <c r="I65" s="68"/>
      <c r="J65" s="69"/>
      <c r="K65" s="67"/>
      <c r="L65" s="68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0" customFormat="1" ht="19" x14ac:dyDescent="0.2">
      <c r="A66" s="26" t="s">
        <v>1</v>
      </c>
      <c r="B66" s="48">
        <f t="shared" si="0"/>
        <v>9.1504310550389167E-3</v>
      </c>
      <c r="C66" s="51" t="s">
        <v>36</v>
      </c>
      <c r="D66" s="52">
        <v>200890</v>
      </c>
      <c r="E66" s="92">
        <f>G66/D74</f>
        <v>4.3955229071195945E-4</v>
      </c>
      <c r="F66" s="51" t="s">
        <v>132</v>
      </c>
      <c r="G66" s="52">
        <v>9650</v>
      </c>
      <c r="H66" s="70">
        <f>SUM(J66:J67)/J74</f>
        <v>2.0893421472361613E-3</v>
      </c>
      <c r="I66" s="51" t="s">
        <v>106</v>
      </c>
      <c r="J66" s="52">
        <v>55077</v>
      </c>
      <c r="K66" s="70">
        <f>M66/J74</f>
        <v>9.9579191613467029E-4</v>
      </c>
      <c r="L66" s="51" t="s">
        <v>141</v>
      </c>
      <c r="M66" s="52">
        <v>26250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8" x14ac:dyDescent="0.2">
      <c r="A67" s="31"/>
      <c r="B67" s="53"/>
      <c r="D67" s="52"/>
      <c r="E67" s="51"/>
      <c r="F67" s="51"/>
      <c r="G67" s="51"/>
      <c r="H67" s="53"/>
      <c r="I67" s="51" t="s">
        <v>105</v>
      </c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C68" s="51"/>
      <c r="D68" s="52"/>
      <c r="E68" s="51"/>
      <c r="F68" s="51"/>
      <c r="G68" s="51"/>
      <c r="H68" s="53"/>
      <c r="I68" s="51"/>
      <c r="J68" s="52"/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51"/>
      <c r="F69" s="51"/>
      <c r="G69" s="51"/>
      <c r="H69" s="53"/>
      <c r="I69" s="51"/>
      <c r="J69" s="52"/>
      <c r="K69" s="53"/>
      <c r="L69" s="51"/>
      <c r="M69" s="52"/>
      <c r="N69" s="1"/>
      <c r="O69" s="1"/>
      <c r="P69"/>
      <c r="Q69"/>
      <c r="R69"/>
      <c r="S69"/>
      <c r="T6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9" thickBot="1" x14ac:dyDescent="0.25">
      <c r="A70" s="32"/>
      <c r="B70" s="58"/>
      <c r="C70" s="59"/>
      <c r="D70" s="60"/>
      <c r="E70" s="59"/>
      <c r="F70" s="59"/>
      <c r="G70" s="59"/>
      <c r="H70" s="58"/>
      <c r="I70" s="59"/>
      <c r="J70" s="60"/>
      <c r="K70" s="58"/>
      <c r="L70" s="59"/>
      <c r="M70" s="60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9" customFormat="1" ht="18" x14ac:dyDescent="0.2">
      <c r="A71" s="33" t="s">
        <v>9</v>
      </c>
      <c r="B71" s="71"/>
      <c r="C71" s="72"/>
      <c r="D71" s="73">
        <f>SUM(D5:D66)</f>
        <v>16834569</v>
      </c>
      <c r="E71" s="72"/>
      <c r="F71" s="72"/>
      <c r="G71" s="72">
        <f>SUM(G34:G66)</f>
        <v>5119588</v>
      </c>
      <c r="H71" s="71"/>
      <c r="I71" s="72"/>
      <c r="J71" s="73">
        <f>SUM(J2:J67)</f>
        <v>29728304</v>
      </c>
      <c r="K71" s="71"/>
      <c r="L71" s="72"/>
      <c r="M71" s="73">
        <f>SUM(M2:M67)</f>
        <v>7783591</v>
      </c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ht="16" x14ac:dyDescent="0.2">
      <c r="D72" s="74"/>
      <c r="E72" s="89"/>
      <c r="F72" s="89"/>
      <c r="G72" s="89"/>
      <c r="K72" s="10"/>
      <c r="L72" s="10"/>
      <c r="M72" s="52"/>
    </row>
    <row r="73" spans="1:828" ht="16" x14ac:dyDescent="0.2">
      <c r="K73" s="10"/>
      <c r="L73" s="10"/>
      <c r="M73" s="52"/>
    </row>
    <row r="74" spans="1:828" ht="16" x14ac:dyDescent="0.2">
      <c r="D74" s="18">
        <f>D71+G71</f>
        <v>21954157</v>
      </c>
      <c r="J74" s="18">
        <f>J71+M71-J2</f>
        <v>26360929</v>
      </c>
      <c r="K74" s="10"/>
      <c r="L74" s="10"/>
      <c r="M74" s="52"/>
    </row>
    <row r="75" spans="1:828" ht="16" x14ac:dyDescent="0.2">
      <c r="D75" s="74">
        <f>D71/D74</f>
        <v>0.76680553026927889</v>
      </c>
      <c r="K75" s="10"/>
      <c r="L75" s="10"/>
      <c r="M75" s="52"/>
    </row>
    <row r="76" spans="1:828" x14ac:dyDescent="0.2">
      <c r="J76" s="74">
        <f>J71/J74</f>
        <v>1.1277411353750091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A494-FC94-B84E-8A33-D4CA95224A42}">
  <dimension ref="A1:C4"/>
  <sheetViews>
    <sheetView zoomScale="160" zoomScaleNormal="160" workbookViewId="0">
      <selection activeCell="B4" sqref="B4"/>
    </sheetView>
  </sheetViews>
  <sheetFormatPr baseColWidth="10" defaultRowHeight="15" x14ac:dyDescent="0.2"/>
  <sheetData>
    <row r="1" spans="1:3" x14ac:dyDescent="0.2">
      <c r="A1" s="97" t="s">
        <v>160</v>
      </c>
      <c r="B1">
        <v>2007</v>
      </c>
      <c r="C1">
        <v>2017</v>
      </c>
    </row>
    <row r="2" spans="1:3" x14ac:dyDescent="0.2">
      <c r="A2" s="97" t="s">
        <v>157</v>
      </c>
      <c r="B2">
        <f>32.56+2.09</f>
        <v>34.650000000000006</v>
      </c>
      <c r="C2">
        <f>31.2+2.37</f>
        <v>33.57</v>
      </c>
    </row>
    <row r="3" spans="1:3" x14ac:dyDescent="0.2">
      <c r="A3" s="97" t="s">
        <v>158</v>
      </c>
      <c r="B3">
        <f>5.94+0.19+1.75</f>
        <v>7.8800000000000008</v>
      </c>
      <c r="C3">
        <f>1.26+3.44+0.81+0.11</f>
        <v>5.62</v>
      </c>
    </row>
    <row r="4" spans="1:3" x14ac:dyDescent="0.2">
      <c r="A4" s="97" t="s">
        <v>159</v>
      </c>
      <c r="B4">
        <v>17.63</v>
      </c>
      <c r="C4">
        <v>23.06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draft</vt:lpstr>
      <vt:lpstr>weighted</vt:lpstr>
      <vt:lpstr>weighted_high_cap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2025-09-01T18:46:57Z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