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43206152-B193-A844-9604-BE8CAAB2EFC9}" xr6:coauthVersionLast="47" xr6:coauthVersionMax="47" xr10:uidLastSave="{00000000-0000-0000-0000-000000000000}"/>
  <bookViews>
    <workbookView xWindow="15560" yWindow="640" windowWidth="30520" windowHeight="19240" activeTab="3" xr2:uid="{00000000-000D-0000-FFFF-FFFF00000000}"/>
  </bookViews>
  <sheets>
    <sheet name="summary" sheetId="4" r:id="rId1"/>
    <sheet name="Sheet1" sheetId="5" r:id="rId2"/>
    <sheet name="draft" sheetId="3" r:id="rId3"/>
    <sheet name="weighted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6" l="1"/>
  <c r="M71" i="6"/>
  <c r="J71" i="6"/>
  <c r="G71" i="6"/>
  <c r="D71" i="6"/>
  <c r="K47" i="5"/>
  <c r="K34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35" i="5"/>
  <c r="N36" i="5"/>
  <c r="N34" i="5"/>
  <c r="J74" i="5"/>
  <c r="J67" i="5"/>
  <c r="M66" i="5"/>
  <c r="J66" i="5"/>
  <c r="G66" i="5"/>
  <c r="D66" i="5"/>
  <c r="J64" i="5"/>
  <c r="J63" i="5"/>
  <c r="J62" i="5"/>
  <c r="D62" i="5"/>
  <c r="M61" i="5"/>
  <c r="J61" i="5"/>
  <c r="G61" i="5"/>
  <c r="D61" i="5"/>
  <c r="M60" i="5"/>
  <c r="J60" i="5"/>
  <c r="D60" i="5"/>
  <c r="M49" i="5"/>
  <c r="M48" i="5"/>
  <c r="G48" i="5"/>
  <c r="M47" i="5"/>
  <c r="J47" i="5"/>
  <c r="G47" i="5"/>
  <c r="G71" i="5" s="1"/>
  <c r="M42" i="5"/>
  <c r="M41" i="5"/>
  <c r="M40" i="5"/>
  <c r="M39" i="5"/>
  <c r="M38" i="5"/>
  <c r="J38" i="5"/>
  <c r="J37" i="5"/>
  <c r="M36" i="5"/>
  <c r="M71" i="5" s="1"/>
  <c r="J36" i="5"/>
  <c r="M35" i="5"/>
  <c r="G35" i="5"/>
  <c r="M34" i="5"/>
  <c r="J34" i="5"/>
  <c r="G34" i="5"/>
  <c r="D34" i="5"/>
  <c r="J28" i="5"/>
  <c r="D28" i="5"/>
  <c r="J23" i="5"/>
  <c r="J22" i="5"/>
  <c r="J21" i="5"/>
  <c r="J20" i="5"/>
  <c r="J71" i="5" s="1"/>
  <c r="D20" i="5"/>
  <c r="D11" i="5"/>
  <c r="J5" i="5"/>
  <c r="D5" i="5"/>
  <c r="D71" i="5" s="1"/>
  <c r="G71" i="4"/>
  <c r="M40" i="4"/>
  <c r="M41" i="4"/>
  <c r="M42" i="4"/>
  <c r="M38" i="4"/>
  <c r="M61" i="4"/>
  <c r="M35" i="4"/>
  <c r="M34" i="4"/>
  <c r="M49" i="4"/>
  <c r="M39" i="4"/>
  <c r="M47" i="4"/>
  <c r="M66" i="4"/>
  <c r="M60" i="4"/>
  <c r="M48" i="4"/>
  <c r="M36" i="4"/>
  <c r="J28" i="4"/>
  <c r="J37" i="4"/>
  <c r="J38" i="4"/>
  <c r="J66" i="4"/>
  <c r="J67" i="4"/>
  <c r="J36" i="4"/>
  <c r="J5" i="4"/>
  <c r="J22" i="4"/>
  <c r="J64" i="4"/>
  <c r="J20" i="4"/>
  <c r="J23" i="4"/>
  <c r="J60" i="4"/>
  <c r="J61" i="4"/>
  <c r="J62" i="4"/>
  <c r="J21" i="4"/>
  <c r="J47" i="4"/>
  <c r="J34" i="4"/>
  <c r="J63" i="4"/>
  <c r="D62" i="4"/>
  <c r="G61" i="4"/>
  <c r="D66" i="4"/>
  <c r="D28" i="4"/>
  <c r="G34" i="4"/>
  <c r="G35" i="4"/>
  <c r="G47" i="4"/>
  <c r="G66" i="4"/>
  <c r="G48" i="4"/>
  <c r="D37" i="3"/>
  <c r="D34" i="4" s="1"/>
  <c r="D5" i="4"/>
  <c r="D71" i="4" s="1"/>
  <c r="D11" i="4"/>
  <c r="D20" i="4"/>
  <c r="D61" i="4"/>
  <c r="D60" i="4"/>
  <c r="M88" i="3"/>
  <c r="H21" i="3"/>
  <c r="H35" i="3"/>
  <c r="H79" i="3"/>
  <c r="H62" i="3"/>
  <c r="J88" i="3"/>
  <c r="D79" i="3"/>
  <c r="D68" i="3"/>
  <c r="D64" i="3"/>
  <c r="D63" i="3"/>
  <c r="D21" i="3"/>
  <c r="D12" i="3"/>
  <c r="D29" i="3"/>
  <c r="D6" i="3"/>
  <c r="H3" i="3"/>
  <c r="D74" i="6" l="1"/>
  <c r="J74" i="6"/>
  <c r="D74" i="5"/>
  <c r="K66" i="5"/>
  <c r="D74" i="4"/>
  <c r="D75" i="4"/>
  <c r="B34" i="4"/>
  <c r="J71" i="4"/>
  <c r="M71" i="4"/>
  <c r="D88" i="3"/>
  <c r="D92" i="3" s="1"/>
  <c r="B79" i="3" s="1"/>
  <c r="B12" i="3"/>
  <c r="H29" i="3"/>
  <c r="H6" i="3"/>
  <c r="H12" i="3"/>
  <c r="K66" i="6" l="1"/>
  <c r="H11" i="6"/>
  <c r="H28" i="6"/>
  <c r="H5" i="6"/>
  <c r="H66" i="6"/>
  <c r="H60" i="6"/>
  <c r="H20" i="6"/>
  <c r="H2" i="6"/>
  <c r="K47" i="6"/>
  <c r="K34" i="6"/>
  <c r="K60" i="6"/>
  <c r="H34" i="6"/>
  <c r="E47" i="6"/>
  <c r="B60" i="6"/>
  <c r="B47" i="6"/>
  <c r="B11" i="6"/>
  <c r="B66" i="6"/>
  <c r="E34" i="6"/>
  <c r="E66" i="6"/>
  <c r="B28" i="6"/>
  <c r="E60" i="6"/>
  <c r="B34" i="6"/>
  <c r="B5" i="6"/>
  <c r="J76" i="6"/>
  <c r="D75" i="6"/>
  <c r="H47" i="6"/>
  <c r="B20" i="6"/>
  <c r="H28" i="5"/>
  <c r="H11" i="5"/>
  <c r="K60" i="5"/>
  <c r="H34" i="5"/>
  <c r="H5" i="5"/>
  <c r="H47" i="5"/>
  <c r="H66" i="5"/>
  <c r="H2" i="5"/>
  <c r="H60" i="5"/>
  <c r="H20" i="5"/>
  <c r="J76" i="5"/>
  <c r="E47" i="5"/>
  <c r="E66" i="5"/>
  <c r="B11" i="5"/>
  <c r="B60" i="5"/>
  <c r="B47" i="5"/>
  <c r="B28" i="5"/>
  <c r="B66" i="5"/>
  <c r="B5" i="5"/>
  <c r="E34" i="5"/>
  <c r="E60" i="5"/>
  <c r="D75" i="5"/>
  <c r="B20" i="5"/>
  <c r="B34" i="5"/>
  <c r="J74" i="4"/>
  <c r="E34" i="4"/>
  <c r="B47" i="4"/>
  <c r="B11" i="4"/>
  <c r="B60" i="4"/>
  <c r="E66" i="4"/>
  <c r="B5" i="4"/>
  <c r="E60" i="4"/>
  <c r="E47" i="4"/>
  <c r="B66" i="4"/>
  <c r="B28" i="4"/>
  <c r="B20" i="4"/>
  <c r="B6" i="3"/>
  <c r="B62" i="3"/>
  <c r="B35" i="3"/>
  <c r="B29" i="3"/>
  <c r="E88" i="3"/>
  <c r="B21" i="3"/>
  <c r="H88" i="3"/>
  <c r="H20" i="4" l="1"/>
  <c r="K66" i="4"/>
  <c r="H11" i="4"/>
  <c r="K47" i="4"/>
  <c r="K34" i="4"/>
  <c r="H66" i="4"/>
  <c r="H60" i="4"/>
  <c r="H47" i="4"/>
  <c r="H34" i="4"/>
  <c r="K60" i="4"/>
  <c r="H5" i="4"/>
  <c r="H2" i="4"/>
  <c r="H28" i="4"/>
  <c r="J76" i="4"/>
  <c r="B88" i="3"/>
  <c r="E92" i="3"/>
  <c r="E90" i="3" l="1"/>
  <c r="D89" i="3"/>
  <c r="E91" i="3"/>
  <c r="E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6" authorId="0" shapeId="0" xr:uid="{5FEFDBBC-6F25-5D42-86B6-74766A616A6E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  <comment ref="K6" authorId="0" shapeId="0" xr:uid="{D850D979-EDD8-8742-80EB-6D80BF6F81C7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6" authorId="0" shapeId="0" xr:uid="{6EE932AF-FEBC-594D-B933-584167DD55FA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  <comment ref="K6" authorId="0" shapeId="0" xr:uid="{92B849B2-07F4-9942-A54C-F3CCE79C546A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1B63AC70-7107-7B43-AD51-40EBCF58CC88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6" authorId="0" shapeId="0" xr:uid="{7C6BA07D-A88F-934D-94DA-7C2DC16B285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  <comment ref="K6" authorId="0" shapeId="0" xr:uid="{C427677E-C3C1-A743-9812-10D58DC839AA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<sst xmlns="http://schemas.openxmlformats.org/spreadsheetml/2006/main" count="359" uniqueCount="157">
  <si>
    <t>Motorcycle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</si>
  <si>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</si>
  <si>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</si>
  <si>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</si>
  <si>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</si>
  <si>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</si>
  <si>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</si>
  <si>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</si>
  <si>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</si>
  <si>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</si>
  <si>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</si>
  <si>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</si>
  <si>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</si>
  <si>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</si>
  <si>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</si>
  <si>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</si>
  <si>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</si>
  <si>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</si>
  <si>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</si>
  <si>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metrobus,Mexibus(11)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</si>
  <si>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</si>
  <si>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</si>
  <si>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</si>
  <si>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</si>
  <si>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</si>
  <si>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</si>
  <si>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</si>
  <si>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</si>
  <si>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</si>
  <si>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</si>
  <si>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</si>
  <si>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</si>
  <si>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</si>
  <si>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</si>
  <si>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</si>
  <si>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</si>
  <si>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</si>
  <si>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</si>
  <si>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</si>
  <si>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</si>
  <si>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</si>
  <si>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</si>
  <si>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</si>
  <si>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</si>
  <si>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</si>
  <si>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</si>
  <si>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</si>
  <si>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</si>
  <si>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</si>
  <si>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</si>
  <si>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</si>
  <si>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</si>
  <si>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</si>
  <si>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</si>
  <si>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</si>
  <si>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</si>
  <si>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</si>
  <si>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</si>
  <si>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</si>
  <si>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</si>
  <si>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</si>
  <si>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</si>
  <si>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</si>
  <si>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</si>
  <si>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</si>
  <si>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</si>
  <si>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</si>
  <si>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</si>
  <si>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</si>
  <si>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</si>
  <si>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</si>
  <si>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</si>
  <si>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</si>
  <si>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</si>
  <si>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</si>
  <si>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</si>
  <si>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</si>
  <si>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</si>
  <si>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</si>
  <si>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</si>
  <si>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</si>
  <si>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</si>
  <si>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</si>
  <si>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</si>
  <si>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</si>
  <si>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</si>
  <si>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</si>
  <si>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</si>
  <si>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</si>
  <si>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</si>
  <si>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</si>
  <si>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</si>
  <si>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</si>
  <si>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</si>
  <si>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</si>
  <si>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</si>
  <si>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</si>
  <si>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</si>
  <si>
    <t xml:space="preserve"> Single Mode</t>
  </si>
  <si>
    <t>Trolebus (Trolley) (10)</t>
  </si>
  <si>
    <t>Tren Ligero(12)</t>
  </si>
  <si>
    <t>Mexicable  (15)</t>
  </si>
  <si>
    <t>Bicitaxi (16)</t>
  </si>
  <si>
    <t>Mototaxi (17)</t>
  </si>
  <si>
    <t>Transporte  escolar  (18)</t>
  </si>
  <si>
    <t>Transporte  de personal (19)</t>
  </si>
  <si>
    <t>Otro (20)</t>
  </si>
  <si>
    <t xml:space="preserve">Three mode </t>
  </si>
  <si>
    <t>Four mode</t>
  </si>
  <si>
    <t>five mode</t>
  </si>
  <si>
    <t>Six mode</t>
  </si>
  <si>
    <t>Metro+BRT</t>
  </si>
  <si>
    <t>Metro +Bus</t>
  </si>
  <si>
    <t>Metro + Others (taxi, dirve, motorcycle)</t>
  </si>
  <si>
    <t>BRT+bus</t>
  </si>
  <si>
    <t>BRT +others</t>
  </si>
  <si>
    <t>BRT</t>
  </si>
  <si>
    <t>Metrobus (only)</t>
  </si>
  <si>
    <t>Metro, light rail (only)</t>
  </si>
  <si>
    <t>Colectivo (only) (7)</t>
  </si>
  <si>
    <t>bus+ other bus</t>
  </si>
  <si>
    <t>Metro+ light rail (metro)</t>
  </si>
  <si>
    <t>Trolebus (4)</t>
  </si>
  <si>
    <t>Bus+ Other mode</t>
  </si>
  <si>
    <t>Metro +BRT +bus</t>
  </si>
  <si>
    <t>Metro+BRT+other</t>
  </si>
  <si>
    <t>metro+bus+other</t>
  </si>
  <si>
    <t>Metro bus +Bus</t>
  </si>
  <si>
    <t>Metrobus +others</t>
  </si>
  <si>
    <t>Metrobus+ bus+other</t>
  </si>
  <si>
    <t>Non BRT bus</t>
  </si>
  <si>
    <t>Metro+BRT+ bus+other</t>
  </si>
  <si>
    <t>Other mode combined (no public transit)</t>
  </si>
  <si>
    <t>BRT+Bus</t>
  </si>
  <si>
    <t>BRT+metro</t>
  </si>
  <si>
    <t>BRT+other</t>
  </si>
  <si>
    <t>Bus+Metro</t>
  </si>
  <si>
    <t>Bus+ other</t>
  </si>
  <si>
    <t>Bus+other Bus (two mode of bus connect)</t>
  </si>
  <si>
    <t>Metro+ other mode of metro</t>
  </si>
  <si>
    <t>Metro+other</t>
  </si>
  <si>
    <t>Other mode combined (no public transit involved)</t>
  </si>
  <si>
    <t>BRT +bus +metro</t>
  </si>
  <si>
    <t>BRT +bus +other</t>
  </si>
  <si>
    <t>BRT + Metro+other</t>
  </si>
  <si>
    <t>Bus+metro+other</t>
  </si>
  <si>
    <t>BRT+bus+metro+other</t>
  </si>
  <si>
    <t>Metro &amp; Light rail</t>
  </si>
  <si>
    <t>x</t>
  </si>
  <si>
    <t>count</t>
  </si>
  <si>
    <t>count2</t>
  </si>
  <si>
    <t>single_label</t>
  </si>
  <si>
    <t>multi_label</t>
  </si>
  <si>
    <t>single_la_17</t>
  </si>
  <si>
    <t>count_2</t>
  </si>
  <si>
    <t>count_1</t>
  </si>
  <si>
    <t>multi_la_17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</si>
</sst>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9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  <xf numFmtId="10" fontId="1" fillId="3" borderId="0" xfId="1" applyNumberFormat="1" applyFont="1" applyFill="1" applyAlignment="1">
      <alignment horizontal="left" vertical="center"/>
    </xf>
    <xf numFmtId="164" fontId="1" fillId="3" borderId="0" xfId="1" applyNumberFormat="1" applyFont="1" applyFill="1" applyAlignment="1">
      <alignment horizontal="left" vertical="center"/>
    </xf>
    <xf numFmtId="0" fontId="16" fillId="3" borderId="19" xfId="0" applyFont="1" applyFill="1" applyBorder="1" applyAlignment="1">
      <alignment horizontal="left" vertical="center" wrapText="1" indent="1"/>
    </xf>
    <xf numFmtId="0" fontId="14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7" borderId="17" xfId="0" applyFont="1" applyFill="1" applyBorder="1" applyAlignment="1">
      <alignment horizontal="left" vertical="center" wrapText="1" indent="1"/>
    </xf>
    <xf numFmtId="0" fontId="14" fillId="7" borderId="5" xfId="0" applyFont="1" applyFill="1" applyBorder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0" fillId="0" borderId="0" xfId="0" applyAlignment="1"/>
    <xf numFmtId="0" fontId="17" fillId="3" borderId="17" xfId="0" applyFont="1" applyFill="1" applyBorder="1" applyAlignment="1">
      <alignment horizontal="left" vertical="center" wrapText="1"/>
    </xf>
    <xf numFmtId="10" fontId="1" fillId="0" borderId="0" xfId="1" applyNumberFormat="1" applyFont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10" fontId="15" fillId="3" borderId="6" xfId="1" applyNumberFormat="1" applyFont="1" applyFill="1" applyBorder="1" applyAlignment="1">
      <alignment horizontal="left" vertical="center"/>
    </xf>
    <xf numFmtId="10" fontId="15" fillId="3" borderId="0" xfId="1" applyNumberFormat="1" applyFont="1" applyFill="1" applyAlignment="1">
      <alignment horizontal="left" vertical="center"/>
    </xf>
    <xf numFmtId="10" fontId="15" fillId="2" borderId="0" xfId="1" applyNumberFormat="1" applyFont="1" applyFill="1" applyAlignment="1">
      <alignment horizontal="left" vertical="center"/>
    </xf>
    <xf numFmtId="10" fontId="15" fillId="3" borderId="1" xfId="1" applyNumberFormat="1" applyFont="1" applyFill="1" applyBorder="1" applyAlignment="1">
      <alignment horizontal="left" vertical="center"/>
    </xf>
    <xf numFmtId="10" fontId="14" fillId="3" borderId="3" xfId="1" applyNumberFormat="1" applyFont="1" applyFill="1" applyBorder="1" applyAlignment="1">
      <alignment horizontal="left" vertical="center"/>
    </xf>
    <xf numFmtId="10" fontId="1" fillId="0" borderId="0" xfId="1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CFC3-3A88-D544-A7CE-ED6F8F8A9091}">
  <dimension ref="A1:AEV76"/>
  <sheetViews>
    <sheetView workbookViewId="0">
      <selection sqref="A1:XFD1048576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7" width="27.33203125" style="1" customWidth="1"/>
    <col min="8" max="8" width="23.5" style="5" customWidth="1"/>
    <col min="9" max="9" width="44.1640625" style="1" customWidth="1"/>
    <col min="10" max="10" width="43.1640625" style="18" customWidth="1"/>
    <col min="11" max="11" width="17.33203125" style="5" customWidth="1"/>
    <col min="12" max="12" width="36" style="1" customWidth="1"/>
    <col min="13" max="13" width="20" style="18" customWidth="1"/>
    <col min="14" max="15" width="9" style="1"/>
    <col min="21" max="16384" width="9" style="1"/>
  </cols>
  <sheetData>
    <row r="1" spans="1:828" s="6" customFormat="1" ht="26" thickBot="1" x14ac:dyDescent="0.25">
      <c r="A1" s="20" t="s">
        <v>148</v>
      </c>
      <c r="B1" s="13">
        <v>2007</v>
      </c>
      <c r="C1" s="14" t="s">
        <v>151</v>
      </c>
      <c r="D1" s="15" t="s">
        <v>149</v>
      </c>
      <c r="E1" s="13">
        <v>2007</v>
      </c>
      <c r="F1" s="14" t="s">
        <v>152</v>
      </c>
      <c r="G1" s="14" t="s">
        <v>150</v>
      </c>
      <c r="H1" s="13">
        <v>2017</v>
      </c>
      <c r="I1" s="14" t="s">
        <v>153</v>
      </c>
      <c r="J1" s="15" t="s">
        <v>155</v>
      </c>
      <c r="K1" s="13">
        <v>2017</v>
      </c>
      <c r="L1" s="14" t="s">
        <v>156</v>
      </c>
      <c r="M1" s="15" t="s">
        <v>154</v>
      </c>
      <c r="N1" s="37"/>
      <c r="O1" s="37"/>
      <c r="P1" s="87"/>
      <c r="Q1" s="87"/>
      <c r="R1" s="87"/>
      <c r="S1" s="87"/>
      <c r="T1" s="8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</row>
    <row r="2" spans="1:828" s="8" customFormat="1" ht="19" x14ac:dyDescent="0.2">
      <c r="A2" s="22" t="s">
        <v>2</v>
      </c>
      <c r="B2" s="39"/>
      <c r="C2" s="40" t="s">
        <v>12</v>
      </c>
      <c r="D2" s="41">
        <v>0</v>
      </c>
      <c r="E2" s="40"/>
      <c r="F2" s="40"/>
      <c r="G2" s="40"/>
      <c r="H2" s="39">
        <f>J2/J74</f>
        <v>0.30326903614412504</v>
      </c>
      <c r="I2" s="40" t="s">
        <v>24</v>
      </c>
      <c r="J2" s="41">
        <v>161216</v>
      </c>
      <c r="K2" s="39"/>
      <c r="L2" s="40"/>
      <c r="M2" s="41"/>
      <c r="N2" s="1"/>
      <c r="O2" s="1"/>
      <c r="P2" s="87"/>
      <c r="Q2" s="87"/>
      <c r="R2" s="87"/>
      <c r="S2" s="87"/>
      <c r="T2" s="8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</row>
    <row r="3" spans="1:828" s="8" customFormat="1" ht="18" x14ac:dyDescent="0.2">
      <c r="A3" s="23"/>
      <c r="B3" s="42"/>
      <c r="C3" s="43"/>
      <c r="D3" s="44"/>
      <c r="E3" s="43"/>
      <c r="F3" s="43"/>
      <c r="G3" s="43"/>
      <c r="H3" s="42"/>
      <c r="I3" s="43"/>
      <c r="J3" s="44"/>
      <c r="K3" s="42"/>
      <c r="L3" s="43"/>
      <c r="M3" s="44"/>
      <c r="N3" s="1"/>
      <c r="O3" s="1"/>
      <c r="P3" s="87"/>
      <c r="Q3" s="87"/>
      <c r="R3" s="87"/>
      <c r="S3" s="87"/>
      <c r="T3" s="8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</row>
    <row r="4" spans="1:828" s="8" customFormat="1" ht="19" thickBot="1" x14ac:dyDescent="0.25">
      <c r="A4" s="24"/>
      <c r="B4" s="45"/>
      <c r="C4" s="46"/>
      <c r="D4" s="47"/>
      <c r="E4" s="46"/>
      <c r="F4" s="46"/>
      <c r="G4" s="46"/>
      <c r="H4" s="45"/>
      <c r="I4" s="46"/>
      <c r="J4" s="47"/>
      <c r="K4" s="45"/>
      <c r="L4" s="46"/>
      <c r="M4" s="47"/>
      <c r="N4" s="1"/>
      <c r="O4" s="1"/>
      <c r="P4" s="87"/>
      <c r="Q4" s="87"/>
      <c r="R4" s="87"/>
      <c r="S4" s="87"/>
      <c r="T4" s="8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</row>
    <row r="5" spans="1:828" s="10" customFormat="1" ht="19" x14ac:dyDescent="0.2">
      <c r="A5" s="25" t="s">
        <v>3</v>
      </c>
      <c r="B5" s="91">
        <f>D5/$D$74</f>
        <v>1.9766095464387023E-2</v>
      </c>
      <c r="C5" s="51" t="s">
        <v>25</v>
      </c>
      <c r="D5" s="50">
        <f>4558+34</f>
        <v>4592</v>
      </c>
      <c r="E5" s="49"/>
      <c r="F5" s="49"/>
      <c r="G5" s="49"/>
      <c r="H5" s="48">
        <f>J5/J74</f>
        <v>2.1973536194915669E-2</v>
      </c>
      <c r="I5" s="49" t="s">
        <v>15</v>
      </c>
      <c r="J5" s="50">
        <f>11541+140</f>
        <v>11681</v>
      </c>
      <c r="K5" s="48"/>
      <c r="L5" s="49"/>
      <c r="M5" s="50"/>
      <c r="N5" s="1"/>
      <c r="O5" s="1"/>
      <c r="P5" s="87"/>
      <c r="Q5" s="87"/>
      <c r="R5" s="87"/>
      <c r="S5" s="87"/>
      <c r="T5" s="8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</row>
    <row r="6" spans="1:828" s="10" customFormat="1" ht="18" x14ac:dyDescent="0.2">
      <c r="A6" s="26"/>
      <c r="B6" s="52"/>
      <c r="C6" s="51"/>
      <c r="D6" s="52"/>
      <c r="E6" s="51"/>
      <c r="F6" s="51"/>
      <c r="G6" s="51"/>
      <c r="H6" s="53"/>
      <c r="I6" s="54"/>
      <c r="J6" s="55"/>
      <c r="K6" s="53"/>
      <c r="L6" s="54"/>
      <c r="M6" s="55"/>
      <c r="N6" s="1"/>
      <c r="O6" s="1"/>
      <c r="P6" s="87"/>
      <c r="Q6" s="87"/>
      <c r="R6" s="87"/>
      <c r="S6" s="87"/>
      <c r="T6" s="87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</row>
    <row r="7" spans="1:828" s="10" customFormat="1" ht="18" x14ac:dyDescent="0.2">
      <c r="A7" s="26"/>
      <c r="B7" s="52"/>
      <c r="C7" s="51"/>
      <c r="D7" s="52"/>
      <c r="E7" s="51"/>
      <c r="F7" s="51"/>
      <c r="G7" s="51"/>
      <c r="H7" s="53"/>
      <c r="I7" s="51"/>
      <c r="J7" s="52"/>
      <c r="K7" s="53"/>
      <c r="L7" s="51"/>
      <c r="M7" s="52"/>
      <c r="N7" s="1"/>
      <c r="O7" s="1"/>
      <c r="P7" s="87"/>
      <c r="Q7" s="87"/>
      <c r="R7" s="87"/>
      <c r="S7" s="87"/>
      <c r="T7" s="8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</row>
    <row r="8" spans="1:828" s="10" customFormat="1" ht="18" x14ac:dyDescent="0.2">
      <c r="A8" s="26"/>
      <c r="B8" s="52"/>
      <c r="C8" s="51"/>
      <c r="D8" s="52"/>
      <c r="E8" s="51"/>
      <c r="F8" s="51"/>
      <c r="G8" s="51"/>
      <c r="H8" s="53"/>
      <c r="I8" s="51"/>
      <c r="J8" s="52"/>
      <c r="K8" s="53"/>
      <c r="L8" s="51"/>
      <c r="M8" s="52"/>
      <c r="N8" s="1"/>
      <c r="O8" s="1"/>
      <c r="P8" s="87"/>
      <c r="Q8" s="87"/>
      <c r="R8" s="87"/>
      <c r="S8" s="87"/>
      <c r="T8" s="8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</row>
    <row r="9" spans="1:828" s="10" customFormat="1" ht="18" x14ac:dyDescent="0.2">
      <c r="A9" s="26"/>
      <c r="B9" s="52"/>
      <c r="C9" s="51"/>
      <c r="D9" s="52"/>
      <c r="E9" s="51"/>
      <c r="F9" s="51"/>
      <c r="G9" s="51"/>
      <c r="H9" s="53"/>
      <c r="I9" s="51"/>
      <c r="J9" s="52"/>
      <c r="K9" s="53"/>
      <c r="L9" s="51"/>
      <c r="M9" s="52"/>
      <c r="N9" s="1"/>
      <c r="O9" s="1"/>
      <c r="P9" s="87"/>
      <c r="Q9" s="87"/>
      <c r="R9" s="87"/>
      <c r="S9" s="87"/>
      <c r="T9" s="8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</row>
    <row r="10" spans="1:828" s="10" customFormat="1" ht="19" thickBot="1" x14ac:dyDescent="0.25">
      <c r="A10" s="26"/>
      <c r="B10" s="52"/>
      <c r="C10" s="51"/>
      <c r="D10" s="52"/>
      <c r="E10" s="51"/>
      <c r="F10" s="51"/>
      <c r="G10" s="51"/>
      <c r="H10" s="53"/>
      <c r="I10" s="51"/>
      <c r="J10" s="52"/>
      <c r="K10" s="53"/>
      <c r="L10" s="51"/>
      <c r="M10" s="52"/>
      <c r="N10" s="1"/>
      <c r="O10" s="1"/>
      <c r="P10" s="87"/>
      <c r="Q10" s="87"/>
      <c r="R10" s="87"/>
      <c r="S10" s="87"/>
      <c r="T10" s="8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</row>
    <row r="11" spans="1:828" s="7" customFormat="1" ht="19" x14ac:dyDescent="0.2">
      <c r="A11" s="22" t="s">
        <v>4</v>
      </c>
      <c r="B11" s="48">
        <f t="shared" ref="B11:B66" si="0">D11/$D$74</f>
        <v>0.28212743794040041</v>
      </c>
      <c r="C11" s="40" t="s">
        <v>26</v>
      </c>
      <c r="D11" s="41">
        <f>65534+9</f>
        <v>65543</v>
      </c>
      <c r="E11" s="40"/>
      <c r="F11" s="40"/>
      <c r="G11" s="40"/>
      <c r="H11" s="39">
        <f>J11/J74</f>
        <v>0.20742333434914614</v>
      </c>
      <c r="I11" s="40" t="s">
        <v>13</v>
      </c>
      <c r="J11" s="41">
        <v>110265</v>
      </c>
      <c r="K11" s="39"/>
      <c r="L11" s="40"/>
      <c r="M11" s="41"/>
      <c r="N11" s="1"/>
      <c r="O11" s="1"/>
      <c r="P11" s="87"/>
      <c r="Q11" s="87"/>
      <c r="R11" s="87"/>
      <c r="S11" s="87"/>
      <c r="T11" s="8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</row>
    <row r="12" spans="1:828" s="8" customFormat="1" ht="18" x14ac:dyDescent="0.2">
      <c r="A12" s="27"/>
      <c r="B12" s="43"/>
      <c r="C12" s="43"/>
      <c r="D12" s="44"/>
      <c r="E12" s="43"/>
      <c r="F12" s="43"/>
      <c r="G12" s="43"/>
      <c r="H12" s="42"/>
      <c r="I12" s="43"/>
      <c r="J12" s="44"/>
      <c r="K12" s="42"/>
      <c r="L12" s="43"/>
      <c r="M12" s="44"/>
      <c r="N12" s="1"/>
      <c r="O12" s="1"/>
      <c r="P12" s="87"/>
      <c r="Q12" s="87"/>
      <c r="R12" s="87"/>
      <c r="S12" s="87"/>
      <c r="T12" s="8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</row>
    <row r="13" spans="1:828" s="8" customFormat="1" ht="18" x14ac:dyDescent="0.2">
      <c r="A13" s="27"/>
      <c r="B13" s="43"/>
      <c r="C13" s="43"/>
      <c r="D13" s="44"/>
      <c r="E13" s="43"/>
      <c r="F13" s="43"/>
      <c r="G13" s="43"/>
      <c r="H13" s="42"/>
      <c r="I13" s="56"/>
      <c r="J13" s="57"/>
      <c r="K13" s="42"/>
      <c r="L13" s="56"/>
      <c r="M13" s="57"/>
      <c r="N13" s="1"/>
      <c r="O13" s="1"/>
      <c r="P13" s="87"/>
      <c r="Q13" s="87"/>
      <c r="R13" s="87"/>
      <c r="S13" s="87"/>
      <c r="T13" s="8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</row>
    <row r="14" spans="1:828" s="8" customFormat="1" ht="18" x14ac:dyDescent="0.2">
      <c r="A14" s="27"/>
      <c r="B14" s="43"/>
      <c r="C14" s="43"/>
      <c r="D14" s="44"/>
      <c r="E14" s="43"/>
      <c r="F14" s="43"/>
      <c r="G14" s="43"/>
      <c r="H14" s="42"/>
      <c r="I14" s="56"/>
      <c r="J14" s="57"/>
      <c r="K14" s="42"/>
      <c r="L14" s="56"/>
      <c r="M14" s="57"/>
      <c r="N14" s="1"/>
      <c r="O14" s="1"/>
      <c r="P14" s="87"/>
      <c r="Q14" s="87"/>
      <c r="R14" s="87"/>
      <c r="S14" s="87"/>
      <c r="T14" s="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</row>
    <row r="15" spans="1:828" s="8" customFormat="1" ht="18" x14ac:dyDescent="0.2">
      <c r="A15" s="27"/>
      <c r="B15" s="43"/>
      <c r="C15" s="43"/>
      <c r="D15" s="44"/>
      <c r="E15" s="43"/>
      <c r="F15" s="43"/>
      <c r="G15" s="43"/>
      <c r="H15" s="42"/>
      <c r="I15" s="56"/>
      <c r="J15" s="57"/>
      <c r="K15" s="42"/>
      <c r="L15" s="56"/>
      <c r="M15" s="57"/>
      <c r="N15" s="1"/>
      <c r="O15" s="1"/>
      <c r="P15" s="87"/>
      <c r="Q15" s="87"/>
      <c r="R15" s="87"/>
      <c r="S15" s="87"/>
      <c r="T15" s="8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</row>
    <row r="16" spans="1:828" s="8" customFormat="1" ht="18" x14ac:dyDescent="0.2">
      <c r="A16" s="27"/>
      <c r="B16" s="43"/>
      <c r="C16" s="43"/>
      <c r="D16" s="44"/>
      <c r="E16" s="43"/>
      <c r="F16" s="43"/>
      <c r="G16" s="43"/>
      <c r="H16" s="42"/>
      <c r="I16" s="56"/>
      <c r="J16" s="57"/>
      <c r="K16" s="42"/>
      <c r="L16" s="56"/>
      <c r="M16" s="57"/>
      <c r="N16" s="1"/>
      <c r="O16" s="1"/>
      <c r="P16" s="87"/>
      <c r="Q16" s="87"/>
      <c r="R16" s="87"/>
      <c r="S16" s="87"/>
      <c r="T16" s="8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</row>
    <row r="17" spans="1:828" s="8" customFormat="1" ht="18" x14ac:dyDescent="0.2">
      <c r="A17" s="27"/>
      <c r="B17" s="43"/>
      <c r="C17" s="43"/>
      <c r="D17" s="44"/>
      <c r="E17" s="43"/>
      <c r="F17" s="43"/>
      <c r="G17" s="43"/>
      <c r="H17" s="42"/>
      <c r="I17" s="56"/>
      <c r="J17" s="57"/>
      <c r="K17" s="42"/>
      <c r="L17" s="56"/>
      <c r="M17" s="57"/>
      <c r="N17" s="1"/>
      <c r="O17" s="1"/>
      <c r="P17" s="87"/>
      <c r="Q17" s="87"/>
      <c r="R17" s="87"/>
      <c r="S17" s="87"/>
      <c r="T17" s="8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</row>
    <row r="18" spans="1:828" s="8" customFormat="1" ht="18" x14ac:dyDescent="0.2">
      <c r="A18" s="27"/>
      <c r="B18" s="43"/>
      <c r="C18" s="43"/>
      <c r="D18" s="44"/>
      <c r="E18" s="43"/>
      <c r="F18" s="43"/>
      <c r="G18" s="43"/>
      <c r="H18" s="42"/>
      <c r="I18" s="56"/>
      <c r="J18" s="57"/>
      <c r="K18" s="42"/>
      <c r="L18" s="56"/>
      <c r="M18" s="57"/>
      <c r="N18" s="1"/>
      <c r="O18" s="1"/>
      <c r="P18" s="87"/>
      <c r="Q18" s="87"/>
      <c r="R18" s="87"/>
      <c r="S18" s="87"/>
      <c r="T18" s="8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</row>
    <row r="19" spans="1:828" s="8" customFormat="1" ht="19" thickBot="1" x14ac:dyDescent="0.25">
      <c r="A19" s="23"/>
      <c r="B19" s="43"/>
      <c r="C19" s="43"/>
      <c r="D19" s="44"/>
      <c r="E19" s="43"/>
      <c r="F19" s="43"/>
      <c r="G19" s="43"/>
      <c r="H19" s="42"/>
      <c r="I19" s="43"/>
      <c r="J19" s="44"/>
      <c r="K19" s="42"/>
      <c r="L19" s="43"/>
      <c r="M19" s="44"/>
      <c r="N19" s="1"/>
      <c r="O19" s="1"/>
      <c r="P19" s="87"/>
      <c r="Q19" s="87"/>
      <c r="R19" s="87"/>
      <c r="S19" s="87"/>
      <c r="T19" s="8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</row>
    <row r="20" spans="1:828" s="9" customFormat="1" ht="19" x14ac:dyDescent="0.2">
      <c r="A20" s="25" t="s">
        <v>5</v>
      </c>
      <c r="B20" s="92">
        <f t="shared" si="0"/>
        <v>6.1945531321427189E-2</v>
      </c>
      <c r="C20" s="49" t="s">
        <v>27</v>
      </c>
      <c r="D20" s="50">
        <f>14365+26</f>
        <v>14391</v>
      </c>
      <c r="E20" s="49"/>
      <c r="F20" s="49"/>
      <c r="G20" s="49"/>
      <c r="H20" s="48">
        <f>SUM(J20:J23)/J74</f>
        <v>4.9857598091776804E-2</v>
      </c>
      <c r="I20" s="49" t="s">
        <v>17</v>
      </c>
      <c r="J20" s="50">
        <f>2286+170</f>
        <v>2456</v>
      </c>
      <c r="K20" s="48"/>
      <c r="L20" s="49"/>
      <c r="M20" s="50"/>
      <c r="N20" s="1"/>
      <c r="O20" s="1"/>
      <c r="P20" s="87"/>
      <c r="Q20" s="87"/>
      <c r="R20" s="87"/>
      <c r="S20" s="87"/>
      <c r="T20" s="8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</row>
    <row r="21" spans="1:828" s="10" customFormat="1" ht="18" x14ac:dyDescent="0.2">
      <c r="A21" s="26"/>
      <c r="B21" s="51"/>
      <c r="C21" s="51"/>
      <c r="D21" s="52"/>
      <c r="E21" s="51"/>
      <c r="F21" s="51"/>
      <c r="G21" s="51"/>
      <c r="H21" s="53"/>
      <c r="I21" s="51" t="s">
        <v>18</v>
      </c>
      <c r="J21" s="52">
        <f>16624+3325</f>
        <v>19949</v>
      </c>
      <c r="K21" s="53"/>
      <c r="L21" s="51"/>
      <c r="M21" s="52"/>
      <c r="N21" s="1"/>
      <c r="O21" s="1"/>
      <c r="P21" s="87"/>
      <c r="Q21" s="87"/>
      <c r="R21" s="87"/>
      <c r="S21" s="87"/>
      <c r="T21" s="8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</row>
    <row r="22" spans="1:828" s="10" customFormat="1" ht="18" x14ac:dyDescent="0.2">
      <c r="A22" s="26"/>
      <c r="B22" s="51"/>
      <c r="C22" s="51"/>
      <c r="D22" s="52"/>
      <c r="E22" s="51"/>
      <c r="F22" s="51"/>
      <c r="G22" s="51"/>
      <c r="H22" s="53"/>
      <c r="I22" s="51" t="s">
        <v>102</v>
      </c>
      <c r="J22" s="52">
        <f>849+159</f>
        <v>1008</v>
      </c>
      <c r="K22" s="53"/>
      <c r="L22" s="51"/>
      <c r="M22" s="52"/>
      <c r="N22" s="1"/>
      <c r="O22" s="1"/>
      <c r="P22" s="87"/>
      <c r="Q22" s="87"/>
      <c r="R22" s="87"/>
      <c r="S22" s="87"/>
      <c r="T22" s="8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</row>
    <row r="23" spans="1:828" s="10" customFormat="1" ht="18" x14ac:dyDescent="0.2">
      <c r="A23" s="26"/>
      <c r="B23" s="51"/>
      <c r="C23" s="51"/>
      <c r="D23" s="52"/>
      <c r="E23" s="51"/>
      <c r="F23" s="51"/>
      <c r="G23" s="51"/>
      <c r="H23" s="53"/>
      <c r="I23" s="51" t="s">
        <v>103</v>
      </c>
      <c r="J23" s="52">
        <f>2607+484</f>
        <v>3091</v>
      </c>
      <c r="K23" s="53"/>
      <c r="L23" s="51"/>
      <c r="M23" s="52"/>
      <c r="N23" s="1"/>
      <c r="O23" s="1"/>
      <c r="P23" s="87"/>
      <c r="Q23" s="87"/>
      <c r="R23" s="87"/>
      <c r="S23" s="87"/>
      <c r="T23" s="8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</row>
    <row r="24" spans="1:828" s="10" customFormat="1" ht="18" x14ac:dyDescent="0.2">
      <c r="A24" s="26"/>
      <c r="B24" s="51"/>
      <c r="C24" s="51"/>
      <c r="D24" s="52"/>
      <c r="E24" s="51"/>
      <c r="F24" s="51"/>
      <c r="G24" s="51"/>
      <c r="H24" s="53"/>
      <c r="I24" s="51"/>
      <c r="J24" s="52"/>
      <c r="K24" s="53"/>
      <c r="L24" s="51"/>
      <c r="M24" s="52"/>
      <c r="N24" s="1"/>
      <c r="O24" s="1"/>
      <c r="P24" s="87"/>
      <c r="Q24" s="87"/>
      <c r="R24" s="87"/>
      <c r="S24" s="87"/>
      <c r="T24" s="8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</row>
    <row r="25" spans="1:828" s="10" customFormat="1" ht="18" x14ac:dyDescent="0.2">
      <c r="A25" s="26"/>
      <c r="B25" s="51"/>
      <c r="C25" s="51"/>
      <c r="D25" s="52"/>
      <c r="E25" s="51"/>
      <c r="F25" s="51"/>
      <c r="G25" s="51"/>
      <c r="H25" s="53"/>
      <c r="I25" s="51"/>
      <c r="J25" s="52"/>
      <c r="K25" s="53"/>
      <c r="L25" s="51"/>
      <c r="M25" s="52"/>
      <c r="N25" s="1"/>
      <c r="O25" s="1"/>
      <c r="P25" s="87"/>
      <c r="Q25" s="87"/>
      <c r="R25" s="87"/>
      <c r="S25" s="87"/>
      <c r="T25" s="8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</row>
    <row r="26" spans="1:828" s="10" customFormat="1" ht="18" x14ac:dyDescent="0.2">
      <c r="A26" s="26"/>
      <c r="B26" s="51"/>
      <c r="C26" s="51"/>
      <c r="D26" s="52"/>
      <c r="E26" s="51"/>
      <c r="F26" s="51"/>
      <c r="G26" s="51"/>
      <c r="H26" s="53"/>
      <c r="I26" s="51"/>
      <c r="J26" s="52"/>
      <c r="K26" s="53"/>
      <c r="L26" s="51"/>
      <c r="M26" s="52"/>
      <c r="N26" s="1"/>
      <c r="O26" s="1"/>
      <c r="P26" s="87"/>
      <c r="Q26" s="87"/>
      <c r="R26" s="87"/>
      <c r="S26" s="87"/>
      <c r="T26" s="8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</row>
    <row r="27" spans="1:828" s="11" customFormat="1" ht="19" thickBot="1" x14ac:dyDescent="0.25">
      <c r="A27" s="28"/>
      <c r="B27" s="51"/>
      <c r="C27" s="59"/>
      <c r="D27" s="60"/>
      <c r="E27" s="59"/>
      <c r="F27" s="59"/>
      <c r="G27" s="59"/>
      <c r="H27" s="58"/>
      <c r="I27" s="59"/>
      <c r="J27" s="60"/>
      <c r="K27" s="58"/>
      <c r="L27" s="59"/>
      <c r="M27" s="60"/>
      <c r="N27" s="1"/>
      <c r="O27" s="1"/>
      <c r="P27" s="87"/>
      <c r="Q27" s="87"/>
      <c r="R27" s="87"/>
      <c r="S27" s="87"/>
      <c r="T27" s="8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</row>
    <row r="28" spans="1:828" s="8" customFormat="1" ht="19" x14ac:dyDescent="0.2">
      <c r="A28" s="23" t="s">
        <v>0</v>
      </c>
      <c r="B28" s="93">
        <f t="shared" si="0"/>
        <v>3.839581261810371E-3</v>
      </c>
      <c r="C28" s="43" t="s">
        <v>28</v>
      </c>
      <c r="D28" s="44">
        <f>885+7</f>
        <v>892</v>
      </c>
      <c r="E28" s="43"/>
      <c r="F28" s="43"/>
      <c r="G28" s="43"/>
      <c r="H28" s="61">
        <f>J28/J74</f>
        <v>1.0673559144760852E-2</v>
      </c>
      <c r="I28" s="43" t="s">
        <v>16</v>
      </c>
      <c r="J28" s="44">
        <f>5614+60</f>
        <v>5674</v>
      </c>
      <c r="K28" s="61"/>
      <c r="L28" s="43"/>
      <c r="M28" s="44"/>
      <c r="N28" s="1"/>
      <c r="O28" s="1"/>
      <c r="P28" s="87"/>
      <c r="Q28" s="87"/>
      <c r="R28" s="87"/>
      <c r="S28" s="87"/>
      <c r="T28" s="8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</row>
    <row r="29" spans="1:828" s="8" customFormat="1" ht="18" x14ac:dyDescent="0.2">
      <c r="A29" s="23"/>
      <c r="B29" s="43"/>
      <c r="C29" s="43"/>
      <c r="D29" s="44"/>
      <c r="E29" s="43"/>
      <c r="F29" s="43"/>
      <c r="G29" s="43"/>
      <c r="H29" s="42"/>
      <c r="I29" s="43"/>
      <c r="J29" s="44"/>
      <c r="K29" s="42"/>
      <c r="L29" s="43"/>
      <c r="M29" s="44"/>
      <c r="N29" s="1"/>
      <c r="O29" s="1"/>
      <c r="P29" s="87"/>
      <c r="Q29" s="87"/>
      <c r="R29" s="87"/>
      <c r="S29" s="87"/>
      <c r="T29" s="8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</row>
    <row r="30" spans="1:828" s="8" customFormat="1" ht="18" x14ac:dyDescent="0.2">
      <c r="A30" s="23"/>
      <c r="B30" s="43"/>
      <c r="C30" s="43"/>
      <c r="D30" s="44"/>
      <c r="E30" s="43"/>
      <c r="F30" s="43"/>
      <c r="G30" s="43"/>
      <c r="H30" s="42"/>
      <c r="I30" s="43"/>
      <c r="J30" s="44"/>
      <c r="K30" s="42"/>
      <c r="L30" s="43"/>
      <c r="M30" s="44"/>
      <c r="N30" s="1"/>
      <c r="O30" s="1"/>
      <c r="P30" s="87"/>
      <c r="Q30" s="87"/>
      <c r="R30" s="87"/>
      <c r="S30" s="87"/>
      <c r="T30" s="8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</row>
    <row r="31" spans="1:828" s="8" customFormat="1" ht="18" x14ac:dyDescent="0.2">
      <c r="A31" s="23"/>
      <c r="B31" s="43"/>
      <c r="C31" s="43"/>
      <c r="D31" s="44"/>
      <c r="E31" s="43"/>
      <c r="F31" s="43"/>
      <c r="G31" s="43"/>
      <c r="H31" s="42"/>
      <c r="I31" s="43"/>
      <c r="J31" s="44"/>
      <c r="K31" s="42"/>
      <c r="L31" s="43"/>
      <c r="M31" s="44"/>
      <c r="N31" s="1"/>
      <c r="O31" s="1"/>
      <c r="P31" s="87"/>
      <c r="Q31" s="87"/>
      <c r="R31" s="87"/>
      <c r="S31" s="87"/>
      <c r="T31" s="8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</row>
    <row r="32" spans="1:828" s="8" customFormat="1" ht="18" x14ac:dyDescent="0.2">
      <c r="A32" s="23"/>
      <c r="B32" s="43"/>
      <c r="C32" s="43"/>
      <c r="D32" s="44"/>
      <c r="E32" s="43"/>
      <c r="F32" s="43"/>
      <c r="G32" s="43"/>
      <c r="H32" s="42"/>
      <c r="I32" s="43"/>
      <c r="J32" s="44"/>
      <c r="K32" s="42"/>
      <c r="L32" s="43"/>
      <c r="M32" s="44"/>
      <c r="N32" s="1"/>
      <c r="O32" s="1"/>
      <c r="P32" s="87"/>
      <c r="Q32" s="87"/>
      <c r="R32" s="87"/>
      <c r="S32" s="87"/>
      <c r="T32" s="8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</row>
    <row r="33" spans="1:828" s="8" customFormat="1" ht="19" thickBot="1" x14ac:dyDescent="0.25">
      <c r="A33" s="24"/>
      <c r="B33" s="43"/>
      <c r="C33" s="46"/>
      <c r="D33" s="47"/>
      <c r="E33" s="46"/>
      <c r="F33" s="46"/>
      <c r="G33" s="46"/>
      <c r="H33" s="45"/>
      <c r="I33" s="46"/>
      <c r="J33" s="47"/>
      <c r="K33" s="45"/>
      <c r="L33" s="46"/>
      <c r="M33" s="47"/>
      <c r="N33" s="1"/>
      <c r="O33" s="1"/>
      <c r="P33" s="87"/>
      <c r="Q33" s="87"/>
      <c r="R33" s="87"/>
      <c r="S33" s="87"/>
      <c r="T33" s="8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</row>
    <row r="34" spans="1:828" s="10" customFormat="1" ht="19" x14ac:dyDescent="0.2">
      <c r="A34" s="25" t="s">
        <v>147</v>
      </c>
      <c r="B34" s="94">
        <f t="shared" si="0"/>
        <v>6.1304166290026128E-2</v>
      </c>
      <c r="C34" s="49" t="s">
        <v>118</v>
      </c>
      <c r="D34" s="50">
        <f>draft!D35+draft!D36+draft!D37</f>
        <v>14242</v>
      </c>
      <c r="E34" s="94">
        <f>SUM(G34:G41)/D74</f>
        <v>0.19672258164490761</v>
      </c>
      <c r="F34" s="51" t="s">
        <v>121</v>
      </c>
      <c r="G34" s="52">
        <f>3204+122+2</f>
        <v>3328</v>
      </c>
      <c r="H34" s="48">
        <f>SUM(J34:J38)/J74</f>
        <v>2.4616530660616937E-2</v>
      </c>
      <c r="I34" s="49" t="s">
        <v>14</v>
      </c>
      <c r="J34" s="50">
        <f>1461+11409</f>
        <v>12870</v>
      </c>
      <c r="K34" s="48">
        <f>SUM(M34:M42)/J74</f>
        <v>0.10643649100629428</v>
      </c>
      <c r="L34" s="49" t="s">
        <v>134</v>
      </c>
      <c r="M34" s="50">
        <f>282+1644+27+2</f>
        <v>1955</v>
      </c>
      <c r="N34" s="1"/>
      <c r="O34" s="1"/>
      <c r="P34" s="87"/>
      <c r="Q34" s="87"/>
      <c r="R34" s="87"/>
      <c r="S34" s="87"/>
      <c r="T34" s="8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</row>
    <row r="35" spans="1:828" s="10" customFormat="1" ht="18" x14ac:dyDescent="0.2">
      <c r="A35" s="88"/>
      <c r="D35" s="52"/>
      <c r="E35" s="51"/>
      <c r="F35" s="51" t="s">
        <v>111</v>
      </c>
      <c r="G35" s="52">
        <f>296+49+3</f>
        <v>348</v>
      </c>
      <c r="H35" s="70"/>
      <c r="I35" s="51"/>
      <c r="J35" s="52"/>
      <c r="K35" s="70"/>
      <c r="L35" s="51" t="s">
        <v>136</v>
      </c>
      <c r="M35" s="52">
        <f>10105+34296+2885+62</f>
        <v>47348</v>
      </c>
      <c r="N35" s="1"/>
      <c r="O35" s="1"/>
      <c r="P35" s="87"/>
      <c r="Q35" s="87"/>
      <c r="R35" s="87"/>
      <c r="S35" s="87"/>
      <c r="T35" s="8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</row>
    <row r="36" spans="1:828" s="10" customFormat="1" ht="18" x14ac:dyDescent="0.2">
      <c r="A36" s="26"/>
      <c r="D36" s="52"/>
      <c r="E36" s="51"/>
      <c r="F36" s="51" t="s">
        <v>113</v>
      </c>
      <c r="G36" s="52">
        <v>1663</v>
      </c>
      <c r="H36" s="53"/>
      <c r="I36" s="51" t="s">
        <v>100</v>
      </c>
      <c r="J36" s="52">
        <f>2+115</f>
        <v>117</v>
      </c>
      <c r="K36" s="53"/>
      <c r="L36" s="51" t="s">
        <v>139</v>
      </c>
      <c r="M36" s="52">
        <f>26+256</f>
        <v>282</v>
      </c>
      <c r="N36" s="1"/>
      <c r="O36" s="1"/>
      <c r="P36" s="87"/>
      <c r="Q36" s="87"/>
      <c r="R36" s="87"/>
      <c r="S36" s="87"/>
      <c r="T36" s="8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</row>
    <row r="37" spans="1:828" s="10" customFormat="1" ht="18" x14ac:dyDescent="0.2">
      <c r="A37" s="26"/>
      <c r="D37" s="52"/>
      <c r="E37" s="51"/>
      <c r="F37" s="51" t="s">
        <v>112</v>
      </c>
      <c r="G37" s="52">
        <v>38029</v>
      </c>
      <c r="H37" s="53"/>
      <c r="I37" s="51" t="s">
        <v>22</v>
      </c>
      <c r="J37" s="52">
        <f>8+49</f>
        <v>57</v>
      </c>
      <c r="K37" s="53"/>
      <c r="L37" s="51"/>
      <c r="M37" s="52"/>
      <c r="N37" s="1"/>
      <c r="O37" s="1"/>
      <c r="P37" s="87"/>
      <c r="Q37" s="87"/>
      <c r="R37" s="87"/>
      <c r="S37" s="87"/>
      <c r="T37" s="8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</row>
    <row r="38" spans="1:828" s="10" customFormat="1" ht="18" x14ac:dyDescent="0.2">
      <c r="A38" s="26"/>
      <c r="D38" s="52"/>
      <c r="E38" s="51"/>
      <c r="F38" s="10" t="s">
        <v>124</v>
      </c>
      <c r="G38" s="52">
        <v>497</v>
      </c>
      <c r="H38" s="53"/>
      <c r="I38" s="51" t="s">
        <v>101</v>
      </c>
      <c r="J38" s="52">
        <f>2+40</f>
        <v>42</v>
      </c>
      <c r="K38" s="53"/>
      <c r="L38" s="51" t="s">
        <v>140</v>
      </c>
      <c r="M38" s="52">
        <f>781+1398+85+2</f>
        <v>2266</v>
      </c>
      <c r="N38" s="1"/>
      <c r="O38" s="1"/>
      <c r="P38" s="87"/>
      <c r="Q38" s="87"/>
      <c r="R38" s="87"/>
      <c r="S38" s="87"/>
      <c r="T38" s="8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</row>
    <row r="39" spans="1:828" s="10" customFormat="1" ht="18" x14ac:dyDescent="0.2">
      <c r="A39" s="26"/>
      <c r="D39" s="52"/>
      <c r="E39" s="51"/>
      <c r="F39" s="10" t="s">
        <v>125</v>
      </c>
      <c r="G39" s="52">
        <v>30</v>
      </c>
      <c r="H39" s="53"/>
      <c r="I39" s="51"/>
      <c r="J39" s="52"/>
      <c r="K39" s="53"/>
      <c r="L39" s="51" t="s">
        <v>142</v>
      </c>
      <c r="M39" s="52">
        <f>614+1552+83</f>
        <v>2249</v>
      </c>
      <c r="N39" s="1"/>
      <c r="O39" s="1"/>
      <c r="P39" s="87"/>
      <c r="Q39" s="87"/>
      <c r="R39" s="87"/>
      <c r="S39" s="87"/>
      <c r="T39" s="8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</row>
    <row r="40" spans="1:828" s="10" customFormat="1" ht="18" x14ac:dyDescent="0.2">
      <c r="A40" s="26"/>
      <c r="D40" s="52"/>
      <c r="E40" s="51"/>
      <c r="F40" s="51" t="s">
        <v>126</v>
      </c>
      <c r="G40" s="52">
        <v>1793</v>
      </c>
      <c r="H40" s="53"/>
      <c r="I40" s="51"/>
      <c r="J40" s="52"/>
      <c r="K40" s="53"/>
      <c r="L40" s="51" t="s">
        <v>144</v>
      </c>
      <c r="M40" s="52">
        <f>185+202+9</f>
        <v>396</v>
      </c>
      <c r="N40" s="1"/>
      <c r="O40" s="1"/>
      <c r="P40" s="87"/>
      <c r="Q40" s="87"/>
      <c r="R40" s="87"/>
      <c r="S40" s="87"/>
      <c r="T40" s="8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</row>
    <row r="41" spans="1:828" s="10" customFormat="1" ht="18" x14ac:dyDescent="0.2">
      <c r="A41" s="26"/>
      <c r="D41" s="52"/>
      <c r="E41" s="51"/>
      <c r="F41" s="51" t="s">
        <v>131</v>
      </c>
      <c r="G41" s="52">
        <v>14</v>
      </c>
      <c r="H41" s="53"/>
      <c r="I41" s="51"/>
      <c r="J41" s="52"/>
      <c r="K41" s="53"/>
      <c r="L41" s="51" t="s">
        <v>145</v>
      </c>
      <c r="M41" s="52">
        <f>760+1012+156+10</f>
        <v>1938</v>
      </c>
      <c r="N41" s="1"/>
      <c r="O41" s="1"/>
      <c r="P41" s="87"/>
      <c r="Q41" s="87"/>
      <c r="R41" s="87"/>
      <c r="S41" s="87"/>
      <c r="T41" s="8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</row>
    <row r="42" spans="1:828" s="10" customFormat="1" ht="18" x14ac:dyDescent="0.2">
      <c r="A42" s="26"/>
      <c r="D42" s="52"/>
      <c r="E42" s="51"/>
      <c r="F42" s="51"/>
      <c r="G42" s="51"/>
      <c r="H42" s="53"/>
      <c r="I42" s="51"/>
      <c r="J42" s="52"/>
      <c r="K42" s="53"/>
      <c r="L42" s="51" t="s">
        <v>146</v>
      </c>
      <c r="M42" s="52">
        <f>71+68+8</f>
        <v>147</v>
      </c>
      <c r="N42" s="1"/>
      <c r="O42" s="1"/>
      <c r="P42" s="87"/>
      <c r="Q42" s="87"/>
      <c r="R42" s="87"/>
      <c r="S42" s="87"/>
      <c r="T42" s="8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</row>
    <row r="43" spans="1:828" s="10" customFormat="1" ht="18" x14ac:dyDescent="0.2">
      <c r="A43" s="26"/>
      <c r="C43" s="51"/>
      <c r="D43" s="52"/>
      <c r="E43" s="51"/>
      <c r="F43" s="51"/>
      <c r="G43" s="51"/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</row>
    <row r="44" spans="1:828" s="10" customFormat="1" ht="18" x14ac:dyDescent="0.2">
      <c r="A44" s="26"/>
      <c r="C44" s="51"/>
      <c r="D44" s="52"/>
      <c r="E44" s="51"/>
      <c r="F44" s="51"/>
      <c r="G44" s="51"/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</row>
    <row r="45" spans="1:828" s="10" customFormat="1" ht="18" x14ac:dyDescent="0.2">
      <c r="A45" s="26"/>
      <c r="C45" s="51"/>
      <c r="D45" s="52"/>
      <c r="E45" s="51"/>
      <c r="F45" s="51"/>
      <c r="G45" s="51"/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</row>
    <row r="46" spans="1:828" s="10" customFormat="1" ht="18" x14ac:dyDescent="0.2">
      <c r="A46" s="26"/>
      <c r="C46" s="51"/>
      <c r="D46" s="52"/>
      <c r="E46" s="51"/>
      <c r="F46" s="51"/>
      <c r="G46" s="51"/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</row>
    <row r="47" spans="1:828" s="80" customFormat="1" ht="19" x14ac:dyDescent="0.2">
      <c r="A47" s="78" t="s">
        <v>116</v>
      </c>
      <c r="B47" s="76">
        <f t="shared" si="0"/>
        <v>2.21679859846675E-3</v>
      </c>
      <c r="C47" s="79" t="s">
        <v>117</v>
      </c>
      <c r="D47" s="66">
        <v>515</v>
      </c>
      <c r="E47" s="95">
        <f>SUM(G47:G49)/D74</f>
        <v>4.9501327926927434E-3</v>
      </c>
      <c r="F47" s="90" t="s">
        <v>127</v>
      </c>
      <c r="G47" s="90">
        <f>898+140+14</f>
        <v>1052</v>
      </c>
      <c r="H47" s="65">
        <f>J47/J74</f>
        <v>9.3417156702295355E-3</v>
      </c>
      <c r="I47" s="79" t="s">
        <v>19</v>
      </c>
      <c r="J47" s="66">
        <f>806+4160</f>
        <v>4966</v>
      </c>
      <c r="K47" s="65">
        <f>SUM(M47:M49)/J74</f>
        <v>1.1860555235762632E-2</v>
      </c>
      <c r="L47" s="79" t="s">
        <v>133</v>
      </c>
      <c r="M47" s="66">
        <f>1439+4046+114+2</f>
        <v>5601</v>
      </c>
      <c r="N47" s="81"/>
      <c r="O47" s="1"/>
      <c r="P47" s="1"/>
      <c r="Q47" s="1"/>
      <c r="R47" s="1"/>
      <c r="S47" s="1"/>
      <c r="T47" s="1"/>
      <c r="U47" s="1"/>
      <c r="V47" s="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1"/>
      <c r="FH47" s="81"/>
      <c r="FI47" s="81"/>
      <c r="FJ47" s="81"/>
      <c r="FK47" s="81"/>
      <c r="FL47" s="81"/>
      <c r="FM47" s="81"/>
      <c r="FN47" s="81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81"/>
      <c r="HK47" s="81"/>
      <c r="HL47" s="81"/>
      <c r="HM47" s="81"/>
      <c r="HN47" s="81"/>
      <c r="HO47" s="81"/>
      <c r="HP47" s="81"/>
      <c r="HQ47" s="81"/>
      <c r="HR47" s="81"/>
      <c r="HS47" s="81"/>
      <c r="HT47" s="81"/>
      <c r="HU47" s="81"/>
      <c r="HV47" s="81"/>
      <c r="HW47" s="81"/>
      <c r="HX47" s="81"/>
      <c r="HY47" s="81"/>
      <c r="HZ47" s="81"/>
      <c r="IA47" s="81"/>
      <c r="IB47" s="81"/>
      <c r="IC47" s="81"/>
      <c r="ID47" s="81"/>
      <c r="IE47" s="81"/>
      <c r="IF47" s="81"/>
      <c r="IG47" s="81"/>
      <c r="IH47" s="81"/>
      <c r="II47" s="81"/>
      <c r="IJ47" s="81"/>
      <c r="IK47" s="81"/>
      <c r="IL47" s="81"/>
      <c r="IM47" s="81"/>
      <c r="IN47" s="81"/>
      <c r="IO47" s="81"/>
      <c r="IP47" s="81"/>
      <c r="IQ47" s="81"/>
      <c r="IR47" s="81"/>
      <c r="IS47" s="81"/>
      <c r="IT47" s="81"/>
      <c r="IU47" s="81"/>
      <c r="IV47" s="81"/>
      <c r="IW47" s="81"/>
      <c r="IX47" s="81"/>
      <c r="IY47" s="81"/>
      <c r="IZ47" s="81"/>
      <c r="JA47" s="81"/>
      <c r="JB47" s="81"/>
      <c r="JC47" s="81"/>
      <c r="JD47" s="81"/>
      <c r="JE47" s="81"/>
      <c r="JF47" s="81"/>
      <c r="JG47" s="81"/>
      <c r="JH47" s="81"/>
      <c r="JI47" s="81"/>
      <c r="JJ47" s="81"/>
      <c r="JK47" s="81"/>
      <c r="JL47" s="81"/>
      <c r="JM47" s="81"/>
      <c r="JN47" s="81"/>
      <c r="JO47" s="81"/>
      <c r="JP47" s="81"/>
      <c r="JQ47" s="81"/>
      <c r="JR47" s="81"/>
      <c r="JS47" s="81"/>
      <c r="JT47" s="81"/>
      <c r="JU47" s="81"/>
      <c r="JV47" s="81"/>
      <c r="JW47" s="81"/>
      <c r="JX47" s="81"/>
      <c r="JY47" s="81"/>
      <c r="JZ47" s="81"/>
      <c r="KA47" s="81"/>
      <c r="KB47" s="81"/>
      <c r="KC47" s="81"/>
      <c r="KD47" s="81"/>
      <c r="KE47" s="81"/>
      <c r="KF47" s="81"/>
      <c r="KG47" s="81"/>
      <c r="KH47" s="81"/>
      <c r="KI47" s="81"/>
      <c r="KJ47" s="81"/>
      <c r="KK47" s="81"/>
      <c r="KL47" s="81"/>
      <c r="KM47" s="81"/>
      <c r="KN47" s="81"/>
      <c r="KO47" s="81"/>
      <c r="KP47" s="81"/>
      <c r="KQ47" s="81"/>
      <c r="KR47" s="81"/>
      <c r="KS47" s="81"/>
      <c r="KT47" s="81"/>
      <c r="KU47" s="81"/>
      <c r="KV47" s="81"/>
      <c r="KW47" s="81"/>
      <c r="KX47" s="81"/>
      <c r="KY47" s="81"/>
      <c r="KZ47" s="81"/>
      <c r="LA47" s="81"/>
      <c r="LB47" s="81"/>
      <c r="LC47" s="81"/>
      <c r="LD47" s="81"/>
      <c r="LE47" s="81"/>
      <c r="LF47" s="81"/>
      <c r="LG47" s="81"/>
      <c r="LH47" s="81"/>
      <c r="LI47" s="81"/>
      <c r="LJ47" s="81"/>
      <c r="LK47" s="81"/>
      <c r="LL47" s="81"/>
      <c r="LM47" s="81"/>
      <c r="LN47" s="81"/>
      <c r="LO47" s="81"/>
      <c r="LP47" s="81"/>
      <c r="LQ47" s="81"/>
      <c r="LR47" s="81"/>
      <c r="LS47" s="81"/>
      <c r="LT47" s="81"/>
      <c r="LU47" s="81"/>
      <c r="LV47" s="81"/>
      <c r="LW47" s="81"/>
      <c r="LX47" s="81"/>
      <c r="LY47" s="81"/>
      <c r="LZ47" s="81"/>
      <c r="MA47" s="81"/>
      <c r="MB47" s="81"/>
      <c r="MC47" s="81"/>
      <c r="MD47" s="81"/>
      <c r="ME47" s="81"/>
      <c r="MF47" s="81"/>
      <c r="MG47" s="81"/>
      <c r="MH47" s="81"/>
      <c r="MI47" s="81"/>
      <c r="MJ47" s="81"/>
      <c r="MK47" s="81"/>
      <c r="ML47" s="81"/>
      <c r="MM47" s="81"/>
      <c r="MN47" s="81"/>
      <c r="MO47" s="81"/>
      <c r="MP47" s="81"/>
      <c r="MQ47" s="81"/>
      <c r="MR47" s="81"/>
      <c r="MS47" s="81"/>
      <c r="MT47" s="81"/>
      <c r="MU47" s="81"/>
      <c r="MV47" s="81"/>
      <c r="MW47" s="81"/>
      <c r="MX47" s="81"/>
      <c r="MY47" s="81"/>
      <c r="MZ47" s="81"/>
      <c r="NA47" s="81"/>
      <c r="NB47" s="81"/>
      <c r="NC47" s="81"/>
      <c r="ND47" s="81"/>
      <c r="NE47" s="81"/>
      <c r="NF47" s="81"/>
      <c r="NG47" s="81"/>
      <c r="NH47" s="81"/>
      <c r="NI47" s="81"/>
      <c r="NJ47" s="81"/>
      <c r="NK47" s="81"/>
      <c r="NL47" s="81"/>
      <c r="NM47" s="81"/>
      <c r="NN47" s="81"/>
      <c r="NO47" s="81"/>
      <c r="NP47" s="81"/>
      <c r="NQ47" s="81"/>
      <c r="NR47" s="81"/>
      <c r="NS47" s="81"/>
      <c r="NT47" s="81"/>
      <c r="NU47" s="81"/>
      <c r="NV47" s="81"/>
      <c r="NW47" s="81"/>
      <c r="NX47" s="81"/>
      <c r="NY47" s="81"/>
      <c r="NZ47" s="81"/>
      <c r="OA47" s="81"/>
      <c r="OB47" s="81"/>
      <c r="OC47" s="81"/>
      <c r="OD47" s="81"/>
      <c r="OE47" s="81"/>
      <c r="OF47" s="81"/>
      <c r="OG47" s="81"/>
      <c r="OH47" s="81"/>
      <c r="OI47" s="81"/>
      <c r="OJ47" s="81"/>
      <c r="OK47" s="81"/>
      <c r="OL47" s="81"/>
      <c r="OM47" s="81"/>
      <c r="ON47" s="81"/>
      <c r="OO47" s="81"/>
      <c r="OP47" s="81"/>
      <c r="OQ47" s="81"/>
      <c r="OR47" s="81"/>
      <c r="OS47" s="81"/>
      <c r="OT47" s="81"/>
      <c r="OU47" s="81"/>
      <c r="OV47" s="81"/>
      <c r="OW47" s="81"/>
      <c r="OX47" s="81"/>
      <c r="OY47" s="81"/>
      <c r="OZ47" s="81"/>
      <c r="PA47" s="81"/>
      <c r="PB47" s="81"/>
      <c r="PC47" s="81"/>
      <c r="PD47" s="81"/>
      <c r="PE47" s="81"/>
      <c r="PF47" s="81"/>
      <c r="PG47" s="81"/>
      <c r="PH47" s="81"/>
      <c r="PI47" s="81"/>
      <c r="PJ47" s="81"/>
      <c r="PK47" s="81"/>
      <c r="PL47" s="81"/>
      <c r="PM47" s="81"/>
      <c r="PN47" s="81"/>
      <c r="PO47" s="81"/>
      <c r="PP47" s="81"/>
      <c r="PQ47" s="81"/>
      <c r="PR47" s="81"/>
      <c r="PS47" s="81"/>
      <c r="PT47" s="81"/>
      <c r="PU47" s="81"/>
      <c r="PV47" s="81"/>
      <c r="PW47" s="81"/>
      <c r="PX47" s="81"/>
      <c r="PY47" s="81"/>
      <c r="PZ47" s="81"/>
      <c r="QA47" s="81"/>
      <c r="QB47" s="81"/>
      <c r="QC47" s="81"/>
      <c r="QD47" s="81"/>
      <c r="QE47" s="81"/>
      <c r="QF47" s="81"/>
      <c r="QG47" s="81"/>
      <c r="QH47" s="81"/>
      <c r="QI47" s="81"/>
      <c r="QJ47" s="81"/>
      <c r="QK47" s="81"/>
      <c r="QL47" s="81"/>
      <c r="QM47" s="81"/>
      <c r="QN47" s="81"/>
      <c r="QO47" s="81"/>
      <c r="QP47" s="81"/>
      <c r="QQ47" s="81"/>
      <c r="QR47" s="81"/>
      <c r="QS47" s="81"/>
      <c r="QT47" s="81"/>
      <c r="QU47" s="81"/>
      <c r="QV47" s="81"/>
      <c r="QW47" s="81"/>
      <c r="QX47" s="81"/>
      <c r="QY47" s="81"/>
      <c r="QZ47" s="81"/>
      <c r="RA47" s="81"/>
      <c r="RB47" s="81"/>
      <c r="RC47" s="81"/>
      <c r="RD47" s="81"/>
      <c r="RE47" s="81"/>
      <c r="RF47" s="81"/>
      <c r="RG47" s="81"/>
      <c r="RH47" s="81"/>
      <c r="RI47" s="81"/>
      <c r="RJ47" s="81"/>
      <c r="RK47" s="81"/>
      <c r="RL47" s="81"/>
      <c r="RM47" s="81"/>
      <c r="RN47" s="81"/>
      <c r="RO47" s="81"/>
      <c r="RP47" s="81"/>
      <c r="RQ47" s="81"/>
      <c r="RR47" s="81"/>
      <c r="RS47" s="81"/>
      <c r="RT47" s="81"/>
      <c r="RU47" s="81"/>
      <c r="RV47" s="81"/>
      <c r="RW47" s="81"/>
      <c r="RX47" s="81"/>
      <c r="RY47" s="81"/>
      <c r="RZ47" s="81"/>
      <c r="SA47" s="81"/>
      <c r="SB47" s="81"/>
      <c r="SC47" s="81"/>
      <c r="SD47" s="81"/>
      <c r="SE47" s="81"/>
      <c r="SF47" s="81"/>
      <c r="SG47" s="81"/>
      <c r="SH47" s="81"/>
      <c r="SI47" s="81"/>
      <c r="SJ47" s="81"/>
      <c r="SK47" s="81"/>
      <c r="SL47" s="81"/>
      <c r="SM47" s="81"/>
      <c r="SN47" s="81"/>
      <c r="SO47" s="81"/>
      <c r="SP47" s="81"/>
      <c r="SQ47" s="81"/>
      <c r="SR47" s="81"/>
      <c r="SS47" s="81"/>
      <c r="ST47" s="81"/>
      <c r="SU47" s="81"/>
      <c r="SV47" s="81"/>
      <c r="SW47" s="81"/>
      <c r="SX47" s="81"/>
      <c r="SY47" s="81"/>
      <c r="SZ47" s="81"/>
      <c r="TA47" s="81"/>
      <c r="TB47" s="81"/>
      <c r="TC47" s="81"/>
      <c r="TD47" s="81"/>
      <c r="TE47" s="81"/>
      <c r="TF47" s="81"/>
      <c r="TG47" s="81"/>
      <c r="TH47" s="81"/>
      <c r="TI47" s="81"/>
      <c r="TJ47" s="81"/>
      <c r="TK47" s="81"/>
      <c r="TL47" s="81"/>
      <c r="TM47" s="81"/>
      <c r="TN47" s="81"/>
      <c r="TO47" s="81"/>
      <c r="TP47" s="81"/>
      <c r="TQ47" s="81"/>
      <c r="TR47" s="81"/>
      <c r="TS47" s="81"/>
      <c r="TT47" s="81"/>
      <c r="TU47" s="81"/>
      <c r="TV47" s="81"/>
      <c r="TW47" s="81"/>
      <c r="TX47" s="81"/>
      <c r="TY47" s="81"/>
      <c r="TZ47" s="81"/>
      <c r="UA47" s="81"/>
      <c r="UB47" s="81"/>
      <c r="UC47" s="81"/>
      <c r="UD47" s="81"/>
      <c r="UE47" s="81"/>
      <c r="UF47" s="81"/>
      <c r="UG47" s="81"/>
      <c r="UH47" s="81"/>
      <c r="UI47" s="81"/>
      <c r="UJ47" s="81"/>
      <c r="UK47" s="81"/>
      <c r="UL47" s="81"/>
      <c r="UM47" s="81"/>
      <c r="UN47" s="81"/>
      <c r="UO47" s="81"/>
      <c r="UP47" s="81"/>
      <c r="UQ47" s="81"/>
      <c r="UR47" s="81"/>
      <c r="US47" s="81"/>
      <c r="UT47" s="81"/>
      <c r="UU47" s="81"/>
      <c r="UV47" s="81"/>
      <c r="UW47" s="81"/>
      <c r="UX47" s="81"/>
      <c r="UY47" s="81"/>
      <c r="UZ47" s="81"/>
      <c r="VA47" s="81"/>
      <c r="VB47" s="81"/>
      <c r="VC47" s="81"/>
      <c r="VD47" s="81"/>
      <c r="VE47" s="81"/>
      <c r="VF47" s="81"/>
      <c r="VG47" s="81"/>
      <c r="VH47" s="81"/>
      <c r="VI47" s="81"/>
      <c r="VJ47" s="81"/>
      <c r="VK47" s="81"/>
      <c r="VL47" s="81"/>
      <c r="VM47" s="81"/>
      <c r="VN47" s="81"/>
      <c r="VO47" s="81"/>
      <c r="VP47" s="81"/>
      <c r="VQ47" s="81"/>
      <c r="VR47" s="81"/>
      <c r="VS47" s="81"/>
      <c r="VT47" s="81"/>
      <c r="VU47" s="81"/>
      <c r="VV47" s="81"/>
      <c r="VW47" s="81"/>
      <c r="VX47" s="81"/>
      <c r="VY47" s="81"/>
      <c r="VZ47" s="81"/>
      <c r="WA47" s="81"/>
      <c r="WB47" s="81"/>
      <c r="WC47" s="81"/>
      <c r="WD47" s="81"/>
      <c r="WE47" s="81"/>
      <c r="WF47" s="81"/>
      <c r="WG47" s="81"/>
      <c r="WH47" s="81"/>
      <c r="WI47" s="81"/>
      <c r="WJ47" s="81"/>
      <c r="WK47" s="81"/>
      <c r="WL47" s="81"/>
      <c r="WM47" s="81"/>
      <c r="WN47" s="81"/>
      <c r="WO47" s="81"/>
      <c r="WP47" s="81"/>
      <c r="WQ47" s="81"/>
      <c r="WR47" s="81"/>
      <c r="WS47" s="81"/>
      <c r="WT47" s="81"/>
      <c r="WU47" s="81"/>
      <c r="WV47" s="81"/>
      <c r="WW47" s="81"/>
      <c r="WX47" s="81"/>
      <c r="WY47" s="81"/>
      <c r="WZ47" s="81"/>
      <c r="XA47" s="81"/>
      <c r="XB47" s="81"/>
      <c r="XC47" s="81"/>
      <c r="XD47" s="81"/>
      <c r="XE47" s="81"/>
      <c r="XF47" s="81"/>
      <c r="XG47" s="81"/>
      <c r="XH47" s="81"/>
      <c r="XI47" s="81"/>
      <c r="XJ47" s="81"/>
      <c r="XK47" s="81"/>
      <c r="XL47" s="81"/>
      <c r="XM47" s="81"/>
      <c r="XN47" s="81"/>
      <c r="XO47" s="81"/>
      <c r="XP47" s="81"/>
      <c r="XQ47" s="81"/>
      <c r="XR47" s="81"/>
      <c r="XS47" s="81"/>
      <c r="XT47" s="81"/>
      <c r="XU47" s="81"/>
      <c r="XV47" s="81"/>
      <c r="XW47" s="81"/>
      <c r="XX47" s="81"/>
      <c r="XY47" s="81"/>
      <c r="XZ47" s="81"/>
      <c r="YA47" s="81"/>
      <c r="YB47" s="81"/>
      <c r="YC47" s="81"/>
      <c r="YD47" s="81"/>
      <c r="YE47" s="81"/>
      <c r="YF47" s="81"/>
      <c r="YG47" s="81"/>
      <c r="YH47" s="81"/>
      <c r="YI47" s="81"/>
      <c r="YJ47" s="81"/>
      <c r="YK47" s="81"/>
      <c r="YL47" s="81"/>
      <c r="YM47" s="81"/>
      <c r="YN47" s="81"/>
      <c r="YO47" s="81"/>
      <c r="YP47" s="81"/>
      <c r="YQ47" s="81"/>
      <c r="YR47" s="81"/>
      <c r="YS47" s="81"/>
      <c r="YT47" s="81"/>
      <c r="YU47" s="81"/>
      <c r="YV47" s="81"/>
      <c r="YW47" s="81"/>
      <c r="YX47" s="81"/>
      <c r="YY47" s="81"/>
      <c r="YZ47" s="81"/>
      <c r="ZA47" s="81"/>
      <c r="ZB47" s="81"/>
      <c r="ZC47" s="81"/>
      <c r="ZD47" s="81"/>
      <c r="ZE47" s="81"/>
      <c r="ZF47" s="81"/>
      <c r="ZG47" s="81"/>
      <c r="ZH47" s="81"/>
      <c r="ZI47" s="81"/>
      <c r="ZJ47" s="81"/>
      <c r="ZK47" s="81"/>
      <c r="ZL47" s="81"/>
      <c r="ZM47" s="81"/>
      <c r="ZN47" s="81"/>
      <c r="ZO47" s="81"/>
      <c r="ZP47" s="81"/>
      <c r="ZQ47" s="81"/>
      <c r="ZR47" s="81"/>
      <c r="ZS47" s="81"/>
      <c r="ZT47" s="81"/>
      <c r="ZU47" s="81"/>
      <c r="ZV47" s="81"/>
      <c r="ZW47" s="81"/>
      <c r="ZX47" s="81"/>
      <c r="ZY47" s="81"/>
      <c r="ZZ47" s="81"/>
      <c r="AAA47" s="81"/>
      <c r="AAB47" s="81"/>
      <c r="AAC47" s="81"/>
      <c r="AAD47" s="81"/>
      <c r="AAE47" s="81"/>
      <c r="AAF47" s="81"/>
      <c r="AAG47" s="81"/>
      <c r="AAH47" s="81"/>
      <c r="AAI47" s="81"/>
      <c r="AAJ47" s="81"/>
      <c r="AAK47" s="81"/>
      <c r="AAL47" s="81"/>
      <c r="AAM47" s="81"/>
      <c r="AAN47" s="81"/>
      <c r="AAO47" s="81"/>
      <c r="AAP47" s="81"/>
      <c r="AAQ47" s="81"/>
      <c r="AAR47" s="81"/>
      <c r="AAS47" s="81"/>
      <c r="AAT47" s="81"/>
      <c r="AAU47" s="81"/>
      <c r="AAV47" s="81"/>
      <c r="AAW47" s="81"/>
      <c r="AAX47" s="81"/>
      <c r="AAY47" s="81"/>
      <c r="AAZ47" s="81"/>
      <c r="ABA47" s="81"/>
      <c r="ABB47" s="81"/>
      <c r="ABC47" s="81"/>
      <c r="ABD47" s="81"/>
      <c r="ABE47" s="81"/>
      <c r="ABF47" s="81"/>
      <c r="ABG47" s="81"/>
      <c r="ABH47" s="81"/>
      <c r="ABI47" s="81"/>
      <c r="ABJ47" s="81"/>
      <c r="ABK47" s="81"/>
      <c r="ABL47" s="81"/>
      <c r="ABM47" s="81"/>
      <c r="ABN47" s="81"/>
      <c r="ABO47" s="81"/>
      <c r="ABP47" s="81"/>
      <c r="ABQ47" s="81"/>
      <c r="ABR47" s="81"/>
      <c r="ABS47" s="81"/>
      <c r="ABT47" s="81"/>
      <c r="ABU47" s="81"/>
      <c r="ABV47" s="81"/>
      <c r="ABW47" s="81"/>
      <c r="ABX47" s="81"/>
      <c r="ABY47" s="81"/>
      <c r="ABZ47" s="81"/>
      <c r="ACA47" s="81"/>
      <c r="ACB47" s="81"/>
      <c r="ACC47" s="81"/>
      <c r="ACD47" s="81"/>
      <c r="ACE47" s="81"/>
      <c r="ACF47" s="81"/>
      <c r="ACG47" s="81"/>
      <c r="ACH47" s="81"/>
      <c r="ACI47" s="81"/>
      <c r="ACJ47" s="81"/>
      <c r="ACK47" s="81"/>
      <c r="ACL47" s="81"/>
      <c r="ACM47" s="81"/>
      <c r="ACN47" s="81"/>
      <c r="ACO47" s="81"/>
      <c r="ACP47" s="81"/>
      <c r="ACQ47" s="81"/>
      <c r="ACR47" s="81"/>
      <c r="ACS47" s="81"/>
      <c r="ACT47" s="81"/>
      <c r="ACU47" s="81"/>
      <c r="ACV47" s="81"/>
      <c r="ACW47" s="81"/>
      <c r="ACX47" s="81"/>
      <c r="ACY47" s="81"/>
      <c r="ACZ47" s="81"/>
      <c r="ADA47" s="81"/>
      <c r="ADB47" s="81"/>
      <c r="ADC47" s="81"/>
      <c r="ADD47" s="81"/>
      <c r="ADE47" s="81"/>
      <c r="ADF47" s="81"/>
      <c r="ADG47" s="81"/>
      <c r="ADH47" s="81"/>
      <c r="ADI47" s="81"/>
      <c r="ADJ47" s="81"/>
      <c r="ADK47" s="81"/>
      <c r="ADL47" s="81"/>
      <c r="ADM47" s="81"/>
      <c r="ADN47" s="81"/>
      <c r="ADO47" s="81"/>
      <c r="ADP47" s="81"/>
      <c r="ADQ47" s="81"/>
      <c r="ADR47" s="81"/>
      <c r="ADS47" s="81"/>
      <c r="ADT47" s="81"/>
      <c r="ADU47" s="81"/>
      <c r="ADV47" s="81"/>
      <c r="ADW47" s="81"/>
      <c r="ADX47" s="81"/>
      <c r="ADY47" s="81"/>
      <c r="ADZ47" s="81"/>
      <c r="AEA47" s="81"/>
      <c r="AEB47" s="81"/>
      <c r="AEC47" s="81"/>
      <c r="AED47" s="81"/>
      <c r="AEE47" s="81"/>
      <c r="AEF47" s="81"/>
      <c r="AEG47" s="81"/>
      <c r="AEH47" s="81"/>
      <c r="AEI47" s="81"/>
      <c r="AEJ47" s="81"/>
      <c r="AEK47" s="81"/>
      <c r="AEL47" s="81"/>
      <c r="AEM47" s="81"/>
      <c r="AEN47" s="81"/>
      <c r="AEO47" s="81"/>
      <c r="AEP47" s="81"/>
      <c r="AEQ47" s="81"/>
      <c r="AER47" s="81"/>
      <c r="AES47" s="81"/>
      <c r="AET47" s="81"/>
      <c r="AEU47" s="81"/>
      <c r="AEV47" s="81"/>
    </row>
    <row r="48" spans="1:828" s="10" customFormat="1" ht="18" x14ac:dyDescent="0.2">
      <c r="A48" s="29"/>
      <c r="D48" s="52"/>
      <c r="E48" s="51"/>
      <c r="F48" s="10" t="s">
        <v>128</v>
      </c>
      <c r="G48" s="52">
        <f>66</f>
        <v>66</v>
      </c>
      <c r="H48" s="53"/>
      <c r="K48" s="53"/>
      <c r="L48" s="51" t="s">
        <v>135</v>
      </c>
      <c r="M48" s="52">
        <f>179+281+2</f>
        <v>462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</row>
    <row r="49" spans="1:828" s="10" customFormat="1" ht="18" x14ac:dyDescent="0.2">
      <c r="A49" s="29"/>
      <c r="D49" s="52"/>
      <c r="E49" s="51"/>
      <c r="F49" s="10" t="s">
        <v>129</v>
      </c>
      <c r="G49" s="52">
        <v>32</v>
      </c>
      <c r="H49" s="53"/>
      <c r="K49" s="53"/>
      <c r="L49" s="51" t="s">
        <v>143</v>
      </c>
      <c r="M49" s="52">
        <f>136+99+7</f>
        <v>242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</row>
    <row r="50" spans="1:828" s="10" customFormat="1" ht="18" x14ac:dyDescent="0.2">
      <c r="A50" s="29"/>
      <c r="D50" s="52"/>
      <c r="E50" s="51"/>
      <c r="F50" s="51"/>
      <c r="G50" s="51"/>
      <c r="H50" s="53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</row>
    <row r="51" spans="1:828" s="10" customFormat="1" ht="18" x14ac:dyDescent="0.2">
      <c r="A51" s="29"/>
      <c r="D51" s="52"/>
      <c r="E51" s="51"/>
      <c r="F51" s="51"/>
      <c r="G51" s="51"/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</row>
    <row r="52" spans="1:828" s="10" customFormat="1" ht="18" x14ac:dyDescent="0.2">
      <c r="A52" s="29"/>
      <c r="D52" s="52"/>
      <c r="E52" s="51"/>
      <c r="F52" s="51"/>
      <c r="G52" s="51"/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</row>
    <row r="53" spans="1:828" s="10" customFormat="1" ht="18" x14ac:dyDescent="0.2">
      <c r="A53" s="29"/>
      <c r="D53" s="52"/>
      <c r="E53" s="51"/>
      <c r="F53" s="51"/>
      <c r="G53" s="51"/>
      <c r="H53" s="53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</row>
    <row r="54" spans="1:828" s="10" customFormat="1" ht="18" x14ac:dyDescent="0.2">
      <c r="A54" s="29"/>
      <c r="C54" s="51"/>
      <c r="D54" s="52"/>
      <c r="E54" s="51"/>
      <c r="F54" s="51"/>
      <c r="G54" s="51"/>
      <c r="H54" s="53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</row>
    <row r="55" spans="1:828" s="10" customFormat="1" ht="18" x14ac:dyDescent="0.2">
      <c r="A55" s="29"/>
      <c r="C55" s="51"/>
      <c r="D55" s="52"/>
      <c r="E55" s="51"/>
      <c r="F55" s="51"/>
      <c r="G55" s="51"/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</row>
    <row r="56" spans="1:828" s="10" customFormat="1" ht="18" x14ac:dyDescent="0.2">
      <c r="A56" s="29"/>
      <c r="C56" s="51"/>
      <c r="D56" s="52"/>
      <c r="E56" s="51"/>
      <c r="F56" s="51"/>
      <c r="G56" s="51"/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</row>
    <row r="57" spans="1:828" s="10" customFormat="1" ht="18" x14ac:dyDescent="0.2">
      <c r="A57" s="29"/>
      <c r="C57" s="51"/>
      <c r="D57" s="52"/>
      <c r="E57" s="51"/>
      <c r="F57" s="51"/>
      <c r="G57" s="51"/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</row>
    <row r="58" spans="1:828" s="10" customFormat="1" ht="18" x14ac:dyDescent="0.2">
      <c r="A58" s="29"/>
      <c r="C58" s="51"/>
      <c r="D58" s="52"/>
      <c r="E58" s="51"/>
      <c r="F58" s="51"/>
      <c r="G58" s="51"/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</row>
    <row r="59" spans="1:828" s="10" customFormat="1" ht="18" x14ac:dyDescent="0.2">
      <c r="A59" s="30"/>
      <c r="C59" s="68"/>
      <c r="D59" s="69"/>
      <c r="E59" s="68"/>
      <c r="F59" s="68"/>
      <c r="G59" s="69"/>
      <c r="H59" s="68"/>
      <c r="I59" s="68"/>
      <c r="J59" s="69"/>
      <c r="K59" s="68"/>
      <c r="L59" s="68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</row>
    <row r="60" spans="1:828" s="10" customFormat="1" ht="19" x14ac:dyDescent="0.2">
      <c r="A60" s="29" t="s">
        <v>130</v>
      </c>
      <c r="B60" s="76">
        <f>SUM(D60:D62)/D74</f>
        <v>0.33523160164774857</v>
      </c>
      <c r="C60" s="54" t="s">
        <v>122</v>
      </c>
      <c r="D60" s="52">
        <f>827+10</f>
        <v>837</v>
      </c>
      <c r="E60" s="92">
        <f>SUM(G60:G61)/D74</f>
        <v>2.1987198526151767E-2</v>
      </c>
      <c r="F60" s="51" t="s">
        <v>120</v>
      </c>
      <c r="G60" s="52">
        <v>2879</v>
      </c>
      <c r="H60" s="70">
        <f>SUM(J60:J64)/J74</f>
        <v>0.23289013796242997</v>
      </c>
      <c r="I60" s="51" t="s">
        <v>99</v>
      </c>
      <c r="J60" s="52">
        <f>132+699</f>
        <v>831</v>
      </c>
      <c r="K60" s="70">
        <f>SUM(M60:M61)/J74</f>
        <v>1.9475389112743935E-2</v>
      </c>
      <c r="L60" s="51" t="s">
        <v>138</v>
      </c>
      <c r="M60" s="52">
        <f>1393+4394+36</f>
        <v>5823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</row>
    <row r="61" spans="1:828" s="10" customFormat="1" ht="18" x14ac:dyDescent="0.2">
      <c r="A61" s="29"/>
      <c r="B61" s="76"/>
      <c r="C61" s="51" t="s">
        <v>34</v>
      </c>
      <c r="D61" s="52">
        <f>2058+69</f>
        <v>2127</v>
      </c>
      <c r="E61" s="51"/>
      <c r="F61" s="51" t="s">
        <v>123</v>
      </c>
      <c r="G61" s="52">
        <f>1727+445+53+4</f>
        <v>2229</v>
      </c>
      <c r="H61" s="53"/>
      <c r="I61" s="51" t="s">
        <v>20</v>
      </c>
      <c r="J61" s="52">
        <f>444+1651</f>
        <v>2095</v>
      </c>
      <c r="K61" s="53"/>
      <c r="L61" s="51" t="s">
        <v>137</v>
      </c>
      <c r="M61" s="52">
        <f>1923+2436+168+3</f>
        <v>4530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</row>
    <row r="62" spans="1:828" s="10" customFormat="1" ht="18" x14ac:dyDescent="0.2">
      <c r="A62" s="29"/>
      <c r="B62" s="76"/>
      <c r="C62" s="51" t="s">
        <v>119</v>
      </c>
      <c r="D62" s="52">
        <f>55631+17214+1932+131+8</f>
        <v>74916</v>
      </c>
      <c r="E62" s="51"/>
      <c r="F62" s="51"/>
      <c r="G62" s="51"/>
      <c r="H62" s="53"/>
      <c r="I62" s="51" t="s">
        <v>21</v>
      </c>
      <c r="J62" s="52">
        <f>1443+3469</f>
        <v>4912</v>
      </c>
      <c r="K62" s="53"/>
      <c r="L62" s="51"/>
      <c r="M62" s="5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</row>
    <row r="63" spans="1:828" s="10" customFormat="1" ht="18" x14ac:dyDescent="0.2">
      <c r="A63" s="29"/>
      <c r="D63" s="52"/>
      <c r="E63" s="51"/>
      <c r="F63" s="51"/>
      <c r="G63" s="51"/>
      <c r="H63" s="53"/>
      <c r="I63" s="51" t="s">
        <v>23</v>
      </c>
      <c r="J63" s="52">
        <f>36083+77585</f>
        <v>113668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</row>
    <row r="64" spans="1:828" s="10" customFormat="1" ht="18" x14ac:dyDescent="0.2">
      <c r="A64" s="29"/>
      <c r="D64" s="52"/>
      <c r="E64" s="51"/>
      <c r="F64" s="51"/>
      <c r="G64" s="51"/>
      <c r="H64" s="53"/>
      <c r="I64" s="51" t="s">
        <v>104</v>
      </c>
      <c r="J64" s="52">
        <f>2128+169</f>
        <v>2297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</row>
    <row r="65" spans="1:828" s="12" customFormat="1" ht="19" thickBot="1" x14ac:dyDescent="0.25">
      <c r="A65" s="30"/>
      <c r="B65" s="10"/>
      <c r="D65" s="69"/>
      <c r="E65" s="68"/>
      <c r="F65" s="68"/>
      <c r="G65" s="68"/>
      <c r="H65" s="67"/>
      <c r="I65" s="68"/>
      <c r="J65" s="69"/>
      <c r="K65" s="67"/>
      <c r="L65" s="68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</row>
    <row r="66" spans="1:828" s="10" customFormat="1" ht="19" x14ac:dyDescent="0.2">
      <c r="A66" s="26" t="s">
        <v>1</v>
      </c>
      <c r="B66" s="48">
        <f t="shared" si="0"/>
        <v>9.452601402394142E-3</v>
      </c>
      <c r="C66" s="51" t="s">
        <v>36</v>
      </c>
      <c r="D66" s="52">
        <f>2174+19+3</f>
        <v>2196</v>
      </c>
      <c r="E66" s="92">
        <f>G66/D74</f>
        <v>4.5627310958733111E-4</v>
      </c>
      <c r="F66" s="51" t="s">
        <v>132</v>
      </c>
      <c r="G66" s="52">
        <f>104+2</f>
        <v>106</v>
      </c>
      <c r="H66" s="70">
        <f>SUM(J66:J67)/J74</f>
        <v>1.7268817932482308E-3</v>
      </c>
      <c r="I66" s="51" t="s">
        <v>106</v>
      </c>
      <c r="J66" s="52">
        <f>490+97</f>
        <v>587</v>
      </c>
      <c r="K66" s="70">
        <f>M66/J74</f>
        <v>4.5523463394996934E-4</v>
      </c>
      <c r="L66" s="51" t="s">
        <v>141</v>
      </c>
      <c r="M66" s="52">
        <f>179+61+2</f>
        <v>242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</row>
    <row r="67" spans="1:828" s="10" customFormat="1" ht="18" x14ac:dyDescent="0.2">
      <c r="A67" s="31"/>
      <c r="B67" s="53"/>
      <c r="D67" s="52"/>
      <c r="E67" s="51"/>
      <c r="F67" s="51"/>
      <c r="G67" s="51"/>
      <c r="H67" s="53"/>
      <c r="I67" s="51" t="s">
        <v>105</v>
      </c>
      <c r="J67" s="52">
        <f>232+99</f>
        <v>331</v>
      </c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</row>
    <row r="68" spans="1:828" s="10" customFormat="1" ht="18" x14ac:dyDescent="0.2">
      <c r="A68" s="31"/>
      <c r="B68" s="53"/>
      <c r="C68" s="51"/>
      <c r="D68" s="52"/>
      <c r="E68" s="51"/>
      <c r="F68" s="51"/>
      <c r="G68" s="51"/>
      <c r="H68" s="53"/>
      <c r="I68" s="51"/>
      <c r="J68" s="52"/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</row>
    <row r="69" spans="1:828" s="10" customFormat="1" ht="18" x14ac:dyDescent="0.2">
      <c r="A69" s="31"/>
      <c r="B69" s="53"/>
      <c r="C69" s="51"/>
      <c r="D69" s="52"/>
      <c r="E69" s="51"/>
      <c r="F69" s="51"/>
      <c r="G69" s="51"/>
      <c r="H69" s="53"/>
      <c r="I69" s="51"/>
      <c r="J69" s="52"/>
      <c r="K69" s="53"/>
      <c r="L69" s="51"/>
      <c r="M69" s="52"/>
      <c r="N69" s="1"/>
      <c r="O69" s="1"/>
      <c r="P69"/>
      <c r="Q69"/>
      <c r="R69"/>
      <c r="S69"/>
      <c r="T69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</row>
    <row r="70" spans="1:828" s="10" customFormat="1" ht="19" thickBot="1" x14ac:dyDescent="0.25">
      <c r="A70" s="32"/>
      <c r="B70" s="58"/>
      <c r="C70" s="59"/>
      <c r="D70" s="60"/>
      <c r="E70" s="59"/>
      <c r="F70" s="59"/>
      <c r="G70" s="59"/>
      <c r="H70" s="58"/>
      <c r="I70" s="59"/>
      <c r="J70" s="60"/>
      <c r="K70" s="58"/>
      <c r="L70" s="59"/>
      <c r="M70" s="60"/>
      <c r="N70" s="1"/>
      <c r="O70" s="1"/>
      <c r="P70"/>
      <c r="Q70"/>
      <c r="R70"/>
      <c r="S70"/>
      <c r="T7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</row>
    <row r="71" spans="1:828" s="19" customFormat="1" ht="18" x14ac:dyDescent="0.2">
      <c r="A71" s="33" t="s">
        <v>9</v>
      </c>
      <c r="B71" s="71"/>
      <c r="C71" s="72"/>
      <c r="D71" s="73">
        <f>SUM(D5:D66)</f>
        <v>180251</v>
      </c>
      <c r="E71" s="72"/>
      <c r="F71" s="72"/>
      <c r="G71" s="72">
        <f>SUM(G34:G66)</f>
        <v>52066</v>
      </c>
      <c r="H71" s="71"/>
      <c r="I71" s="72"/>
      <c r="J71" s="73">
        <f>SUM(J2:J67)</f>
        <v>458113</v>
      </c>
      <c r="K71" s="71"/>
      <c r="L71" s="72"/>
      <c r="M71" s="73">
        <f>SUM(M2:M67)</f>
        <v>73481</v>
      </c>
      <c r="N71" s="1"/>
      <c r="O71" s="1"/>
      <c r="P71"/>
      <c r="Q71"/>
      <c r="R71"/>
      <c r="S71"/>
      <c r="T7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</row>
    <row r="72" spans="1:828" ht="16" x14ac:dyDescent="0.2">
      <c r="D72" s="74"/>
      <c r="E72" s="89"/>
      <c r="F72" s="89"/>
      <c r="G72" s="89"/>
      <c r="K72" s="10"/>
      <c r="L72" s="10"/>
      <c r="M72" s="52"/>
    </row>
    <row r="73" spans="1:828" ht="16" x14ac:dyDescent="0.2">
      <c r="K73" s="10"/>
      <c r="L73" s="10"/>
      <c r="M73" s="52"/>
    </row>
    <row r="74" spans="1:828" ht="16" x14ac:dyDescent="0.2">
      <c r="D74" s="18">
        <f>D71+G71</f>
        <v>232317</v>
      </c>
      <c r="J74" s="18">
        <f>J71+M71</f>
        <v>531594</v>
      </c>
      <c r="K74" s="10"/>
      <c r="L74" s="10"/>
      <c r="M74" s="52"/>
    </row>
    <row r="75" spans="1:828" ht="16" x14ac:dyDescent="0.2">
      <c r="D75" s="74">
        <f>D71/D74</f>
        <v>0.7758838139266605</v>
      </c>
      <c r="K75" s="10"/>
      <c r="L75" s="10"/>
      <c r="M75" s="52"/>
    </row>
    <row r="76" spans="1:828" x14ac:dyDescent="0.2">
      <c r="J76" s="74">
        <f>J71/J74</f>
        <v>0.8617723300112492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7E51-94AE-954E-AE89-351E6F7B1711}">
  <dimension ref="A1:AEV76"/>
  <sheetViews>
    <sheetView topLeftCell="A31" workbookViewId="0">
      <selection activeCell="D61" sqref="D61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7" width="27.33203125" style="1" customWidth="1"/>
    <col min="8" max="8" width="23.5" style="5" customWidth="1"/>
    <col min="9" max="9" width="44.1640625" style="1" customWidth="1"/>
    <col min="10" max="10" width="43.1640625" style="18" customWidth="1"/>
    <col min="11" max="11" width="17.33203125" style="5" customWidth="1"/>
    <col min="12" max="12" width="36" style="1" customWidth="1"/>
    <col min="13" max="13" width="20" style="18" customWidth="1"/>
    <col min="14" max="15" width="9" style="1"/>
    <col min="21" max="16384" width="9" style="1"/>
  </cols>
  <sheetData>
    <row r="1" spans="1:828" s="6" customFormat="1" ht="26" thickBot="1" x14ac:dyDescent="0.25">
      <c r="A1" s="20" t="s">
        <v>148</v>
      </c>
      <c r="B1" s="13">
        <v>2007</v>
      </c>
      <c r="C1" s="14" t="s">
        <v>151</v>
      </c>
      <c r="D1" s="15" t="s">
        <v>149</v>
      </c>
      <c r="E1" s="13">
        <v>2007</v>
      </c>
      <c r="F1" s="14" t="s">
        <v>152</v>
      </c>
      <c r="G1" s="14" t="s">
        <v>150</v>
      </c>
      <c r="H1" s="13">
        <v>2017</v>
      </c>
      <c r="I1" s="14" t="s">
        <v>153</v>
      </c>
      <c r="J1" s="15" t="s">
        <v>155</v>
      </c>
      <c r="K1" s="13">
        <v>2017</v>
      </c>
      <c r="L1" s="14" t="s">
        <v>156</v>
      </c>
      <c r="M1" s="15" t="s">
        <v>154</v>
      </c>
      <c r="N1" s="37"/>
      <c r="O1" s="37"/>
      <c r="P1" s="87"/>
      <c r="Q1" s="87"/>
      <c r="R1" s="87"/>
      <c r="S1" s="87"/>
      <c r="T1" s="8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</row>
    <row r="2" spans="1:828" s="8" customFormat="1" ht="19" x14ac:dyDescent="0.2">
      <c r="A2" s="22" t="s">
        <v>2</v>
      </c>
      <c r="B2" s="39"/>
      <c r="C2" s="40" t="s">
        <v>12</v>
      </c>
      <c r="D2" s="41">
        <v>0</v>
      </c>
      <c r="E2" s="40"/>
      <c r="F2" s="40"/>
      <c r="G2" s="40"/>
      <c r="H2" s="39">
        <f>J2/J74</f>
        <v>0.43527423335079296</v>
      </c>
      <c r="I2" s="40" t="s">
        <v>24</v>
      </c>
      <c r="J2" s="41">
        <v>161216</v>
      </c>
      <c r="K2" s="39"/>
      <c r="L2" s="40"/>
      <c r="M2" s="41"/>
      <c r="N2" s="1"/>
      <c r="O2" s="1"/>
      <c r="P2" s="87"/>
      <c r="Q2" s="87"/>
      <c r="R2" s="87"/>
      <c r="S2" s="87"/>
      <c r="T2" s="8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</row>
    <row r="3" spans="1:828" s="8" customFormat="1" ht="18" x14ac:dyDescent="0.2">
      <c r="A3" s="23"/>
      <c r="B3" s="42"/>
      <c r="C3" s="43"/>
      <c r="D3" s="44"/>
      <c r="E3" s="43"/>
      <c r="F3" s="43"/>
      <c r="G3" s="43"/>
      <c r="H3" s="42"/>
      <c r="I3" s="43"/>
      <c r="J3" s="44"/>
      <c r="K3" s="42"/>
      <c r="L3" s="43"/>
      <c r="M3" s="44"/>
      <c r="N3" s="1"/>
      <c r="O3" s="1"/>
      <c r="P3" s="87"/>
      <c r="Q3" s="87"/>
      <c r="R3" s="87"/>
      <c r="S3" s="87"/>
      <c r="T3" s="8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</row>
    <row r="4" spans="1:828" s="8" customFormat="1" ht="19" thickBot="1" x14ac:dyDescent="0.25">
      <c r="A4" s="24"/>
      <c r="B4" s="45"/>
      <c r="C4" s="46"/>
      <c r="D4" s="47"/>
      <c r="E4" s="46"/>
      <c r="F4" s="46"/>
      <c r="G4" s="46"/>
      <c r="H4" s="45"/>
      <c r="I4" s="46"/>
      <c r="J4" s="47"/>
      <c r="K4" s="45"/>
      <c r="L4" s="46"/>
      <c r="M4" s="47"/>
      <c r="N4" s="1"/>
      <c r="O4" s="1"/>
      <c r="P4" s="87"/>
      <c r="Q4" s="87"/>
      <c r="R4" s="87"/>
      <c r="S4" s="87"/>
      <c r="T4" s="8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</row>
    <row r="5" spans="1:828" s="10" customFormat="1" ht="19" x14ac:dyDescent="0.2">
      <c r="A5" s="25" t="s">
        <v>3</v>
      </c>
      <c r="B5" s="91">
        <f>D5/$D$74</f>
        <v>1.9766095464387023E-2</v>
      </c>
      <c r="C5" s="51" t="s">
        <v>25</v>
      </c>
      <c r="D5" s="50">
        <f>4558+34</f>
        <v>4592</v>
      </c>
      <c r="E5" s="49"/>
      <c r="F5" s="49"/>
      <c r="G5" s="49"/>
      <c r="H5" s="48">
        <f>J5/J74</f>
        <v>3.1538050316163489E-2</v>
      </c>
      <c r="I5" s="49" t="s">
        <v>15</v>
      </c>
      <c r="J5" s="50">
        <f>11541+140</f>
        <v>11681</v>
      </c>
      <c r="K5" s="48"/>
      <c r="L5" s="49"/>
      <c r="M5" s="50"/>
      <c r="N5" s="1"/>
      <c r="O5" s="1"/>
      <c r="P5" s="87"/>
      <c r="Q5" s="87"/>
      <c r="R5" s="87"/>
      <c r="S5" s="87"/>
      <c r="T5" s="8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</row>
    <row r="6" spans="1:828" s="10" customFormat="1" ht="18" x14ac:dyDescent="0.2">
      <c r="A6" s="26"/>
      <c r="B6" s="52"/>
      <c r="C6" s="51"/>
      <c r="D6" s="52"/>
      <c r="E6" s="51"/>
      <c r="F6" s="51"/>
      <c r="G6" s="51"/>
      <c r="H6" s="53"/>
      <c r="I6" s="54"/>
      <c r="J6" s="55"/>
      <c r="K6" s="53"/>
      <c r="L6" s="54"/>
      <c r="M6" s="55"/>
      <c r="N6" s="1"/>
      <c r="O6" s="1"/>
      <c r="P6" s="87"/>
      <c r="Q6" s="87"/>
      <c r="R6" s="87"/>
      <c r="S6" s="87"/>
      <c r="T6" s="87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</row>
    <row r="7" spans="1:828" s="10" customFormat="1" ht="18" x14ac:dyDescent="0.2">
      <c r="A7" s="26"/>
      <c r="B7" s="52"/>
      <c r="C7" s="51"/>
      <c r="D7" s="52"/>
      <c r="E7" s="51"/>
      <c r="F7" s="51"/>
      <c r="G7" s="51"/>
      <c r="H7" s="53"/>
      <c r="I7" s="51"/>
      <c r="J7" s="52"/>
      <c r="K7" s="53"/>
      <c r="L7" s="51"/>
      <c r="M7" s="52"/>
      <c r="N7" s="1"/>
      <c r="O7" s="1"/>
      <c r="P7" s="87"/>
      <c r="Q7" s="87"/>
      <c r="R7" s="87"/>
      <c r="S7" s="87"/>
      <c r="T7" s="8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</row>
    <row r="8" spans="1:828" s="10" customFormat="1" ht="18" x14ac:dyDescent="0.2">
      <c r="A8" s="26"/>
      <c r="B8" s="52"/>
      <c r="C8" s="51"/>
      <c r="D8" s="52"/>
      <c r="E8" s="51"/>
      <c r="F8" s="51"/>
      <c r="G8" s="51"/>
      <c r="H8" s="53"/>
      <c r="I8" s="51"/>
      <c r="J8" s="52"/>
      <c r="K8" s="53"/>
      <c r="L8" s="51"/>
      <c r="M8" s="52"/>
      <c r="N8" s="1"/>
      <c r="O8" s="1"/>
      <c r="P8" s="87"/>
      <c r="Q8" s="87"/>
      <c r="R8" s="87"/>
      <c r="S8" s="87"/>
      <c r="T8" s="8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</row>
    <row r="9" spans="1:828" s="10" customFormat="1" ht="18" x14ac:dyDescent="0.2">
      <c r="A9" s="26"/>
      <c r="B9" s="52"/>
      <c r="C9" s="51"/>
      <c r="D9" s="52"/>
      <c r="E9" s="51"/>
      <c r="F9" s="51"/>
      <c r="G9" s="51"/>
      <c r="H9" s="53"/>
      <c r="I9" s="51"/>
      <c r="J9" s="52"/>
      <c r="K9" s="53"/>
      <c r="L9" s="51"/>
      <c r="M9" s="52"/>
      <c r="N9" s="1"/>
      <c r="O9" s="1"/>
      <c r="P9" s="87"/>
      <c r="Q9" s="87"/>
      <c r="R9" s="87"/>
      <c r="S9" s="87"/>
      <c r="T9" s="8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</row>
    <row r="10" spans="1:828" s="10" customFormat="1" ht="19" thickBot="1" x14ac:dyDescent="0.25">
      <c r="A10" s="26"/>
      <c r="B10" s="52"/>
      <c r="C10" s="51"/>
      <c r="D10" s="52"/>
      <c r="E10" s="51"/>
      <c r="F10" s="51"/>
      <c r="G10" s="51"/>
      <c r="H10" s="53"/>
      <c r="I10" s="51"/>
      <c r="J10" s="52"/>
      <c r="K10" s="53"/>
      <c r="L10" s="51"/>
      <c r="M10" s="52"/>
      <c r="N10" s="1"/>
      <c r="O10" s="1"/>
      <c r="P10" s="87"/>
      <c r="Q10" s="87"/>
      <c r="R10" s="87"/>
      <c r="S10" s="87"/>
      <c r="T10" s="8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</row>
    <row r="11" spans="1:828" s="7" customFormat="1" ht="19" x14ac:dyDescent="0.2">
      <c r="A11" s="22" t="s">
        <v>4</v>
      </c>
      <c r="B11" s="48">
        <f t="shared" ref="B11:B66" si="0">D11/$D$74</f>
        <v>0.28212743794040041</v>
      </c>
      <c r="C11" s="40" t="s">
        <v>26</v>
      </c>
      <c r="D11" s="41">
        <f>65534+9</f>
        <v>65543</v>
      </c>
      <c r="E11" s="40"/>
      <c r="F11" s="40"/>
      <c r="G11" s="40"/>
      <c r="H11" s="39">
        <f>J11/J74</f>
        <v>0.29770936718703594</v>
      </c>
      <c r="I11" s="40" t="s">
        <v>13</v>
      </c>
      <c r="J11" s="41">
        <v>110265</v>
      </c>
      <c r="K11" s="39"/>
      <c r="L11" s="40"/>
      <c r="M11" s="41"/>
      <c r="N11" s="1"/>
      <c r="O11" s="1"/>
      <c r="P11" s="87"/>
      <c r="Q11" s="87"/>
      <c r="R11" s="87"/>
      <c r="S11" s="87"/>
      <c r="T11" s="8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</row>
    <row r="12" spans="1:828" s="8" customFormat="1" ht="18" x14ac:dyDescent="0.2">
      <c r="A12" s="27"/>
      <c r="B12" s="43"/>
      <c r="C12" s="43"/>
      <c r="D12" s="44"/>
      <c r="E12" s="43"/>
      <c r="F12" s="43"/>
      <c r="G12" s="43"/>
      <c r="H12" s="42"/>
      <c r="I12" s="43"/>
      <c r="J12" s="44"/>
      <c r="K12" s="42"/>
      <c r="L12" s="43"/>
      <c r="M12" s="44"/>
      <c r="N12" s="1"/>
      <c r="O12" s="1"/>
      <c r="P12" s="87"/>
      <c r="Q12" s="87"/>
      <c r="R12" s="87"/>
      <c r="S12" s="87"/>
      <c r="T12" s="8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</row>
    <row r="13" spans="1:828" s="8" customFormat="1" ht="18" x14ac:dyDescent="0.2">
      <c r="A13" s="27"/>
      <c r="B13" s="43"/>
      <c r="C13" s="43"/>
      <c r="D13" s="44"/>
      <c r="E13" s="43"/>
      <c r="F13" s="43"/>
      <c r="G13" s="43"/>
      <c r="H13" s="42"/>
      <c r="I13" s="56"/>
      <c r="J13" s="57"/>
      <c r="K13" s="42"/>
      <c r="L13" s="56"/>
      <c r="M13" s="57"/>
      <c r="N13" s="1"/>
      <c r="O13" s="1"/>
      <c r="P13" s="87"/>
      <c r="Q13" s="87"/>
      <c r="R13" s="87"/>
      <c r="S13" s="87"/>
      <c r="T13" s="8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</row>
    <row r="14" spans="1:828" s="8" customFormat="1" ht="18" x14ac:dyDescent="0.2">
      <c r="A14" s="27"/>
      <c r="B14" s="43"/>
      <c r="C14" s="43"/>
      <c r="D14" s="44"/>
      <c r="E14" s="43"/>
      <c r="F14" s="43"/>
      <c r="G14" s="43"/>
      <c r="H14" s="42"/>
      <c r="I14" s="56"/>
      <c r="J14" s="57"/>
      <c r="K14" s="42"/>
      <c r="L14" s="56"/>
      <c r="M14" s="57"/>
      <c r="N14" s="1"/>
      <c r="O14" s="1"/>
      <c r="P14" s="87"/>
      <c r="Q14" s="87"/>
      <c r="R14" s="87"/>
      <c r="S14" s="87"/>
      <c r="T14" s="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</row>
    <row r="15" spans="1:828" s="8" customFormat="1" ht="18" x14ac:dyDescent="0.2">
      <c r="A15" s="27"/>
      <c r="B15" s="43"/>
      <c r="C15" s="43"/>
      <c r="D15" s="44"/>
      <c r="E15" s="43"/>
      <c r="F15" s="43"/>
      <c r="G15" s="43"/>
      <c r="H15" s="42"/>
      <c r="I15" s="56"/>
      <c r="J15" s="57"/>
      <c r="K15" s="42"/>
      <c r="L15" s="56"/>
      <c r="M15" s="57"/>
      <c r="N15" s="1"/>
      <c r="O15" s="1"/>
      <c r="P15" s="87"/>
      <c r="Q15" s="87"/>
      <c r="R15" s="87"/>
      <c r="S15" s="87"/>
      <c r="T15" s="8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</row>
    <row r="16" spans="1:828" s="8" customFormat="1" ht="18" x14ac:dyDescent="0.2">
      <c r="A16" s="27"/>
      <c r="B16" s="43"/>
      <c r="C16" s="43"/>
      <c r="D16" s="44"/>
      <c r="E16" s="43"/>
      <c r="F16" s="43"/>
      <c r="G16" s="43"/>
      <c r="H16" s="42"/>
      <c r="I16" s="56"/>
      <c r="J16" s="57"/>
      <c r="K16" s="42"/>
      <c r="L16" s="56"/>
      <c r="M16" s="57"/>
      <c r="N16" s="1"/>
      <c r="O16" s="1"/>
      <c r="P16" s="87"/>
      <c r="Q16" s="87"/>
      <c r="R16" s="87"/>
      <c r="S16" s="87"/>
      <c r="T16" s="8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</row>
    <row r="17" spans="1:828" s="8" customFormat="1" ht="18" x14ac:dyDescent="0.2">
      <c r="A17" s="27"/>
      <c r="B17" s="43"/>
      <c r="C17" s="43"/>
      <c r="D17" s="44"/>
      <c r="E17" s="43"/>
      <c r="F17" s="43"/>
      <c r="G17" s="43"/>
      <c r="H17" s="42"/>
      <c r="I17" s="56"/>
      <c r="J17" s="57"/>
      <c r="K17" s="42"/>
      <c r="L17" s="56"/>
      <c r="M17" s="57"/>
      <c r="N17" s="1"/>
      <c r="O17" s="1"/>
      <c r="P17" s="87"/>
      <c r="Q17" s="87"/>
      <c r="R17" s="87"/>
      <c r="S17" s="87"/>
      <c r="T17" s="8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</row>
    <row r="18" spans="1:828" s="8" customFormat="1" ht="18" x14ac:dyDescent="0.2">
      <c r="A18" s="27"/>
      <c r="B18" s="43"/>
      <c r="C18" s="43"/>
      <c r="D18" s="44"/>
      <c r="E18" s="43"/>
      <c r="F18" s="43"/>
      <c r="G18" s="43"/>
      <c r="H18" s="42"/>
      <c r="I18" s="56"/>
      <c r="J18" s="57"/>
      <c r="K18" s="42"/>
      <c r="L18" s="56"/>
      <c r="M18" s="57"/>
      <c r="N18" s="1"/>
      <c r="O18" s="1"/>
      <c r="P18" s="87"/>
      <c r="Q18" s="87"/>
      <c r="R18" s="87"/>
      <c r="S18" s="87"/>
      <c r="T18" s="8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</row>
    <row r="19" spans="1:828" s="8" customFormat="1" ht="19" thickBot="1" x14ac:dyDescent="0.25">
      <c r="A19" s="23"/>
      <c r="B19" s="43"/>
      <c r="C19" s="43"/>
      <c r="D19" s="44"/>
      <c r="E19" s="43"/>
      <c r="F19" s="43"/>
      <c r="G19" s="43"/>
      <c r="H19" s="42"/>
      <c r="I19" s="43"/>
      <c r="J19" s="44"/>
      <c r="K19" s="42"/>
      <c r="L19" s="43"/>
      <c r="M19" s="44"/>
      <c r="N19" s="1"/>
      <c r="O19" s="1"/>
      <c r="P19" s="87"/>
      <c r="Q19" s="87"/>
      <c r="R19" s="87"/>
      <c r="S19" s="87"/>
      <c r="T19" s="8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</row>
    <row r="20" spans="1:828" s="9" customFormat="1" ht="19" x14ac:dyDescent="0.2">
      <c r="A20" s="25" t="s">
        <v>5</v>
      </c>
      <c r="B20" s="92">
        <f t="shared" si="0"/>
        <v>6.1945531321427189E-2</v>
      </c>
      <c r="C20" s="49" t="s">
        <v>27</v>
      </c>
      <c r="D20" s="50">
        <f>14365+26</f>
        <v>14391</v>
      </c>
      <c r="E20" s="49"/>
      <c r="F20" s="49"/>
      <c r="G20" s="49"/>
      <c r="H20" s="48">
        <f>SUM(J20:J23)/J74</f>
        <v>7.1559325877886909E-2</v>
      </c>
      <c r="I20" s="49" t="s">
        <v>17</v>
      </c>
      <c r="J20" s="50">
        <f>2286+170</f>
        <v>2456</v>
      </c>
      <c r="K20" s="48"/>
      <c r="L20" s="49"/>
      <c r="M20" s="50"/>
      <c r="N20" s="1"/>
      <c r="O20" s="1"/>
      <c r="P20" s="87"/>
      <c r="Q20" s="87"/>
      <c r="R20" s="87"/>
      <c r="S20" s="87"/>
      <c r="T20" s="8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</row>
    <row r="21" spans="1:828" s="10" customFormat="1" ht="18" x14ac:dyDescent="0.2">
      <c r="A21" s="26"/>
      <c r="B21" s="51"/>
      <c r="C21" s="51"/>
      <c r="D21" s="52"/>
      <c r="E21" s="51"/>
      <c r="F21" s="51"/>
      <c r="G21" s="51"/>
      <c r="H21" s="53"/>
      <c r="I21" s="51" t="s">
        <v>18</v>
      </c>
      <c r="J21" s="52">
        <f>16624+3325</f>
        <v>19949</v>
      </c>
      <c r="K21" s="53"/>
      <c r="L21" s="51"/>
      <c r="M21" s="52"/>
      <c r="N21" s="1"/>
      <c r="O21" s="1"/>
      <c r="P21" s="87"/>
      <c r="Q21" s="87"/>
      <c r="R21" s="87"/>
      <c r="S21" s="87"/>
      <c r="T21" s="8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</row>
    <row r="22" spans="1:828" s="10" customFormat="1" ht="18" x14ac:dyDescent="0.2">
      <c r="A22" s="26"/>
      <c r="B22" s="51"/>
      <c r="C22" s="51"/>
      <c r="D22" s="52"/>
      <c r="E22" s="51"/>
      <c r="F22" s="51"/>
      <c r="G22" s="51"/>
      <c r="H22" s="53"/>
      <c r="I22" s="51" t="s">
        <v>102</v>
      </c>
      <c r="J22" s="52">
        <f>849+159</f>
        <v>1008</v>
      </c>
      <c r="K22" s="53"/>
      <c r="L22" s="51"/>
      <c r="M22" s="52"/>
      <c r="N22" s="1"/>
      <c r="O22" s="1"/>
      <c r="P22" s="87"/>
      <c r="Q22" s="87"/>
      <c r="R22" s="87"/>
      <c r="S22" s="87"/>
      <c r="T22" s="8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</row>
    <row r="23" spans="1:828" s="10" customFormat="1" ht="18" x14ac:dyDescent="0.2">
      <c r="A23" s="26"/>
      <c r="B23" s="51"/>
      <c r="C23" s="51"/>
      <c r="D23" s="52"/>
      <c r="E23" s="51"/>
      <c r="F23" s="51"/>
      <c r="G23" s="51"/>
      <c r="H23" s="53"/>
      <c r="I23" s="51" t="s">
        <v>103</v>
      </c>
      <c r="J23" s="52">
        <f>2607+484</f>
        <v>3091</v>
      </c>
      <c r="K23" s="53"/>
      <c r="L23" s="51"/>
      <c r="M23" s="52"/>
      <c r="N23" s="1"/>
      <c r="O23" s="1"/>
      <c r="P23" s="87"/>
      <c r="Q23" s="87"/>
      <c r="R23" s="87"/>
      <c r="S23" s="87"/>
      <c r="T23" s="8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</row>
    <row r="24" spans="1:828" s="10" customFormat="1" ht="18" x14ac:dyDescent="0.2">
      <c r="A24" s="26"/>
      <c r="B24" s="51"/>
      <c r="C24" s="51"/>
      <c r="D24" s="52"/>
      <c r="E24" s="51"/>
      <c r="F24" s="51"/>
      <c r="G24" s="51"/>
      <c r="H24" s="53"/>
      <c r="I24" s="51"/>
      <c r="J24" s="52"/>
      <c r="K24" s="53"/>
      <c r="L24" s="51"/>
      <c r="M24" s="52"/>
      <c r="N24" s="1"/>
      <c r="O24" s="1"/>
      <c r="P24" s="87"/>
      <c r="Q24" s="87"/>
      <c r="R24" s="87"/>
      <c r="S24" s="87"/>
      <c r="T24" s="8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</row>
    <row r="25" spans="1:828" s="10" customFormat="1" ht="18" x14ac:dyDescent="0.2">
      <c r="A25" s="26"/>
      <c r="B25" s="51"/>
      <c r="C25" s="51"/>
      <c r="D25" s="52"/>
      <c r="E25" s="51"/>
      <c r="F25" s="51"/>
      <c r="G25" s="51"/>
      <c r="H25" s="53"/>
      <c r="I25" s="51"/>
      <c r="J25" s="52"/>
      <c r="K25" s="53"/>
      <c r="L25" s="51"/>
      <c r="M25" s="52"/>
      <c r="N25" s="1"/>
      <c r="O25" s="1"/>
      <c r="P25" s="87"/>
      <c r="Q25" s="87"/>
      <c r="R25" s="87"/>
      <c r="S25" s="87"/>
      <c r="T25" s="8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</row>
    <row r="26" spans="1:828" s="10" customFormat="1" ht="18" x14ac:dyDescent="0.2">
      <c r="A26" s="26"/>
      <c r="B26" s="51"/>
      <c r="C26" s="51"/>
      <c r="D26" s="52"/>
      <c r="E26" s="51"/>
      <c r="F26" s="51"/>
      <c r="G26" s="51"/>
      <c r="H26" s="53"/>
      <c r="I26" s="51"/>
      <c r="J26" s="52"/>
      <c r="K26" s="53"/>
      <c r="L26" s="51"/>
      <c r="M26" s="52"/>
      <c r="N26" s="1"/>
      <c r="O26" s="1"/>
      <c r="P26" s="87"/>
      <c r="Q26" s="87"/>
      <c r="R26" s="87"/>
      <c r="S26" s="87"/>
      <c r="T26" s="8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</row>
    <row r="27" spans="1:828" s="11" customFormat="1" ht="19" thickBot="1" x14ac:dyDescent="0.25">
      <c r="A27" s="28"/>
      <c r="B27" s="51"/>
      <c r="C27" s="59"/>
      <c r="D27" s="60"/>
      <c r="E27" s="59"/>
      <c r="F27" s="59"/>
      <c r="G27" s="59"/>
      <c r="H27" s="58"/>
      <c r="I27" s="59"/>
      <c r="J27" s="60"/>
      <c r="K27" s="58"/>
      <c r="L27" s="59"/>
      <c r="M27" s="60"/>
      <c r="N27" s="1"/>
      <c r="O27" s="1"/>
      <c r="P27" s="87"/>
      <c r="Q27" s="87"/>
      <c r="R27" s="87"/>
      <c r="S27" s="87"/>
      <c r="T27" s="8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</row>
    <row r="28" spans="1:828" s="8" customFormat="1" ht="19" x14ac:dyDescent="0.2">
      <c r="A28" s="23" t="s">
        <v>0</v>
      </c>
      <c r="B28" s="93">
        <f t="shared" si="0"/>
        <v>3.839581261810371E-3</v>
      </c>
      <c r="C28" s="43" t="s">
        <v>28</v>
      </c>
      <c r="D28" s="44">
        <f>885+7</f>
        <v>892</v>
      </c>
      <c r="E28" s="43"/>
      <c r="F28" s="43"/>
      <c r="G28" s="43"/>
      <c r="H28" s="61">
        <f>J28/J74</f>
        <v>1.5319484418620976E-2</v>
      </c>
      <c r="I28" s="43" t="s">
        <v>16</v>
      </c>
      <c r="J28" s="44">
        <f>5614+60</f>
        <v>5674</v>
      </c>
      <c r="K28" s="61"/>
      <c r="L28" s="43"/>
      <c r="M28" s="44"/>
      <c r="N28" s="1"/>
      <c r="O28" s="1"/>
      <c r="P28" s="87"/>
      <c r="Q28" s="87"/>
      <c r="R28" s="87"/>
      <c r="S28" s="87"/>
      <c r="T28" s="8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</row>
    <row r="29" spans="1:828" s="8" customFormat="1" ht="18" x14ac:dyDescent="0.2">
      <c r="A29" s="23"/>
      <c r="B29" s="43"/>
      <c r="C29" s="43"/>
      <c r="D29" s="44"/>
      <c r="E29" s="43"/>
      <c r="F29" s="43"/>
      <c r="G29" s="43"/>
      <c r="H29" s="42"/>
      <c r="I29" s="43"/>
      <c r="J29" s="44"/>
      <c r="K29" s="42"/>
      <c r="L29" s="43"/>
      <c r="M29" s="44"/>
      <c r="N29" s="1"/>
      <c r="O29" s="1"/>
      <c r="P29" s="87"/>
      <c r="Q29" s="87"/>
      <c r="R29" s="87"/>
      <c r="S29" s="87"/>
      <c r="T29" s="8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</row>
    <row r="30" spans="1:828" s="8" customFormat="1" ht="18" x14ac:dyDescent="0.2">
      <c r="A30" s="23"/>
      <c r="B30" s="43"/>
      <c r="C30" s="43"/>
      <c r="D30" s="44"/>
      <c r="E30" s="43"/>
      <c r="F30" s="43"/>
      <c r="G30" s="43"/>
      <c r="H30" s="42"/>
      <c r="I30" s="43"/>
      <c r="J30" s="44"/>
      <c r="K30" s="42"/>
      <c r="L30" s="43"/>
      <c r="M30" s="44"/>
      <c r="N30" s="1"/>
      <c r="O30" s="1"/>
      <c r="P30" s="87"/>
      <c r="Q30" s="87"/>
      <c r="R30" s="87"/>
      <c r="S30" s="87"/>
      <c r="T30" s="8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</row>
    <row r="31" spans="1:828" s="8" customFormat="1" ht="18" x14ac:dyDescent="0.2">
      <c r="A31" s="23"/>
      <c r="B31" s="43"/>
      <c r="C31" s="43"/>
      <c r="D31" s="44"/>
      <c r="E31" s="43"/>
      <c r="F31" s="43"/>
      <c r="G31" s="43"/>
      <c r="H31" s="42"/>
      <c r="I31" s="43"/>
      <c r="J31" s="44"/>
      <c r="K31" s="42"/>
      <c r="L31" s="43"/>
      <c r="M31" s="44"/>
      <c r="N31" s="1"/>
      <c r="O31" s="1"/>
      <c r="P31" s="87"/>
      <c r="Q31" s="87"/>
      <c r="R31" s="87"/>
      <c r="S31" s="87"/>
      <c r="T31" s="8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</row>
    <row r="32" spans="1:828" s="8" customFormat="1" ht="18" x14ac:dyDescent="0.2">
      <c r="A32" s="23"/>
      <c r="B32" s="43"/>
      <c r="C32" s="43"/>
      <c r="D32" s="44"/>
      <c r="E32" s="43"/>
      <c r="F32" s="43"/>
      <c r="G32" s="43"/>
      <c r="H32" s="42"/>
      <c r="I32" s="43"/>
      <c r="J32" s="44"/>
      <c r="K32" s="42"/>
      <c r="L32" s="43"/>
      <c r="M32" s="44"/>
      <c r="N32" s="1"/>
      <c r="O32" s="1"/>
      <c r="P32" s="87"/>
      <c r="Q32" s="87"/>
      <c r="R32" s="87"/>
      <c r="S32" s="87"/>
      <c r="T32" s="8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</row>
    <row r="33" spans="1:828" s="8" customFormat="1" ht="19" thickBot="1" x14ac:dyDescent="0.25">
      <c r="A33" s="24"/>
      <c r="B33" s="43"/>
      <c r="C33" s="46"/>
      <c r="D33" s="47"/>
      <c r="E33" s="46"/>
      <c r="F33" s="46"/>
      <c r="G33" s="46"/>
      <c r="H33" s="45"/>
      <c r="I33" s="46"/>
      <c r="J33" s="47"/>
      <c r="K33" s="45"/>
      <c r="L33" s="46"/>
      <c r="M33" s="47"/>
      <c r="N33" s="1"/>
      <c r="O33" s="1"/>
      <c r="P33" s="87"/>
      <c r="Q33" s="87"/>
      <c r="R33" s="87"/>
      <c r="S33" s="87"/>
      <c r="T33" s="8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</row>
    <row r="34" spans="1:828" s="10" customFormat="1" ht="19" x14ac:dyDescent="0.2">
      <c r="A34" s="25" t="s">
        <v>147</v>
      </c>
      <c r="B34" s="94">
        <f t="shared" si="0"/>
        <v>6.1304166290026128E-2</v>
      </c>
      <c r="C34" s="49" t="s">
        <v>118</v>
      </c>
      <c r="D34" s="50">
        <f>draft!D35+draft!D36+draft!D37</f>
        <v>14242</v>
      </c>
      <c r="E34" s="94">
        <f>SUM(G34:G41)/D74</f>
        <v>0.19672258164490761</v>
      </c>
      <c r="F34" s="51" t="s">
        <v>121</v>
      </c>
      <c r="G34" s="52">
        <f>3204+122+2</f>
        <v>3328</v>
      </c>
      <c r="H34" s="48">
        <f>SUM(J34:J38)/J74</f>
        <v>3.5331472171673262E-2</v>
      </c>
      <c r="I34" s="49" t="s">
        <v>14</v>
      </c>
      <c r="J34" s="50">
        <f>1461+11409</f>
        <v>12870</v>
      </c>
      <c r="K34" s="48">
        <f>SUM(M34:M42)/J74-N36-N34-N38</f>
        <v>0.1406077034813083</v>
      </c>
      <c r="L34" s="49" t="s">
        <v>134</v>
      </c>
      <c r="M34" s="50">
        <f>282+1644+27+2</f>
        <v>1955</v>
      </c>
      <c r="N34" s="96">
        <f>M34/$J$74</f>
        <v>5.2783912651399381E-3</v>
      </c>
      <c r="O34" s="1"/>
      <c r="P34" s="87"/>
      <c r="Q34" s="87"/>
      <c r="R34" s="87"/>
      <c r="S34" s="87"/>
      <c r="T34" s="8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</row>
    <row r="35" spans="1:828" s="10" customFormat="1" ht="18" x14ac:dyDescent="0.2">
      <c r="A35" s="88"/>
      <c r="D35" s="52"/>
      <c r="E35" s="51"/>
      <c r="F35" s="51" t="s">
        <v>111</v>
      </c>
      <c r="G35" s="52">
        <f>296+49+3</f>
        <v>348</v>
      </c>
      <c r="H35" s="70"/>
      <c r="I35" s="51"/>
      <c r="J35" s="52"/>
      <c r="K35" s="70"/>
      <c r="L35" s="51" t="s">
        <v>136</v>
      </c>
      <c r="M35" s="52">
        <f>10105+34296+2885+62</f>
        <v>47348</v>
      </c>
      <c r="N35" s="96">
        <f t="shared" ref="N35:N49" si="1">M35/$J$74</f>
        <v>0.12783696655848889</v>
      </c>
      <c r="O35" s="1"/>
      <c r="P35" s="87"/>
      <c r="Q35" s="87"/>
      <c r="R35" s="87"/>
      <c r="S35" s="87"/>
      <c r="T35" s="8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</row>
    <row r="36" spans="1:828" s="10" customFormat="1" ht="18" x14ac:dyDescent="0.2">
      <c r="A36" s="26"/>
      <c r="D36" s="52"/>
      <c r="E36" s="51"/>
      <c r="F36" s="51" t="s">
        <v>113</v>
      </c>
      <c r="G36" s="52">
        <v>1663</v>
      </c>
      <c r="H36" s="53"/>
      <c r="I36" s="51" t="s">
        <v>100</v>
      </c>
      <c r="J36" s="52">
        <f>2+115</f>
        <v>117</v>
      </c>
      <c r="K36" s="53"/>
      <c r="L36" s="51" t="s">
        <v>139</v>
      </c>
      <c r="M36" s="52">
        <f>26+256</f>
        <v>282</v>
      </c>
      <c r="N36" s="96">
        <f t="shared" si="1"/>
        <v>7.6138431548310106E-4</v>
      </c>
      <c r="O36" s="1"/>
      <c r="P36" s="87"/>
      <c r="Q36" s="87"/>
      <c r="R36" s="87"/>
      <c r="S36" s="87"/>
      <c r="T36" s="8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</row>
    <row r="37" spans="1:828" s="10" customFormat="1" ht="18" x14ac:dyDescent="0.2">
      <c r="A37" s="26"/>
      <c r="D37" s="52"/>
      <c r="E37" s="51"/>
      <c r="F37" s="51" t="s">
        <v>112</v>
      </c>
      <c r="G37" s="52">
        <v>38029</v>
      </c>
      <c r="H37" s="53"/>
      <c r="I37" s="51" t="s">
        <v>22</v>
      </c>
      <c r="J37" s="52">
        <f>8+49</f>
        <v>57</v>
      </c>
      <c r="K37" s="53"/>
      <c r="L37" s="51"/>
      <c r="M37" s="52"/>
      <c r="N37" s="96">
        <f t="shared" si="1"/>
        <v>0</v>
      </c>
      <c r="O37" s="1"/>
      <c r="P37" s="87"/>
      <c r="Q37" s="87"/>
      <c r="R37" s="87"/>
      <c r="S37" s="87"/>
      <c r="T37" s="8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</row>
    <row r="38" spans="1:828" s="10" customFormat="1" ht="18" x14ac:dyDescent="0.2">
      <c r="A38" s="26"/>
      <c r="D38" s="52"/>
      <c r="E38" s="51"/>
      <c r="F38" s="10" t="s">
        <v>124</v>
      </c>
      <c r="G38" s="52">
        <v>497</v>
      </c>
      <c r="H38" s="53"/>
      <c r="I38" s="51" t="s">
        <v>101</v>
      </c>
      <c r="J38" s="52">
        <f>2+40</f>
        <v>42</v>
      </c>
      <c r="K38" s="53"/>
      <c r="L38" s="51" t="s">
        <v>140</v>
      </c>
      <c r="M38" s="52">
        <f>781+1398+85+2</f>
        <v>2266</v>
      </c>
      <c r="N38" s="96">
        <f t="shared" si="1"/>
        <v>6.1180739676762663E-3</v>
      </c>
      <c r="O38" s="1"/>
      <c r="P38" s="87"/>
      <c r="Q38" s="87"/>
      <c r="R38" s="87"/>
      <c r="S38" s="87"/>
      <c r="T38" s="8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</row>
    <row r="39" spans="1:828" s="10" customFormat="1" ht="18" x14ac:dyDescent="0.2">
      <c r="A39" s="26"/>
      <c r="D39" s="52"/>
      <c r="E39" s="51"/>
      <c r="F39" s="10" t="s">
        <v>125</v>
      </c>
      <c r="G39" s="52">
        <v>30</v>
      </c>
      <c r="H39" s="53"/>
      <c r="I39" s="51"/>
      <c r="J39" s="52"/>
      <c r="K39" s="53"/>
      <c r="L39" s="51" t="s">
        <v>142</v>
      </c>
      <c r="M39" s="52">
        <f>614+1552+83</f>
        <v>2249</v>
      </c>
      <c r="N39" s="96">
        <f t="shared" si="1"/>
        <v>6.0721749131967878E-3</v>
      </c>
      <c r="O39" s="1"/>
      <c r="P39" s="87"/>
      <c r="Q39" s="87"/>
      <c r="R39" s="87"/>
      <c r="S39" s="87"/>
      <c r="T39" s="8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</row>
    <row r="40" spans="1:828" s="10" customFormat="1" ht="18" x14ac:dyDescent="0.2">
      <c r="A40" s="26"/>
      <c r="D40" s="52"/>
      <c r="E40" s="51"/>
      <c r="F40" s="51" t="s">
        <v>126</v>
      </c>
      <c r="G40" s="52">
        <v>1793</v>
      </c>
      <c r="H40" s="53"/>
      <c r="I40" s="51"/>
      <c r="J40" s="52"/>
      <c r="K40" s="53"/>
      <c r="L40" s="51" t="s">
        <v>144</v>
      </c>
      <c r="M40" s="52">
        <f>185+202+9</f>
        <v>396</v>
      </c>
      <c r="N40" s="96">
        <f t="shared" si="1"/>
        <v>1.0691779749337164E-3</v>
      </c>
      <c r="O40" s="1"/>
      <c r="P40" s="87"/>
      <c r="Q40" s="87"/>
      <c r="R40" s="87"/>
      <c r="S40" s="87"/>
      <c r="T40" s="8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</row>
    <row r="41" spans="1:828" s="10" customFormat="1" ht="18" x14ac:dyDescent="0.2">
      <c r="A41" s="26"/>
      <c r="D41" s="52"/>
      <c r="E41" s="51"/>
      <c r="F41" s="51" t="s">
        <v>131</v>
      </c>
      <c r="G41" s="52">
        <v>14</v>
      </c>
      <c r="H41" s="53"/>
      <c r="I41" s="51"/>
      <c r="J41" s="52"/>
      <c r="K41" s="53"/>
      <c r="L41" s="51" t="s">
        <v>145</v>
      </c>
      <c r="M41" s="52">
        <f>760+1012+156+10</f>
        <v>1938</v>
      </c>
      <c r="N41" s="96">
        <f t="shared" si="1"/>
        <v>5.2324922106604605E-3</v>
      </c>
      <c r="O41" s="1"/>
      <c r="P41" s="87"/>
      <c r="Q41" s="87"/>
      <c r="R41" s="87"/>
      <c r="S41" s="87"/>
      <c r="T41" s="8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</row>
    <row r="42" spans="1:828" s="10" customFormat="1" ht="18" x14ac:dyDescent="0.2">
      <c r="A42" s="26"/>
      <c r="D42" s="52"/>
      <c r="E42" s="51"/>
      <c r="F42" s="51"/>
      <c r="G42" s="51"/>
      <c r="H42" s="53"/>
      <c r="I42" s="51"/>
      <c r="J42" s="52"/>
      <c r="K42" s="53"/>
      <c r="L42" s="51" t="s">
        <v>146</v>
      </c>
      <c r="M42" s="52">
        <f>71+68+8</f>
        <v>147</v>
      </c>
      <c r="N42" s="96">
        <f t="shared" si="1"/>
        <v>3.96891824028425E-4</v>
      </c>
      <c r="O42" s="1"/>
      <c r="P42" s="87"/>
      <c r="Q42" s="87"/>
      <c r="R42" s="87"/>
      <c r="S42" s="87"/>
      <c r="T42" s="8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</row>
    <row r="43" spans="1:828" s="10" customFormat="1" ht="18" x14ac:dyDescent="0.2">
      <c r="A43" s="26"/>
      <c r="C43" s="51"/>
      <c r="D43" s="52"/>
      <c r="E43" s="51"/>
      <c r="F43" s="51"/>
      <c r="G43" s="51"/>
      <c r="H43" s="53"/>
      <c r="I43" s="51"/>
      <c r="J43" s="52"/>
      <c r="K43" s="53"/>
      <c r="L43" s="51"/>
      <c r="M43" s="52"/>
      <c r="N43" s="96">
        <f t="shared" si="1"/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</row>
    <row r="44" spans="1:828" s="10" customFormat="1" ht="18" x14ac:dyDescent="0.2">
      <c r="A44" s="26"/>
      <c r="C44" s="51"/>
      <c r="D44" s="52"/>
      <c r="E44" s="51"/>
      <c r="F44" s="51"/>
      <c r="G44" s="51"/>
      <c r="H44" s="53"/>
      <c r="I44" s="51"/>
      <c r="J44" s="52"/>
      <c r="K44" s="53"/>
      <c r="L44" s="51"/>
      <c r="M44" s="52"/>
      <c r="N44" s="96">
        <f t="shared" si="1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</row>
    <row r="45" spans="1:828" s="10" customFormat="1" ht="18" x14ac:dyDescent="0.2">
      <c r="A45" s="26"/>
      <c r="C45" s="51"/>
      <c r="D45" s="52"/>
      <c r="E45" s="51"/>
      <c r="F45" s="51"/>
      <c r="G45" s="51"/>
      <c r="H45" s="53"/>
      <c r="I45" s="51"/>
      <c r="J45" s="52"/>
      <c r="K45" s="53"/>
      <c r="L45" s="51"/>
      <c r="M45" s="52"/>
      <c r="N45" s="96">
        <f t="shared" si="1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</row>
    <row r="46" spans="1:828" s="10" customFormat="1" ht="18" x14ac:dyDescent="0.2">
      <c r="A46" s="26"/>
      <c r="C46" s="51"/>
      <c r="D46" s="52"/>
      <c r="E46" s="51"/>
      <c r="F46" s="51"/>
      <c r="G46" s="51"/>
      <c r="H46" s="53"/>
      <c r="I46" s="51"/>
      <c r="J46" s="52"/>
      <c r="K46" s="53"/>
      <c r="L46" s="51"/>
      <c r="M46" s="52"/>
      <c r="N46" s="96">
        <f t="shared" si="1"/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</row>
    <row r="47" spans="1:828" s="80" customFormat="1" ht="19" x14ac:dyDescent="0.2">
      <c r="A47" s="78" t="s">
        <v>116</v>
      </c>
      <c r="B47" s="76">
        <f t="shared" si="0"/>
        <v>2.21679859846675E-3</v>
      </c>
      <c r="C47" s="79" t="s">
        <v>117</v>
      </c>
      <c r="D47" s="66">
        <v>515</v>
      </c>
      <c r="E47" s="95">
        <f>SUM(G47:G49)/D74</f>
        <v>4.9501327926927434E-3</v>
      </c>
      <c r="F47" s="90" t="s">
        <v>127</v>
      </c>
      <c r="G47" s="90">
        <f>898+140+14</f>
        <v>1052</v>
      </c>
      <c r="H47" s="65">
        <f>J47/J74</f>
        <v>1.3407923796769786E-2</v>
      </c>
      <c r="I47" s="79" t="s">
        <v>19</v>
      </c>
      <c r="J47" s="66">
        <f>806+4160</f>
        <v>4966</v>
      </c>
      <c r="K47" s="65">
        <f>SUM(M47:M49)/J74-N48</f>
        <v>1.5775775019034606E-2</v>
      </c>
      <c r="L47" s="79" t="s">
        <v>133</v>
      </c>
      <c r="M47" s="66">
        <f>1439+4046+114+2</f>
        <v>5601</v>
      </c>
      <c r="N47" s="96">
        <f t="shared" si="1"/>
        <v>1.5122388478797337E-2</v>
      </c>
      <c r="O47" s="1"/>
      <c r="P47" s="1"/>
      <c r="Q47" s="1"/>
      <c r="R47" s="1"/>
      <c r="S47" s="1"/>
      <c r="T47" s="1"/>
      <c r="U47" s="1"/>
      <c r="V47" s="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1"/>
      <c r="FH47" s="81"/>
      <c r="FI47" s="81"/>
      <c r="FJ47" s="81"/>
      <c r="FK47" s="81"/>
      <c r="FL47" s="81"/>
      <c r="FM47" s="81"/>
      <c r="FN47" s="81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81"/>
      <c r="HK47" s="81"/>
      <c r="HL47" s="81"/>
      <c r="HM47" s="81"/>
      <c r="HN47" s="81"/>
      <c r="HO47" s="81"/>
      <c r="HP47" s="81"/>
      <c r="HQ47" s="81"/>
      <c r="HR47" s="81"/>
      <c r="HS47" s="81"/>
      <c r="HT47" s="81"/>
      <c r="HU47" s="81"/>
      <c r="HV47" s="81"/>
      <c r="HW47" s="81"/>
      <c r="HX47" s="81"/>
      <c r="HY47" s="81"/>
      <c r="HZ47" s="81"/>
      <c r="IA47" s="81"/>
      <c r="IB47" s="81"/>
      <c r="IC47" s="81"/>
      <c r="ID47" s="81"/>
      <c r="IE47" s="81"/>
      <c r="IF47" s="81"/>
      <c r="IG47" s="81"/>
      <c r="IH47" s="81"/>
      <c r="II47" s="81"/>
      <c r="IJ47" s="81"/>
      <c r="IK47" s="81"/>
      <c r="IL47" s="81"/>
      <c r="IM47" s="81"/>
      <c r="IN47" s="81"/>
      <c r="IO47" s="81"/>
      <c r="IP47" s="81"/>
      <c r="IQ47" s="81"/>
      <c r="IR47" s="81"/>
      <c r="IS47" s="81"/>
      <c r="IT47" s="81"/>
      <c r="IU47" s="81"/>
      <c r="IV47" s="81"/>
      <c r="IW47" s="81"/>
      <c r="IX47" s="81"/>
      <c r="IY47" s="81"/>
      <c r="IZ47" s="81"/>
      <c r="JA47" s="81"/>
      <c r="JB47" s="81"/>
      <c r="JC47" s="81"/>
      <c r="JD47" s="81"/>
      <c r="JE47" s="81"/>
      <c r="JF47" s="81"/>
      <c r="JG47" s="81"/>
      <c r="JH47" s="81"/>
      <c r="JI47" s="81"/>
      <c r="JJ47" s="81"/>
      <c r="JK47" s="81"/>
      <c r="JL47" s="81"/>
      <c r="JM47" s="81"/>
      <c r="JN47" s="81"/>
      <c r="JO47" s="81"/>
      <c r="JP47" s="81"/>
      <c r="JQ47" s="81"/>
      <c r="JR47" s="81"/>
      <c r="JS47" s="81"/>
      <c r="JT47" s="81"/>
      <c r="JU47" s="81"/>
      <c r="JV47" s="81"/>
      <c r="JW47" s="81"/>
      <c r="JX47" s="81"/>
      <c r="JY47" s="81"/>
      <c r="JZ47" s="81"/>
      <c r="KA47" s="81"/>
      <c r="KB47" s="81"/>
      <c r="KC47" s="81"/>
      <c r="KD47" s="81"/>
      <c r="KE47" s="81"/>
      <c r="KF47" s="81"/>
      <c r="KG47" s="81"/>
      <c r="KH47" s="81"/>
      <c r="KI47" s="81"/>
      <c r="KJ47" s="81"/>
      <c r="KK47" s="81"/>
      <c r="KL47" s="81"/>
      <c r="KM47" s="81"/>
      <c r="KN47" s="81"/>
      <c r="KO47" s="81"/>
      <c r="KP47" s="81"/>
      <c r="KQ47" s="81"/>
      <c r="KR47" s="81"/>
      <c r="KS47" s="81"/>
      <c r="KT47" s="81"/>
      <c r="KU47" s="81"/>
      <c r="KV47" s="81"/>
      <c r="KW47" s="81"/>
      <c r="KX47" s="81"/>
      <c r="KY47" s="81"/>
      <c r="KZ47" s="81"/>
      <c r="LA47" s="81"/>
      <c r="LB47" s="81"/>
      <c r="LC47" s="81"/>
      <c r="LD47" s="81"/>
      <c r="LE47" s="81"/>
      <c r="LF47" s="81"/>
      <c r="LG47" s="81"/>
      <c r="LH47" s="81"/>
      <c r="LI47" s="81"/>
      <c r="LJ47" s="81"/>
      <c r="LK47" s="81"/>
      <c r="LL47" s="81"/>
      <c r="LM47" s="81"/>
      <c r="LN47" s="81"/>
      <c r="LO47" s="81"/>
      <c r="LP47" s="81"/>
      <c r="LQ47" s="81"/>
      <c r="LR47" s="81"/>
      <c r="LS47" s="81"/>
      <c r="LT47" s="81"/>
      <c r="LU47" s="81"/>
      <c r="LV47" s="81"/>
      <c r="LW47" s="81"/>
      <c r="LX47" s="81"/>
      <c r="LY47" s="81"/>
      <c r="LZ47" s="81"/>
      <c r="MA47" s="81"/>
      <c r="MB47" s="81"/>
      <c r="MC47" s="81"/>
      <c r="MD47" s="81"/>
      <c r="ME47" s="81"/>
      <c r="MF47" s="81"/>
      <c r="MG47" s="81"/>
      <c r="MH47" s="81"/>
      <c r="MI47" s="81"/>
      <c r="MJ47" s="81"/>
      <c r="MK47" s="81"/>
      <c r="ML47" s="81"/>
      <c r="MM47" s="81"/>
      <c r="MN47" s="81"/>
      <c r="MO47" s="81"/>
      <c r="MP47" s="81"/>
      <c r="MQ47" s="81"/>
      <c r="MR47" s="81"/>
      <c r="MS47" s="81"/>
      <c r="MT47" s="81"/>
      <c r="MU47" s="81"/>
      <c r="MV47" s="81"/>
      <c r="MW47" s="81"/>
      <c r="MX47" s="81"/>
      <c r="MY47" s="81"/>
      <c r="MZ47" s="81"/>
      <c r="NA47" s="81"/>
      <c r="NB47" s="81"/>
      <c r="NC47" s="81"/>
      <c r="ND47" s="81"/>
      <c r="NE47" s="81"/>
      <c r="NF47" s="81"/>
      <c r="NG47" s="81"/>
      <c r="NH47" s="81"/>
      <c r="NI47" s="81"/>
      <c r="NJ47" s="81"/>
      <c r="NK47" s="81"/>
      <c r="NL47" s="81"/>
      <c r="NM47" s="81"/>
      <c r="NN47" s="81"/>
      <c r="NO47" s="81"/>
      <c r="NP47" s="81"/>
      <c r="NQ47" s="81"/>
      <c r="NR47" s="81"/>
      <c r="NS47" s="81"/>
      <c r="NT47" s="81"/>
      <c r="NU47" s="81"/>
      <c r="NV47" s="81"/>
      <c r="NW47" s="81"/>
      <c r="NX47" s="81"/>
      <c r="NY47" s="81"/>
      <c r="NZ47" s="81"/>
      <c r="OA47" s="81"/>
      <c r="OB47" s="81"/>
      <c r="OC47" s="81"/>
      <c r="OD47" s="81"/>
      <c r="OE47" s="81"/>
      <c r="OF47" s="81"/>
      <c r="OG47" s="81"/>
      <c r="OH47" s="81"/>
      <c r="OI47" s="81"/>
      <c r="OJ47" s="81"/>
      <c r="OK47" s="81"/>
      <c r="OL47" s="81"/>
      <c r="OM47" s="81"/>
      <c r="ON47" s="81"/>
      <c r="OO47" s="81"/>
      <c r="OP47" s="81"/>
      <c r="OQ47" s="81"/>
      <c r="OR47" s="81"/>
      <c r="OS47" s="81"/>
      <c r="OT47" s="81"/>
      <c r="OU47" s="81"/>
      <c r="OV47" s="81"/>
      <c r="OW47" s="81"/>
      <c r="OX47" s="81"/>
      <c r="OY47" s="81"/>
      <c r="OZ47" s="81"/>
      <c r="PA47" s="81"/>
      <c r="PB47" s="81"/>
      <c r="PC47" s="81"/>
      <c r="PD47" s="81"/>
      <c r="PE47" s="81"/>
      <c r="PF47" s="81"/>
      <c r="PG47" s="81"/>
      <c r="PH47" s="81"/>
      <c r="PI47" s="81"/>
      <c r="PJ47" s="81"/>
      <c r="PK47" s="81"/>
      <c r="PL47" s="81"/>
      <c r="PM47" s="81"/>
      <c r="PN47" s="81"/>
      <c r="PO47" s="81"/>
      <c r="PP47" s="81"/>
      <c r="PQ47" s="81"/>
      <c r="PR47" s="81"/>
      <c r="PS47" s="81"/>
      <c r="PT47" s="81"/>
      <c r="PU47" s="81"/>
      <c r="PV47" s="81"/>
      <c r="PW47" s="81"/>
      <c r="PX47" s="81"/>
      <c r="PY47" s="81"/>
      <c r="PZ47" s="81"/>
      <c r="QA47" s="81"/>
      <c r="QB47" s="81"/>
      <c r="QC47" s="81"/>
      <c r="QD47" s="81"/>
      <c r="QE47" s="81"/>
      <c r="QF47" s="81"/>
      <c r="QG47" s="81"/>
      <c r="QH47" s="81"/>
      <c r="QI47" s="81"/>
      <c r="QJ47" s="81"/>
      <c r="QK47" s="81"/>
      <c r="QL47" s="81"/>
      <c r="QM47" s="81"/>
      <c r="QN47" s="81"/>
      <c r="QO47" s="81"/>
      <c r="QP47" s="81"/>
      <c r="QQ47" s="81"/>
      <c r="QR47" s="81"/>
      <c r="QS47" s="81"/>
      <c r="QT47" s="81"/>
      <c r="QU47" s="81"/>
      <c r="QV47" s="81"/>
      <c r="QW47" s="81"/>
      <c r="QX47" s="81"/>
      <c r="QY47" s="81"/>
      <c r="QZ47" s="81"/>
      <c r="RA47" s="81"/>
      <c r="RB47" s="81"/>
      <c r="RC47" s="81"/>
      <c r="RD47" s="81"/>
      <c r="RE47" s="81"/>
      <c r="RF47" s="81"/>
      <c r="RG47" s="81"/>
      <c r="RH47" s="81"/>
      <c r="RI47" s="81"/>
      <c r="RJ47" s="81"/>
      <c r="RK47" s="81"/>
      <c r="RL47" s="81"/>
      <c r="RM47" s="81"/>
      <c r="RN47" s="81"/>
      <c r="RO47" s="81"/>
      <c r="RP47" s="81"/>
      <c r="RQ47" s="81"/>
      <c r="RR47" s="81"/>
      <c r="RS47" s="81"/>
      <c r="RT47" s="81"/>
      <c r="RU47" s="81"/>
      <c r="RV47" s="81"/>
      <c r="RW47" s="81"/>
      <c r="RX47" s="81"/>
      <c r="RY47" s="81"/>
      <c r="RZ47" s="81"/>
      <c r="SA47" s="81"/>
      <c r="SB47" s="81"/>
      <c r="SC47" s="81"/>
      <c r="SD47" s="81"/>
      <c r="SE47" s="81"/>
      <c r="SF47" s="81"/>
      <c r="SG47" s="81"/>
      <c r="SH47" s="81"/>
      <c r="SI47" s="81"/>
      <c r="SJ47" s="81"/>
      <c r="SK47" s="81"/>
      <c r="SL47" s="81"/>
      <c r="SM47" s="81"/>
      <c r="SN47" s="81"/>
      <c r="SO47" s="81"/>
      <c r="SP47" s="81"/>
      <c r="SQ47" s="81"/>
      <c r="SR47" s="81"/>
      <c r="SS47" s="81"/>
      <c r="ST47" s="81"/>
      <c r="SU47" s="81"/>
      <c r="SV47" s="81"/>
      <c r="SW47" s="81"/>
      <c r="SX47" s="81"/>
      <c r="SY47" s="81"/>
      <c r="SZ47" s="81"/>
      <c r="TA47" s="81"/>
      <c r="TB47" s="81"/>
      <c r="TC47" s="81"/>
      <c r="TD47" s="81"/>
      <c r="TE47" s="81"/>
      <c r="TF47" s="81"/>
      <c r="TG47" s="81"/>
      <c r="TH47" s="81"/>
      <c r="TI47" s="81"/>
      <c r="TJ47" s="81"/>
      <c r="TK47" s="81"/>
      <c r="TL47" s="81"/>
      <c r="TM47" s="81"/>
      <c r="TN47" s="81"/>
      <c r="TO47" s="81"/>
      <c r="TP47" s="81"/>
      <c r="TQ47" s="81"/>
      <c r="TR47" s="81"/>
      <c r="TS47" s="81"/>
      <c r="TT47" s="81"/>
      <c r="TU47" s="81"/>
      <c r="TV47" s="81"/>
      <c r="TW47" s="81"/>
      <c r="TX47" s="81"/>
      <c r="TY47" s="81"/>
      <c r="TZ47" s="81"/>
      <c r="UA47" s="81"/>
      <c r="UB47" s="81"/>
      <c r="UC47" s="81"/>
      <c r="UD47" s="81"/>
      <c r="UE47" s="81"/>
      <c r="UF47" s="81"/>
      <c r="UG47" s="81"/>
      <c r="UH47" s="81"/>
      <c r="UI47" s="81"/>
      <c r="UJ47" s="81"/>
      <c r="UK47" s="81"/>
      <c r="UL47" s="81"/>
      <c r="UM47" s="81"/>
      <c r="UN47" s="81"/>
      <c r="UO47" s="81"/>
      <c r="UP47" s="81"/>
      <c r="UQ47" s="81"/>
      <c r="UR47" s="81"/>
      <c r="US47" s="81"/>
      <c r="UT47" s="81"/>
      <c r="UU47" s="81"/>
      <c r="UV47" s="81"/>
      <c r="UW47" s="81"/>
      <c r="UX47" s="81"/>
      <c r="UY47" s="81"/>
      <c r="UZ47" s="81"/>
      <c r="VA47" s="81"/>
      <c r="VB47" s="81"/>
      <c r="VC47" s="81"/>
      <c r="VD47" s="81"/>
      <c r="VE47" s="81"/>
      <c r="VF47" s="81"/>
      <c r="VG47" s="81"/>
      <c r="VH47" s="81"/>
      <c r="VI47" s="81"/>
      <c r="VJ47" s="81"/>
      <c r="VK47" s="81"/>
      <c r="VL47" s="81"/>
      <c r="VM47" s="81"/>
      <c r="VN47" s="81"/>
      <c r="VO47" s="81"/>
      <c r="VP47" s="81"/>
      <c r="VQ47" s="81"/>
      <c r="VR47" s="81"/>
      <c r="VS47" s="81"/>
      <c r="VT47" s="81"/>
      <c r="VU47" s="81"/>
      <c r="VV47" s="81"/>
      <c r="VW47" s="81"/>
      <c r="VX47" s="81"/>
      <c r="VY47" s="81"/>
      <c r="VZ47" s="81"/>
      <c r="WA47" s="81"/>
      <c r="WB47" s="81"/>
      <c r="WC47" s="81"/>
      <c r="WD47" s="81"/>
      <c r="WE47" s="81"/>
      <c r="WF47" s="81"/>
      <c r="WG47" s="81"/>
      <c r="WH47" s="81"/>
      <c r="WI47" s="81"/>
      <c r="WJ47" s="81"/>
      <c r="WK47" s="81"/>
      <c r="WL47" s="81"/>
      <c r="WM47" s="81"/>
      <c r="WN47" s="81"/>
      <c r="WO47" s="81"/>
      <c r="WP47" s="81"/>
      <c r="WQ47" s="81"/>
      <c r="WR47" s="81"/>
      <c r="WS47" s="81"/>
      <c r="WT47" s="81"/>
      <c r="WU47" s="81"/>
      <c r="WV47" s="81"/>
      <c r="WW47" s="81"/>
      <c r="WX47" s="81"/>
      <c r="WY47" s="81"/>
      <c r="WZ47" s="81"/>
      <c r="XA47" s="81"/>
      <c r="XB47" s="81"/>
      <c r="XC47" s="81"/>
      <c r="XD47" s="81"/>
      <c r="XE47" s="81"/>
      <c r="XF47" s="81"/>
      <c r="XG47" s="81"/>
      <c r="XH47" s="81"/>
      <c r="XI47" s="81"/>
      <c r="XJ47" s="81"/>
      <c r="XK47" s="81"/>
      <c r="XL47" s="81"/>
      <c r="XM47" s="81"/>
      <c r="XN47" s="81"/>
      <c r="XO47" s="81"/>
      <c r="XP47" s="81"/>
      <c r="XQ47" s="81"/>
      <c r="XR47" s="81"/>
      <c r="XS47" s="81"/>
      <c r="XT47" s="81"/>
      <c r="XU47" s="81"/>
      <c r="XV47" s="81"/>
      <c r="XW47" s="81"/>
      <c r="XX47" s="81"/>
      <c r="XY47" s="81"/>
      <c r="XZ47" s="81"/>
      <c r="YA47" s="81"/>
      <c r="YB47" s="81"/>
      <c r="YC47" s="81"/>
      <c r="YD47" s="81"/>
      <c r="YE47" s="81"/>
      <c r="YF47" s="81"/>
      <c r="YG47" s="81"/>
      <c r="YH47" s="81"/>
      <c r="YI47" s="81"/>
      <c r="YJ47" s="81"/>
      <c r="YK47" s="81"/>
      <c r="YL47" s="81"/>
      <c r="YM47" s="81"/>
      <c r="YN47" s="81"/>
      <c r="YO47" s="81"/>
      <c r="YP47" s="81"/>
      <c r="YQ47" s="81"/>
      <c r="YR47" s="81"/>
      <c r="YS47" s="81"/>
      <c r="YT47" s="81"/>
      <c r="YU47" s="81"/>
      <c r="YV47" s="81"/>
      <c r="YW47" s="81"/>
      <c r="YX47" s="81"/>
      <c r="YY47" s="81"/>
      <c r="YZ47" s="81"/>
      <c r="ZA47" s="81"/>
      <c r="ZB47" s="81"/>
      <c r="ZC47" s="81"/>
      <c r="ZD47" s="81"/>
      <c r="ZE47" s="81"/>
      <c r="ZF47" s="81"/>
      <c r="ZG47" s="81"/>
      <c r="ZH47" s="81"/>
      <c r="ZI47" s="81"/>
      <c r="ZJ47" s="81"/>
      <c r="ZK47" s="81"/>
      <c r="ZL47" s="81"/>
      <c r="ZM47" s="81"/>
      <c r="ZN47" s="81"/>
      <c r="ZO47" s="81"/>
      <c r="ZP47" s="81"/>
      <c r="ZQ47" s="81"/>
      <c r="ZR47" s="81"/>
      <c r="ZS47" s="81"/>
      <c r="ZT47" s="81"/>
      <c r="ZU47" s="81"/>
      <c r="ZV47" s="81"/>
      <c r="ZW47" s="81"/>
      <c r="ZX47" s="81"/>
      <c r="ZY47" s="81"/>
      <c r="ZZ47" s="81"/>
      <c r="AAA47" s="81"/>
      <c r="AAB47" s="81"/>
      <c r="AAC47" s="81"/>
      <c r="AAD47" s="81"/>
      <c r="AAE47" s="81"/>
      <c r="AAF47" s="81"/>
      <c r="AAG47" s="81"/>
      <c r="AAH47" s="81"/>
      <c r="AAI47" s="81"/>
      <c r="AAJ47" s="81"/>
      <c r="AAK47" s="81"/>
      <c r="AAL47" s="81"/>
      <c r="AAM47" s="81"/>
      <c r="AAN47" s="81"/>
      <c r="AAO47" s="81"/>
      <c r="AAP47" s="81"/>
      <c r="AAQ47" s="81"/>
      <c r="AAR47" s="81"/>
      <c r="AAS47" s="81"/>
      <c r="AAT47" s="81"/>
      <c r="AAU47" s="81"/>
      <c r="AAV47" s="81"/>
      <c r="AAW47" s="81"/>
      <c r="AAX47" s="81"/>
      <c r="AAY47" s="81"/>
      <c r="AAZ47" s="81"/>
      <c r="ABA47" s="81"/>
      <c r="ABB47" s="81"/>
      <c r="ABC47" s="81"/>
      <c r="ABD47" s="81"/>
      <c r="ABE47" s="81"/>
      <c r="ABF47" s="81"/>
      <c r="ABG47" s="81"/>
      <c r="ABH47" s="81"/>
      <c r="ABI47" s="81"/>
      <c r="ABJ47" s="81"/>
      <c r="ABK47" s="81"/>
      <c r="ABL47" s="81"/>
      <c r="ABM47" s="81"/>
      <c r="ABN47" s="81"/>
      <c r="ABO47" s="81"/>
      <c r="ABP47" s="81"/>
      <c r="ABQ47" s="81"/>
      <c r="ABR47" s="81"/>
      <c r="ABS47" s="81"/>
      <c r="ABT47" s="81"/>
      <c r="ABU47" s="81"/>
      <c r="ABV47" s="81"/>
      <c r="ABW47" s="81"/>
      <c r="ABX47" s="81"/>
      <c r="ABY47" s="81"/>
      <c r="ABZ47" s="81"/>
      <c r="ACA47" s="81"/>
      <c r="ACB47" s="81"/>
      <c r="ACC47" s="81"/>
      <c r="ACD47" s="81"/>
      <c r="ACE47" s="81"/>
      <c r="ACF47" s="81"/>
      <c r="ACG47" s="81"/>
      <c r="ACH47" s="81"/>
      <c r="ACI47" s="81"/>
      <c r="ACJ47" s="81"/>
      <c r="ACK47" s="81"/>
      <c r="ACL47" s="81"/>
      <c r="ACM47" s="81"/>
      <c r="ACN47" s="81"/>
      <c r="ACO47" s="81"/>
      <c r="ACP47" s="81"/>
      <c r="ACQ47" s="81"/>
      <c r="ACR47" s="81"/>
      <c r="ACS47" s="81"/>
      <c r="ACT47" s="81"/>
      <c r="ACU47" s="81"/>
      <c r="ACV47" s="81"/>
      <c r="ACW47" s="81"/>
      <c r="ACX47" s="81"/>
      <c r="ACY47" s="81"/>
      <c r="ACZ47" s="81"/>
      <c r="ADA47" s="81"/>
      <c r="ADB47" s="81"/>
      <c r="ADC47" s="81"/>
      <c r="ADD47" s="81"/>
      <c r="ADE47" s="81"/>
      <c r="ADF47" s="81"/>
      <c r="ADG47" s="81"/>
      <c r="ADH47" s="81"/>
      <c r="ADI47" s="81"/>
      <c r="ADJ47" s="81"/>
      <c r="ADK47" s="81"/>
      <c r="ADL47" s="81"/>
      <c r="ADM47" s="81"/>
      <c r="ADN47" s="81"/>
      <c r="ADO47" s="81"/>
      <c r="ADP47" s="81"/>
      <c r="ADQ47" s="81"/>
      <c r="ADR47" s="81"/>
      <c r="ADS47" s="81"/>
      <c r="ADT47" s="81"/>
      <c r="ADU47" s="81"/>
      <c r="ADV47" s="81"/>
      <c r="ADW47" s="81"/>
      <c r="ADX47" s="81"/>
      <c r="ADY47" s="81"/>
      <c r="ADZ47" s="81"/>
      <c r="AEA47" s="81"/>
      <c r="AEB47" s="81"/>
      <c r="AEC47" s="81"/>
      <c r="AED47" s="81"/>
      <c r="AEE47" s="81"/>
      <c r="AEF47" s="81"/>
      <c r="AEG47" s="81"/>
      <c r="AEH47" s="81"/>
      <c r="AEI47" s="81"/>
      <c r="AEJ47" s="81"/>
      <c r="AEK47" s="81"/>
      <c r="AEL47" s="81"/>
      <c r="AEM47" s="81"/>
      <c r="AEN47" s="81"/>
      <c r="AEO47" s="81"/>
      <c r="AEP47" s="81"/>
      <c r="AEQ47" s="81"/>
      <c r="AER47" s="81"/>
      <c r="AES47" s="81"/>
      <c r="AET47" s="81"/>
      <c r="AEU47" s="81"/>
      <c r="AEV47" s="81"/>
    </row>
    <row r="48" spans="1:828" s="10" customFormat="1" ht="18" x14ac:dyDescent="0.2">
      <c r="A48" s="29"/>
      <c r="D48" s="52"/>
      <c r="E48" s="51"/>
      <c r="F48" s="10" t="s">
        <v>128</v>
      </c>
      <c r="G48" s="52">
        <f>66</f>
        <v>66</v>
      </c>
      <c r="H48" s="53"/>
      <c r="K48" s="53"/>
      <c r="L48" s="51" t="s">
        <v>135</v>
      </c>
      <c r="M48" s="52">
        <f>179+281+2</f>
        <v>462</v>
      </c>
      <c r="N48" s="96">
        <f t="shared" si="1"/>
        <v>1.2473743040893358E-3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</row>
    <row r="49" spans="1:828" s="10" customFormat="1" ht="18" x14ac:dyDescent="0.2">
      <c r="A49" s="29"/>
      <c r="D49" s="52"/>
      <c r="E49" s="51"/>
      <c r="F49" s="10" t="s">
        <v>129</v>
      </c>
      <c r="G49" s="52">
        <v>32</v>
      </c>
      <c r="H49" s="53"/>
      <c r="K49" s="53"/>
      <c r="L49" s="51" t="s">
        <v>143</v>
      </c>
      <c r="M49" s="52">
        <f>136+99+7</f>
        <v>242</v>
      </c>
      <c r="N49" s="96">
        <f t="shared" si="1"/>
        <v>6.5338654023727109E-4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</row>
    <row r="50" spans="1:828" s="10" customFormat="1" ht="18" x14ac:dyDescent="0.2">
      <c r="A50" s="29"/>
      <c r="D50" s="52"/>
      <c r="E50" s="51"/>
      <c r="F50" s="51"/>
      <c r="G50" s="51"/>
      <c r="H50" s="53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</row>
    <row r="51" spans="1:828" s="10" customFormat="1" ht="18" x14ac:dyDescent="0.2">
      <c r="A51" s="29"/>
      <c r="D51" s="52"/>
      <c r="E51" s="51"/>
      <c r="F51" s="51"/>
      <c r="G51" s="51"/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</row>
    <row r="52" spans="1:828" s="10" customFormat="1" ht="18" x14ac:dyDescent="0.2">
      <c r="A52" s="29"/>
      <c r="D52" s="52"/>
      <c r="E52" s="51"/>
      <c r="F52" s="51"/>
      <c r="G52" s="51"/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</row>
    <row r="53" spans="1:828" s="10" customFormat="1" ht="18" x14ac:dyDescent="0.2">
      <c r="A53" s="29"/>
      <c r="D53" s="52"/>
      <c r="E53" s="51"/>
      <c r="F53" s="51"/>
      <c r="G53" s="51"/>
      <c r="H53" s="53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</row>
    <row r="54" spans="1:828" s="10" customFormat="1" ht="18" x14ac:dyDescent="0.2">
      <c r="A54" s="29"/>
      <c r="C54" s="51"/>
      <c r="D54" s="52"/>
      <c r="E54" s="51"/>
      <c r="F54" s="51"/>
      <c r="G54" s="51"/>
      <c r="H54" s="53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</row>
    <row r="55" spans="1:828" s="10" customFormat="1" ht="18" x14ac:dyDescent="0.2">
      <c r="A55" s="29"/>
      <c r="C55" s="51"/>
      <c r="D55" s="52"/>
      <c r="E55" s="51"/>
      <c r="F55" s="51"/>
      <c r="G55" s="51"/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</row>
    <row r="56" spans="1:828" s="10" customFormat="1" ht="18" x14ac:dyDescent="0.2">
      <c r="A56" s="29"/>
      <c r="C56" s="51"/>
      <c r="D56" s="52"/>
      <c r="E56" s="51"/>
      <c r="F56" s="51"/>
      <c r="G56" s="51"/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</row>
    <row r="57" spans="1:828" s="10" customFormat="1" ht="18" x14ac:dyDescent="0.2">
      <c r="A57" s="29"/>
      <c r="C57" s="51"/>
      <c r="D57" s="52"/>
      <c r="E57" s="51"/>
      <c r="F57" s="51"/>
      <c r="G57" s="51"/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</row>
    <row r="58" spans="1:828" s="10" customFormat="1" ht="18" x14ac:dyDescent="0.2">
      <c r="A58" s="29"/>
      <c r="C58" s="51"/>
      <c r="D58" s="52"/>
      <c r="E58" s="51"/>
      <c r="F58" s="51"/>
      <c r="G58" s="51"/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</row>
    <row r="59" spans="1:828" s="10" customFormat="1" ht="18" x14ac:dyDescent="0.2">
      <c r="A59" s="30"/>
      <c r="C59" s="68"/>
      <c r="D59" s="69"/>
      <c r="E59" s="68"/>
      <c r="F59" s="68"/>
      <c r="G59" s="69"/>
      <c r="H59" s="68"/>
      <c r="I59" s="68"/>
      <c r="J59" s="69"/>
      <c r="K59" s="68"/>
      <c r="L59" s="68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</row>
    <row r="60" spans="1:828" s="10" customFormat="1" ht="19" x14ac:dyDescent="0.2">
      <c r="A60" s="29" t="s">
        <v>130</v>
      </c>
      <c r="B60" s="76">
        <f>SUM(D60:D62)/D74</f>
        <v>0.33523160164774857</v>
      </c>
      <c r="C60" s="54" t="s">
        <v>122</v>
      </c>
      <c r="D60" s="52">
        <f>827+10</f>
        <v>837</v>
      </c>
      <c r="E60" s="92">
        <f>SUM(G60:G61)/D74</f>
        <v>2.1987198526151767E-2</v>
      </c>
      <c r="F60" s="51" t="s">
        <v>120</v>
      </c>
      <c r="G60" s="52">
        <v>2879</v>
      </c>
      <c r="H60" s="70">
        <f>SUM(J60:J64)/J74</f>
        <v>0.33426121421898708</v>
      </c>
      <c r="I60" s="51" t="s">
        <v>99</v>
      </c>
      <c r="J60" s="52">
        <f>132+699</f>
        <v>831</v>
      </c>
      <c r="K60" s="70">
        <f>SUM(M60:M61)/J74</f>
        <v>2.7952524178001932E-2</v>
      </c>
      <c r="L60" s="51" t="s">
        <v>138</v>
      </c>
      <c r="M60" s="52">
        <f>1393+4394+36</f>
        <v>5823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</row>
    <row r="61" spans="1:828" s="10" customFormat="1" ht="18" x14ac:dyDescent="0.2">
      <c r="A61" s="29"/>
      <c r="B61" s="76"/>
      <c r="C61" s="51" t="s">
        <v>34</v>
      </c>
      <c r="D61" s="52">
        <f>2058+69</f>
        <v>2127</v>
      </c>
      <c r="E61" s="51"/>
      <c r="F61" s="51" t="s">
        <v>123</v>
      </c>
      <c r="G61" s="52">
        <f>1727+445+53+4</f>
        <v>2229</v>
      </c>
      <c r="H61" s="53"/>
      <c r="I61" s="51" t="s">
        <v>20</v>
      </c>
      <c r="J61" s="52">
        <f>444+1651</f>
        <v>2095</v>
      </c>
      <c r="K61" s="53"/>
      <c r="L61" s="51" t="s">
        <v>137</v>
      </c>
      <c r="M61" s="52">
        <f>1923+2436+168+3</f>
        <v>4530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</row>
    <row r="62" spans="1:828" s="10" customFormat="1" ht="18" x14ac:dyDescent="0.2">
      <c r="A62" s="29"/>
      <c r="B62" s="76"/>
      <c r="C62" s="51" t="s">
        <v>119</v>
      </c>
      <c r="D62" s="52">
        <f>55631+17214+1932+131+8</f>
        <v>74916</v>
      </c>
      <c r="E62" s="51"/>
      <c r="F62" s="51"/>
      <c r="G62" s="51"/>
      <c r="H62" s="53"/>
      <c r="I62" s="51" t="s">
        <v>21</v>
      </c>
      <c r="J62" s="52">
        <f>1443+3469</f>
        <v>4912</v>
      </c>
      <c r="K62" s="53"/>
      <c r="L62" s="51"/>
      <c r="M62" s="5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</row>
    <row r="63" spans="1:828" s="10" customFormat="1" ht="18" x14ac:dyDescent="0.2">
      <c r="A63" s="29"/>
      <c r="D63" s="52"/>
      <c r="E63" s="51"/>
      <c r="F63" s="51"/>
      <c r="G63" s="51"/>
      <c r="H63" s="53"/>
      <c r="I63" s="51" t="s">
        <v>23</v>
      </c>
      <c r="J63" s="52">
        <f>36083+77585</f>
        <v>113668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</row>
    <row r="64" spans="1:828" s="10" customFormat="1" ht="18" x14ac:dyDescent="0.2">
      <c r="A64" s="29"/>
      <c r="D64" s="52"/>
      <c r="E64" s="51"/>
      <c r="F64" s="51"/>
      <c r="G64" s="51"/>
      <c r="H64" s="53"/>
      <c r="I64" s="51" t="s">
        <v>104</v>
      </c>
      <c r="J64" s="52">
        <f>2128+169</f>
        <v>2297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</row>
    <row r="65" spans="1:828" s="12" customFormat="1" ht="19" thickBot="1" x14ac:dyDescent="0.25">
      <c r="A65" s="30"/>
      <c r="B65" s="10"/>
      <c r="D65" s="69"/>
      <c r="E65" s="68"/>
      <c r="F65" s="68"/>
      <c r="G65" s="68"/>
      <c r="H65" s="67"/>
      <c r="I65" s="68"/>
      <c r="J65" s="69"/>
      <c r="K65" s="67"/>
      <c r="L65" s="68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</row>
    <row r="66" spans="1:828" s="10" customFormat="1" ht="19" x14ac:dyDescent="0.2">
      <c r="A66" s="26" t="s">
        <v>1</v>
      </c>
      <c r="B66" s="48">
        <f t="shared" si="0"/>
        <v>9.452601402394142E-3</v>
      </c>
      <c r="C66" s="51" t="s">
        <v>36</v>
      </c>
      <c r="D66" s="52">
        <f>2174+19+3</f>
        <v>2196</v>
      </c>
      <c r="E66" s="92">
        <f>G66/D74</f>
        <v>4.5627310958733111E-4</v>
      </c>
      <c r="F66" s="51" t="s">
        <v>132</v>
      </c>
      <c r="G66" s="52">
        <f>104+2</f>
        <v>106</v>
      </c>
      <c r="H66" s="70">
        <f>SUM(J66:J67)/J74</f>
        <v>2.4785489418917969E-3</v>
      </c>
      <c r="I66" s="51" t="s">
        <v>106</v>
      </c>
      <c r="J66" s="52">
        <f>490+97</f>
        <v>587</v>
      </c>
      <c r="K66" s="70">
        <f>M66/J74</f>
        <v>6.5338654023727109E-4</v>
      </c>
      <c r="L66" s="51" t="s">
        <v>141</v>
      </c>
      <c r="M66" s="52">
        <f>179+61+2</f>
        <v>242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</row>
    <row r="67" spans="1:828" s="10" customFormat="1" ht="18" x14ac:dyDescent="0.2">
      <c r="A67" s="31"/>
      <c r="B67" s="53"/>
      <c r="D67" s="52"/>
      <c r="E67" s="51"/>
      <c r="F67" s="51"/>
      <c r="G67" s="51"/>
      <c r="H67" s="53"/>
      <c r="I67" s="51" t="s">
        <v>105</v>
      </c>
      <c r="J67" s="52">
        <f>232+99</f>
        <v>331</v>
      </c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</row>
    <row r="68" spans="1:828" s="10" customFormat="1" ht="18" x14ac:dyDescent="0.2">
      <c r="A68" s="31"/>
      <c r="B68" s="53"/>
      <c r="C68" s="51"/>
      <c r="D68" s="52"/>
      <c r="E68" s="51"/>
      <c r="F68" s="51"/>
      <c r="G68" s="51"/>
      <c r="H68" s="53"/>
      <c r="I68" s="51"/>
      <c r="J68" s="52"/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</row>
    <row r="69" spans="1:828" s="10" customFormat="1" ht="18" x14ac:dyDescent="0.2">
      <c r="A69" s="31"/>
      <c r="B69" s="53"/>
      <c r="C69" s="51"/>
      <c r="D69" s="52"/>
      <c r="E69" s="51"/>
      <c r="F69" s="51"/>
      <c r="G69" s="51"/>
      <c r="H69" s="53"/>
      <c r="I69" s="51"/>
      <c r="J69" s="52"/>
      <c r="K69" s="53"/>
      <c r="L69" s="51"/>
      <c r="M69" s="52"/>
      <c r="N69" s="1"/>
      <c r="O69" s="1"/>
      <c r="P69"/>
      <c r="Q69"/>
      <c r="R69"/>
      <c r="S69"/>
      <c r="T69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</row>
    <row r="70" spans="1:828" s="10" customFormat="1" ht="19" thickBot="1" x14ac:dyDescent="0.25">
      <c r="A70" s="32"/>
      <c r="B70" s="58"/>
      <c r="C70" s="59"/>
      <c r="D70" s="60"/>
      <c r="E70" s="59"/>
      <c r="F70" s="59"/>
      <c r="G70" s="59"/>
      <c r="H70" s="58"/>
      <c r="I70" s="59"/>
      <c r="J70" s="60"/>
      <c r="K70" s="58"/>
      <c r="L70" s="59"/>
      <c r="M70" s="60"/>
      <c r="N70" s="1"/>
      <c r="O70" s="1"/>
      <c r="P70"/>
      <c r="Q70"/>
      <c r="R70"/>
      <c r="S70"/>
      <c r="T7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</row>
    <row r="71" spans="1:828" s="19" customFormat="1" ht="18" x14ac:dyDescent="0.2">
      <c r="A71" s="33" t="s">
        <v>9</v>
      </c>
      <c r="B71" s="71"/>
      <c r="C71" s="72"/>
      <c r="D71" s="73">
        <f>SUM(D5:D66)</f>
        <v>180251</v>
      </c>
      <c r="E71" s="72"/>
      <c r="F71" s="72"/>
      <c r="G71" s="72">
        <f>SUM(G34:G66)</f>
        <v>52066</v>
      </c>
      <c r="H71" s="71"/>
      <c r="I71" s="72"/>
      <c r="J71" s="73">
        <f>SUM(J2:J67)</f>
        <v>458113</v>
      </c>
      <c r="K71" s="71"/>
      <c r="L71" s="72"/>
      <c r="M71" s="73">
        <f>SUM(M2:M67)</f>
        <v>73481</v>
      </c>
      <c r="N71" s="1"/>
      <c r="O71" s="1"/>
      <c r="P71"/>
      <c r="Q71"/>
      <c r="R71"/>
      <c r="S71"/>
      <c r="T7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</row>
    <row r="72" spans="1:828" ht="16" x14ac:dyDescent="0.2">
      <c r="D72" s="74"/>
      <c r="E72" s="89"/>
      <c r="F72" s="89"/>
      <c r="G72" s="89"/>
      <c r="K72" s="10"/>
      <c r="L72" s="10"/>
      <c r="M72" s="52"/>
    </row>
    <row r="73" spans="1:828" ht="16" x14ac:dyDescent="0.2">
      <c r="K73" s="10"/>
      <c r="L73" s="10"/>
      <c r="M73" s="52"/>
    </row>
    <row r="74" spans="1:828" ht="16" x14ac:dyDescent="0.2">
      <c r="D74" s="18">
        <f>D71+G71</f>
        <v>232317</v>
      </c>
      <c r="J74" s="18">
        <f>J71+M71-J2</f>
        <v>370378</v>
      </c>
      <c r="K74" s="10"/>
      <c r="L74" s="10"/>
      <c r="M74" s="52"/>
    </row>
    <row r="75" spans="1:828" ht="16" x14ac:dyDescent="0.2">
      <c r="D75" s="74">
        <f>D71/D74</f>
        <v>0.7758838139266605</v>
      </c>
      <c r="K75" s="10"/>
      <c r="L75" s="10"/>
      <c r="M75" s="52"/>
    </row>
    <row r="76" spans="1:828" x14ac:dyDescent="0.2">
      <c r="J76" s="74">
        <f>J71/J74</f>
        <v>1.2368796202798222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101"/>
  <sheetViews>
    <sheetView zoomScale="110" zoomScaleNormal="110" workbookViewId="0">
      <pane xSplit="1" ySplit="2" topLeftCell="B41" activePane="bottomRight" state="frozen"/>
      <selection pane="topRight" activeCell="B1" sqref="B1"/>
      <selection pane="bottomLeft" activeCell="A3" sqref="A3"/>
      <selection pane="bottomRight" activeCell="D88" sqref="D88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9.83203125" style="18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8" customWidth="1"/>
    <col min="11" max="11" width="17.83203125" style="5" customWidth="1"/>
    <col min="12" max="12" width="33.5" style="1" customWidth="1"/>
    <col min="13" max="13" width="18.5" style="18" customWidth="1"/>
    <col min="14" max="16384" width="9" style="1"/>
  </cols>
  <sheetData>
    <row r="1" spans="1:831" s="6" customFormat="1" ht="25" x14ac:dyDescent="0.2">
      <c r="A1" s="20"/>
      <c r="B1" s="13">
        <v>2007</v>
      </c>
      <c r="C1" s="14"/>
      <c r="D1" s="15"/>
      <c r="E1" s="13">
        <v>2007</v>
      </c>
      <c r="H1" s="13">
        <v>2017</v>
      </c>
      <c r="I1" s="14"/>
      <c r="J1" s="15"/>
      <c r="K1" s="13">
        <v>2017</v>
      </c>
      <c r="L1" s="14"/>
      <c r="M1" s="15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</row>
    <row r="2" spans="1:831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7" t="s">
        <v>38</v>
      </c>
      <c r="G2" s="17" t="s">
        <v>8</v>
      </c>
      <c r="H2" s="3" t="s">
        <v>10</v>
      </c>
      <c r="I2" s="16" t="s">
        <v>98</v>
      </c>
      <c r="J2" s="17" t="s">
        <v>8</v>
      </c>
      <c r="K2" s="3" t="s">
        <v>10</v>
      </c>
      <c r="L2" s="16" t="s">
        <v>38</v>
      </c>
      <c r="M2" s="17" t="s">
        <v>8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</row>
    <row r="3" spans="1:831" s="8" customFormat="1" ht="19" x14ac:dyDescent="0.2">
      <c r="A3" s="22" t="s">
        <v>2</v>
      </c>
      <c r="B3" s="39"/>
      <c r="C3" s="40" t="s">
        <v>12</v>
      </c>
      <c r="D3" s="41">
        <v>0</v>
      </c>
      <c r="F3" s="8" t="s">
        <v>12</v>
      </c>
      <c r="H3" s="39">
        <f>J3/J88</f>
        <v>0.45918579513573404</v>
      </c>
      <c r="I3" s="40" t="s">
        <v>24</v>
      </c>
      <c r="J3" s="41">
        <v>161216</v>
      </c>
      <c r="K3" s="39"/>
      <c r="L3" s="40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3"/>
      <c r="B4" s="42"/>
      <c r="C4" s="43"/>
      <c r="D4" s="44"/>
      <c r="H4" s="42"/>
      <c r="I4" s="43"/>
      <c r="J4" s="44"/>
      <c r="K4" s="42"/>
      <c r="L4" s="43"/>
      <c r="M4" s="4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4"/>
      <c r="B5" s="45"/>
      <c r="C5" s="46"/>
      <c r="D5" s="47"/>
      <c r="H5" s="45"/>
      <c r="I5" s="46"/>
      <c r="J5" s="47"/>
      <c r="K5" s="45"/>
      <c r="L5" s="46"/>
      <c r="M5" s="4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5" t="s">
        <v>3</v>
      </c>
      <c r="B6" s="48">
        <f>D6/D92</f>
        <v>1.8362711539076745E-2</v>
      </c>
      <c r="C6" s="49" t="s">
        <v>25</v>
      </c>
      <c r="D6" s="50">
        <f>4558+34</f>
        <v>4592</v>
      </c>
      <c r="F6" s="10" t="s">
        <v>84</v>
      </c>
      <c r="G6" s="10">
        <v>7</v>
      </c>
      <c r="H6" s="48">
        <f>J6/J88</f>
        <v>3.2871819556753092E-2</v>
      </c>
      <c r="I6" s="49" t="s">
        <v>15</v>
      </c>
      <c r="J6" s="50">
        <v>11541</v>
      </c>
      <c r="K6" s="48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6"/>
      <c r="B7" s="53"/>
      <c r="C7" s="51"/>
      <c r="D7" s="52"/>
      <c r="H7" s="53"/>
      <c r="I7" s="54"/>
      <c r="J7" s="55"/>
      <c r="K7" s="53"/>
      <c r="L7" s="54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6"/>
      <c r="B8" s="53"/>
      <c r="C8" s="51"/>
      <c r="D8" s="52"/>
      <c r="H8" s="53"/>
      <c r="I8" s="51"/>
      <c r="J8" s="52"/>
      <c r="K8" s="53"/>
      <c r="L8" s="51"/>
      <c r="M8" s="5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6"/>
      <c r="B9" s="53"/>
      <c r="C9" s="51"/>
      <c r="D9" s="52"/>
      <c r="H9" s="53"/>
      <c r="I9" s="51"/>
      <c r="J9" s="52"/>
      <c r="K9" s="53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6"/>
      <c r="B10" s="53"/>
      <c r="C10" s="51"/>
      <c r="D10" s="52"/>
      <c r="H10" s="53"/>
      <c r="I10" s="51"/>
      <c r="J10" s="52"/>
      <c r="K10" s="53"/>
      <c r="L10" s="51"/>
      <c r="M10" s="5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6"/>
      <c r="B11" s="53"/>
      <c r="C11" s="51"/>
      <c r="D11" s="52"/>
      <c r="H11" s="53"/>
      <c r="I11" s="51"/>
      <c r="J11" s="52"/>
      <c r="K11" s="53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2" t="s">
        <v>4</v>
      </c>
      <c r="B12" s="39">
        <f>(D12+D13+D14)/D92</f>
        <v>0.26209651620333346</v>
      </c>
      <c r="C12" s="40" t="s">
        <v>26</v>
      </c>
      <c r="D12" s="41">
        <f>65534+9</f>
        <v>65543</v>
      </c>
      <c r="F12" s="7" t="s">
        <v>82</v>
      </c>
      <c r="G12" s="7">
        <v>155</v>
      </c>
      <c r="H12" s="39">
        <f>J12/J88</f>
        <v>0.30511462840118375</v>
      </c>
      <c r="I12" s="40" t="s">
        <v>13</v>
      </c>
      <c r="J12" s="41">
        <v>107123</v>
      </c>
      <c r="K12" s="39"/>
      <c r="L12" s="40"/>
      <c r="M12" s="4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7"/>
      <c r="B13" s="42"/>
      <c r="C13" s="43"/>
      <c r="D13" s="44"/>
      <c r="F13" s="8" t="s">
        <v>90</v>
      </c>
      <c r="G13" s="8">
        <v>1</v>
      </c>
      <c r="H13" s="42"/>
      <c r="I13" s="43"/>
      <c r="J13" s="44"/>
      <c r="K13" s="42"/>
      <c r="L13" s="43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7"/>
      <c r="B14" s="42"/>
      <c r="C14" s="43"/>
      <c r="D14" s="44"/>
      <c r="F14" s="8" t="s">
        <v>91</v>
      </c>
      <c r="G14" s="8">
        <v>6</v>
      </c>
      <c r="H14" s="42"/>
      <c r="I14" s="56"/>
      <c r="J14" s="57"/>
      <c r="K14" s="42"/>
      <c r="L14" s="56"/>
      <c r="M14" s="5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7"/>
      <c r="B15" s="42"/>
      <c r="C15" s="43"/>
      <c r="D15" s="44"/>
      <c r="F15" s="8" t="s">
        <v>92</v>
      </c>
      <c r="G15" s="8">
        <v>30</v>
      </c>
      <c r="H15" s="42"/>
      <c r="I15" s="56"/>
      <c r="J15" s="57"/>
      <c r="K15" s="42"/>
      <c r="L15" s="56"/>
      <c r="M15" s="5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7"/>
      <c r="B16" s="42"/>
      <c r="C16" s="43"/>
      <c r="D16" s="44"/>
      <c r="H16" s="42"/>
      <c r="I16" s="56"/>
      <c r="J16" s="57"/>
      <c r="K16" s="42"/>
      <c r="L16" s="56"/>
      <c r="M16" s="5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7"/>
      <c r="B17" s="42"/>
      <c r="C17" s="43"/>
      <c r="D17" s="44"/>
      <c r="H17" s="42"/>
      <c r="I17" s="56"/>
      <c r="J17" s="57"/>
      <c r="K17" s="42"/>
      <c r="L17" s="56"/>
      <c r="M17" s="5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7"/>
      <c r="B18" s="42"/>
      <c r="C18" s="43"/>
      <c r="D18" s="44"/>
      <c r="H18" s="42"/>
      <c r="I18" s="56"/>
      <c r="J18" s="57"/>
      <c r="K18" s="42"/>
      <c r="L18" s="56"/>
      <c r="M18" s="5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7"/>
      <c r="B19" s="42"/>
      <c r="C19" s="43"/>
      <c r="D19" s="44"/>
      <c r="H19" s="42"/>
      <c r="I19" s="56"/>
      <c r="J19" s="57"/>
      <c r="K19" s="42"/>
      <c r="L19" s="56"/>
      <c r="M19" s="5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3"/>
      <c r="B20" s="42"/>
      <c r="C20" s="43"/>
      <c r="D20" s="44"/>
      <c r="H20" s="42"/>
      <c r="I20" s="43"/>
      <c r="J20" s="44"/>
      <c r="K20" s="42"/>
      <c r="L20" s="43"/>
      <c r="M20" s="4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5" t="s">
        <v>5</v>
      </c>
      <c r="B21" s="48">
        <f>D21/D92</f>
        <v>5.754742634121373E-2</v>
      </c>
      <c r="C21" s="49" t="s">
        <v>27</v>
      </c>
      <c r="D21" s="50">
        <f>14365+26</f>
        <v>14391</v>
      </c>
      <c r="F21" s="9" t="s">
        <v>81</v>
      </c>
      <c r="G21" s="9">
        <v>1244</v>
      </c>
      <c r="H21" s="48">
        <f>SUM(J21:J24)/J88</f>
        <v>6.3704281795887677E-2</v>
      </c>
      <c r="I21" s="49" t="s">
        <v>17</v>
      </c>
      <c r="J21" s="50">
        <v>2286</v>
      </c>
      <c r="K21" s="48"/>
      <c r="L21" s="49"/>
      <c r="M21" s="5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6"/>
      <c r="B22" s="53"/>
      <c r="C22" s="51"/>
      <c r="D22" s="52"/>
      <c r="F22" s="10" t="s">
        <v>86</v>
      </c>
      <c r="G22" s="10">
        <v>35</v>
      </c>
      <c r="H22" s="53"/>
      <c r="I22" s="51" t="s">
        <v>18</v>
      </c>
      <c r="J22" s="52">
        <v>16624</v>
      </c>
      <c r="K22" s="53"/>
      <c r="L22" s="51"/>
      <c r="M22" s="5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6"/>
      <c r="B23" s="53"/>
      <c r="C23" s="51"/>
      <c r="D23" s="52"/>
      <c r="F23" s="10" t="s">
        <v>87</v>
      </c>
      <c r="G23" s="10">
        <v>2</v>
      </c>
      <c r="H23" s="53"/>
      <c r="I23" s="51" t="s">
        <v>102</v>
      </c>
      <c r="J23" s="52">
        <v>849</v>
      </c>
      <c r="K23" s="53"/>
      <c r="L23" s="51"/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6"/>
      <c r="B24" s="53"/>
      <c r="C24" s="51"/>
      <c r="D24" s="52"/>
      <c r="F24" s="10" t="s">
        <v>88</v>
      </c>
      <c r="G24" s="10">
        <v>1</v>
      </c>
      <c r="H24" s="53"/>
      <c r="I24" s="51" t="s">
        <v>103</v>
      </c>
      <c r="J24" s="52">
        <v>2607</v>
      </c>
      <c r="K24" s="53"/>
      <c r="L24" s="51"/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6"/>
      <c r="B25" s="53"/>
      <c r="C25" s="51"/>
      <c r="D25" s="52"/>
      <c r="F25" s="10" t="s">
        <v>89</v>
      </c>
      <c r="G25" s="10">
        <v>29</v>
      </c>
      <c r="H25" s="53"/>
      <c r="I25" s="51"/>
      <c r="J25" s="52"/>
      <c r="K25" s="53"/>
      <c r="L25" s="51"/>
      <c r="M25" s="5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6"/>
      <c r="B26" s="53"/>
      <c r="C26" s="51"/>
      <c r="D26" s="52"/>
      <c r="H26" s="53"/>
      <c r="I26" s="51"/>
      <c r="J26" s="52"/>
      <c r="K26" s="53"/>
      <c r="L26" s="51"/>
      <c r="M26" s="5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6"/>
      <c r="B27" s="53"/>
      <c r="C27" s="51"/>
      <c r="D27" s="52"/>
      <c r="H27" s="53"/>
      <c r="I27" s="51"/>
      <c r="J27" s="52"/>
      <c r="K27" s="53"/>
      <c r="L27" s="51"/>
      <c r="M27" s="5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8"/>
      <c r="B28" s="58"/>
      <c r="C28" s="59"/>
      <c r="D28" s="60"/>
      <c r="H28" s="58"/>
      <c r="I28" s="59"/>
      <c r="J28" s="60"/>
      <c r="K28" s="58"/>
      <c r="L28" s="59"/>
      <c r="M28" s="6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3" t="s">
        <v>0</v>
      </c>
      <c r="B29" s="61">
        <f>D29/D92</f>
        <v>3.5669727118589848E-3</v>
      </c>
      <c r="C29" s="43" t="s">
        <v>28</v>
      </c>
      <c r="D29" s="44">
        <f>885+7</f>
        <v>892</v>
      </c>
      <c r="F29" s="8" t="s">
        <v>83</v>
      </c>
      <c r="G29" s="8">
        <v>3</v>
      </c>
      <c r="H29" s="61">
        <f>J29/J88</f>
        <v>1.5990156398198757E-2</v>
      </c>
      <c r="I29" s="43" t="s">
        <v>16</v>
      </c>
      <c r="J29" s="44">
        <v>5614</v>
      </c>
      <c r="K29" s="61"/>
      <c r="L29" s="43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3"/>
      <c r="B30" s="42"/>
      <c r="C30" s="43"/>
      <c r="D30" s="44"/>
      <c r="H30" s="42"/>
      <c r="I30" s="43"/>
      <c r="J30" s="44"/>
      <c r="K30" s="42"/>
      <c r="L30" s="43"/>
      <c r="M30" s="4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3"/>
      <c r="B31" s="42"/>
      <c r="C31" s="43"/>
      <c r="D31" s="44"/>
      <c r="H31" s="42"/>
      <c r="I31" s="43"/>
      <c r="J31" s="44"/>
      <c r="K31" s="42"/>
      <c r="L31" s="43"/>
      <c r="M31" s="4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3"/>
      <c r="B32" s="42"/>
      <c r="C32" s="43"/>
      <c r="D32" s="44"/>
      <c r="H32" s="42"/>
      <c r="I32" s="43"/>
      <c r="J32" s="44"/>
      <c r="K32" s="42"/>
      <c r="L32" s="43"/>
      <c r="M32" s="4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3"/>
      <c r="B33" s="42"/>
      <c r="C33" s="43"/>
      <c r="D33" s="44"/>
      <c r="H33" s="42"/>
      <c r="I33" s="43"/>
      <c r="J33" s="44"/>
      <c r="K33" s="42"/>
      <c r="L33" s="43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4"/>
      <c r="B34" s="45"/>
      <c r="C34" s="46"/>
      <c r="D34" s="47"/>
      <c r="H34" s="45"/>
      <c r="I34" s="46"/>
      <c r="J34" s="47"/>
      <c r="K34" s="45"/>
      <c r="L34" s="46"/>
      <c r="M34" s="4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5" t="s">
        <v>11</v>
      </c>
      <c r="B35" s="48">
        <f>(D35+D36+D37)/D92</f>
        <v>5.695159793979334E-2</v>
      </c>
      <c r="C35" s="49" t="s">
        <v>29</v>
      </c>
      <c r="D35" s="50">
        <v>8030</v>
      </c>
      <c r="F35" s="10" t="s">
        <v>40</v>
      </c>
      <c r="G35" s="10">
        <v>119</v>
      </c>
      <c r="H35" s="48">
        <f>SUM(J35:J38)/J88</f>
        <v>4.1954934760503691E-3</v>
      </c>
      <c r="I35" s="49" t="s">
        <v>14</v>
      </c>
      <c r="J35" s="50">
        <v>1461</v>
      </c>
      <c r="K35" s="48"/>
      <c r="L35" s="4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6"/>
      <c r="B36" s="53"/>
      <c r="C36" s="51" t="s">
        <v>30</v>
      </c>
      <c r="D36" s="52">
        <v>37</v>
      </c>
      <c r="F36" s="10" t="s">
        <v>41</v>
      </c>
      <c r="G36" s="10">
        <v>186</v>
      </c>
      <c r="H36" s="53"/>
      <c r="I36" s="51" t="s">
        <v>100</v>
      </c>
      <c r="J36" s="52">
        <v>2</v>
      </c>
      <c r="K36" s="53"/>
      <c r="L36" s="51"/>
      <c r="M36" s="5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6"/>
      <c r="B37" s="53"/>
      <c r="C37" s="54" t="s">
        <v>31</v>
      </c>
      <c r="D37" s="52">
        <f>5732+438+5</f>
        <v>6175</v>
      </c>
      <c r="F37" s="10" t="s">
        <v>42</v>
      </c>
      <c r="G37" s="10">
        <v>234</v>
      </c>
      <c r="H37" s="53"/>
      <c r="I37" s="51" t="s">
        <v>22</v>
      </c>
      <c r="J37" s="52">
        <v>8</v>
      </c>
      <c r="K37" s="53"/>
      <c r="L37" s="51"/>
      <c r="M37" s="5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6"/>
      <c r="B38" s="53"/>
      <c r="C38" s="54" t="s">
        <v>111</v>
      </c>
      <c r="D38" s="52"/>
      <c r="F38" s="10" t="s">
        <v>43</v>
      </c>
      <c r="G38" s="10">
        <v>690</v>
      </c>
      <c r="H38" s="53"/>
      <c r="I38" s="51" t="s">
        <v>101</v>
      </c>
      <c r="J38" s="52">
        <v>2</v>
      </c>
      <c r="K38" s="53"/>
      <c r="L38" s="51"/>
      <c r="M38" s="5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6"/>
      <c r="B39" s="53"/>
      <c r="C39" s="54" t="s">
        <v>113</v>
      </c>
      <c r="D39" s="52"/>
      <c r="F39" s="10" t="s">
        <v>44</v>
      </c>
      <c r="G39" s="10">
        <v>3072</v>
      </c>
      <c r="H39" s="53"/>
      <c r="I39" s="51"/>
      <c r="J39" s="52"/>
      <c r="K39" s="53"/>
      <c r="L39" s="51"/>
      <c r="M39" s="5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6"/>
      <c r="B40" s="53"/>
      <c r="C40" s="54" t="s">
        <v>112</v>
      </c>
      <c r="D40" s="52"/>
      <c r="F40" s="10" t="s">
        <v>45</v>
      </c>
      <c r="G40" s="10">
        <v>20084</v>
      </c>
      <c r="H40" s="53"/>
      <c r="I40" s="51"/>
      <c r="J40" s="52"/>
      <c r="K40" s="53"/>
      <c r="L40" s="51"/>
      <c r="M40" s="5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6"/>
      <c r="B41" s="53"/>
      <c r="C41" s="51"/>
      <c r="D41" s="52"/>
      <c r="F41" s="10" t="s">
        <v>46</v>
      </c>
      <c r="G41" s="10">
        <v>684</v>
      </c>
      <c r="H41" s="53"/>
      <c r="I41" s="51"/>
      <c r="J41" s="52"/>
      <c r="K41" s="53"/>
      <c r="L41" s="51"/>
      <c r="M41" s="5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6"/>
      <c r="B42" s="53"/>
      <c r="C42" s="51"/>
      <c r="D42" s="52"/>
      <c r="F42" s="10" t="s">
        <v>47</v>
      </c>
      <c r="G42" s="10">
        <v>163</v>
      </c>
      <c r="H42" s="53"/>
      <c r="I42" s="51"/>
      <c r="J42" s="52"/>
      <c r="K42" s="53"/>
      <c r="L42" s="51"/>
      <c r="M42" s="5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6"/>
      <c r="B43" s="53"/>
      <c r="C43" s="51"/>
      <c r="D43" s="52"/>
      <c r="F43" s="10" t="s">
        <v>48</v>
      </c>
      <c r="G43" s="10">
        <v>1</v>
      </c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6"/>
      <c r="B44" s="53"/>
      <c r="C44" s="51"/>
      <c r="D44" s="52"/>
      <c r="F44" s="10" t="s">
        <v>49</v>
      </c>
      <c r="G44" s="10">
        <v>4</v>
      </c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6"/>
      <c r="B45" s="53"/>
      <c r="C45" s="51"/>
      <c r="D45" s="52"/>
      <c r="F45" s="10" t="s">
        <v>50</v>
      </c>
      <c r="G45" s="10">
        <v>105</v>
      </c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6"/>
      <c r="B46" s="53"/>
      <c r="C46" s="51"/>
      <c r="D46" s="52"/>
      <c r="F46" s="10" t="s">
        <v>51</v>
      </c>
      <c r="G46" s="10">
        <v>1</v>
      </c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6"/>
      <c r="B47" s="53"/>
      <c r="C47" s="51"/>
      <c r="D47" s="52"/>
      <c r="F47" s="10" t="s">
        <v>52</v>
      </c>
      <c r="G47" s="10">
        <v>3</v>
      </c>
      <c r="H47" s="53"/>
      <c r="I47" s="51"/>
      <c r="J47" s="52"/>
      <c r="K47" s="53"/>
      <c r="L47" s="51"/>
      <c r="M47" s="5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6"/>
      <c r="B48" s="53"/>
      <c r="C48" s="51"/>
      <c r="D48" s="52"/>
      <c r="F48" s="10" t="s">
        <v>53</v>
      </c>
      <c r="G48" s="10">
        <v>14</v>
      </c>
      <c r="H48" s="53"/>
      <c r="I48" s="51"/>
      <c r="J48" s="52"/>
      <c r="K48" s="53"/>
      <c r="L48" s="51"/>
      <c r="M48" s="5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6"/>
      <c r="B49" s="53"/>
      <c r="C49" s="51"/>
      <c r="D49" s="52"/>
      <c r="F49" s="10" t="s">
        <v>54</v>
      </c>
      <c r="G49" s="10">
        <v>13</v>
      </c>
      <c r="H49" s="53"/>
      <c r="I49" s="51"/>
      <c r="J49" s="52"/>
      <c r="K49" s="53"/>
      <c r="L49" s="51"/>
      <c r="M49" s="5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6"/>
      <c r="B50" s="53"/>
      <c r="C50" s="51"/>
      <c r="D50" s="52"/>
      <c r="F50" s="10" t="s">
        <v>55</v>
      </c>
      <c r="G50" s="10">
        <v>309</v>
      </c>
      <c r="H50" s="53"/>
      <c r="I50" s="51"/>
      <c r="J50" s="52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6"/>
      <c r="B51" s="53"/>
      <c r="C51" s="51"/>
      <c r="D51" s="52"/>
      <c r="F51" s="10" t="s">
        <v>56</v>
      </c>
      <c r="G51" s="10">
        <v>4</v>
      </c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6"/>
      <c r="B52" s="53"/>
      <c r="C52" s="51"/>
      <c r="D52" s="52"/>
      <c r="F52" s="10" t="s">
        <v>57</v>
      </c>
      <c r="G52" s="10">
        <v>3</v>
      </c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6"/>
      <c r="B53" s="53"/>
      <c r="C53" s="51"/>
      <c r="D53" s="52"/>
      <c r="F53" s="10" t="s">
        <v>58</v>
      </c>
      <c r="G53" s="10">
        <v>2</v>
      </c>
      <c r="H53" s="53"/>
      <c r="I53" s="51"/>
      <c r="J53" s="52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6"/>
      <c r="B54" s="53"/>
      <c r="C54" s="51"/>
      <c r="D54" s="52"/>
      <c r="F54" s="10" t="s">
        <v>75</v>
      </c>
      <c r="G54" s="10">
        <v>5159</v>
      </c>
      <c r="H54" s="53"/>
      <c r="I54" s="51"/>
      <c r="J54" s="52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6"/>
      <c r="B55" s="53"/>
      <c r="C55" s="51"/>
      <c r="D55" s="52"/>
      <c r="F55" s="10" t="s">
        <v>76</v>
      </c>
      <c r="G55" s="10">
        <v>287</v>
      </c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6"/>
      <c r="B56" s="53"/>
      <c r="C56" s="51"/>
      <c r="D56" s="52"/>
      <c r="F56" s="10" t="s">
        <v>77</v>
      </c>
      <c r="G56" s="10">
        <v>21</v>
      </c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6"/>
      <c r="B57" s="53"/>
      <c r="C57" s="51"/>
      <c r="D57" s="52"/>
      <c r="F57" s="10" t="s">
        <v>78</v>
      </c>
      <c r="G57" s="10">
        <v>1</v>
      </c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6"/>
      <c r="B58" s="53"/>
      <c r="C58" s="51"/>
      <c r="D58" s="52"/>
      <c r="F58" s="10" t="s">
        <v>79</v>
      </c>
      <c r="G58" s="10">
        <v>2</v>
      </c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6"/>
      <c r="B59" s="53"/>
      <c r="C59" s="51"/>
      <c r="D59" s="52"/>
      <c r="F59" s="10" t="s">
        <v>80</v>
      </c>
      <c r="G59" s="10">
        <v>30</v>
      </c>
      <c r="H59" s="53"/>
      <c r="I59" s="51"/>
      <c r="J59" s="52"/>
      <c r="K59" s="53"/>
      <c r="L59" s="51"/>
      <c r="M59" s="5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6" customFormat="1" ht="20" thickBot="1" x14ac:dyDescent="0.25">
      <c r="A60" s="35" t="s">
        <v>6</v>
      </c>
      <c r="B60" s="62"/>
      <c r="C60" s="63"/>
      <c r="D60" s="64"/>
      <c r="H60" s="62"/>
      <c r="I60" s="63"/>
      <c r="J60" s="64"/>
      <c r="K60" s="62"/>
      <c r="L60" s="63"/>
      <c r="M60" s="6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6" t="s">
        <v>7</v>
      </c>
      <c r="B61" s="53"/>
      <c r="C61" s="51"/>
      <c r="D61" s="52"/>
      <c r="H61" s="53"/>
      <c r="I61" s="51"/>
      <c r="J61" s="52"/>
      <c r="K61" s="53"/>
      <c r="L61" s="51"/>
      <c r="M61" s="5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80" customFormat="1" ht="19" x14ac:dyDescent="0.2">
      <c r="A62" s="78" t="s">
        <v>6</v>
      </c>
      <c r="B62" s="65">
        <f>SUM(D62:D68)/D92</f>
        <v>0.30520810006718063</v>
      </c>
      <c r="C62" s="79" t="s">
        <v>32</v>
      </c>
      <c r="D62" s="66">
        <v>515</v>
      </c>
      <c r="F62" s="80" t="s">
        <v>59</v>
      </c>
      <c r="G62" s="80">
        <v>24</v>
      </c>
      <c r="H62" s="65">
        <f>SUM(J62:J69)/J88</f>
        <v>0.11688137833211333</v>
      </c>
      <c r="I62" s="79" t="s">
        <v>19</v>
      </c>
      <c r="J62" s="66">
        <v>806</v>
      </c>
      <c r="K62" s="65"/>
      <c r="L62" s="79"/>
      <c r="M62" s="66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  <c r="FH62" s="81"/>
      <c r="FI62" s="81"/>
      <c r="FJ62" s="81"/>
      <c r="FK62" s="81"/>
      <c r="FL62" s="81"/>
      <c r="FM62" s="81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1"/>
      <c r="JA62" s="81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1"/>
      <c r="KF62" s="81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1"/>
      <c r="LJ62" s="81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81"/>
      <c r="MI62" s="81"/>
      <c r="MJ62" s="81"/>
      <c r="MK62" s="81"/>
      <c r="ML62" s="81"/>
      <c r="MM62" s="81"/>
      <c r="MN62" s="81"/>
      <c r="MO62" s="81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1"/>
      <c r="NT62" s="81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1"/>
      <c r="OV62" s="81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1"/>
      <c r="QA62" s="81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1"/>
      <c r="RE62" s="81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1"/>
      <c r="SJ62" s="81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1"/>
      <c r="TN62" s="81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1"/>
      <c r="US62" s="81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1"/>
      <c r="VX62" s="81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1"/>
      <c r="XB62" s="81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1"/>
      <c r="YG62" s="81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1"/>
      <c r="ZK62" s="81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1"/>
      <c r="AAP62" s="81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1"/>
      <c r="ABU62" s="81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1"/>
      <c r="ACW62" s="81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1"/>
      <c r="AEB62" s="81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</row>
    <row r="63" spans="1:831" s="10" customFormat="1" ht="18" x14ac:dyDescent="0.2">
      <c r="A63" s="82"/>
      <c r="B63" s="83"/>
      <c r="C63" s="84" t="s">
        <v>33</v>
      </c>
      <c r="D63" s="85">
        <f>827+10</f>
        <v>837</v>
      </c>
      <c r="F63" s="10" t="s">
        <v>60</v>
      </c>
      <c r="G63" s="10">
        <v>39</v>
      </c>
      <c r="H63" s="53"/>
      <c r="I63" s="51" t="s">
        <v>99</v>
      </c>
      <c r="J63" s="52">
        <v>132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82"/>
      <c r="B64" s="83"/>
      <c r="C64" s="86" t="s">
        <v>34</v>
      </c>
      <c r="D64" s="85">
        <f>2058+69</f>
        <v>2127</v>
      </c>
      <c r="F64" s="10" t="s">
        <v>61</v>
      </c>
      <c r="G64" s="10">
        <v>109</v>
      </c>
      <c r="H64" s="53"/>
      <c r="I64" s="51" t="s">
        <v>20</v>
      </c>
      <c r="J64" s="52">
        <v>444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82"/>
      <c r="B65" s="83"/>
      <c r="C65" s="86" t="s">
        <v>114</v>
      </c>
      <c r="D65" s="85"/>
      <c r="F65" s="10" t="s">
        <v>39</v>
      </c>
      <c r="G65" s="10">
        <v>835</v>
      </c>
      <c r="H65" s="53"/>
      <c r="I65" s="51" t="s">
        <v>21</v>
      </c>
      <c r="J65" s="52">
        <v>1443</v>
      </c>
      <c r="K65" s="53"/>
      <c r="L65" s="51"/>
      <c r="M65" s="5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82"/>
      <c r="B66" s="83"/>
      <c r="C66" s="86" t="s">
        <v>115</v>
      </c>
      <c r="D66" s="85"/>
      <c r="F66" s="10" t="s">
        <v>62</v>
      </c>
      <c r="G66" s="10">
        <v>1</v>
      </c>
      <c r="H66" s="53"/>
      <c r="I66" s="51"/>
      <c r="J66" s="52"/>
      <c r="K66" s="53"/>
      <c r="L66" s="51"/>
      <c r="M66" s="5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82"/>
      <c r="B67" s="83"/>
      <c r="C67" s="86"/>
      <c r="D67" s="85"/>
      <c r="F67" s="10" t="s">
        <v>63</v>
      </c>
      <c r="G67" s="10">
        <v>11</v>
      </c>
      <c r="H67" s="53"/>
      <c r="I67" s="51"/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82"/>
      <c r="B68" s="83"/>
      <c r="C68" s="84" t="s">
        <v>35</v>
      </c>
      <c r="D68" s="85">
        <f>55631+17214</f>
        <v>72845</v>
      </c>
      <c r="F68" s="10" t="s">
        <v>64</v>
      </c>
      <c r="G68" s="10">
        <v>73</v>
      </c>
      <c r="H68" s="53"/>
      <c r="I68" s="51" t="s">
        <v>23</v>
      </c>
      <c r="J68" s="52">
        <v>36083</v>
      </c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29"/>
      <c r="B69" s="53"/>
      <c r="C69" s="51"/>
      <c r="D69" s="52"/>
      <c r="F69" s="10" t="s">
        <v>65</v>
      </c>
      <c r="G69" s="10">
        <v>73</v>
      </c>
      <c r="H69" s="53"/>
      <c r="I69" s="51" t="s">
        <v>104</v>
      </c>
      <c r="J69" s="52">
        <v>2128</v>
      </c>
      <c r="K69" s="53"/>
      <c r="L69" s="51"/>
      <c r="M69" s="5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29"/>
      <c r="B70" s="53"/>
      <c r="C70" s="51"/>
      <c r="D70" s="52"/>
      <c r="F70" s="10" t="s">
        <v>66</v>
      </c>
      <c r="G70" s="10">
        <v>532</v>
      </c>
      <c r="H70" s="53"/>
      <c r="I70" s="51"/>
      <c r="J70" s="52"/>
      <c r="K70" s="53"/>
      <c r="L70" s="51"/>
      <c r="M70" s="5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29"/>
      <c r="B71" s="53"/>
      <c r="C71" s="51"/>
      <c r="D71" s="52"/>
      <c r="F71" s="10" t="s">
        <v>67</v>
      </c>
      <c r="G71" s="10">
        <v>15</v>
      </c>
      <c r="H71" s="53"/>
      <c r="I71" s="51"/>
      <c r="J71" s="52"/>
      <c r="K71" s="53"/>
      <c r="L71" s="51"/>
      <c r="M71" s="5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29"/>
      <c r="B72" s="53"/>
      <c r="C72" s="51"/>
      <c r="D72" s="52"/>
      <c r="F72" s="10" t="s">
        <v>68</v>
      </c>
      <c r="G72" s="10">
        <v>2</v>
      </c>
      <c r="H72" s="53"/>
      <c r="I72" s="51"/>
      <c r="J72" s="52"/>
      <c r="K72" s="53"/>
      <c r="L72" s="51"/>
      <c r="M72" s="5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29"/>
      <c r="B73" s="53"/>
      <c r="C73" s="51"/>
      <c r="D73" s="52"/>
      <c r="F73" s="10" t="s">
        <v>69</v>
      </c>
      <c r="G73" s="10">
        <v>1</v>
      </c>
      <c r="H73" s="53"/>
      <c r="I73" s="51"/>
      <c r="J73" s="52"/>
      <c r="K73" s="53"/>
      <c r="L73" s="51"/>
      <c r="M73" s="5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29"/>
      <c r="B74" s="53"/>
      <c r="C74" s="51"/>
      <c r="D74" s="52"/>
      <c r="F74" s="10" t="s">
        <v>70</v>
      </c>
      <c r="G74" s="10">
        <v>178</v>
      </c>
      <c r="H74" s="53"/>
      <c r="I74" s="51"/>
      <c r="J74" s="52"/>
      <c r="K74" s="53"/>
      <c r="L74" s="51"/>
      <c r="M74" s="5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29"/>
      <c r="B75" s="53"/>
      <c r="C75" s="51"/>
      <c r="D75" s="52"/>
      <c r="F75" s="10" t="s">
        <v>71</v>
      </c>
      <c r="G75" s="10">
        <v>1787</v>
      </c>
      <c r="H75" s="53"/>
      <c r="I75" s="51"/>
      <c r="J75" s="52"/>
      <c r="K75" s="53"/>
      <c r="L75" s="51"/>
      <c r="M75" s="5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29"/>
      <c r="B76" s="53"/>
      <c r="C76" s="51"/>
      <c r="D76" s="52"/>
      <c r="F76" s="10" t="s">
        <v>72</v>
      </c>
      <c r="G76" s="10">
        <v>37</v>
      </c>
      <c r="H76" s="53"/>
      <c r="I76" s="51"/>
      <c r="J76" s="52"/>
      <c r="K76" s="53"/>
      <c r="L76" s="51"/>
      <c r="M76" s="5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29"/>
      <c r="B77" s="53"/>
      <c r="C77" s="51"/>
      <c r="D77" s="52"/>
      <c r="F77" s="10" t="s">
        <v>73</v>
      </c>
      <c r="G77" s="10">
        <v>4</v>
      </c>
      <c r="H77" s="53"/>
      <c r="I77" s="51"/>
      <c r="J77" s="52"/>
      <c r="K77" s="53"/>
      <c r="L77" s="51"/>
      <c r="M77" s="5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0"/>
      <c r="B78" s="67"/>
      <c r="C78" s="68"/>
      <c r="D78" s="69"/>
      <c r="F78" s="12" t="s">
        <v>74</v>
      </c>
      <c r="G78" s="12">
        <v>4</v>
      </c>
      <c r="H78" s="67"/>
      <c r="I78" s="68"/>
      <c r="J78" s="69"/>
      <c r="K78" s="67"/>
      <c r="L78" s="68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6" t="s">
        <v>1</v>
      </c>
      <c r="B79" s="70">
        <f>D79/D92</f>
        <v>8.7054928180683964E-3</v>
      </c>
      <c r="C79" s="51" t="s">
        <v>36</v>
      </c>
      <c r="D79" s="52">
        <f>2174+3</f>
        <v>2177</v>
      </c>
      <c r="F79" s="10" t="s">
        <v>85</v>
      </c>
      <c r="G79" s="10">
        <v>255</v>
      </c>
      <c r="H79" s="70">
        <f>(J79+J80)/J88</f>
        <v>2.0564469040789996E-3</v>
      </c>
      <c r="I79" s="51" t="s">
        <v>106</v>
      </c>
      <c r="J79" s="52">
        <v>490</v>
      </c>
      <c r="K79" s="70"/>
      <c r="L79" s="51"/>
      <c r="M79" s="5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1"/>
      <c r="B80" s="53"/>
      <c r="C80" s="51"/>
      <c r="D80" s="52"/>
      <c r="H80" s="53"/>
      <c r="I80" s="51" t="s">
        <v>105</v>
      </c>
      <c r="J80" s="52">
        <v>232</v>
      </c>
      <c r="K80" s="53"/>
      <c r="L80" s="51"/>
      <c r="M80" s="5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1"/>
      <c r="B81" s="53"/>
      <c r="C81" s="51"/>
      <c r="D81" s="52"/>
      <c r="H81" s="53"/>
      <c r="I81" s="51"/>
      <c r="J81" s="52"/>
      <c r="K81" s="53"/>
      <c r="L81" s="51"/>
      <c r="M81" s="5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1"/>
      <c r="B82" s="53"/>
      <c r="C82" s="51"/>
      <c r="D82" s="52"/>
      <c r="H82" s="53"/>
      <c r="I82" s="51"/>
      <c r="J82" s="52"/>
      <c r="K82" s="53"/>
      <c r="L82" s="51"/>
      <c r="M82" s="5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1"/>
      <c r="B83" s="53"/>
      <c r="C83" s="51"/>
      <c r="D83" s="52"/>
      <c r="H83" s="53"/>
      <c r="I83" s="51"/>
      <c r="J83" s="52"/>
      <c r="K83" s="53"/>
      <c r="L83" s="51"/>
      <c r="M83" s="5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1"/>
      <c r="B84" s="53"/>
      <c r="C84" s="51"/>
      <c r="D84" s="52"/>
      <c r="H84" s="53"/>
      <c r="I84" s="51"/>
      <c r="J84" s="52"/>
      <c r="K84" s="53"/>
      <c r="L84" s="51"/>
      <c r="M84" s="5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1"/>
      <c r="B85" s="53"/>
      <c r="C85" s="51"/>
      <c r="D85" s="52"/>
      <c r="H85" s="53"/>
      <c r="I85" s="51"/>
      <c r="J85" s="52"/>
      <c r="K85" s="53"/>
      <c r="L85" s="51"/>
      <c r="M85" s="5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1"/>
      <c r="B86" s="53"/>
      <c r="C86" s="51"/>
      <c r="D86" s="52"/>
      <c r="H86" s="53"/>
      <c r="I86" s="51"/>
      <c r="J86" s="52"/>
      <c r="K86" s="53"/>
      <c r="L86" s="51"/>
      <c r="M86" s="5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2"/>
      <c r="B87" s="58"/>
      <c r="C87" s="59"/>
      <c r="D87" s="60"/>
      <c r="E87" s="58"/>
      <c r="F87" s="59"/>
      <c r="G87" s="60"/>
      <c r="H87" s="58"/>
      <c r="I87" s="59"/>
      <c r="J87" s="60"/>
      <c r="K87" s="58"/>
      <c r="L87" s="59"/>
      <c r="M87" s="6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19" customFormat="1" ht="18" x14ac:dyDescent="0.2">
      <c r="A88" s="33" t="s">
        <v>9</v>
      </c>
      <c r="B88" s="71">
        <f>SUM(B3:B87)</f>
        <v>0.7124388176205253</v>
      </c>
      <c r="C88" s="72"/>
      <c r="D88" s="73">
        <f>SUM(D3:D81)</f>
        <v>178161</v>
      </c>
      <c r="E88" s="75">
        <f>G88/D92</f>
        <v>0.2179652260149077</v>
      </c>
      <c r="G88" s="73">
        <v>54507</v>
      </c>
      <c r="H88" s="71">
        <f>SUM(H3:H87)</f>
        <v>1.0000000000000002</v>
      </c>
      <c r="I88" s="72"/>
      <c r="J88" s="73">
        <f>SUM(J3:J80)</f>
        <v>351091</v>
      </c>
      <c r="K88" s="71"/>
      <c r="L88" s="72"/>
      <c r="M88" s="73">
        <f>SUM(M3:M80)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ht="16" x14ac:dyDescent="0.2">
      <c r="D89" s="74">
        <f>D88/D92</f>
        <v>0.7124388176205253</v>
      </c>
      <c r="E89" s="76">
        <f>G89/$D$92</f>
        <v>6.3273777152180175E-2</v>
      </c>
      <c r="F89" s="10" t="s">
        <v>93</v>
      </c>
      <c r="G89" s="10">
        <v>15823</v>
      </c>
      <c r="K89" s="10"/>
      <c r="L89" s="10" t="s">
        <v>107</v>
      </c>
      <c r="M89" s="52">
        <v>50507</v>
      </c>
    </row>
    <row r="90" spans="1:831" ht="16" x14ac:dyDescent="0.2">
      <c r="E90" s="76">
        <f t="shared" ref="E90:E92" si="0">G90/$D$92</f>
        <v>5.9822771041939922E-3</v>
      </c>
      <c r="F90" s="10" t="s">
        <v>94</v>
      </c>
      <c r="G90" s="10">
        <v>1496</v>
      </c>
      <c r="K90" s="10"/>
      <c r="L90" s="10" t="s">
        <v>108</v>
      </c>
      <c r="M90" s="52">
        <v>6255</v>
      </c>
    </row>
    <row r="91" spans="1:831" ht="16" x14ac:dyDescent="0.2">
      <c r="E91" s="76">
        <f t="shared" si="0"/>
        <v>3.3190441152947949E-4</v>
      </c>
      <c r="F91" s="10" t="s">
        <v>95</v>
      </c>
      <c r="G91" s="10">
        <v>83</v>
      </c>
      <c r="K91" s="10"/>
      <c r="L91" s="10" t="s">
        <v>109</v>
      </c>
      <c r="M91" s="52">
        <v>394</v>
      </c>
    </row>
    <row r="92" spans="1:831" ht="16" x14ac:dyDescent="0.2">
      <c r="C92" s="1" t="s">
        <v>97</v>
      </c>
      <c r="D92" s="18">
        <f>D88+G88+SUM(G89:G92)</f>
        <v>250072</v>
      </c>
      <c r="E92" s="77">
        <f t="shared" si="0"/>
        <v>7.9976966633609529E-6</v>
      </c>
      <c r="F92" s="10" t="s">
        <v>96</v>
      </c>
      <c r="G92" s="10">
        <v>2</v>
      </c>
      <c r="K92" s="10"/>
      <c r="L92" s="10" t="s">
        <v>110</v>
      </c>
      <c r="M92" s="52">
        <v>18</v>
      </c>
    </row>
    <row r="101" spans="2:4" x14ac:dyDescent="0.2">
      <c r="B101" s="5">
        <v>54507</v>
      </c>
      <c r="C101" s="1">
        <v>160406</v>
      </c>
      <c r="D101" s="18">
        <v>15823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4D51-B6D3-8F4C-BF41-09C2D5BD7196}">
  <dimension ref="A1:AEV76"/>
  <sheetViews>
    <sheetView tabSelected="1" topLeftCell="C49" zoomScale="120" zoomScaleNormal="120" workbookViewId="0">
      <selection activeCell="E73" sqref="E73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7" width="27.33203125" style="1" customWidth="1"/>
    <col min="8" max="8" width="23.5" style="5" customWidth="1"/>
    <col min="9" max="9" width="44.1640625" style="1" customWidth="1"/>
    <col min="10" max="10" width="43.1640625" style="18" customWidth="1"/>
    <col min="11" max="11" width="17.33203125" style="5" customWidth="1"/>
    <col min="12" max="12" width="36" style="1" customWidth="1"/>
    <col min="13" max="13" width="20" style="18" customWidth="1"/>
    <col min="14" max="15" width="9" style="1"/>
    <col min="21" max="16384" width="9" style="1"/>
  </cols>
  <sheetData>
    <row r="1" spans="1:828" s="6" customFormat="1" ht="26" thickBot="1" x14ac:dyDescent="0.25">
      <c r="A1" s="20" t="s">
        <v>148</v>
      </c>
      <c r="B1" s="13">
        <v>2007</v>
      </c>
      <c r="C1" s="14" t="s">
        <v>151</v>
      </c>
      <c r="D1" s="15" t="s">
        <v>149</v>
      </c>
      <c r="E1" s="13">
        <v>2007</v>
      </c>
      <c r="F1" s="14" t="s">
        <v>152</v>
      </c>
      <c r="G1" s="14" t="s">
        <v>150</v>
      </c>
      <c r="H1" s="13">
        <v>2017</v>
      </c>
      <c r="I1" s="14" t="s">
        <v>153</v>
      </c>
      <c r="J1" s="15" t="s">
        <v>155</v>
      </c>
      <c r="K1" s="13">
        <v>2017</v>
      </c>
      <c r="L1" s="14" t="s">
        <v>156</v>
      </c>
      <c r="M1" s="15" t="s">
        <v>154</v>
      </c>
      <c r="N1" s="37"/>
      <c r="O1" s="37"/>
      <c r="P1" s="87"/>
      <c r="Q1" s="87"/>
      <c r="R1" s="87"/>
      <c r="S1" s="87"/>
      <c r="T1" s="8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</row>
    <row r="2" spans="1:828" s="8" customFormat="1" ht="19" x14ac:dyDescent="0.2">
      <c r="A2" s="22" t="s">
        <v>2</v>
      </c>
      <c r="B2" s="39"/>
      <c r="C2" s="40" t="s">
        <v>12</v>
      </c>
      <c r="D2" s="41">
        <v>0</v>
      </c>
      <c r="E2" s="40"/>
      <c r="F2" s="40"/>
      <c r="G2" s="40"/>
      <c r="H2" s="39">
        <f>J2/J74</f>
        <v>0.29726480093847563</v>
      </c>
      <c r="I2" s="40" t="s">
        <v>24</v>
      </c>
      <c r="J2" s="44">
        <v>11150966</v>
      </c>
      <c r="K2" s="39"/>
      <c r="L2" s="40"/>
      <c r="M2" s="41"/>
      <c r="N2" s="1"/>
      <c r="O2" s="1"/>
      <c r="P2" s="87"/>
      <c r="Q2" s="87"/>
      <c r="R2" s="87"/>
      <c r="S2" s="87"/>
      <c r="T2" s="8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</row>
    <row r="3" spans="1:828" s="8" customFormat="1" ht="18" x14ac:dyDescent="0.2">
      <c r="A3" s="23"/>
      <c r="B3" s="42"/>
      <c r="C3" s="43"/>
      <c r="D3" s="44"/>
      <c r="E3" s="43"/>
      <c r="F3" s="43"/>
      <c r="G3" s="43"/>
      <c r="H3" s="42"/>
      <c r="I3" s="43"/>
      <c r="J3" s="44"/>
      <c r="K3" s="42"/>
      <c r="L3" s="43"/>
      <c r="M3" s="44"/>
      <c r="N3" s="1"/>
      <c r="O3" s="1"/>
      <c r="P3" s="87"/>
      <c r="Q3" s="87"/>
      <c r="R3" s="87"/>
      <c r="S3" s="87"/>
      <c r="T3" s="8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</row>
    <row r="4" spans="1:828" s="8" customFormat="1" ht="19" thickBot="1" x14ac:dyDescent="0.25">
      <c r="A4" s="24"/>
      <c r="B4" s="45"/>
      <c r="C4" s="46"/>
      <c r="D4" s="47"/>
      <c r="E4" s="46"/>
      <c r="F4" s="46"/>
      <c r="G4" s="46"/>
      <c r="H4" s="45"/>
      <c r="I4" s="46"/>
      <c r="J4" s="47"/>
      <c r="K4" s="45"/>
      <c r="L4" s="46"/>
      <c r="M4" s="47"/>
      <c r="N4" s="1"/>
      <c r="O4" s="1"/>
      <c r="P4" s="87"/>
      <c r="Q4" s="87"/>
      <c r="R4" s="87"/>
      <c r="S4" s="87"/>
      <c r="T4" s="8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</row>
    <row r="5" spans="1:828" s="10" customFormat="1" ht="19" x14ac:dyDescent="0.2">
      <c r="A5" s="25" t="s">
        <v>3</v>
      </c>
      <c r="B5" s="91">
        <f>D5/$D$74</f>
        <v>1.9767600277250455E-2</v>
      </c>
      <c r="C5" s="51" t="s">
        <v>25</v>
      </c>
      <c r="D5" s="50">
        <v>433981</v>
      </c>
      <c r="E5" s="49"/>
      <c r="F5" s="49"/>
      <c r="G5" s="49"/>
      <c r="H5" s="48">
        <f>J5/J74</f>
        <v>1.8670664331940576E-2</v>
      </c>
      <c r="I5" s="49" t="s">
        <v>15</v>
      </c>
      <c r="J5" s="50">
        <v>700372</v>
      </c>
      <c r="K5" s="48"/>
      <c r="L5" s="49"/>
      <c r="M5" s="50"/>
      <c r="N5" s="1"/>
      <c r="O5" s="1"/>
      <c r="P5" s="87"/>
      <c r="Q5" s="87"/>
      <c r="R5" s="87"/>
      <c r="S5" s="87"/>
      <c r="T5" s="8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</row>
    <row r="6" spans="1:828" s="10" customFormat="1" ht="18" x14ac:dyDescent="0.2">
      <c r="A6" s="26"/>
      <c r="B6" s="52"/>
      <c r="C6" s="51"/>
      <c r="D6" s="52"/>
      <c r="E6" s="51"/>
      <c r="F6" s="51"/>
      <c r="G6" s="51"/>
      <c r="H6" s="53"/>
      <c r="I6" s="54"/>
      <c r="J6" s="55"/>
      <c r="K6" s="53"/>
      <c r="L6" s="54"/>
      <c r="M6" s="55"/>
      <c r="N6" s="1"/>
      <c r="O6" s="1"/>
      <c r="P6" s="87"/>
      <c r="Q6" s="87"/>
      <c r="R6" s="87"/>
      <c r="S6" s="87"/>
      <c r="T6" s="87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</row>
    <row r="7" spans="1:828" s="10" customFormat="1" ht="18" x14ac:dyDescent="0.2">
      <c r="A7" s="26"/>
      <c r="B7" s="52"/>
      <c r="C7" s="51"/>
      <c r="D7" s="52"/>
      <c r="E7" s="51"/>
      <c r="F7" s="51"/>
      <c r="G7" s="51"/>
      <c r="H7" s="53"/>
      <c r="I7" s="51"/>
      <c r="J7" s="52"/>
      <c r="K7" s="53"/>
      <c r="L7" s="51"/>
      <c r="M7" s="52"/>
      <c r="N7" s="1"/>
      <c r="O7" s="1"/>
      <c r="P7" s="87"/>
      <c r="Q7" s="87"/>
      <c r="R7" s="87"/>
      <c r="S7" s="87"/>
      <c r="T7" s="8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</row>
    <row r="8" spans="1:828" s="10" customFormat="1" ht="18" x14ac:dyDescent="0.2">
      <c r="A8" s="26"/>
      <c r="B8" s="52"/>
      <c r="C8" s="51"/>
      <c r="D8" s="52"/>
      <c r="E8" s="51"/>
      <c r="F8" s="51"/>
      <c r="G8" s="51"/>
      <c r="H8" s="53"/>
      <c r="I8" s="51"/>
      <c r="J8" s="52"/>
      <c r="K8" s="53"/>
      <c r="L8" s="51"/>
      <c r="M8" s="52"/>
      <c r="N8" s="1"/>
      <c r="O8" s="1"/>
      <c r="P8" s="87"/>
      <c r="Q8" s="87"/>
      <c r="R8" s="87"/>
      <c r="S8" s="87"/>
      <c r="T8" s="8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</row>
    <row r="9" spans="1:828" s="10" customFormat="1" ht="18" x14ac:dyDescent="0.2">
      <c r="A9" s="26"/>
      <c r="B9" s="52"/>
      <c r="C9" s="51"/>
      <c r="D9" s="52"/>
      <c r="E9" s="51"/>
      <c r="F9" s="51"/>
      <c r="G9" s="51"/>
      <c r="H9" s="53"/>
      <c r="I9" s="51"/>
      <c r="J9" s="52"/>
      <c r="K9" s="53"/>
      <c r="L9" s="51"/>
      <c r="M9" s="52"/>
      <c r="N9" s="1"/>
      <c r="O9" s="1"/>
      <c r="P9" s="87"/>
      <c r="Q9" s="87"/>
      <c r="R9" s="87"/>
      <c r="S9" s="87"/>
      <c r="T9" s="8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</row>
    <row r="10" spans="1:828" s="10" customFormat="1" ht="19" thickBot="1" x14ac:dyDescent="0.25">
      <c r="A10" s="26"/>
      <c r="B10" s="52"/>
      <c r="C10" s="51"/>
      <c r="D10" s="52"/>
      <c r="E10" s="51"/>
      <c r="F10" s="51"/>
      <c r="G10" s="51"/>
      <c r="H10" s="53"/>
      <c r="I10" s="51"/>
      <c r="J10" s="52"/>
      <c r="K10" s="53"/>
      <c r="L10" s="51"/>
      <c r="M10" s="52"/>
      <c r="N10" s="1"/>
      <c r="O10" s="1"/>
      <c r="P10" s="87"/>
      <c r="Q10" s="87"/>
      <c r="R10" s="87"/>
      <c r="S10" s="87"/>
      <c r="T10" s="8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</row>
    <row r="11" spans="1:828" s="7" customFormat="1" ht="19" x14ac:dyDescent="0.2">
      <c r="A11" s="22" t="s">
        <v>4</v>
      </c>
      <c r="B11" s="48">
        <f t="shared" ref="B11:B66" si="0">D11/$D$74</f>
        <v>0.28603134249244916</v>
      </c>
      <c r="C11" s="40" t="s">
        <v>26</v>
      </c>
      <c r="D11" s="41">
        <v>6279577</v>
      </c>
      <c r="E11" s="40"/>
      <c r="F11" s="40"/>
      <c r="G11" s="40"/>
      <c r="H11" s="39">
        <f>J11/J74</f>
        <v>0.17232837743867646</v>
      </c>
      <c r="I11" s="40" t="s">
        <v>13</v>
      </c>
      <c r="J11" s="41">
        <v>6464364</v>
      </c>
      <c r="K11" s="39"/>
      <c r="L11" s="40"/>
      <c r="M11" s="41"/>
      <c r="N11" s="1"/>
      <c r="O11" s="1"/>
      <c r="P11" s="87"/>
      <c r="Q11" s="87"/>
      <c r="R11" s="87"/>
      <c r="S11" s="87"/>
      <c r="T11" s="8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</row>
    <row r="12" spans="1:828" s="8" customFormat="1" ht="18" x14ac:dyDescent="0.2">
      <c r="A12" s="27"/>
      <c r="B12" s="43"/>
      <c r="C12" s="43"/>
      <c r="D12" s="44"/>
      <c r="E12" s="43"/>
      <c r="F12" s="43"/>
      <c r="G12" s="43"/>
      <c r="H12" s="42"/>
      <c r="I12" s="43"/>
      <c r="J12" s="44"/>
      <c r="K12" s="42"/>
      <c r="L12" s="43"/>
      <c r="M12" s="44"/>
      <c r="N12" s="1"/>
      <c r="O12" s="1"/>
      <c r="P12" s="87"/>
      <c r="Q12" s="87"/>
      <c r="R12" s="87"/>
      <c r="S12" s="87"/>
      <c r="T12" s="8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</row>
    <row r="13" spans="1:828" s="8" customFormat="1" ht="18" x14ac:dyDescent="0.2">
      <c r="A13" s="27"/>
      <c r="B13" s="43"/>
      <c r="C13" s="43"/>
      <c r="D13" s="44"/>
      <c r="E13" s="43"/>
      <c r="F13" s="43"/>
      <c r="G13" s="43"/>
      <c r="H13" s="42"/>
      <c r="I13" s="56"/>
      <c r="J13" s="57"/>
      <c r="K13" s="42"/>
      <c r="L13" s="56"/>
      <c r="M13" s="57"/>
      <c r="N13" s="1"/>
      <c r="O13" s="1"/>
      <c r="P13" s="87"/>
      <c r="Q13" s="87"/>
      <c r="R13" s="87"/>
      <c r="S13" s="87"/>
      <c r="T13" s="8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</row>
    <row r="14" spans="1:828" s="8" customFormat="1" ht="18" x14ac:dyDescent="0.2">
      <c r="A14" s="27"/>
      <c r="B14" s="43"/>
      <c r="C14" s="43"/>
      <c r="D14" s="44"/>
      <c r="E14" s="43"/>
      <c r="F14" s="43"/>
      <c r="G14" s="43"/>
      <c r="H14" s="42"/>
      <c r="I14" s="56"/>
      <c r="J14" s="57"/>
      <c r="K14" s="42"/>
      <c r="L14" s="56"/>
      <c r="M14" s="57"/>
      <c r="N14" s="1"/>
      <c r="O14" s="1"/>
      <c r="P14" s="87"/>
      <c r="Q14" s="87"/>
      <c r="R14" s="87"/>
      <c r="S14" s="87"/>
      <c r="T14" s="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</row>
    <row r="15" spans="1:828" s="8" customFormat="1" ht="18" x14ac:dyDescent="0.2">
      <c r="A15" s="27"/>
      <c r="B15" s="43"/>
      <c r="C15" s="43"/>
      <c r="D15" s="44"/>
      <c r="E15" s="43"/>
      <c r="F15" s="43"/>
      <c r="G15" s="43"/>
      <c r="H15" s="42"/>
      <c r="I15" s="56"/>
      <c r="J15" s="57"/>
      <c r="K15" s="42"/>
      <c r="L15" s="56"/>
      <c r="M15" s="57"/>
      <c r="N15" s="1"/>
      <c r="O15" s="1"/>
      <c r="P15" s="87"/>
      <c r="Q15" s="87"/>
      <c r="R15" s="87"/>
      <c r="S15" s="87"/>
      <c r="T15" s="8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</row>
    <row r="16" spans="1:828" s="8" customFormat="1" ht="18" x14ac:dyDescent="0.2">
      <c r="A16" s="27"/>
      <c r="B16" s="43"/>
      <c r="C16" s="43"/>
      <c r="D16" s="44"/>
      <c r="E16" s="43"/>
      <c r="F16" s="43"/>
      <c r="G16" s="43"/>
      <c r="H16" s="42"/>
      <c r="I16" s="56"/>
      <c r="J16" s="57"/>
      <c r="K16" s="42"/>
      <c r="L16" s="56"/>
      <c r="M16" s="57"/>
      <c r="N16" s="1"/>
      <c r="O16" s="1"/>
      <c r="P16" s="87"/>
      <c r="Q16" s="87"/>
      <c r="R16" s="87"/>
      <c r="S16" s="87"/>
      <c r="T16" s="8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</row>
    <row r="17" spans="1:828" s="8" customFormat="1" ht="18" x14ac:dyDescent="0.2">
      <c r="A17" s="27"/>
      <c r="B17" s="43"/>
      <c r="C17" s="43"/>
      <c r="D17" s="44"/>
      <c r="E17" s="43"/>
      <c r="F17" s="43"/>
      <c r="G17" s="43"/>
      <c r="H17" s="42"/>
      <c r="I17" s="56"/>
      <c r="J17" s="57"/>
      <c r="K17" s="42"/>
      <c r="L17" s="56"/>
      <c r="M17" s="57"/>
      <c r="N17" s="1"/>
      <c r="O17" s="1"/>
      <c r="P17" s="87"/>
      <c r="Q17" s="87"/>
      <c r="R17" s="87"/>
      <c r="S17" s="87"/>
      <c r="T17" s="8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</row>
    <row r="18" spans="1:828" s="8" customFormat="1" ht="18" x14ac:dyDescent="0.2">
      <c r="A18" s="27"/>
      <c r="B18" s="43"/>
      <c r="C18" s="43"/>
      <c r="D18" s="44"/>
      <c r="E18" s="43"/>
      <c r="F18" s="43"/>
      <c r="G18" s="43"/>
      <c r="H18" s="42"/>
      <c r="I18" s="56"/>
      <c r="J18" s="57"/>
      <c r="K18" s="42"/>
      <c r="L18" s="56"/>
      <c r="M18" s="57"/>
      <c r="N18" s="1"/>
      <c r="O18" s="1"/>
      <c r="P18" s="87"/>
      <c r="Q18" s="87"/>
      <c r="R18" s="87"/>
      <c r="S18" s="87"/>
      <c r="T18" s="8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</row>
    <row r="19" spans="1:828" s="8" customFormat="1" ht="19" thickBot="1" x14ac:dyDescent="0.25">
      <c r="A19" s="23"/>
      <c r="B19" s="43"/>
      <c r="C19" s="43"/>
      <c r="D19" s="44"/>
      <c r="E19" s="43"/>
      <c r="F19" s="43"/>
      <c r="G19" s="43"/>
      <c r="H19" s="42"/>
      <c r="I19" s="43"/>
      <c r="J19" s="44"/>
      <c r="K19" s="42"/>
      <c r="L19" s="43"/>
      <c r="M19" s="44"/>
      <c r="N19" s="1"/>
      <c r="O19" s="1"/>
      <c r="P19" s="87"/>
      <c r="Q19" s="87"/>
      <c r="R19" s="87"/>
      <c r="S19" s="87"/>
      <c r="T19" s="8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</row>
    <row r="20" spans="1:828" s="9" customFormat="1" ht="19" x14ac:dyDescent="0.2">
      <c r="A20" s="25" t="s">
        <v>5</v>
      </c>
      <c r="B20" s="92">
        <f t="shared" si="0"/>
        <v>6.0708958216888036E-2</v>
      </c>
      <c r="C20" s="49" t="s">
        <v>27</v>
      </c>
      <c r="D20" s="50">
        <v>1332814</v>
      </c>
      <c r="E20" s="49"/>
      <c r="F20" s="49"/>
      <c r="G20" s="49"/>
      <c r="H20" s="48">
        <f>SUM(J20:J23)/J74</f>
        <v>4.066715371217583E-2</v>
      </c>
      <c r="I20" s="49" t="s">
        <v>17</v>
      </c>
      <c r="J20" s="50">
        <v>1525502</v>
      </c>
      <c r="K20" s="48"/>
      <c r="L20" s="49"/>
      <c r="M20" s="50"/>
      <c r="N20" s="1"/>
      <c r="O20" s="1"/>
      <c r="P20" s="87"/>
      <c r="Q20" s="87"/>
      <c r="R20" s="87"/>
      <c r="S20" s="87"/>
      <c r="T20" s="8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</row>
    <row r="21" spans="1:828" s="10" customFormat="1" ht="18" x14ac:dyDescent="0.2">
      <c r="A21" s="26"/>
      <c r="B21" s="51"/>
      <c r="C21" s="51"/>
      <c r="D21" s="52"/>
      <c r="E21" s="51"/>
      <c r="F21" s="51"/>
      <c r="G21" s="51"/>
      <c r="H21" s="53"/>
      <c r="I21" s="51" t="s">
        <v>18</v>
      </c>
      <c r="J21" s="52"/>
      <c r="K21" s="53"/>
      <c r="L21" s="51"/>
      <c r="M21" s="52"/>
      <c r="N21" s="1"/>
      <c r="O21" s="1"/>
      <c r="P21" s="87"/>
      <c r="Q21" s="87"/>
      <c r="R21" s="87"/>
      <c r="S21" s="87"/>
      <c r="T21" s="8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</row>
    <row r="22" spans="1:828" s="10" customFormat="1" ht="18" x14ac:dyDescent="0.2">
      <c r="A22" s="26"/>
      <c r="B22" s="51"/>
      <c r="C22" s="51"/>
      <c r="D22" s="52"/>
      <c r="E22" s="51"/>
      <c r="F22" s="51"/>
      <c r="G22" s="51"/>
      <c r="H22" s="53"/>
      <c r="I22" s="51" t="s">
        <v>102</v>
      </c>
      <c r="J22" s="52"/>
      <c r="K22" s="53"/>
      <c r="L22" s="51"/>
      <c r="M22" s="52"/>
      <c r="N22" s="1"/>
      <c r="O22" s="1"/>
      <c r="P22" s="87"/>
      <c r="Q22" s="87"/>
      <c r="R22" s="87"/>
      <c r="S22" s="87"/>
      <c r="T22" s="8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</row>
    <row r="23" spans="1:828" s="10" customFormat="1" ht="18" x14ac:dyDescent="0.2">
      <c r="A23" s="26"/>
      <c r="B23" s="51"/>
      <c r="C23" s="51"/>
      <c r="D23" s="52"/>
      <c r="E23" s="51"/>
      <c r="F23" s="51"/>
      <c r="G23" s="51"/>
      <c r="H23" s="53"/>
      <c r="I23" s="51" t="s">
        <v>103</v>
      </c>
      <c r="J23" s="52"/>
      <c r="K23" s="53"/>
      <c r="L23" s="51"/>
      <c r="M23" s="52"/>
      <c r="N23" s="1"/>
      <c r="O23" s="1"/>
      <c r="P23" s="87"/>
      <c r="Q23" s="87"/>
      <c r="R23" s="87"/>
      <c r="S23" s="87"/>
      <c r="T23" s="8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</row>
    <row r="24" spans="1:828" s="10" customFormat="1" ht="18" x14ac:dyDescent="0.2">
      <c r="A24" s="26"/>
      <c r="B24" s="51"/>
      <c r="C24" s="51"/>
      <c r="D24" s="52"/>
      <c r="E24" s="51"/>
      <c r="F24" s="51"/>
      <c r="G24" s="51"/>
      <c r="H24" s="53"/>
      <c r="I24" s="51"/>
      <c r="J24" s="52"/>
      <c r="K24" s="53"/>
      <c r="L24" s="51"/>
      <c r="M24" s="52"/>
      <c r="N24" s="1"/>
      <c r="O24" s="1"/>
      <c r="P24" s="87"/>
      <c r="Q24" s="87"/>
      <c r="R24" s="87"/>
      <c r="S24" s="87"/>
      <c r="T24" s="8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</row>
    <row r="25" spans="1:828" s="10" customFormat="1" ht="18" x14ac:dyDescent="0.2">
      <c r="A25" s="26"/>
      <c r="B25" s="51"/>
      <c r="C25" s="51"/>
      <c r="D25" s="52"/>
      <c r="E25" s="51"/>
      <c r="F25" s="51"/>
      <c r="G25" s="51"/>
      <c r="H25" s="53"/>
      <c r="I25" s="51"/>
      <c r="J25" s="52"/>
      <c r="K25" s="53"/>
      <c r="L25" s="51"/>
      <c r="M25" s="52"/>
      <c r="N25" s="1"/>
      <c r="O25" s="1"/>
      <c r="P25" s="87"/>
      <c r="Q25" s="87"/>
      <c r="R25" s="87"/>
      <c r="S25" s="87"/>
      <c r="T25" s="8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</row>
    <row r="26" spans="1:828" s="10" customFormat="1" ht="18" x14ac:dyDescent="0.2">
      <c r="A26" s="26"/>
      <c r="B26" s="51"/>
      <c r="C26" s="51"/>
      <c r="D26" s="52"/>
      <c r="E26" s="51"/>
      <c r="F26" s="51"/>
      <c r="G26" s="51"/>
      <c r="H26" s="53"/>
      <c r="I26" s="51"/>
      <c r="J26" s="52"/>
      <c r="K26" s="53"/>
      <c r="L26" s="51"/>
      <c r="M26" s="52"/>
      <c r="N26" s="1"/>
      <c r="O26" s="1"/>
      <c r="P26" s="87"/>
      <c r="Q26" s="87"/>
      <c r="R26" s="87"/>
      <c r="S26" s="87"/>
      <c r="T26" s="8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</row>
    <row r="27" spans="1:828" s="11" customFormat="1" ht="19" thickBot="1" x14ac:dyDescent="0.25">
      <c r="A27" s="28"/>
      <c r="B27" s="51"/>
      <c r="C27" s="59"/>
      <c r="D27" s="60"/>
      <c r="E27" s="59"/>
      <c r="F27" s="59"/>
      <c r="G27" s="59"/>
      <c r="H27" s="58"/>
      <c r="I27" s="59"/>
      <c r="J27" s="60"/>
      <c r="K27" s="58"/>
      <c r="L27" s="59"/>
      <c r="M27" s="60"/>
      <c r="N27" s="1"/>
      <c r="O27" s="1"/>
      <c r="P27" s="87"/>
      <c r="Q27" s="87"/>
      <c r="R27" s="87"/>
      <c r="S27" s="87"/>
      <c r="T27" s="8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</row>
    <row r="28" spans="1:828" s="8" customFormat="1" ht="19" x14ac:dyDescent="0.2">
      <c r="A28" s="23" t="s">
        <v>0</v>
      </c>
      <c r="B28" s="93">
        <f t="shared" si="0"/>
        <v>4.1888194568345301E-3</v>
      </c>
      <c r="C28" s="43" t="s">
        <v>28</v>
      </c>
      <c r="D28" s="44">
        <v>91962</v>
      </c>
      <c r="E28" s="43"/>
      <c r="F28" s="43"/>
      <c r="G28" s="43"/>
      <c r="H28" s="61">
        <f>J28/J74</f>
        <v>9.7766588438147426E-3</v>
      </c>
      <c r="I28" s="43" t="s">
        <v>16</v>
      </c>
      <c r="J28" s="44">
        <v>366741</v>
      </c>
      <c r="K28" s="61"/>
      <c r="L28" s="43"/>
      <c r="M28" s="44"/>
      <c r="N28" s="1"/>
      <c r="O28" s="1"/>
      <c r="P28" s="87"/>
      <c r="Q28" s="87"/>
      <c r="R28" s="87"/>
      <c r="S28" s="87"/>
      <c r="T28" s="8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</row>
    <row r="29" spans="1:828" s="8" customFormat="1" ht="18" x14ac:dyDescent="0.2">
      <c r="A29" s="23"/>
      <c r="B29" s="43"/>
      <c r="C29" s="43"/>
      <c r="D29" s="44"/>
      <c r="E29" s="43"/>
      <c r="F29" s="43"/>
      <c r="G29" s="43"/>
      <c r="H29" s="42"/>
      <c r="I29" s="43"/>
      <c r="J29" s="44"/>
      <c r="K29" s="42"/>
      <c r="L29" s="43"/>
      <c r="M29" s="44"/>
      <c r="N29" s="1"/>
      <c r="O29" s="1"/>
      <c r="P29" s="87"/>
      <c r="Q29" s="87"/>
      <c r="R29" s="87"/>
      <c r="S29" s="87"/>
      <c r="T29" s="8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</row>
    <row r="30" spans="1:828" s="8" customFormat="1" ht="18" x14ac:dyDescent="0.2">
      <c r="A30" s="23"/>
      <c r="B30" s="43"/>
      <c r="C30" s="43"/>
      <c r="D30" s="44"/>
      <c r="E30" s="43"/>
      <c r="F30" s="43"/>
      <c r="G30" s="43"/>
      <c r="H30" s="42"/>
      <c r="I30" s="43"/>
      <c r="J30" s="44"/>
      <c r="K30" s="42"/>
      <c r="L30" s="43"/>
      <c r="M30" s="44"/>
      <c r="N30" s="1"/>
      <c r="O30" s="1"/>
      <c r="P30" s="87"/>
      <c r="Q30" s="87"/>
      <c r="R30" s="87"/>
      <c r="S30" s="87"/>
      <c r="T30" s="8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</row>
    <row r="31" spans="1:828" s="8" customFormat="1" ht="18" x14ac:dyDescent="0.2">
      <c r="A31" s="23"/>
      <c r="B31" s="43"/>
      <c r="C31" s="43"/>
      <c r="D31" s="44"/>
      <c r="E31" s="43"/>
      <c r="F31" s="43"/>
      <c r="G31" s="43"/>
      <c r="H31" s="42"/>
      <c r="I31" s="43"/>
      <c r="J31" s="44"/>
      <c r="K31" s="42"/>
      <c r="L31" s="43"/>
      <c r="M31" s="44"/>
      <c r="N31" s="1"/>
      <c r="O31" s="1"/>
      <c r="P31" s="87"/>
      <c r="Q31" s="87"/>
      <c r="R31" s="87"/>
      <c r="S31" s="87"/>
      <c r="T31" s="8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</row>
    <row r="32" spans="1:828" s="8" customFormat="1" ht="18" x14ac:dyDescent="0.2">
      <c r="A32" s="23"/>
      <c r="B32" s="43"/>
      <c r="C32" s="43"/>
      <c r="D32" s="44"/>
      <c r="E32" s="43"/>
      <c r="F32" s="43"/>
      <c r="G32" s="43"/>
      <c r="H32" s="42"/>
      <c r="I32" s="43"/>
      <c r="J32" s="44"/>
      <c r="K32" s="42"/>
      <c r="L32" s="43"/>
      <c r="M32" s="44"/>
      <c r="N32" s="1"/>
      <c r="O32" s="1"/>
      <c r="P32" s="87"/>
      <c r="Q32" s="87"/>
      <c r="R32" s="87"/>
      <c r="S32" s="87"/>
      <c r="T32" s="8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</row>
    <row r="33" spans="1:828" s="8" customFormat="1" ht="19" thickBot="1" x14ac:dyDescent="0.25">
      <c r="A33" s="24"/>
      <c r="B33" s="43"/>
      <c r="C33" s="46"/>
      <c r="D33" s="47"/>
      <c r="E33" s="46"/>
      <c r="F33" s="46"/>
      <c r="G33" s="46"/>
      <c r="H33" s="45"/>
      <c r="I33" s="46"/>
      <c r="J33" s="47"/>
      <c r="K33" s="45"/>
      <c r="L33" s="46"/>
      <c r="M33" s="47"/>
      <c r="N33" s="1"/>
      <c r="O33" s="1"/>
      <c r="P33" s="87"/>
      <c r="Q33" s="87"/>
      <c r="R33" s="87"/>
      <c r="S33" s="87"/>
      <c r="T33" s="8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</row>
    <row r="34" spans="1:828" s="10" customFormat="1" ht="19" x14ac:dyDescent="0.2">
      <c r="A34" s="25" t="s">
        <v>147</v>
      </c>
      <c r="B34" s="94">
        <f t="shared" si="0"/>
        <v>5.9375497770194498E-2</v>
      </c>
      <c r="C34" s="49" t="s">
        <v>118</v>
      </c>
      <c r="D34" s="50">
        <f>664855+3787+634897</f>
        <v>1303539</v>
      </c>
      <c r="E34" s="94">
        <f>SUM(G34:G41)/D74</f>
        <v>0.19658472880557426</v>
      </c>
      <c r="F34" s="51" t="s">
        <v>121</v>
      </c>
      <c r="G34" s="52">
        <v>353671</v>
      </c>
      <c r="H34" s="48">
        <f>SUM(J34:J38)/J74</f>
        <v>2.4193659104665335E-2</v>
      </c>
      <c r="I34" s="49" t="s">
        <v>14</v>
      </c>
      <c r="J34" s="50">
        <v>907550</v>
      </c>
      <c r="K34" s="48">
        <f>SUM(M34:M42)/J74</f>
        <v>0.15959023131196118</v>
      </c>
      <c r="L34" s="49" t="s">
        <v>134</v>
      </c>
      <c r="M34" s="50">
        <v>213171</v>
      </c>
      <c r="N34" s="1"/>
      <c r="O34" s="1"/>
      <c r="P34" s="87"/>
      <c r="Q34" s="87"/>
      <c r="R34" s="87"/>
      <c r="S34" s="87"/>
      <c r="T34" s="8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</row>
    <row r="35" spans="1:828" s="10" customFormat="1" ht="18" x14ac:dyDescent="0.2">
      <c r="A35" s="88"/>
      <c r="D35" s="52"/>
      <c r="E35" s="51"/>
      <c r="F35" s="51" t="s">
        <v>111</v>
      </c>
      <c r="G35" s="52">
        <v>31793</v>
      </c>
      <c r="H35" s="70"/>
      <c r="I35" s="51"/>
      <c r="J35" s="52"/>
      <c r="K35" s="70"/>
      <c r="L35" s="51" t="s">
        <v>136</v>
      </c>
      <c r="M35" s="52">
        <v>4987834</v>
      </c>
      <c r="N35" s="1"/>
      <c r="O35" s="1"/>
      <c r="P35" s="87"/>
      <c r="Q35" s="87"/>
      <c r="R35" s="87"/>
      <c r="S35" s="87"/>
      <c r="T35" s="8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</row>
    <row r="36" spans="1:828" s="10" customFormat="1" ht="18" x14ac:dyDescent="0.2">
      <c r="A36" s="26"/>
      <c r="D36" s="52"/>
      <c r="E36" s="51"/>
      <c r="F36" s="51" t="s">
        <v>113</v>
      </c>
      <c r="G36" s="52">
        <v>156108</v>
      </c>
      <c r="H36" s="53"/>
      <c r="I36" s="51" t="s">
        <v>100</v>
      </c>
      <c r="J36" s="52"/>
      <c r="K36" s="53"/>
      <c r="L36" s="51" t="s">
        <v>139</v>
      </c>
      <c r="M36" s="52">
        <v>28870</v>
      </c>
      <c r="N36" s="1"/>
      <c r="O36" s="1"/>
      <c r="P36" s="87"/>
      <c r="Q36" s="87"/>
      <c r="R36" s="87"/>
      <c r="S36" s="87"/>
      <c r="T36" s="8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</row>
    <row r="37" spans="1:828" s="10" customFormat="1" ht="18" x14ac:dyDescent="0.2">
      <c r="A37" s="26"/>
      <c r="D37" s="52"/>
      <c r="E37" s="51"/>
      <c r="F37" s="51" t="s">
        <v>112</v>
      </c>
      <c r="G37" s="52">
        <v>3549086</v>
      </c>
      <c r="H37" s="53"/>
      <c r="I37" s="51" t="s">
        <v>22</v>
      </c>
      <c r="J37" s="52"/>
      <c r="K37" s="53"/>
      <c r="L37" s="51"/>
      <c r="M37" s="52"/>
      <c r="N37" s="1"/>
      <c r="O37" s="1"/>
      <c r="P37" s="87"/>
      <c r="Q37" s="87"/>
      <c r="R37" s="87"/>
      <c r="S37" s="87"/>
      <c r="T37" s="8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</row>
    <row r="38" spans="1:828" s="10" customFormat="1" ht="18" x14ac:dyDescent="0.2">
      <c r="A38" s="26"/>
      <c r="D38" s="52"/>
      <c r="E38" s="51"/>
      <c r="F38" s="10" t="s">
        <v>124</v>
      </c>
      <c r="G38" s="52">
        <v>47236</v>
      </c>
      <c r="H38" s="53"/>
      <c r="I38" s="51" t="s">
        <v>101</v>
      </c>
      <c r="J38" s="52"/>
      <c r="K38" s="53"/>
      <c r="L38" s="51" t="s">
        <v>140</v>
      </c>
      <c r="M38" s="52">
        <v>240590</v>
      </c>
      <c r="N38" s="1"/>
      <c r="O38" s="1"/>
      <c r="P38" s="87"/>
      <c r="Q38" s="87"/>
      <c r="R38" s="87"/>
      <c r="S38" s="87"/>
      <c r="T38" s="8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</row>
    <row r="39" spans="1:828" s="10" customFormat="1" ht="18" x14ac:dyDescent="0.2">
      <c r="A39" s="26"/>
      <c r="D39" s="52"/>
      <c r="E39" s="51"/>
      <c r="F39" s="10" t="s">
        <v>125</v>
      </c>
      <c r="G39" s="52">
        <v>3211</v>
      </c>
      <c r="H39" s="53"/>
      <c r="I39" s="51"/>
      <c r="J39" s="52"/>
      <c r="K39" s="53"/>
      <c r="L39" s="51" t="s">
        <v>142</v>
      </c>
      <c r="M39" s="52">
        <v>247637</v>
      </c>
      <c r="N39" s="1"/>
      <c r="O39" s="1"/>
      <c r="P39" s="87"/>
      <c r="Q39" s="87"/>
      <c r="R39" s="87"/>
      <c r="S39" s="87"/>
      <c r="T39" s="8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</row>
    <row r="40" spans="1:828" s="10" customFormat="1" ht="18" x14ac:dyDescent="0.2">
      <c r="A40" s="26"/>
      <c r="D40" s="52"/>
      <c r="E40" s="51"/>
      <c r="F40" s="51" t="s">
        <v>126</v>
      </c>
      <c r="G40" s="52">
        <v>173027</v>
      </c>
      <c r="H40" s="53"/>
      <c r="I40" s="51"/>
      <c r="J40" s="52"/>
      <c r="K40" s="53"/>
      <c r="L40" s="51" t="s">
        <v>144</v>
      </c>
      <c r="M40" s="52">
        <v>44399</v>
      </c>
      <c r="N40" s="1"/>
      <c r="O40" s="1"/>
      <c r="P40" s="87"/>
      <c r="Q40" s="87"/>
      <c r="R40" s="87"/>
      <c r="S40" s="87"/>
      <c r="T40" s="8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</row>
    <row r="41" spans="1:828" s="10" customFormat="1" ht="18" x14ac:dyDescent="0.2">
      <c r="A41" s="26"/>
      <c r="D41" s="52"/>
      <c r="E41" s="51"/>
      <c r="F41" s="51" t="s">
        <v>131</v>
      </c>
      <c r="G41" s="52">
        <v>1720</v>
      </c>
      <c r="H41" s="53"/>
      <c r="I41" s="51"/>
      <c r="J41" s="52"/>
      <c r="K41" s="53"/>
      <c r="L41" s="51" t="s">
        <v>145</v>
      </c>
      <c r="M41" s="52">
        <v>206744</v>
      </c>
      <c r="N41" s="1"/>
      <c r="O41" s="1"/>
      <c r="P41" s="87"/>
      <c r="Q41" s="87"/>
      <c r="R41" s="87"/>
      <c r="S41" s="87"/>
      <c r="T41" s="8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</row>
    <row r="42" spans="1:828" s="10" customFormat="1" ht="18" x14ac:dyDescent="0.2">
      <c r="A42" s="26"/>
      <c r="D42" s="52"/>
      <c r="E42" s="51"/>
      <c r="F42" s="51"/>
      <c r="G42" s="51"/>
      <c r="H42" s="53"/>
      <c r="I42" s="51"/>
      <c r="J42" s="52"/>
      <c r="K42" s="53"/>
      <c r="L42" s="51" t="s">
        <v>146</v>
      </c>
      <c r="M42" s="52">
        <v>17287</v>
      </c>
      <c r="N42" s="1"/>
      <c r="O42" s="1"/>
      <c r="P42" s="87"/>
      <c r="Q42" s="87"/>
      <c r="R42" s="87"/>
      <c r="S42" s="87"/>
      <c r="T42" s="8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</row>
    <row r="43" spans="1:828" s="10" customFormat="1" ht="18" x14ac:dyDescent="0.2">
      <c r="A43" s="26"/>
      <c r="C43" s="51"/>
      <c r="D43" s="52"/>
      <c r="E43" s="51"/>
      <c r="F43" s="51"/>
      <c r="G43" s="51"/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</row>
    <row r="44" spans="1:828" s="10" customFormat="1" ht="18" x14ac:dyDescent="0.2">
      <c r="A44" s="26"/>
      <c r="C44" s="51"/>
      <c r="D44" s="52"/>
      <c r="E44" s="51"/>
      <c r="F44" s="51"/>
      <c r="G44" s="51"/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</row>
    <row r="45" spans="1:828" s="10" customFormat="1" ht="18" x14ac:dyDescent="0.2">
      <c r="A45" s="26"/>
      <c r="C45" s="51"/>
      <c r="D45" s="52"/>
      <c r="E45" s="51"/>
      <c r="F45" s="51"/>
      <c r="G45" s="51"/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</row>
    <row r="46" spans="1:828" s="10" customFormat="1" ht="18" x14ac:dyDescent="0.2">
      <c r="A46" s="26"/>
      <c r="C46" s="51"/>
      <c r="D46" s="52"/>
      <c r="E46" s="51"/>
      <c r="F46" s="51"/>
      <c r="G46" s="51"/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</row>
    <row r="47" spans="1:828" s="80" customFormat="1" ht="19" x14ac:dyDescent="0.2">
      <c r="A47" s="78" t="s">
        <v>116</v>
      </c>
      <c r="B47" s="76">
        <f t="shared" si="0"/>
        <v>1.9419101357433127E-3</v>
      </c>
      <c r="C47" s="79" t="s">
        <v>117</v>
      </c>
      <c r="D47" s="66">
        <v>42633</v>
      </c>
      <c r="E47" s="95">
        <f>SUM(G47:G49)/D74</f>
        <v>4.8516552013361299E-3</v>
      </c>
      <c r="F47" s="90" t="s">
        <v>127</v>
      </c>
      <c r="G47" s="90">
        <v>97345</v>
      </c>
      <c r="H47" s="65">
        <f>J47/J74</f>
        <v>8.8453809118414304E-3</v>
      </c>
      <c r="I47" s="79" t="s">
        <v>19</v>
      </c>
      <c r="J47" s="66">
        <v>331807</v>
      </c>
      <c r="K47" s="65">
        <f>SUM(M47:M49)/J74</f>
        <v>1.7929299492867531E-2</v>
      </c>
      <c r="L47" s="79" t="s">
        <v>133</v>
      </c>
      <c r="M47" s="66">
        <v>592314</v>
      </c>
      <c r="N47" s="81"/>
      <c r="O47" s="1"/>
      <c r="P47" s="1"/>
      <c r="Q47" s="1"/>
      <c r="R47" s="1"/>
      <c r="S47" s="1"/>
      <c r="T47" s="1"/>
      <c r="U47" s="1"/>
      <c r="V47" s="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1"/>
      <c r="FH47" s="81"/>
      <c r="FI47" s="81"/>
      <c r="FJ47" s="81"/>
      <c r="FK47" s="81"/>
      <c r="FL47" s="81"/>
      <c r="FM47" s="81"/>
      <c r="FN47" s="81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81"/>
      <c r="HK47" s="81"/>
      <c r="HL47" s="81"/>
      <c r="HM47" s="81"/>
      <c r="HN47" s="81"/>
      <c r="HO47" s="81"/>
      <c r="HP47" s="81"/>
      <c r="HQ47" s="81"/>
      <c r="HR47" s="81"/>
      <c r="HS47" s="81"/>
      <c r="HT47" s="81"/>
      <c r="HU47" s="81"/>
      <c r="HV47" s="81"/>
      <c r="HW47" s="81"/>
      <c r="HX47" s="81"/>
      <c r="HY47" s="81"/>
      <c r="HZ47" s="81"/>
      <c r="IA47" s="81"/>
      <c r="IB47" s="81"/>
      <c r="IC47" s="81"/>
      <c r="ID47" s="81"/>
      <c r="IE47" s="81"/>
      <c r="IF47" s="81"/>
      <c r="IG47" s="81"/>
      <c r="IH47" s="81"/>
      <c r="II47" s="81"/>
      <c r="IJ47" s="81"/>
      <c r="IK47" s="81"/>
      <c r="IL47" s="81"/>
      <c r="IM47" s="81"/>
      <c r="IN47" s="81"/>
      <c r="IO47" s="81"/>
      <c r="IP47" s="81"/>
      <c r="IQ47" s="81"/>
      <c r="IR47" s="81"/>
      <c r="IS47" s="81"/>
      <c r="IT47" s="81"/>
      <c r="IU47" s="81"/>
      <c r="IV47" s="81"/>
      <c r="IW47" s="81"/>
      <c r="IX47" s="81"/>
      <c r="IY47" s="81"/>
      <c r="IZ47" s="81"/>
      <c r="JA47" s="81"/>
      <c r="JB47" s="81"/>
      <c r="JC47" s="81"/>
      <c r="JD47" s="81"/>
      <c r="JE47" s="81"/>
      <c r="JF47" s="81"/>
      <c r="JG47" s="81"/>
      <c r="JH47" s="81"/>
      <c r="JI47" s="81"/>
      <c r="JJ47" s="81"/>
      <c r="JK47" s="81"/>
      <c r="JL47" s="81"/>
      <c r="JM47" s="81"/>
      <c r="JN47" s="81"/>
      <c r="JO47" s="81"/>
      <c r="JP47" s="81"/>
      <c r="JQ47" s="81"/>
      <c r="JR47" s="81"/>
      <c r="JS47" s="81"/>
      <c r="JT47" s="81"/>
      <c r="JU47" s="81"/>
      <c r="JV47" s="81"/>
      <c r="JW47" s="81"/>
      <c r="JX47" s="81"/>
      <c r="JY47" s="81"/>
      <c r="JZ47" s="81"/>
      <c r="KA47" s="81"/>
      <c r="KB47" s="81"/>
      <c r="KC47" s="81"/>
      <c r="KD47" s="81"/>
      <c r="KE47" s="81"/>
      <c r="KF47" s="81"/>
      <c r="KG47" s="81"/>
      <c r="KH47" s="81"/>
      <c r="KI47" s="81"/>
      <c r="KJ47" s="81"/>
      <c r="KK47" s="81"/>
      <c r="KL47" s="81"/>
      <c r="KM47" s="81"/>
      <c r="KN47" s="81"/>
      <c r="KO47" s="81"/>
      <c r="KP47" s="81"/>
      <c r="KQ47" s="81"/>
      <c r="KR47" s="81"/>
      <c r="KS47" s="81"/>
      <c r="KT47" s="81"/>
      <c r="KU47" s="81"/>
      <c r="KV47" s="81"/>
      <c r="KW47" s="81"/>
      <c r="KX47" s="81"/>
      <c r="KY47" s="81"/>
      <c r="KZ47" s="81"/>
      <c r="LA47" s="81"/>
      <c r="LB47" s="81"/>
      <c r="LC47" s="81"/>
      <c r="LD47" s="81"/>
      <c r="LE47" s="81"/>
      <c r="LF47" s="81"/>
      <c r="LG47" s="81"/>
      <c r="LH47" s="81"/>
      <c r="LI47" s="81"/>
      <c r="LJ47" s="81"/>
      <c r="LK47" s="81"/>
      <c r="LL47" s="81"/>
      <c r="LM47" s="81"/>
      <c r="LN47" s="81"/>
      <c r="LO47" s="81"/>
      <c r="LP47" s="81"/>
      <c r="LQ47" s="81"/>
      <c r="LR47" s="81"/>
      <c r="LS47" s="81"/>
      <c r="LT47" s="81"/>
      <c r="LU47" s="81"/>
      <c r="LV47" s="81"/>
      <c r="LW47" s="81"/>
      <c r="LX47" s="81"/>
      <c r="LY47" s="81"/>
      <c r="LZ47" s="81"/>
      <c r="MA47" s="81"/>
      <c r="MB47" s="81"/>
      <c r="MC47" s="81"/>
      <c r="MD47" s="81"/>
      <c r="ME47" s="81"/>
      <c r="MF47" s="81"/>
      <c r="MG47" s="81"/>
      <c r="MH47" s="81"/>
      <c r="MI47" s="81"/>
      <c r="MJ47" s="81"/>
      <c r="MK47" s="81"/>
      <c r="ML47" s="81"/>
      <c r="MM47" s="81"/>
      <c r="MN47" s="81"/>
      <c r="MO47" s="81"/>
      <c r="MP47" s="81"/>
      <c r="MQ47" s="81"/>
      <c r="MR47" s="81"/>
      <c r="MS47" s="81"/>
      <c r="MT47" s="81"/>
      <c r="MU47" s="81"/>
      <c r="MV47" s="81"/>
      <c r="MW47" s="81"/>
      <c r="MX47" s="81"/>
      <c r="MY47" s="81"/>
      <c r="MZ47" s="81"/>
      <c r="NA47" s="81"/>
      <c r="NB47" s="81"/>
      <c r="NC47" s="81"/>
      <c r="ND47" s="81"/>
      <c r="NE47" s="81"/>
      <c r="NF47" s="81"/>
      <c r="NG47" s="81"/>
      <c r="NH47" s="81"/>
      <c r="NI47" s="81"/>
      <c r="NJ47" s="81"/>
      <c r="NK47" s="81"/>
      <c r="NL47" s="81"/>
      <c r="NM47" s="81"/>
      <c r="NN47" s="81"/>
      <c r="NO47" s="81"/>
      <c r="NP47" s="81"/>
      <c r="NQ47" s="81"/>
      <c r="NR47" s="81"/>
      <c r="NS47" s="81"/>
      <c r="NT47" s="81"/>
      <c r="NU47" s="81"/>
      <c r="NV47" s="81"/>
      <c r="NW47" s="81"/>
      <c r="NX47" s="81"/>
      <c r="NY47" s="81"/>
      <c r="NZ47" s="81"/>
      <c r="OA47" s="81"/>
      <c r="OB47" s="81"/>
      <c r="OC47" s="81"/>
      <c r="OD47" s="81"/>
      <c r="OE47" s="81"/>
      <c r="OF47" s="81"/>
      <c r="OG47" s="81"/>
      <c r="OH47" s="81"/>
      <c r="OI47" s="81"/>
      <c r="OJ47" s="81"/>
      <c r="OK47" s="81"/>
      <c r="OL47" s="81"/>
      <c r="OM47" s="81"/>
      <c r="ON47" s="81"/>
      <c r="OO47" s="81"/>
      <c r="OP47" s="81"/>
      <c r="OQ47" s="81"/>
      <c r="OR47" s="81"/>
      <c r="OS47" s="81"/>
      <c r="OT47" s="81"/>
      <c r="OU47" s="81"/>
      <c r="OV47" s="81"/>
      <c r="OW47" s="81"/>
      <c r="OX47" s="81"/>
      <c r="OY47" s="81"/>
      <c r="OZ47" s="81"/>
      <c r="PA47" s="81"/>
      <c r="PB47" s="81"/>
      <c r="PC47" s="81"/>
      <c r="PD47" s="81"/>
      <c r="PE47" s="81"/>
      <c r="PF47" s="81"/>
      <c r="PG47" s="81"/>
      <c r="PH47" s="81"/>
      <c r="PI47" s="81"/>
      <c r="PJ47" s="81"/>
      <c r="PK47" s="81"/>
      <c r="PL47" s="81"/>
      <c r="PM47" s="81"/>
      <c r="PN47" s="81"/>
      <c r="PO47" s="81"/>
      <c r="PP47" s="81"/>
      <c r="PQ47" s="81"/>
      <c r="PR47" s="81"/>
      <c r="PS47" s="81"/>
      <c r="PT47" s="81"/>
      <c r="PU47" s="81"/>
      <c r="PV47" s="81"/>
      <c r="PW47" s="81"/>
      <c r="PX47" s="81"/>
      <c r="PY47" s="81"/>
      <c r="PZ47" s="81"/>
      <c r="QA47" s="81"/>
      <c r="QB47" s="81"/>
      <c r="QC47" s="81"/>
      <c r="QD47" s="81"/>
      <c r="QE47" s="81"/>
      <c r="QF47" s="81"/>
      <c r="QG47" s="81"/>
      <c r="QH47" s="81"/>
      <c r="QI47" s="81"/>
      <c r="QJ47" s="81"/>
      <c r="QK47" s="81"/>
      <c r="QL47" s="81"/>
      <c r="QM47" s="81"/>
      <c r="QN47" s="81"/>
      <c r="QO47" s="81"/>
      <c r="QP47" s="81"/>
      <c r="QQ47" s="81"/>
      <c r="QR47" s="81"/>
      <c r="QS47" s="81"/>
      <c r="QT47" s="81"/>
      <c r="QU47" s="81"/>
      <c r="QV47" s="81"/>
      <c r="QW47" s="81"/>
      <c r="QX47" s="81"/>
      <c r="QY47" s="81"/>
      <c r="QZ47" s="81"/>
      <c r="RA47" s="81"/>
      <c r="RB47" s="81"/>
      <c r="RC47" s="81"/>
      <c r="RD47" s="81"/>
      <c r="RE47" s="81"/>
      <c r="RF47" s="81"/>
      <c r="RG47" s="81"/>
      <c r="RH47" s="81"/>
      <c r="RI47" s="81"/>
      <c r="RJ47" s="81"/>
      <c r="RK47" s="81"/>
      <c r="RL47" s="81"/>
      <c r="RM47" s="81"/>
      <c r="RN47" s="81"/>
      <c r="RO47" s="81"/>
      <c r="RP47" s="81"/>
      <c r="RQ47" s="81"/>
      <c r="RR47" s="81"/>
      <c r="RS47" s="81"/>
      <c r="RT47" s="81"/>
      <c r="RU47" s="81"/>
      <c r="RV47" s="81"/>
      <c r="RW47" s="81"/>
      <c r="RX47" s="81"/>
      <c r="RY47" s="81"/>
      <c r="RZ47" s="81"/>
      <c r="SA47" s="81"/>
      <c r="SB47" s="81"/>
      <c r="SC47" s="81"/>
      <c r="SD47" s="81"/>
      <c r="SE47" s="81"/>
      <c r="SF47" s="81"/>
      <c r="SG47" s="81"/>
      <c r="SH47" s="81"/>
      <c r="SI47" s="81"/>
      <c r="SJ47" s="81"/>
      <c r="SK47" s="81"/>
      <c r="SL47" s="81"/>
      <c r="SM47" s="81"/>
      <c r="SN47" s="81"/>
      <c r="SO47" s="81"/>
      <c r="SP47" s="81"/>
      <c r="SQ47" s="81"/>
      <c r="SR47" s="81"/>
      <c r="SS47" s="81"/>
      <c r="ST47" s="81"/>
      <c r="SU47" s="81"/>
      <c r="SV47" s="81"/>
      <c r="SW47" s="81"/>
      <c r="SX47" s="81"/>
      <c r="SY47" s="81"/>
      <c r="SZ47" s="81"/>
      <c r="TA47" s="81"/>
      <c r="TB47" s="81"/>
      <c r="TC47" s="81"/>
      <c r="TD47" s="81"/>
      <c r="TE47" s="81"/>
      <c r="TF47" s="81"/>
      <c r="TG47" s="81"/>
      <c r="TH47" s="81"/>
      <c r="TI47" s="81"/>
      <c r="TJ47" s="81"/>
      <c r="TK47" s="81"/>
      <c r="TL47" s="81"/>
      <c r="TM47" s="81"/>
      <c r="TN47" s="81"/>
      <c r="TO47" s="81"/>
      <c r="TP47" s="81"/>
      <c r="TQ47" s="81"/>
      <c r="TR47" s="81"/>
      <c r="TS47" s="81"/>
      <c r="TT47" s="81"/>
      <c r="TU47" s="81"/>
      <c r="TV47" s="81"/>
      <c r="TW47" s="81"/>
      <c r="TX47" s="81"/>
      <c r="TY47" s="81"/>
      <c r="TZ47" s="81"/>
      <c r="UA47" s="81"/>
      <c r="UB47" s="81"/>
      <c r="UC47" s="81"/>
      <c r="UD47" s="81"/>
      <c r="UE47" s="81"/>
      <c r="UF47" s="81"/>
      <c r="UG47" s="81"/>
      <c r="UH47" s="81"/>
      <c r="UI47" s="81"/>
      <c r="UJ47" s="81"/>
      <c r="UK47" s="81"/>
      <c r="UL47" s="81"/>
      <c r="UM47" s="81"/>
      <c r="UN47" s="81"/>
      <c r="UO47" s="81"/>
      <c r="UP47" s="81"/>
      <c r="UQ47" s="81"/>
      <c r="UR47" s="81"/>
      <c r="US47" s="81"/>
      <c r="UT47" s="81"/>
      <c r="UU47" s="81"/>
      <c r="UV47" s="81"/>
      <c r="UW47" s="81"/>
      <c r="UX47" s="81"/>
      <c r="UY47" s="81"/>
      <c r="UZ47" s="81"/>
      <c r="VA47" s="81"/>
      <c r="VB47" s="81"/>
      <c r="VC47" s="81"/>
      <c r="VD47" s="81"/>
      <c r="VE47" s="81"/>
      <c r="VF47" s="81"/>
      <c r="VG47" s="81"/>
      <c r="VH47" s="81"/>
      <c r="VI47" s="81"/>
      <c r="VJ47" s="81"/>
      <c r="VK47" s="81"/>
      <c r="VL47" s="81"/>
      <c r="VM47" s="81"/>
      <c r="VN47" s="81"/>
      <c r="VO47" s="81"/>
      <c r="VP47" s="81"/>
      <c r="VQ47" s="81"/>
      <c r="VR47" s="81"/>
      <c r="VS47" s="81"/>
      <c r="VT47" s="81"/>
      <c r="VU47" s="81"/>
      <c r="VV47" s="81"/>
      <c r="VW47" s="81"/>
      <c r="VX47" s="81"/>
      <c r="VY47" s="81"/>
      <c r="VZ47" s="81"/>
      <c r="WA47" s="81"/>
      <c r="WB47" s="81"/>
      <c r="WC47" s="81"/>
      <c r="WD47" s="81"/>
      <c r="WE47" s="81"/>
      <c r="WF47" s="81"/>
      <c r="WG47" s="81"/>
      <c r="WH47" s="81"/>
      <c r="WI47" s="81"/>
      <c r="WJ47" s="81"/>
      <c r="WK47" s="81"/>
      <c r="WL47" s="81"/>
      <c r="WM47" s="81"/>
      <c r="WN47" s="81"/>
      <c r="WO47" s="81"/>
      <c r="WP47" s="81"/>
      <c r="WQ47" s="81"/>
      <c r="WR47" s="81"/>
      <c r="WS47" s="81"/>
      <c r="WT47" s="81"/>
      <c r="WU47" s="81"/>
      <c r="WV47" s="81"/>
      <c r="WW47" s="81"/>
      <c r="WX47" s="81"/>
      <c r="WY47" s="81"/>
      <c r="WZ47" s="81"/>
      <c r="XA47" s="81"/>
      <c r="XB47" s="81"/>
      <c r="XC47" s="81"/>
      <c r="XD47" s="81"/>
      <c r="XE47" s="81"/>
      <c r="XF47" s="81"/>
      <c r="XG47" s="81"/>
      <c r="XH47" s="81"/>
      <c r="XI47" s="81"/>
      <c r="XJ47" s="81"/>
      <c r="XK47" s="81"/>
      <c r="XL47" s="81"/>
      <c r="XM47" s="81"/>
      <c r="XN47" s="81"/>
      <c r="XO47" s="81"/>
      <c r="XP47" s="81"/>
      <c r="XQ47" s="81"/>
      <c r="XR47" s="81"/>
      <c r="XS47" s="81"/>
      <c r="XT47" s="81"/>
      <c r="XU47" s="81"/>
      <c r="XV47" s="81"/>
      <c r="XW47" s="81"/>
      <c r="XX47" s="81"/>
      <c r="XY47" s="81"/>
      <c r="XZ47" s="81"/>
      <c r="YA47" s="81"/>
      <c r="YB47" s="81"/>
      <c r="YC47" s="81"/>
      <c r="YD47" s="81"/>
      <c r="YE47" s="81"/>
      <c r="YF47" s="81"/>
      <c r="YG47" s="81"/>
      <c r="YH47" s="81"/>
      <c r="YI47" s="81"/>
      <c r="YJ47" s="81"/>
      <c r="YK47" s="81"/>
      <c r="YL47" s="81"/>
      <c r="YM47" s="81"/>
      <c r="YN47" s="81"/>
      <c r="YO47" s="81"/>
      <c r="YP47" s="81"/>
      <c r="YQ47" s="81"/>
      <c r="YR47" s="81"/>
      <c r="YS47" s="81"/>
      <c r="YT47" s="81"/>
      <c r="YU47" s="81"/>
      <c r="YV47" s="81"/>
      <c r="YW47" s="81"/>
      <c r="YX47" s="81"/>
      <c r="YY47" s="81"/>
      <c r="YZ47" s="81"/>
      <c r="ZA47" s="81"/>
      <c r="ZB47" s="81"/>
      <c r="ZC47" s="81"/>
      <c r="ZD47" s="81"/>
      <c r="ZE47" s="81"/>
      <c r="ZF47" s="81"/>
      <c r="ZG47" s="81"/>
      <c r="ZH47" s="81"/>
      <c r="ZI47" s="81"/>
      <c r="ZJ47" s="81"/>
      <c r="ZK47" s="81"/>
      <c r="ZL47" s="81"/>
      <c r="ZM47" s="81"/>
      <c r="ZN47" s="81"/>
      <c r="ZO47" s="81"/>
      <c r="ZP47" s="81"/>
      <c r="ZQ47" s="81"/>
      <c r="ZR47" s="81"/>
      <c r="ZS47" s="81"/>
      <c r="ZT47" s="81"/>
      <c r="ZU47" s="81"/>
      <c r="ZV47" s="81"/>
      <c r="ZW47" s="81"/>
      <c r="ZX47" s="81"/>
      <c r="ZY47" s="81"/>
      <c r="ZZ47" s="81"/>
      <c r="AAA47" s="81"/>
      <c r="AAB47" s="81"/>
      <c r="AAC47" s="81"/>
      <c r="AAD47" s="81"/>
      <c r="AAE47" s="81"/>
      <c r="AAF47" s="81"/>
      <c r="AAG47" s="81"/>
      <c r="AAH47" s="81"/>
      <c r="AAI47" s="81"/>
      <c r="AAJ47" s="81"/>
      <c r="AAK47" s="81"/>
      <c r="AAL47" s="81"/>
      <c r="AAM47" s="81"/>
      <c r="AAN47" s="81"/>
      <c r="AAO47" s="81"/>
      <c r="AAP47" s="81"/>
      <c r="AAQ47" s="81"/>
      <c r="AAR47" s="81"/>
      <c r="AAS47" s="81"/>
      <c r="AAT47" s="81"/>
      <c r="AAU47" s="81"/>
      <c r="AAV47" s="81"/>
      <c r="AAW47" s="81"/>
      <c r="AAX47" s="81"/>
      <c r="AAY47" s="81"/>
      <c r="AAZ47" s="81"/>
      <c r="ABA47" s="81"/>
      <c r="ABB47" s="81"/>
      <c r="ABC47" s="81"/>
      <c r="ABD47" s="81"/>
      <c r="ABE47" s="81"/>
      <c r="ABF47" s="81"/>
      <c r="ABG47" s="81"/>
      <c r="ABH47" s="81"/>
      <c r="ABI47" s="81"/>
      <c r="ABJ47" s="81"/>
      <c r="ABK47" s="81"/>
      <c r="ABL47" s="81"/>
      <c r="ABM47" s="81"/>
      <c r="ABN47" s="81"/>
      <c r="ABO47" s="81"/>
      <c r="ABP47" s="81"/>
      <c r="ABQ47" s="81"/>
      <c r="ABR47" s="81"/>
      <c r="ABS47" s="81"/>
      <c r="ABT47" s="81"/>
      <c r="ABU47" s="81"/>
      <c r="ABV47" s="81"/>
      <c r="ABW47" s="81"/>
      <c r="ABX47" s="81"/>
      <c r="ABY47" s="81"/>
      <c r="ABZ47" s="81"/>
      <c r="ACA47" s="81"/>
      <c r="ACB47" s="81"/>
      <c r="ACC47" s="81"/>
      <c r="ACD47" s="81"/>
      <c r="ACE47" s="81"/>
      <c r="ACF47" s="81"/>
      <c r="ACG47" s="81"/>
      <c r="ACH47" s="81"/>
      <c r="ACI47" s="81"/>
      <c r="ACJ47" s="81"/>
      <c r="ACK47" s="81"/>
      <c r="ACL47" s="81"/>
      <c r="ACM47" s="81"/>
      <c r="ACN47" s="81"/>
      <c r="ACO47" s="81"/>
      <c r="ACP47" s="81"/>
      <c r="ACQ47" s="81"/>
      <c r="ACR47" s="81"/>
      <c r="ACS47" s="81"/>
      <c r="ACT47" s="81"/>
      <c r="ACU47" s="81"/>
      <c r="ACV47" s="81"/>
      <c r="ACW47" s="81"/>
      <c r="ACX47" s="81"/>
      <c r="ACY47" s="81"/>
      <c r="ACZ47" s="81"/>
      <c r="ADA47" s="81"/>
      <c r="ADB47" s="81"/>
      <c r="ADC47" s="81"/>
      <c r="ADD47" s="81"/>
      <c r="ADE47" s="81"/>
      <c r="ADF47" s="81"/>
      <c r="ADG47" s="81"/>
      <c r="ADH47" s="81"/>
      <c r="ADI47" s="81"/>
      <c r="ADJ47" s="81"/>
      <c r="ADK47" s="81"/>
      <c r="ADL47" s="81"/>
      <c r="ADM47" s="81"/>
      <c r="ADN47" s="81"/>
      <c r="ADO47" s="81"/>
      <c r="ADP47" s="81"/>
      <c r="ADQ47" s="81"/>
      <c r="ADR47" s="81"/>
      <c r="ADS47" s="81"/>
      <c r="ADT47" s="81"/>
      <c r="ADU47" s="81"/>
      <c r="ADV47" s="81"/>
      <c r="ADW47" s="81"/>
      <c r="ADX47" s="81"/>
      <c r="ADY47" s="81"/>
      <c r="ADZ47" s="81"/>
      <c r="AEA47" s="81"/>
      <c r="AEB47" s="81"/>
      <c r="AEC47" s="81"/>
      <c r="AED47" s="81"/>
      <c r="AEE47" s="81"/>
      <c r="AEF47" s="81"/>
      <c r="AEG47" s="81"/>
      <c r="AEH47" s="81"/>
      <c r="AEI47" s="81"/>
      <c r="AEJ47" s="81"/>
      <c r="AEK47" s="81"/>
      <c r="AEL47" s="81"/>
      <c r="AEM47" s="81"/>
      <c r="AEN47" s="81"/>
      <c r="AEO47" s="81"/>
      <c r="AEP47" s="81"/>
      <c r="AEQ47" s="81"/>
      <c r="AER47" s="81"/>
      <c r="AES47" s="81"/>
      <c r="AET47" s="81"/>
      <c r="AEU47" s="81"/>
      <c r="AEV47" s="81"/>
    </row>
    <row r="48" spans="1:828" s="10" customFormat="1" ht="18" x14ac:dyDescent="0.2">
      <c r="A48" s="29"/>
      <c r="D48" s="52"/>
      <c r="E48" s="51"/>
      <c r="F48" s="10" t="s">
        <v>128</v>
      </c>
      <c r="G48" s="52">
        <v>6065</v>
      </c>
      <c r="H48" s="53"/>
      <c r="K48" s="53"/>
      <c r="L48" s="51" t="s">
        <v>135</v>
      </c>
      <c r="M48" s="52">
        <v>52581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</row>
    <row r="49" spans="1:828" s="10" customFormat="1" ht="18" x14ac:dyDescent="0.2">
      <c r="A49" s="29"/>
      <c r="D49" s="52"/>
      <c r="E49" s="51"/>
      <c r="F49" s="10" t="s">
        <v>129</v>
      </c>
      <c r="G49" s="52">
        <v>3104</v>
      </c>
      <c r="H49" s="53"/>
      <c r="K49" s="53"/>
      <c r="L49" s="51" t="s">
        <v>143</v>
      </c>
      <c r="M49" s="52">
        <v>27667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</row>
    <row r="50" spans="1:828" s="10" customFormat="1" ht="18" x14ac:dyDescent="0.2">
      <c r="A50" s="29"/>
      <c r="D50" s="52"/>
      <c r="E50" s="51"/>
      <c r="F50" s="51"/>
      <c r="G50" s="51"/>
      <c r="H50" s="53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</row>
    <row r="51" spans="1:828" s="10" customFormat="1" ht="18" x14ac:dyDescent="0.2">
      <c r="A51" s="29"/>
      <c r="D51" s="52"/>
      <c r="E51" s="51"/>
      <c r="F51" s="51"/>
      <c r="G51" s="51"/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</row>
    <row r="52" spans="1:828" s="10" customFormat="1" ht="18" x14ac:dyDescent="0.2">
      <c r="A52" s="29"/>
      <c r="D52" s="52"/>
      <c r="E52" s="51"/>
      <c r="F52" s="51"/>
      <c r="G52" s="51"/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</row>
    <row r="53" spans="1:828" s="10" customFormat="1" ht="18" x14ac:dyDescent="0.2">
      <c r="A53" s="29"/>
      <c r="D53" s="52"/>
      <c r="E53" s="51"/>
      <c r="F53" s="51"/>
      <c r="G53" s="51"/>
      <c r="H53" s="53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</row>
    <row r="54" spans="1:828" s="10" customFormat="1" ht="18" x14ac:dyDescent="0.2">
      <c r="A54" s="29"/>
      <c r="C54" s="51"/>
      <c r="D54" s="52"/>
      <c r="E54" s="51"/>
      <c r="F54" s="51"/>
      <c r="G54" s="51"/>
      <c r="H54" s="53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</row>
    <row r="55" spans="1:828" s="10" customFormat="1" ht="18" x14ac:dyDescent="0.2">
      <c r="A55" s="29"/>
      <c r="C55" s="51"/>
      <c r="D55" s="52"/>
      <c r="E55" s="51"/>
      <c r="F55" s="51"/>
      <c r="G55" s="51"/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</row>
    <row r="56" spans="1:828" s="10" customFormat="1" ht="18" x14ac:dyDescent="0.2">
      <c r="A56" s="29"/>
      <c r="C56" s="51"/>
      <c r="D56" s="52"/>
      <c r="E56" s="51"/>
      <c r="F56" s="51"/>
      <c r="G56" s="51"/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</row>
    <row r="57" spans="1:828" s="10" customFormat="1" ht="18" x14ac:dyDescent="0.2">
      <c r="A57" s="29"/>
      <c r="C57" s="51"/>
      <c r="D57" s="52"/>
      <c r="E57" s="51"/>
      <c r="F57" s="51"/>
      <c r="G57" s="51"/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</row>
    <row r="58" spans="1:828" s="10" customFormat="1" ht="18" x14ac:dyDescent="0.2">
      <c r="A58" s="29"/>
      <c r="C58" s="51"/>
      <c r="D58" s="52"/>
      <c r="E58" s="51"/>
      <c r="F58" s="51"/>
      <c r="G58" s="51"/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</row>
    <row r="59" spans="1:828" s="10" customFormat="1" ht="18" x14ac:dyDescent="0.2">
      <c r="A59" s="30"/>
      <c r="C59" s="68"/>
      <c r="D59" s="69"/>
      <c r="E59" s="68"/>
      <c r="F59" s="68"/>
      <c r="G59" s="69"/>
      <c r="H59" s="68"/>
      <c r="I59" s="68"/>
      <c r="J59" s="69"/>
      <c r="K59" s="68"/>
      <c r="L59" s="68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</row>
    <row r="60" spans="1:828" s="10" customFormat="1" ht="19" x14ac:dyDescent="0.2">
      <c r="A60" s="29" t="s">
        <v>130</v>
      </c>
      <c r="B60" s="76">
        <f>SUM(D60:D62)/D74</f>
        <v>0.32564097086487992</v>
      </c>
      <c r="C60" s="54" t="s">
        <v>122</v>
      </c>
      <c r="D60" s="52">
        <v>72261</v>
      </c>
      <c r="E60" s="92">
        <f>SUM(G60:G61)/D74</f>
        <v>3.1318533433098796E-2</v>
      </c>
      <c r="F60" s="51" t="s">
        <v>120</v>
      </c>
      <c r="G60" s="52">
        <v>460506</v>
      </c>
      <c r="H60" s="70">
        <f>SUM(J60:J64)/J74</f>
        <v>0.21928844170629078</v>
      </c>
      <c r="I60" s="51" t="s">
        <v>99</v>
      </c>
      <c r="J60" s="52">
        <v>8225925</v>
      </c>
      <c r="K60" s="70">
        <f>SUM(M60:M61)/J74</f>
        <v>2.9277299907136123E-2</v>
      </c>
      <c r="L60" s="51" t="s">
        <v>138</v>
      </c>
      <c r="M60" s="52">
        <v>625678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</row>
    <row r="61" spans="1:828" s="10" customFormat="1" ht="18" x14ac:dyDescent="0.2">
      <c r="A61" s="29"/>
      <c r="B61" s="76"/>
      <c r="C61" s="51" t="s">
        <v>34</v>
      </c>
      <c r="D61" s="52">
        <v>191924</v>
      </c>
      <c r="E61" s="51"/>
      <c r="F61" s="51" t="s">
        <v>123</v>
      </c>
      <c r="G61" s="52">
        <v>227066</v>
      </c>
      <c r="H61" s="53"/>
      <c r="I61" s="51" t="s">
        <v>20</v>
      </c>
      <c r="J61" s="52"/>
      <c r="K61" s="53"/>
      <c r="L61" s="51" t="s">
        <v>137</v>
      </c>
      <c r="M61" s="52">
        <v>472569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</row>
    <row r="62" spans="1:828" s="10" customFormat="1" ht="18" x14ac:dyDescent="0.2">
      <c r="A62" s="29"/>
      <c r="B62" s="76"/>
      <c r="C62" s="51" t="s">
        <v>119</v>
      </c>
      <c r="D62" s="52">
        <v>6884988</v>
      </c>
      <c r="E62" s="51"/>
      <c r="F62" s="51"/>
      <c r="G62" s="51"/>
      <c r="H62" s="53"/>
      <c r="I62" s="51" t="s">
        <v>21</v>
      </c>
      <c r="J62" s="52"/>
      <c r="K62" s="53"/>
      <c r="L62" s="51"/>
      <c r="M62" s="5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</row>
    <row r="63" spans="1:828" s="10" customFormat="1" ht="18" x14ac:dyDescent="0.2">
      <c r="A63" s="29"/>
      <c r="D63" s="52"/>
      <c r="E63" s="51"/>
      <c r="F63" s="51"/>
      <c r="G63" s="51"/>
      <c r="H63" s="53"/>
      <c r="I63" s="51" t="s">
        <v>23</v>
      </c>
      <c r="J63" s="52"/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</row>
    <row r="64" spans="1:828" s="10" customFormat="1" ht="18" x14ac:dyDescent="0.2">
      <c r="A64" s="29"/>
      <c r="D64" s="52"/>
      <c r="E64" s="51"/>
      <c r="F64" s="51"/>
      <c r="G64" s="51"/>
      <c r="H64" s="53"/>
      <c r="I64" s="51" t="s">
        <v>104</v>
      </c>
      <c r="J64" s="52"/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</row>
    <row r="65" spans="1:828" s="12" customFormat="1" ht="19" thickBot="1" x14ac:dyDescent="0.25">
      <c r="A65" s="30"/>
      <c r="B65" s="10"/>
      <c r="D65" s="69"/>
      <c r="E65" s="68"/>
      <c r="F65" s="68"/>
      <c r="G65" s="68"/>
      <c r="H65" s="67"/>
      <c r="I65" s="68"/>
      <c r="J65" s="69"/>
      <c r="K65" s="67"/>
      <c r="L65" s="68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</row>
    <row r="66" spans="1:828" s="10" customFormat="1" ht="19" x14ac:dyDescent="0.2">
      <c r="A66" s="26" t="s">
        <v>1</v>
      </c>
      <c r="B66" s="48">
        <f t="shared" si="0"/>
        <v>9.1504310550389167E-3</v>
      </c>
      <c r="C66" s="51" t="s">
        <v>36</v>
      </c>
      <c r="D66" s="52">
        <v>200890</v>
      </c>
      <c r="E66" s="92">
        <f>G66/D74</f>
        <v>4.3955229071195945E-4</v>
      </c>
      <c r="F66" s="51" t="s">
        <v>132</v>
      </c>
      <c r="G66" s="52">
        <v>9650</v>
      </c>
      <c r="H66" s="70">
        <f>SUM(J66:J67)/J74</f>
        <v>1.4682542697456366E-3</v>
      </c>
      <c r="I66" s="51" t="s">
        <v>106</v>
      </c>
      <c r="J66" s="52">
        <v>55077</v>
      </c>
      <c r="K66" s="70">
        <f>M66/J74</f>
        <v>6.9977803040875437E-4</v>
      </c>
      <c r="L66" s="51" t="s">
        <v>141</v>
      </c>
      <c r="M66" s="52">
        <v>26250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</row>
    <row r="67" spans="1:828" s="10" customFormat="1" ht="18" x14ac:dyDescent="0.2">
      <c r="A67" s="31"/>
      <c r="B67" s="53"/>
      <c r="D67" s="52"/>
      <c r="E67" s="51"/>
      <c r="F67" s="51"/>
      <c r="G67" s="51"/>
      <c r="H67" s="53"/>
      <c r="I67" s="51" t="s">
        <v>105</v>
      </c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</row>
    <row r="68" spans="1:828" s="10" customFormat="1" ht="18" x14ac:dyDescent="0.2">
      <c r="A68" s="31"/>
      <c r="B68" s="53"/>
      <c r="C68" s="51"/>
      <c r="D68" s="52"/>
      <c r="E68" s="51"/>
      <c r="F68" s="51"/>
      <c r="G68" s="51"/>
      <c r="H68" s="53"/>
      <c r="I68" s="51"/>
      <c r="J68" s="52"/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</row>
    <row r="69" spans="1:828" s="10" customFormat="1" ht="18" x14ac:dyDescent="0.2">
      <c r="A69" s="31"/>
      <c r="B69" s="53"/>
      <c r="C69" s="51"/>
      <c r="D69" s="52"/>
      <c r="E69" s="51"/>
      <c r="F69" s="51"/>
      <c r="G69" s="51"/>
      <c r="H69" s="53"/>
      <c r="I69" s="51"/>
      <c r="J69" s="52"/>
      <c r="K69" s="53"/>
      <c r="L69" s="51"/>
      <c r="M69" s="52"/>
      <c r="N69" s="1"/>
      <c r="O69" s="1"/>
      <c r="P69"/>
      <c r="Q69"/>
      <c r="R69"/>
      <c r="S69"/>
      <c r="T69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</row>
    <row r="70" spans="1:828" s="10" customFormat="1" ht="19" thickBot="1" x14ac:dyDescent="0.25">
      <c r="A70" s="32"/>
      <c r="B70" s="58"/>
      <c r="C70" s="59"/>
      <c r="D70" s="60"/>
      <c r="E70" s="59"/>
      <c r="F70" s="59"/>
      <c r="G70" s="59"/>
      <c r="H70" s="58"/>
      <c r="I70" s="59"/>
      <c r="J70" s="60"/>
      <c r="K70" s="58"/>
      <c r="L70" s="59"/>
      <c r="M70" s="60"/>
      <c r="N70" s="1"/>
      <c r="O70" s="1"/>
      <c r="P70"/>
      <c r="Q70"/>
      <c r="R70"/>
      <c r="S70"/>
      <c r="T7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</row>
    <row r="71" spans="1:828" s="19" customFormat="1" ht="18" x14ac:dyDescent="0.2">
      <c r="A71" s="33" t="s">
        <v>9</v>
      </c>
      <c r="B71" s="71"/>
      <c r="C71" s="72"/>
      <c r="D71" s="73">
        <f>SUM(D5:D66)</f>
        <v>16834569</v>
      </c>
      <c r="E71" s="72"/>
      <c r="F71" s="72"/>
      <c r="G71" s="72">
        <f>SUM(G34:G66)</f>
        <v>5119588</v>
      </c>
      <c r="H71" s="71"/>
      <c r="I71" s="72"/>
      <c r="J71" s="73">
        <f>SUM(J2:J67)</f>
        <v>29728304</v>
      </c>
      <c r="K71" s="71"/>
      <c r="L71" s="72"/>
      <c r="M71" s="73">
        <f>SUM(M2:M67)</f>
        <v>7783591</v>
      </c>
      <c r="N71" s="1"/>
      <c r="O71" s="1"/>
      <c r="P71"/>
      <c r="Q71"/>
      <c r="R71"/>
      <c r="S71"/>
      <c r="T7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</row>
    <row r="72" spans="1:828" ht="16" x14ac:dyDescent="0.2">
      <c r="D72" s="74"/>
      <c r="E72" s="89"/>
      <c r="F72" s="89"/>
      <c r="G72" s="89"/>
      <c r="K72" s="10"/>
      <c r="L72" s="10"/>
      <c r="M72" s="52"/>
    </row>
    <row r="73" spans="1:828" ht="16" x14ac:dyDescent="0.2">
      <c r="K73" s="10"/>
      <c r="L73" s="10"/>
      <c r="M73" s="52"/>
    </row>
    <row r="74" spans="1:828" ht="16" x14ac:dyDescent="0.2">
      <c r="D74" s="18">
        <f>D71+G71</f>
        <v>21954157</v>
      </c>
      <c r="J74" s="18">
        <f>J71+M71</f>
        <v>37511895</v>
      </c>
      <c r="K74" s="10"/>
      <c r="L74" s="10"/>
      <c r="M74" s="52"/>
    </row>
    <row r="75" spans="1:828" ht="16" x14ac:dyDescent="0.2">
      <c r="D75" s="74">
        <f>D71/D74</f>
        <v>0.76680553026927889</v>
      </c>
      <c r="K75" s="10"/>
      <c r="L75" s="10"/>
      <c r="M75" s="52"/>
    </row>
    <row r="76" spans="1:828" x14ac:dyDescent="0.2">
      <c r="J76" s="74">
        <f>J71/J74</f>
        <v>0.79250339125762637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draft</vt:lpstr>
      <vt:lpstr>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2025-09-01T00:30:27Z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