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g.nh\Desktop\AL TUBE DRAWING\Cải tiến\"/>
    </mc:Choice>
  </mc:AlternateContent>
  <xr:revisionPtr revIDLastSave="0" documentId="13_ncr:1_{C48D751C-42E1-4A7F-A546-4B47598141C6}" xr6:coauthVersionLast="47" xr6:coauthVersionMax="47" xr10:uidLastSave="{00000000-0000-0000-0000-000000000000}"/>
  <bookViews>
    <workbookView xWindow="-110" yWindow="-110" windowWidth="19420" windowHeight="10300" firstSheet="3" activeTab="8" xr2:uid="{FD0B9AF0-3575-4C9F-8B78-F0B5BBD39D09}"/>
  </bookViews>
  <sheets>
    <sheet name="改善かんばん" sheetId="4" state="hidden" r:id="rId1"/>
    <sheet name="Unit Price" sheetId="1" state="hidden" r:id="rId2"/>
    <sheet name="改善かんばん(english ver)" sheetId="6" r:id="rId3"/>
    <sheet name="Trend" sheetId="12" r:id="rId4"/>
    <sheet name="Time line of Heating Case " sheetId="13" r:id="rId5"/>
    <sheet name="Data" sheetId="11" r:id="rId6"/>
    <sheet name="2024 Plan" sheetId="10" r:id="rId7"/>
    <sheet name="2024 Plan New" sheetId="14" r:id="rId8"/>
    <sheet name="Sheet1" sheetId="15" r:id="rId9"/>
    <sheet name="Detail" sheetId="2" state="hidden" r:id="rId10"/>
    <sheet name="General" sheetId="3" state="hidden" r:id="rId11"/>
  </sheets>
  <externalReferences>
    <externalReference r:id="rId12"/>
    <externalReference r:id="rId13"/>
    <externalReference r:id="rId14"/>
  </externalReferences>
  <definedNames>
    <definedName name="_2__123Graph_Aｸﾞﾗﾌ_3" localSheetId="5" hidden="1">[1]全体!#REF!</definedName>
    <definedName name="_2__123Graph_Aｸﾞﾗﾌ_3" localSheetId="0" hidden="1">[1]全体!#REF!</definedName>
    <definedName name="_2__123Graph_Aｸﾞﾗﾌ_3" localSheetId="2" hidden="1">[1]全体!#REF!</definedName>
    <definedName name="_2__123Graph_Aｸﾞﾗﾌ_3" hidden="1">[1]全体!#REF!</definedName>
    <definedName name="_4__123Graph_Aｸﾞﾗﾌ_4" localSheetId="0" hidden="1">[1]全体!#REF!</definedName>
    <definedName name="_4__123Graph_Aｸﾞﾗﾌ_4" localSheetId="2" hidden="1">[1]全体!#REF!</definedName>
    <definedName name="_4__123Graph_Aｸﾞﾗﾌ_4" hidden="1">[1]全体!#REF!</definedName>
    <definedName name="_xlnm._FilterDatabase" localSheetId="9" hidden="1">Detail!$A$2:$AF$235</definedName>
    <definedName name="_xlnm._FilterDatabase" localSheetId="0" hidden="1">改善かんばん!$B$61:$J$62</definedName>
    <definedName name="_xlnm._FilterDatabase" localSheetId="2" hidden="1">'改善かんばん(english ver)'!$B$89:$J$90</definedName>
    <definedName name="_Key1" localSheetId="5" hidden="1">[2]実績記入用紙!#REF!</definedName>
    <definedName name="_Key1" localSheetId="0" hidden="1">[2]実績記入用紙!#REF!</definedName>
    <definedName name="_Key1" localSheetId="2" hidden="1">[2]実績記入用紙!#REF!</definedName>
    <definedName name="_Key1" hidden="1">[2]実績記入用紙!#REF!</definedName>
    <definedName name="_Key2" localSheetId="0" hidden="1">[2]実績記入用紙!#REF!</definedName>
    <definedName name="_Key2" localSheetId="2" hidden="1">[2]実績記入用紙!#REF!</definedName>
    <definedName name="_Key2" hidden="1">[2]実績記入用紙!#REF!</definedName>
    <definedName name="_Order1" hidden="1">255</definedName>
    <definedName name="_Order2" hidden="1">255</definedName>
    <definedName name="_Sort" localSheetId="0" hidden="1">[2]実績記入用紙!#REF!</definedName>
    <definedName name="_Sort" localSheetId="2" hidden="1">[2]実績記入用紙!#REF!</definedName>
    <definedName name="_Sort" hidden="1">[2]実績記入用紙!#REF!</definedName>
    <definedName name="eng" localSheetId="2" hidden="1">[1]全体!#REF!</definedName>
    <definedName name="eng" hidden="1">[1]全体!#REF!</definedName>
    <definedName name="enga" localSheetId="2" hidden="1">[1]全体!#REF!</definedName>
    <definedName name="enga" hidden="1">[1]全体!#REF!</definedName>
    <definedName name="engb" localSheetId="2" hidden="1">[2]実績記入用紙!#REF!</definedName>
    <definedName name="engb" hidden="1">[2]実績記入用紙!#REF!</definedName>
    <definedName name="engc" localSheetId="2" hidden="1">[2]実績記入用紙!#REF!</definedName>
    <definedName name="engc" hidden="1">[2]実績記入用紙!#REF!</definedName>
    <definedName name="enge" localSheetId="2" hidden="1">[2]実績記入用紙!#REF!</definedName>
    <definedName name="enge" hidden="1">[2]実績記入用紙!#REF!</definedName>
    <definedName name="engf" localSheetId="2">#REF!</definedName>
    <definedName name="engf">#REF!</definedName>
    <definedName name="_xlnm.Print_Area" localSheetId="0">改善かんばん!$A$1:$S$63</definedName>
    <definedName name="_xlnm.Print_Area" localSheetId="2">'改善かんばん(english ver)'!$A$1:$S$91</definedName>
    <definedName name="賃率一覧" localSheetId="0">#REF!</definedName>
    <definedName name="賃率一覧" localSheetId="2">#REF!</definedName>
    <definedName name="賃率一覧">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5" i="11" l="1"/>
  <c r="AA14" i="11"/>
  <c r="AA13" i="11"/>
  <c r="AA12" i="11"/>
  <c r="AA11" i="11"/>
  <c r="AA10" i="11"/>
  <c r="AA9" i="11"/>
  <c r="AA8" i="11"/>
  <c r="AA7" i="11"/>
  <c r="AA6" i="11"/>
  <c r="N6" i="14" l="1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O3" i="14"/>
  <c r="W15" i="11"/>
  <c r="W14" i="11"/>
  <c r="W13" i="11"/>
  <c r="W12" i="11"/>
  <c r="W11" i="11"/>
  <c r="W10" i="11"/>
  <c r="W9" i="11"/>
  <c r="W8" i="11"/>
  <c r="W7" i="11"/>
  <c r="W6" i="11"/>
  <c r="D7" i="14" l="1"/>
  <c r="M7" i="14"/>
  <c r="F7" i="14"/>
  <c r="G7" i="14"/>
  <c r="K7" i="14"/>
  <c r="L7" i="14"/>
  <c r="L15" i="11"/>
  <c r="I15" i="11"/>
  <c r="J15" i="11" s="1"/>
  <c r="F15" i="11"/>
  <c r="G15" i="11" s="1"/>
  <c r="D15" i="11"/>
  <c r="L14" i="11"/>
  <c r="M14" i="11" s="1"/>
  <c r="I14" i="11"/>
  <c r="J14" i="11" s="1"/>
  <c r="F14" i="11"/>
  <c r="G14" i="11" s="1"/>
  <c r="D14" i="11"/>
  <c r="L13" i="11"/>
  <c r="M13" i="11" s="1"/>
  <c r="I13" i="11"/>
  <c r="J13" i="11" s="1"/>
  <c r="F13" i="11"/>
  <c r="G13" i="11" s="1"/>
  <c r="D13" i="11"/>
  <c r="L12" i="11"/>
  <c r="M12" i="11" s="1"/>
  <c r="I12" i="11"/>
  <c r="J12" i="11" s="1"/>
  <c r="F12" i="11"/>
  <c r="G12" i="11" s="1"/>
  <c r="O12" i="11" s="1"/>
  <c r="D12" i="11"/>
  <c r="L11" i="11"/>
  <c r="I11" i="11"/>
  <c r="J11" i="11" s="1"/>
  <c r="F11" i="11"/>
  <c r="G11" i="11" s="1"/>
  <c r="D11" i="11"/>
  <c r="L10" i="11"/>
  <c r="I10" i="11"/>
  <c r="J10" i="11" s="1"/>
  <c r="F10" i="11"/>
  <c r="G10" i="11" s="1"/>
  <c r="L9" i="11"/>
  <c r="I9" i="11"/>
  <c r="J9" i="11" s="1"/>
  <c r="F9" i="11"/>
  <c r="G9" i="11" s="1"/>
  <c r="L8" i="11"/>
  <c r="I8" i="11"/>
  <c r="J8" i="11" s="1"/>
  <c r="F8" i="11"/>
  <c r="G8" i="11" s="1"/>
  <c r="L7" i="11"/>
  <c r="M7" i="11" s="1"/>
  <c r="I7" i="11"/>
  <c r="J7" i="11" s="1"/>
  <c r="F7" i="11"/>
  <c r="G7" i="11" s="1"/>
  <c r="L6" i="11"/>
  <c r="M6" i="11" s="1"/>
  <c r="I6" i="11"/>
  <c r="J6" i="11" s="1"/>
  <c r="F6" i="11"/>
  <c r="G6" i="11" s="1"/>
  <c r="O6" i="11" s="1"/>
  <c r="O13" i="11" l="1"/>
  <c r="O7" i="11"/>
  <c r="O11" i="11"/>
  <c r="O14" i="11"/>
  <c r="E7" i="14"/>
  <c r="J7" i="14"/>
  <c r="O6" i="14"/>
  <c r="I7" i="14"/>
  <c r="H7" i="14"/>
  <c r="C7" i="14"/>
  <c r="O5" i="14"/>
  <c r="N7" i="14"/>
  <c r="N7" i="11"/>
  <c r="N12" i="11"/>
  <c r="N13" i="11"/>
  <c r="N15" i="11"/>
  <c r="N11" i="11"/>
  <c r="N14" i="11"/>
  <c r="N9" i="11"/>
  <c r="N6" i="11"/>
  <c r="N8" i="11"/>
  <c r="N10" i="11"/>
  <c r="M15" i="11"/>
  <c r="O15" i="11" s="1"/>
  <c r="M10" i="11"/>
  <c r="O10" i="11" s="1"/>
  <c r="M11" i="11"/>
  <c r="M9" i="11"/>
  <c r="O9" i="11" s="1"/>
  <c r="M8" i="11"/>
  <c r="O8" i="11" s="1"/>
  <c r="O3" i="10"/>
  <c r="Z9" i="11" l="1"/>
  <c r="Z14" i="11"/>
  <c r="Z13" i="11"/>
  <c r="Z12" i="11"/>
  <c r="Z11" i="11"/>
  <c r="Z15" i="11"/>
  <c r="Z8" i="11"/>
  <c r="Z10" i="11"/>
  <c r="Z7" i="11"/>
  <c r="Z6" i="11"/>
  <c r="O7" i="14"/>
  <c r="Y11" i="11"/>
  <c r="Y10" i="11"/>
  <c r="Y7" i="11"/>
  <c r="Y6" i="11"/>
  <c r="Y12" i="11"/>
  <c r="Y15" i="11"/>
  <c r="Y9" i="11"/>
  <c r="Y14" i="11"/>
  <c r="Y8" i="11"/>
  <c r="Y13" i="11"/>
  <c r="E4" i="14" l="1" a="1"/>
  <c r="E4" i="14" s="1"/>
  <c r="C4" i="14" a="1"/>
  <c r="C4" i="14" s="1"/>
  <c r="G4" i="14" a="1"/>
  <c r="G4" i="14" s="1"/>
  <c r="F4" i="14" a="1"/>
  <c r="F4" i="14" s="1"/>
  <c r="J4" i="14" a="1"/>
  <c r="J4" i="14" s="1"/>
  <c r="I4" i="14" a="1"/>
  <c r="I4" i="14" s="1"/>
  <c r="M4" i="14" a="1"/>
  <c r="M4" i="14" s="1"/>
  <c r="K4" i="14" a="1"/>
  <c r="K4" i="14" s="1"/>
  <c r="N4" i="10" a="1"/>
  <c r="N4" i="10" s="1"/>
  <c r="N6" i="10" s="1"/>
  <c r="N4" i="14" a="1"/>
  <c r="N4" i="14" s="1"/>
  <c r="H4" i="14" a="1"/>
  <c r="H4" i="14" s="1"/>
  <c r="D4" i="14" a="1"/>
  <c r="D4" i="14" s="1"/>
  <c r="L4" i="14" a="1"/>
  <c r="L4" i="14" s="1"/>
  <c r="C4" i="10" a="1"/>
  <c r="C4" i="10" s="1"/>
  <c r="E4" i="10" a="1"/>
  <c r="E4" i="10" s="1"/>
  <c r="F4" i="10" a="1"/>
  <c r="F4" i="10" s="1"/>
  <c r="G4" i="10" a="1"/>
  <c r="G4" i="10" s="1"/>
  <c r="J4" i="10" a="1"/>
  <c r="J4" i="10" s="1"/>
  <c r="M4" i="10" a="1"/>
  <c r="M4" i="10" s="1"/>
  <c r="K4" i="10" a="1"/>
  <c r="K4" i="10" s="1"/>
  <c r="I4" i="10" a="1"/>
  <c r="I4" i="10" s="1"/>
  <c r="D4" i="10" a="1"/>
  <c r="D4" i="10" s="1"/>
  <c r="L4" i="10" a="1"/>
  <c r="L4" i="10" s="1"/>
  <c r="H4" i="10" a="1"/>
  <c r="H4" i="10" s="1"/>
  <c r="C94" i="6"/>
  <c r="F3" i="6"/>
  <c r="N5" i="10" l="1"/>
  <c r="N7" i="10" s="1"/>
  <c r="O4" i="14"/>
  <c r="H6" i="10"/>
  <c r="H5" i="10"/>
  <c r="D6" i="10"/>
  <c r="D5" i="10"/>
  <c r="C6" i="10"/>
  <c r="C5" i="10"/>
  <c r="I6" i="10"/>
  <c r="I5" i="10"/>
  <c r="K6" i="10"/>
  <c r="K5" i="10"/>
  <c r="M6" i="10"/>
  <c r="M5" i="10"/>
  <c r="O4" i="10"/>
  <c r="J5" i="10"/>
  <c r="J6" i="10"/>
  <c r="G5" i="10"/>
  <c r="G6" i="10"/>
  <c r="F6" i="10"/>
  <c r="F5" i="10"/>
  <c r="L6" i="10"/>
  <c r="L5" i="10"/>
  <c r="E5" i="10"/>
  <c r="E6" i="10"/>
  <c r="N6" i="3"/>
  <c r="N5" i="3"/>
  <c r="N4" i="3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6" i="3"/>
  <c r="J4" i="3"/>
  <c r="C7" i="10" l="1"/>
  <c r="H7" i="10"/>
  <c r="K7" i="10"/>
  <c r="L7" i="10"/>
  <c r="I7" i="10"/>
  <c r="D7" i="10"/>
  <c r="M7" i="10"/>
  <c r="F7" i="10"/>
  <c r="G7" i="10"/>
  <c r="O5" i="10"/>
  <c r="O6" i="10"/>
  <c r="E7" i="10"/>
  <c r="J7" i="10"/>
  <c r="J5" i="3"/>
  <c r="C66" i="4" l="1"/>
  <c r="O54" i="4"/>
  <c r="M54" i="4"/>
  <c r="F3" i="4"/>
  <c r="P54" i="4" l="1"/>
  <c r="J54" i="4" s="1"/>
  <c r="AC235" i="2" l="1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AC3" i="2"/>
  <c r="AA3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2" i="2"/>
  <c r="L221" i="2"/>
  <c r="L220" i="2"/>
  <c r="L219" i="2"/>
  <c r="L218" i="2"/>
  <c r="L217" i="2"/>
  <c r="L213" i="2"/>
  <c r="L212" i="2"/>
  <c r="L211" i="2"/>
  <c r="L210" i="2"/>
  <c r="L209" i="2"/>
  <c r="L208" i="2"/>
  <c r="L206" i="2"/>
  <c r="L205" i="2"/>
  <c r="L204" i="2"/>
  <c r="L203" i="2"/>
  <c r="L202" i="2"/>
  <c r="L201" i="2"/>
  <c r="L200" i="2"/>
  <c r="L197" i="2"/>
  <c r="L196" i="2"/>
  <c r="L195" i="2"/>
  <c r="L194" i="2"/>
  <c r="L193" i="2"/>
  <c r="L190" i="2"/>
  <c r="L189" i="2"/>
  <c r="L188" i="2"/>
  <c r="L187" i="2"/>
  <c r="L186" i="2"/>
  <c r="L185" i="2"/>
  <c r="L184" i="2"/>
  <c r="L182" i="2"/>
  <c r="L181" i="2"/>
  <c r="L180" i="2"/>
  <c r="L179" i="2"/>
  <c r="L178" i="2"/>
  <c r="L176" i="2"/>
  <c r="L174" i="2"/>
  <c r="L173" i="2"/>
  <c r="L172" i="2"/>
  <c r="L171" i="2"/>
  <c r="L170" i="2"/>
  <c r="L169" i="2"/>
  <c r="L167" i="2"/>
  <c r="L166" i="2"/>
  <c r="L165" i="2"/>
  <c r="L164" i="2"/>
  <c r="L163" i="2"/>
  <c r="L162" i="2"/>
  <c r="L161" i="2"/>
  <c r="L160" i="2"/>
  <c r="L158" i="2"/>
  <c r="L157" i="2"/>
  <c r="L156" i="2"/>
  <c r="L155" i="2"/>
  <c r="L154" i="2"/>
  <c r="L153" i="2"/>
  <c r="L152" i="2"/>
  <c r="L150" i="2"/>
  <c r="L149" i="2"/>
  <c r="L148" i="2"/>
  <c r="L147" i="2"/>
  <c r="L146" i="2"/>
  <c r="L145" i="2"/>
  <c r="L144" i="2"/>
  <c r="L141" i="2"/>
  <c r="L140" i="2"/>
  <c r="L139" i="2"/>
  <c r="L138" i="2"/>
  <c r="L137" i="2"/>
  <c r="L136" i="2"/>
  <c r="L134" i="2"/>
  <c r="L133" i="2"/>
  <c r="L132" i="2"/>
  <c r="L131" i="2"/>
  <c r="L130" i="2"/>
  <c r="L129" i="2"/>
  <c r="L128" i="2"/>
  <c r="L126" i="2"/>
  <c r="L125" i="2"/>
  <c r="L124" i="2"/>
  <c r="L123" i="2"/>
  <c r="L122" i="2"/>
  <c r="L121" i="2"/>
  <c r="L120" i="2"/>
  <c r="L117" i="2"/>
  <c r="L116" i="2"/>
  <c r="L114" i="2"/>
  <c r="L113" i="2"/>
  <c r="L112" i="2"/>
  <c r="L108" i="2"/>
  <c r="L107" i="2"/>
  <c r="L106" i="2"/>
  <c r="L103" i="2"/>
  <c r="L102" i="2"/>
  <c r="L101" i="2"/>
  <c r="L100" i="2"/>
  <c r="L99" i="2"/>
  <c r="L98" i="2"/>
  <c r="L97" i="2"/>
  <c r="L96" i="2"/>
  <c r="L94" i="2"/>
  <c r="L93" i="2"/>
  <c r="L92" i="2"/>
  <c r="L91" i="2"/>
  <c r="L90" i="2"/>
  <c r="L89" i="2"/>
  <c r="L88" i="2"/>
  <c r="L85" i="2"/>
  <c r="L84" i="2"/>
  <c r="L83" i="2"/>
  <c r="L82" i="2"/>
  <c r="L81" i="2"/>
  <c r="L80" i="2"/>
  <c r="L78" i="2"/>
  <c r="L77" i="2"/>
  <c r="L76" i="2"/>
  <c r="L75" i="2"/>
  <c r="L74" i="2"/>
  <c r="L73" i="2"/>
  <c r="L69" i="2"/>
  <c r="L68" i="2"/>
  <c r="L67" i="2"/>
  <c r="L66" i="2"/>
  <c r="L65" i="2"/>
  <c r="L64" i="2"/>
  <c r="L62" i="2"/>
  <c r="L61" i="2"/>
  <c r="L60" i="2"/>
  <c r="L59" i="2"/>
  <c r="L58" i="2"/>
  <c r="L57" i="2"/>
  <c r="L56" i="2"/>
  <c r="L54" i="2"/>
  <c r="L53" i="2"/>
  <c r="L52" i="2"/>
  <c r="L51" i="2"/>
  <c r="L50" i="2"/>
  <c r="L48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0" i="2"/>
  <c r="L29" i="2"/>
  <c r="L28" i="2"/>
  <c r="L27" i="2"/>
  <c r="L26" i="2"/>
  <c r="L25" i="2"/>
  <c r="L24" i="2"/>
  <c r="L22" i="2"/>
  <c r="L21" i="2"/>
  <c r="L20" i="2"/>
  <c r="L19" i="2"/>
  <c r="L18" i="2"/>
  <c r="L17" i="2"/>
  <c r="L16" i="2"/>
  <c r="L13" i="2"/>
  <c r="L12" i="2"/>
  <c r="L11" i="2"/>
  <c r="L10" i="2"/>
  <c r="L9" i="2"/>
  <c r="L8" i="2"/>
  <c r="L6" i="2"/>
  <c r="L5" i="2"/>
  <c r="L4" i="2"/>
  <c r="L3" i="2"/>
  <c r="AB3" i="2"/>
  <c r="Z3" i="2"/>
  <c r="Y3" i="2"/>
  <c r="X3" i="2"/>
  <c r="W3" i="2"/>
  <c r="V3" i="2"/>
  <c r="U3" i="2"/>
  <c r="T3" i="2"/>
  <c r="S3" i="2"/>
  <c r="R3" i="2"/>
  <c r="Q3" i="2"/>
  <c r="P3" i="2"/>
  <c r="O3" i="2"/>
  <c r="N3" i="2"/>
  <c r="L223" i="2"/>
  <c r="L216" i="2"/>
  <c r="L215" i="2"/>
  <c r="L214" i="2"/>
  <c r="L207" i="2"/>
  <c r="L199" i="2"/>
  <c r="L198" i="2"/>
  <c r="L192" i="2"/>
  <c r="L191" i="2"/>
  <c r="L183" i="2"/>
  <c r="L177" i="2"/>
  <c r="L175" i="2"/>
  <c r="L168" i="2"/>
  <c r="L159" i="2"/>
  <c r="L151" i="2"/>
  <c r="L143" i="2"/>
  <c r="L142" i="2"/>
  <c r="L135" i="2"/>
  <c r="L127" i="2"/>
  <c r="L119" i="2"/>
  <c r="L118" i="2"/>
  <c r="L115" i="2"/>
  <c r="L111" i="2"/>
  <c r="L110" i="2"/>
  <c r="L109" i="2"/>
  <c r="L105" i="2"/>
  <c r="L104" i="2"/>
  <c r="L95" i="2"/>
  <c r="L87" i="2"/>
  <c r="L86" i="2"/>
  <c r="L79" i="2"/>
  <c r="L72" i="2"/>
  <c r="L71" i="2"/>
  <c r="L70" i="2"/>
  <c r="L63" i="2"/>
  <c r="L55" i="2"/>
  <c r="L49" i="2"/>
  <c r="L47" i="2"/>
  <c r="L31" i="2"/>
  <c r="L23" i="2"/>
  <c r="L15" i="2"/>
  <c r="L14" i="2"/>
  <c r="L7" i="2"/>
  <c r="D5" i="3" l="1"/>
  <c r="D6" i="3"/>
  <c r="D4" i="3"/>
  <c r="AE4" i="2"/>
  <c r="AF4" i="2" s="1"/>
  <c r="AE5" i="2"/>
  <c r="AF5" i="2" s="1"/>
  <c r="AE6" i="2"/>
  <c r="AF6" i="2" s="1"/>
  <c r="AE7" i="2"/>
  <c r="AF7" i="2" s="1"/>
  <c r="AE8" i="2"/>
  <c r="AF8" i="2" s="1"/>
  <c r="AE9" i="2"/>
  <c r="AF9" i="2" s="1"/>
  <c r="AE10" i="2"/>
  <c r="AF10" i="2" s="1"/>
  <c r="AE11" i="2"/>
  <c r="AF11" i="2" s="1"/>
  <c r="AE12" i="2"/>
  <c r="AF12" i="2" s="1"/>
  <c r="AE13" i="2"/>
  <c r="AF13" i="2" s="1"/>
  <c r="AE14" i="2"/>
  <c r="AF14" i="2" s="1"/>
  <c r="AE15" i="2"/>
  <c r="AF15" i="2" s="1"/>
  <c r="AE16" i="2"/>
  <c r="AF16" i="2" s="1"/>
  <c r="AE17" i="2"/>
  <c r="AF17" i="2" s="1"/>
  <c r="AE18" i="2"/>
  <c r="AF18" i="2" s="1"/>
  <c r="AE19" i="2"/>
  <c r="AF19" i="2" s="1"/>
  <c r="AE20" i="2"/>
  <c r="AF20" i="2" s="1"/>
  <c r="AE21" i="2"/>
  <c r="AF21" i="2" s="1"/>
  <c r="AE22" i="2"/>
  <c r="AF22" i="2" s="1"/>
  <c r="AE23" i="2"/>
  <c r="AF23" i="2" s="1"/>
  <c r="AE24" i="2"/>
  <c r="AF24" i="2" s="1"/>
  <c r="AE25" i="2"/>
  <c r="AF25" i="2" s="1"/>
  <c r="AE26" i="2"/>
  <c r="AF26" i="2" s="1"/>
  <c r="AE27" i="2"/>
  <c r="AF27" i="2" s="1"/>
  <c r="AE28" i="2"/>
  <c r="AF28" i="2" s="1"/>
  <c r="AE29" i="2"/>
  <c r="AE30" i="2"/>
  <c r="AF30" i="2" s="1"/>
  <c r="AE31" i="2"/>
  <c r="AE32" i="2"/>
  <c r="AF32" i="2" s="1"/>
  <c r="AE33" i="2"/>
  <c r="AF33" i="2" s="1"/>
  <c r="AE34" i="2"/>
  <c r="AF34" i="2" s="1"/>
  <c r="AE35" i="2"/>
  <c r="AF35" i="2" s="1"/>
  <c r="AE36" i="2"/>
  <c r="AF36" i="2" s="1"/>
  <c r="AE37" i="2"/>
  <c r="AF37" i="2" s="1"/>
  <c r="AE38" i="2"/>
  <c r="AF38" i="2" s="1"/>
  <c r="AE39" i="2"/>
  <c r="AF39" i="2" s="1"/>
  <c r="AE40" i="2"/>
  <c r="AF40" i="2" s="1"/>
  <c r="AE41" i="2"/>
  <c r="AF41" i="2" s="1"/>
  <c r="AE42" i="2"/>
  <c r="AF42" i="2" s="1"/>
  <c r="AE43" i="2"/>
  <c r="AF43" i="2" s="1"/>
  <c r="AE44" i="2"/>
  <c r="AF44" i="2" s="1"/>
  <c r="AE45" i="2"/>
  <c r="AF45" i="2" s="1"/>
  <c r="AE46" i="2"/>
  <c r="AF46" i="2" s="1"/>
  <c r="AE47" i="2"/>
  <c r="AF47" i="2" s="1"/>
  <c r="AE48" i="2"/>
  <c r="AF48" i="2" s="1"/>
  <c r="AE49" i="2"/>
  <c r="AF49" i="2" s="1"/>
  <c r="AE50" i="2"/>
  <c r="AF50" i="2" s="1"/>
  <c r="AE51" i="2"/>
  <c r="AF51" i="2" s="1"/>
  <c r="AE52" i="2"/>
  <c r="AF52" i="2" s="1"/>
  <c r="AE53" i="2"/>
  <c r="AF53" i="2" s="1"/>
  <c r="AE54" i="2"/>
  <c r="AF54" i="2" s="1"/>
  <c r="AE55" i="2"/>
  <c r="AF55" i="2" s="1"/>
  <c r="AE56" i="2"/>
  <c r="AF56" i="2" s="1"/>
  <c r="AE57" i="2"/>
  <c r="AF57" i="2" s="1"/>
  <c r="AE58" i="2"/>
  <c r="AF58" i="2" s="1"/>
  <c r="AE59" i="2"/>
  <c r="AF59" i="2" s="1"/>
  <c r="AE60" i="2"/>
  <c r="AF60" i="2" s="1"/>
  <c r="AE61" i="2"/>
  <c r="AF61" i="2" s="1"/>
  <c r="AE62" i="2"/>
  <c r="AF62" i="2" s="1"/>
  <c r="AE63" i="2"/>
  <c r="AF63" i="2" s="1"/>
  <c r="AE64" i="2"/>
  <c r="AF64" i="2" s="1"/>
  <c r="AE65" i="2"/>
  <c r="AF65" i="2" s="1"/>
  <c r="AE66" i="2"/>
  <c r="AF66" i="2" s="1"/>
  <c r="AE67" i="2"/>
  <c r="AF67" i="2" s="1"/>
  <c r="AE68" i="2"/>
  <c r="AF68" i="2" s="1"/>
  <c r="AE69" i="2"/>
  <c r="AF69" i="2" s="1"/>
  <c r="AE70" i="2"/>
  <c r="AF70" i="2" s="1"/>
  <c r="AE71" i="2"/>
  <c r="AF71" i="2" s="1"/>
  <c r="AE72" i="2"/>
  <c r="AF72" i="2" s="1"/>
  <c r="AE73" i="2"/>
  <c r="AF73" i="2" s="1"/>
  <c r="AE74" i="2"/>
  <c r="AF74" i="2" s="1"/>
  <c r="AE75" i="2"/>
  <c r="AF75" i="2" s="1"/>
  <c r="AE76" i="2"/>
  <c r="AF76" i="2" s="1"/>
  <c r="AE77" i="2"/>
  <c r="AF77" i="2" s="1"/>
  <c r="AE78" i="2"/>
  <c r="AF78" i="2" s="1"/>
  <c r="AE79" i="2"/>
  <c r="AF79" i="2" s="1"/>
  <c r="AE80" i="2"/>
  <c r="AF80" i="2" s="1"/>
  <c r="AE81" i="2"/>
  <c r="AF81" i="2" s="1"/>
  <c r="AE82" i="2"/>
  <c r="AF82" i="2" s="1"/>
  <c r="AE83" i="2"/>
  <c r="AF83" i="2" s="1"/>
  <c r="AE84" i="2"/>
  <c r="AF84" i="2" s="1"/>
  <c r="AE85" i="2"/>
  <c r="AF85" i="2" s="1"/>
  <c r="AE86" i="2"/>
  <c r="AF86" i="2" s="1"/>
  <c r="AE87" i="2"/>
  <c r="AF87" i="2" s="1"/>
  <c r="AE88" i="2"/>
  <c r="AF88" i="2" s="1"/>
  <c r="AE89" i="2"/>
  <c r="AF89" i="2" s="1"/>
  <c r="AE90" i="2"/>
  <c r="AF90" i="2" s="1"/>
  <c r="AE91" i="2"/>
  <c r="AF91" i="2" s="1"/>
  <c r="AE92" i="2"/>
  <c r="AF92" i="2" s="1"/>
  <c r="AE93" i="2"/>
  <c r="AF93" i="2" s="1"/>
  <c r="AE94" i="2"/>
  <c r="AF94" i="2" s="1"/>
  <c r="AE95" i="2"/>
  <c r="AF95" i="2" s="1"/>
  <c r="AE96" i="2"/>
  <c r="AF96" i="2" s="1"/>
  <c r="AE97" i="2"/>
  <c r="AF97" i="2" s="1"/>
  <c r="AE98" i="2"/>
  <c r="AF98" i="2" s="1"/>
  <c r="AE99" i="2"/>
  <c r="AF99" i="2" s="1"/>
  <c r="AE100" i="2"/>
  <c r="AF100" i="2" s="1"/>
  <c r="AE101" i="2"/>
  <c r="AF101" i="2" s="1"/>
  <c r="AE102" i="2"/>
  <c r="AF102" i="2" s="1"/>
  <c r="AE103" i="2"/>
  <c r="AF103" i="2" s="1"/>
  <c r="AE104" i="2"/>
  <c r="AF104" i="2" s="1"/>
  <c r="AE105" i="2"/>
  <c r="AF105" i="2" s="1"/>
  <c r="AE106" i="2"/>
  <c r="AF106" i="2" s="1"/>
  <c r="AE107" i="2"/>
  <c r="AF107" i="2" s="1"/>
  <c r="AE108" i="2"/>
  <c r="AF108" i="2" s="1"/>
  <c r="AE109" i="2"/>
  <c r="AF109" i="2" s="1"/>
  <c r="AE110" i="2"/>
  <c r="AF110" i="2" s="1"/>
  <c r="AE111" i="2"/>
  <c r="AF111" i="2" s="1"/>
  <c r="AE112" i="2"/>
  <c r="AF112" i="2" s="1"/>
  <c r="AE113" i="2"/>
  <c r="AF113" i="2" s="1"/>
  <c r="AE114" i="2"/>
  <c r="AF114" i="2" s="1"/>
  <c r="AE115" i="2"/>
  <c r="AF115" i="2" s="1"/>
  <c r="AE116" i="2"/>
  <c r="AF116" i="2" s="1"/>
  <c r="AE117" i="2"/>
  <c r="AF117" i="2" s="1"/>
  <c r="AE118" i="2"/>
  <c r="AF118" i="2" s="1"/>
  <c r="AE119" i="2"/>
  <c r="AF119" i="2" s="1"/>
  <c r="AE120" i="2"/>
  <c r="AF120" i="2" s="1"/>
  <c r="AE121" i="2"/>
  <c r="AF121" i="2" s="1"/>
  <c r="AE122" i="2"/>
  <c r="AF122" i="2" s="1"/>
  <c r="AE123" i="2"/>
  <c r="AF123" i="2" s="1"/>
  <c r="AE124" i="2"/>
  <c r="AF124" i="2" s="1"/>
  <c r="AE125" i="2"/>
  <c r="AF125" i="2" s="1"/>
  <c r="AE126" i="2"/>
  <c r="AF126" i="2" s="1"/>
  <c r="AE127" i="2"/>
  <c r="AF127" i="2" s="1"/>
  <c r="AE128" i="2"/>
  <c r="AF128" i="2" s="1"/>
  <c r="AE129" i="2"/>
  <c r="AF129" i="2" s="1"/>
  <c r="AE130" i="2"/>
  <c r="AF130" i="2" s="1"/>
  <c r="AE131" i="2"/>
  <c r="AF131" i="2" s="1"/>
  <c r="AE132" i="2"/>
  <c r="AF132" i="2" s="1"/>
  <c r="AE133" i="2"/>
  <c r="AF133" i="2" s="1"/>
  <c r="AE134" i="2"/>
  <c r="AF134" i="2" s="1"/>
  <c r="AE135" i="2"/>
  <c r="AF135" i="2" s="1"/>
  <c r="AE136" i="2"/>
  <c r="AF136" i="2" s="1"/>
  <c r="AE137" i="2"/>
  <c r="AF137" i="2" s="1"/>
  <c r="AE138" i="2"/>
  <c r="AF138" i="2" s="1"/>
  <c r="AE139" i="2"/>
  <c r="AF139" i="2" s="1"/>
  <c r="AE140" i="2"/>
  <c r="AF140" i="2" s="1"/>
  <c r="AE141" i="2"/>
  <c r="AF141" i="2" s="1"/>
  <c r="AE142" i="2"/>
  <c r="AF142" i="2" s="1"/>
  <c r="AE143" i="2"/>
  <c r="AF143" i="2" s="1"/>
  <c r="AE144" i="2"/>
  <c r="AF144" i="2" s="1"/>
  <c r="AE145" i="2"/>
  <c r="AF145" i="2" s="1"/>
  <c r="AE146" i="2"/>
  <c r="AF146" i="2" s="1"/>
  <c r="AE147" i="2"/>
  <c r="AF147" i="2" s="1"/>
  <c r="AE148" i="2"/>
  <c r="AF148" i="2" s="1"/>
  <c r="AE149" i="2"/>
  <c r="AF149" i="2" s="1"/>
  <c r="AE150" i="2"/>
  <c r="AF150" i="2" s="1"/>
  <c r="AE151" i="2"/>
  <c r="AF151" i="2" s="1"/>
  <c r="AE152" i="2"/>
  <c r="AF152" i="2" s="1"/>
  <c r="AE153" i="2"/>
  <c r="AF153" i="2" s="1"/>
  <c r="AE154" i="2"/>
  <c r="AF154" i="2" s="1"/>
  <c r="AE155" i="2"/>
  <c r="AF155" i="2" s="1"/>
  <c r="AE156" i="2"/>
  <c r="AF156" i="2" s="1"/>
  <c r="AE157" i="2"/>
  <c r="AF157" i="2" s="1"/>
  <c r="AE158" i="2"/>
  <c r="AF158" i="2" s="1"/>
  <c r="AE159" i="2"/>
  <c r="AF159" i="2" s="1"/>
  <c r="AE160" i="2"/>
  <c r="AF160" i="2" s="1"/>
  <c r="AE161" i="2"/>
  <c r="AF161" i="2" s="1"/>
  <c r="AE162" i="2"/>
  <c r="AF162" i="2" s="1"/>
  <c r="AE163" i="2"/>
  <c r="AF163" i="2" s="1"/>
  <c r="AE164" i="2"/>
  <c r="AF164" i="2" s="1"/>
  <c r="AE165" i="2"/>
  <c r="AF165" i="2" s="1"/>
  <c r="AE166" i="2"/>
  <c r="AF166" i="2" s="1"/>
  <c r="AE167" i="2"/>
  <c r="AF167" i="2" s="1"/>
  <c r="AE168" i="2"/>
  <c r="AF168" i="2" s="1"/>
  <c r="AE169" i="2"/>
  <c r="AF169" i="2" s="1"/>
  <c r="AE170" i="2"/>
  <c r="AF170" i="2" s="1"/>
  <c r="AE171" i="2"/>
  <c r="AF171" i="2" s="1"/>
  <c r="AE172" i="2"/>
  <c r="AF172" i="2" s="1"/>
  <c r="AE173" i="2"/>
  <c r="AF173" i="2" s="1"/>
  <c r="AE174" i="2"/>
  <c r="AF174" i="2" s="1"/>
  <c r="AE175" i="2"/>
  <c r="AF175" i="2" s="1"/>
  <c r="AE176" i="2"/>
  <c r="AF176" i="2" s="1"/>
  <c r="AE177" i="2"/>
  <c r="AF177" i="2" s="1"/>
  <c r="AE178" i="2"/>
  <c r="AF178" i="2" s="1"/>
  <c r="AE179" i="2"/>
  <c r="AF179" i="2" s="1"/>
  <c r="AE180" i="2"/>
  <c r="AF180" i="2" s="1"/>
  <c r="AE181" i="2"/>
  <c r="AF181" i="2" s="1"/>
  <c r="AE182" i="2"/>
  <c r="AF182" i="2" s="1"/>
  <c r="AE183" i="2"/>
  <c r="AF183" i="2" s="1"/>
  <c r="AE184" i="2"/>
  <c r="AF184" i="2" s="1"/>
  <c r="AE185" i="2"/>
  <c r="AF185" i="2" s="1"/>
  <c r="AE186" i="2"/>
  <c r="AF186" i="2" s="1"/>
  <c r="AE187" i="2"/>
  <c r="AF187" i="2" s="1"/>
  <c r="AE188" i="2"/>
  <c r="AF188" i="2" s="1"/>
  <c r="AE189" i="2"/>
  <c r="AF189" i="2" s="1"/>
  <c r="AE190" i="2"/>
  <c r="AF190" i="2" s="1"/>
  <c r="AE191" i="2"/>
  <c r="AF191" i="2" s="1"/>
  <c r="AE192" i="2"/>
  <c r="AF192" i="2" s="1"/>
  <c r="AE193" i="2"/>
  <c r="AF193" i="2" s="1"/>
  <c r="AE194" i="2"/>
  <c r="AF194" i="2" s="1"/>
  <c r="AE195" i="2"/>
  <c r="AF195" i="2" s="1"/>
  <c r="AE196" i="2"/>
  <c r="AF196" i="2" s="1"/>
  <c r="AE197" i="2"/>
  <c r="AF197" i="2" s="1"/>
  <c r="AE198" i="2"/>
  <c r="AF198" i="2" s="1"/>
  <c r="AE199" i="2"/>
  <c r="AF199" i="2" s="1"/>
  <c r="AE200" i="2"/>
  <c r="AF200" i="2" s="1"/>
  <c r="AE201" i="2"/>
  <c r="AF201" i="2" s="1"/>
  <c r="AE202" i="2"/>
  <c r="AF202" i="2" s="1"/>
  <c r="AE203" i="2"/>
  <c r="AF203" i="2" s="1"/>
  <c r="AE204" i="2"/>
  <c r="AF204" i="2" s="1"/>
  <c r="AE205" i="2"/>
  <c r="AF205" i="2" s="1"/>
  <c r="AE206" i="2"/>
  <c r="AF206" i="2" s="1"/>
  <c r="AE207" i="2"/>
  <c r="AF207" i="2" s="1"/>
  <c r="AE208" i="2"/>
  <c r="AF208" i="2" s="1"/>
  <c r="AE209" i="2"/>
  <c r="AF209" i="2" s="1"/>
  <c r="AE210" i="2"/>
  <c r="AF210" i="2" s="1"/>
  <c r="AE211" i="2"/>
  <c r="AF211" i="2" s="1"/>
  <c r="AE212" i="2"/>
  <c r="AF212" i="2" s="1"/>
  <c r="AE213" i="2"/>
  <c r="AF213" i="2" s="1"/>
  <c r="AE214" i="2"/>
  <c r="AF214" i="2" s="1"/>
  <c r="AE215" i="2"/>
  <c r="AF215" i="2" s="1"/>
  <c r="AE216" i="2"/>
  <c r="AF216" i="2" s="1"/>
  <c r="AE217" i="2"/>
  <c r="AF217" i="2" s="1"/>
  <c r="AE218" i="2"/>
  <c r="AF218" i="2" s="1"/>
  <c r="AE219" i="2"/>
  <c r="AF219" i="2" s="1"/>
  <c r="AE220" i="2"/>
  <c r="AF220" i="2" s="1"/>
  <c r="AE221" i="2"/>
  <c r="AF221" i="2" s="1"/>
  <c r="AE222" i="2"/>
  <c r="AF222" i="2" s="1"/>
  <c r="AE223" i="2"/>
  <c r="AF223" i="2" s="1"/>
  <c r="AE224" i="2"/>
  <c r="AF224" i="2" s="1"/>
  <c r="AE225" i="2"/>
  <c r="AF225" i="2" s="1"/>
  <c r="AE226" i="2"/>
  <c r="AF226" i="2" s="1"/>
  <c r="AE227" i="2"/>
  <c r="AF227" i="2" s="1"/>
  <c r="AE228" i="2"/>
  <c r="AF228" i="2" s="1"/>
  <c r="AE229" i="2"/>
  <c r="AF229" i="2" s="1"/>
  <c r="AE230" i="2"/>
  <c r="AF230" i="2" s="1"/>
  <c r="AE231" i="2"/>
  <c r="AF231" i="2" s="1"/>
  <c r="AE232" i="2"/>
  <c r="AF232" i="2" s="1"/>
  <c r="AE233" i="2"/>
  <c r="AF233" i="2" s="1"/>
  <c r="AE234" i="2"/>
  <c r="AF234" i="2" s="1"/>
  <c r="AE235" i="2"/>
  <c r="AF235" i="2" s="1"/>
  <c r="AF31" i="2" l="1"/>
  <c r="E5" i="3"/>
  <c r="F5" i="3" s="1"/>
  <c r="AF29" i="2"/>
  <c r="E6" i="3"/>
  <c r="F6" i="3" s="1"/>
  <c r="AE3" i="2"/>
  <c r="AF3" i="2" l="1"/>
  <c r="E4" i="3"/>
  <c r="F4" i="3" s="1"/>
  <c r="O7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製造３－３</author>
    <author>SMC</author>
  </authors>
  <commentList>
    <comment ref="H52" authorId="0" shapeId="0" xr:uid="{1D763F39-C3C0-46BD-9067-958CFEA58A53}">
      <text>
        <r>
          <rPr>
            <b/>
            <sz val="14"/>
            <color indexed="81"/>
            <rFont val="ＭＳ Ｐゴシック"/>
            <family val="3"/>
            <charset val="128"/>
          </rPr>
          <t>生産数  又は 処置数</t>
        </r>
      </text>
    </comment>
    <comment ref="L52" authorId="0" shapeId="0" xr:uid="{9320A5B0-AA1E-4E5F-B54D-216511DC58C2}">
      <text>
        <r>
          <rPr>
            <b/>
            <sz val="14"/>
            <color indexed="81"/>
            <rFont val="ＭＳ Ｐゴシック"/>
            <family val="3"/>
            <charset val="128"/>
          </rPr>
          <t>生産数＝個
処置数＝回</t>
        </r>
      </text>
    </comment>
    <comment ref="R52" authorId="0" shapeId="0" xr:uid="{6F278AB6-73CA-4113-ABF3-8B52A4EFB11D}">
      <text>
        <r>
          <rPr>
            <b/>
            <sz val="14"/>
            <color indexed="81"/>
            <rFont val="ＭＳ Ｐゴシック"/>
            <family val="3"/>
            <charset val="128"/>
          </rPr>
          <t>生産数＝個
処置数＝回</t>
        </r>
      </text>
    </comment>
    <comment ref="F61" authorId="1" shapeId="0" xr:uid="{6B01DBCE-E27A-4B0B-9EA9-71A77A39DCD6}">
      <text>
        <r>
          <rPr>
            <b/>
            <sz val="10"/>
            <color indexed="81"/>
            <rFont val="ＭＳ Ｐゴシック"/>
            <family val="3"/>
            <charset val="128"/>
          </rPr>
          <t>機能区分を選択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製造３－３</author>
    <author>SMC</author>
  </authors>
  <commentList>
    <comment ref="R80" authorId="0" shapeId="0" xr:uid="{55BEB792-DB29-4C1E-A10B-D53D806C028E}">
      <text>
        <r>
          <rPr>
            <b/>
            <sz val="14"/>
            <color indexed="81"/>
            <rFont val="ＭＳ Ｐゴシック"/>
            <family val="3"/>
            <charset val="128"/>
          </rPr>
          <t>生産数＝個
処置数＝回</t>
        </r>
      </text>
    </comment>
    <comment ref="F89" authorId="1" shapeId="0" xr:uid="{D5D6831B-00FE-45B6-ADE5-671E12995070}">
      <text>
        <r>
          <rPr>
            <b/>
            <sz val="10"/>
            <color indexed="81"/>
            <rFont val="ＭＳ Ｐゴシック"/>
            <family val="3"/>
            <charset val="128"/>
          </rPr>
          <t>機能区分を選択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<sst xmlns="http://schemas.openxmlformats.org/spreadsheetml/2006/main" count="1151" uniqueCount="823">
  <si>
    <t>ITEMS INFORMATION</t>
  </si>
  <si>
    <t>Items name</t>
  </si>
  <si>
    <t>Unit Price
(VND)</t>
  </si>
  <si>
    <t>Unit</t>
  </si>
  <si>
    <t>Roll</t>
  </si>
  <si>
    <t>Nylon</t>
  </si>
  <si>
    <t>Ea</t>
  </si>
  <si>
    <t>MATERIAL PRICE (VND)</t>
  </si>
  <si>
    <t>PRODUCTS WEIGHT (TON)</t>
  </si>
  <si>
    <t>PRICE / WEIGHT (VND／KG)</t>
  </si>
  <si>
    <t>DXT155M-V01D</t>
  </si>
  <si>
    <t>DXT155-38-1</t>
  </si>
  <si>
    <t>Manifold base</t>
  </si>
  <si>
    <t>VV10M1-V01B</t>
  </si>
  <si>
    <t>DXT156-10-11</t>
  </si>
  <si>
    <t>DXT192M1-V01D</t>
  </si>
  <si>
    <t>DXT192-11-3</t>
  </si>
  <si>
    <t>VV14M1-V01D</t>
  </si>
  <si>
    <t>DXT199-20-23</t>
  </si>
  <si>
    <t>VV15M1-V01D</t>
  </si>
  <si>
    <t>DXT201-13-13</t>
  </si>
  <si>
    <t>SY30M-V01B</t>
  </si>
  <si>
    <t>SY3000-20-1</t>
  </si>
  <si>
    <t>SY50M-V01B</t>
  </si>
  <si>
    <t>SY5000-20-1</t>
  </si>
  <si>
    <t>SY70M-V01B</t>
  </si>
  <si>
    <t>SY7000-20-1</t>
  </si>
  <si>
    <t>SY30MP-V01D</t>
  </si>
  <si>
    <t>SY30M-20-E-1</t>
  </si>
  <si>
    <t>SY50MP-V01D</t>
  </si>
  <si>
    <t>SY50M-20-E-1</t>
  </si>
  <si>
    <t>VJ10M-V01D</t>
  </si>
  <si>
    <t>VJ100-16-7</t>
  </si>
  <si>
    <t>VJ30M1-V01D</t>
  </si>
  <si>
    <t>VJ3000-20-1</t>
  </si>
  <si>
    <t>XLA16B2-V01B</t>
  </si>
  <si>
    <t>XLA16-1B-S</t>
  </si>
  <si>
    <t>Body</t>
  </si>
  <si>
    <t>XLA25B2-V01B</t>
  </si>
  <si>
    <t>XLA25-1B-S</t>
  </si>
  <si>
    <t>XLA40B2-V01B</t>
  </si>
  <si>
    <t>XLA40-1B-S</t>
  </si>
  <si>
    <t>XLA16BN-V01B</t>
  </si>
  <si>
    <t>XLA16-3-1B</t>
  </si>
  <si>
    <t>Bonnet</t>
  </si>
  <si>
    <t>XLA25BN-V01D</t>
  </si>
  <si>
    <t>XLA25-3-1B</t>
  </si>
  <si>
    <t>CQ32T-V01B</t>
  </si>
  <si>
    <t>C2Q32-04-J0779-K</t>
  </si>
  <si>
    <t>Cylinder Tube</t>
  </si>
  <si>
    <t>CQ40T-V01B</t>
  </si>
  <si>
    <t>C2Q40-04-J0780-K</t>
  </si>
  <si>
    <t>CQ50T-V01B</t>
  </si>
  <si>
    <t>C2Q50-04-J0781-K</t>
  </si>
  <si>
    <t>CQ63T-V01C</t>
  </si>
  <si>
    <t>C2Q63-04-J0782AK</t>
  </si>
  <si>
    <t>CUJ12A-V01D</t>
  </si>
  <si>
    <t>CUJ12A-AD252-20K</t>
  </si>
  <si>
    <t>Cylinder Body</t>
  </si>
  <si>
    <t>CUJ16A-V01D</t>
  </si>
  <si>
    <t>CUJ16A-AD253-20K</t>
  </si>
  <si>
    <t>CUJ20A-V01D</t>
  </si>
  <si>
    <t>CUJ20A-AD254-20K</t>
  </si>
  <si>
    <t>MYB16H-V01D</t>
  </si>
  <si>
    <t>MYB16LAA7163-20K</t>
  </si>
  <si>
    <t>Head Cover</t>
  </si>
  <si>
    <t>MYB20H1-V01D</t>
  </si>
  <si>
    <t>MYB20LAA7164-20K</t>
  </si>
  <si>
    <t>APT6-V01B</t>
  </si>
  <si>
    <t>APTE00-96000150-D</t>
  </si>
  <si>
    <t>Knob</t>
  </si>
  <si>
    <t>APT4-V01B</t>
  </si>
  <si>
    <t>APTE00-98000565-D</t>
  </si>
  <si>
    <t>Upper Body</t>
  </si>
  <si>
    <t>CRQ15B-V01C</t>
  </si>
  <si>
    <t>P4730002-D</t>
  </si>
  <si>
    <t>CRQ20B-V01D</t>
  </si>
  <si>
    <t>P4730003-D</t>
  </si>
  <si>
    <t>CRQ30B-V01D</t>
  </si>
  <si>
    <t>P4730004-D</t>
  </si>
  <si>
    <t>CRQ40B-V01D</t>
  </si>
  <si>
    <t>P4730005-D</t>
  </si>
  <si>
    <t>MSQ10B2-V01D</t>
  </si>
  <si>
    <t>P6260101-D</t>
  </si>
  <si>
    <t>MSQ20B2-V01D</t>
  </si>
  <si>
    <t>P6260201-D</t>
  </si>
  <si>
    <t>MSQ30B2-V01D</t>
  </si>
  <si>
    <t>P6260301-D</t>
  </si>
  <si>
    <t>MSQ50B2-V01D</t>
  </si>
  <si>
    <t>P6260401-D</t>
  </si>
  <si>
    <t>MHY10B-V01D</t>
  </si>
  <si>
    <t>P3319101-M</t>
  </si>
  <si>
    <t>MHY16B-V01D</t>
  </si>
  <si>
    <t>P3319201-M</t>
  </si>
  <si>
    <t>MHY20B-V01D</t>
  </si>
  <si>
    <t>P3319301-M</t>
  </si>
  <si>
    <t>MHY25B-V01D</t>
  </si>
  <si>
    <t>P3319401-M</t>
  </si>
  <si>
    <t>MXS06TB-V01D</t>
  </si>
  <si>
    <t>P3800102-M-1</t>
  </si>
  <si>
    <t>Table</t>
  </si>
  <si>
    <t>MXS08TB-V01D</t>
  </si>
  <si>
    <t>P3800202-M-1</t>
  </si>
  <si>
    <t>MXS12TB-V01D</t>
  </si>
  <si>
    <t>P3800302-M-1</t>
  </si>
  <si>
    <t>MXS16TB-V01D</t>
  </si>
  <si>
    <t>P3800402-M-2</t>
  </si>
  <si>
    <t>MXS20TB-V01D</t>
  </si>
  <si>
    <t>P3800502-M-2</t>
  </si>
  <si>
    <t>MXS25TB-V01D</t>
  </si>
  <si>
    <t>P3800602-M-2</t>
  </si>
  <si>
    <t>MXW16B-V01D</t>
  </si>
  <si>
    <t>P3801001-M</t>
  </si>
  <si>
    <t>MXW20B-V01D</t>
  </si>
  <si>
    <t>P3801101-M</t>
  </si>
  <si>
    <t>CJ10P-V01D</t>
  </si>
  <si>
    <t>C2J10M-AF112-25K</t>
  </si>
  <si>
    <t>Piston</t>
  </si>
  <si>
    <t>CJ12P-V01D</t>
  </si>
  <si>
    <t>C8512M-AF117-25K</t>
  </si>
  <si>
    <t>CJ16P-V01D</t>
  </si>
  <si>
    <t>C2J16M-AF113-25K</t>
  </si>
  <si>
    <t>CQ20K-V01D</t>
  </si>
  <si>
    <t>C2Q020K31-49998A</t>
  </si>
  <si>
    <t>CQ12G-V01C</t>
  </si>
  <si>
    <t>C2Q12G-P1280-30K</t>
  </si>
  <si>
    <t>Endplate</t>
  </si>
  <si>
    <t>CQ16G-V01C</t>
  </si>
  <si>
    <t>C2Q16G-P1281-30K</t>
  </si>
  <si>
    <t>CQ20G-V01C</t>
  </si>
  <si>
    <t>C2Q20G-P1282-30K</t>
  </si>
  <si>
    <t>CQ25G-V01C</t>
  </si>
  <si>
    <t>C2Q25G-P1283-30K</t>
  </si>
  <si>
    <t>CQ32G-V01C</t>
  </si>
  <si>
    <t>C2Q32G-P1284-30K</t>
  </si>
  <si>
    <t>CQ40G-V01C</t>
  </si>
  <si>
    <t>C2Q40G-P1285-30K</t>
  </si>
  <si>
    <t>PS12-V01D</t>
  </si>
  <si>
    <t>S500A61T12X04X30</t>
  </si>
  <si>
    <t>PS16-V01D</t>
  </si>
  <si>
    <t>S500A61T16X05X30</t>
  </si>
  <si>
    <t>PS20-V01D</t>
  </si>
  <si>
    <t>S500A61T20X05X30</t>
  </si>
  <si>
    <t>PS25-V01D</t>
  </si>
  <si>
    <t>S500A61T25X06X30</t>
  </si>
  <si>
    <t>PS32-V01D</t>
  </si>
  <si>
    <t>S500A61T32X08X30</t>
  </si>
  <si>
    <t>PS40-V01D</t>
  </si>
  <si>
    <t>S500A61T40X10X30</t>
  </si>
  <si>
    <t>CQ12C-V01D</t>
  </si>
  <si>
    <t>S501A61T14X06X30</t>
  </si>
  <si>
    <t>Collar</t>
  </si>
  <si>
    <t>CQ16C-V01D</t>
  </si>
  <si>
    <t>S501A61T19X08X30</t>
  </si>
  <si>
    <t>CQ20C-V01D</t>
  </si>
  <si>
    <t>S501A61T23X10X30</t>
  </si>
  <si>
    <t>CQ25C-V01D</t>
  </si>
  <si>
    <t>S501A61T27X12X30</t>
  </si>
  <si>
    <t>CQ32C-V01D</t>
  </si>
  <si>
    <t>S501A61T35X16X30</t>
  </si>
  <si>
    <t>CQ40C-V01D</t>
  </si>
  <si>
    <t>S501A61T43X16X30</t>
  </si>
  <si>
    <t>PS20A-V01D</t>
  </si>
  <si>
    <t>S502A61T20X05X27</t>
  </si>
  <si>
    <t>PS25A-V01D</t>
  </si>
  <si>
    <t>S502A61T25X06X27</t>
  </si>
  <si>
    <t>PS32B-V01D</t>
  </si>
  <si>
    <t>S502A61T32X06X27</t>
  </si>
  <si>
    <t>PS40B-V01D</t>
  </si>
  <si>
    <t>S502A61T40X09X27</t>
  </si>
  <si>
    <t>CM20AH-V01D</t>
  </si>
  <si>
    <t>C2M020K02-68714B</t>
  </si>
  <si>
    <t>Cover</t>
  </si>
  <si>
    <t>CM20AS-V01D</t>
  </si>
  <si>
    <t>C2M020K03-68714B</t>
  </si>
  <si>
    <t>CM25AH-V01D</t>
  </si>
  <si>
    <t>C2M025K02-68715B</t>
  </si>
  <si>
    <t>CM25AS-V01D</t>
  </si>
  <si>
    <t>C2M025K03-68715B</t>
  </si>
  <si>
    <t>CM32AH-V01D</t>
  </si>
  <si>
    <t>C2M032K02-68716B</t>
  </si>
  <si>
    <t>CM32AS-V01D</t>
  </si>
  <si>
    <t>C2M032K03-68716B</t>
  </si>
  <si>
    <t>CM40AH-V01D</t>
  </si>
  <si>
    <t>C2M040K02-68717B</t>
  </si>
  <si>
    <t>CM40AS-V01D</t>
  </si>
  <si>
    <t>C2M040K03-68717B</t>
  </si>
  <si>
    <t>CG32H-V01C</t>
  </si>
  <si>
    <t>C1G32L-M3322-20K</t>
  </si>
  <si>
    <t>CG40H-V01C</t>
  </si>
  <si>
    <t>C1G40L-M3323-20K</t>
  </si>
  <si>
    <t>CG20R3-V01D</t>
  </si>
  <si>
    <t>C3G20K02-AG001</t>
  </si>
  <si>
    <t>CG25R3-V01D</t>
  </si>
  <si>
    <t>C3G25K02-AG002</t>
  </si>
  <si>
    <t>CG32R3-V01D</t>
  </si>
  <si>
    <t>C3G32K02-AG003</t>
  </si>
  <si>
    <t>CG40R3-V01D</t>
  </si>
  <si>
    <t>C3G40K02-AG004</t>
  </si>
  <si>
    <t>CG50R3-V01D</t>
  </si>
  <si>
    <t>C3G50K02-AG005</t>
  </si>
  <si>
    <t>CG63R3-V01D</t>
  </si>
  <si>
    <t>C3G63K02-AG006</t>
  </si>
  <si>
    <t>CG20H2-V01D</t>
  </si>
  <si>
    <t>C1G20K02-AM405</t>
  </si>
  <si>
    <t>CG25H2-V01D</t>
  </si>
  <si>
    <t>C1G25K02-AM406</t>
  </si>
  <si>
    <t>CG32H3-V01D</t>
  </si>
  <si>
    <t>C1G32L-AT033-30K</t>
  </si>
  <si>
    <t>CG40H3-V01D</t>
  </si>
  <si>
    <t>C1G40L-AT034-30K</t>
  </si>
  <si>
    <t>CG50H3-V01D</t>
  </si>
  <si>
    <t>C1G50L-AT035-30K</t>
  </si>
  <si>
    <t>CG63H3-V01D</t>
  </si>
  <si>
    <t>C1G63L-AT036-30K</t>
  </si>
  <si>
    <t>CJ06C2-V01D</t>
  </si>
  <si>
    <t>C2J06LAAH080-30K</t>
  </si>
  <si>
    <t>CJ06C-V01D</t>
  </si>
  <si>
    <t>C2J06LBAH080-30K</t>
  </si>
  <si>
    <t>CJ06RT-V01D</t>
  </si>
  <si>
    <t>C2J06Y-AH080-30K</t>
  </si>
  <si>
    <t>MGPL12B2-V01D</t>
  </si>
  <si>
    <t>MGP12A-AC901-30K</t>
  </si>
  <si>
    <t>MGPL16B2-V01D</t>
  </si>
  <si>
    <t>MGP16A-AC902-30K</t>
  </si>
  <si>
    <t>MGPL20B2-V01D</t>
  </si>
  <si>
    <t>MGP20A-AC903-30K</t>
  </si>
  <si>
    <t>MGPL25B2-V01D</t>
  </si>
  <si>
    <t>MGP25A-AC904-30K</t>
  </si>
  <si>
    <t>MGPL32B2-V01D</t>
  </si>
  <si>
    <t>MGP32A-AC905-30K</t>
  </si>
  <si>
    <t>MGPL40B2-V01D</t>
  </si>
  <si>
    <t>MGP40A-AC906-30K</t>
  </si>
  <si>
    <t>MGPM12B2-V01D</t>
  </si>
  <si>
    <t>MGP12A-AC891-30K</t>
  </si>
  <si>
    <t>MGPM16B2-V01D</t>
  </si>
  <si>
    <t>MGP16A-AC892-30K</t>
  </si>
  <si>
    <t>MGPM20B2-V01D</t>
  </si>
  <si>
    <t>MGP20A-AC893-30K</t>
  </si>
  <si>
    <t>MGPM25B2-V01D</t>
  </si>
  <si>
    <t>MGP25A-AC894-30K</t>
  </si>
  <si>
    <t>MGPM32B2-V01D</t>
  </si>
  <si>
    <t>MGP32A-AC895-30K</t>
  </si>
  <si>
    <t>MGPM40B2-V01D</t>
  </si>
  <si>
    <t>MGP40A-AC896-30K</t>
  </si>
  <si>
    <t>APT2-V01B</t>
  </si>
  <si>
    <t>APTE00-98000724-D</t>
  </si>
  <si>
    <t>KNOB</t>
  </si>
  <si>
    <t>APT3-V01B</t>
  </si>
  <si>
    <t>APTE00-98000404-D</t>
  </si>
  <si>
    <t>HANDLE</t>
  </si>
  <si>
    <t>APT5-V01B</t>
  </si>
  <si>
    <t>APTE00-96000152-D</t>
  </si>
  <si>
    <t>INDICATOR PLATE</t>
  </si>
  <si>
    <t>APT7-V01B</t>
  </si>
  <si>
    <t>APTE00-98000948-D</t>
  </si>
  <si>
    <t>APT8-V01B</t>
  </si>
  <si>
    <t>APTE00-96001786-D</t>
  </si>
  <si>
    <t>CG50H-V01C</t>
  </si>
  <si>
    <t>C1G50L-M3324-20K</t>
  </si>
  <si>
    <t>CG40R-V01D</t>
  </si>
  <si>
    <t>CG-040K02-35903A</t>
  </si>
  <si>
    <t>CXS06S3-V01D</t>
  </si>
  <si>
    <t>CXS06A-R6000-20K</t>
  </si>
  <si>
    <t>Housing</t>
  </si>
  <si>
    <t>CXS10S3-V01D</t>
  </si>
  <si>
    <t>CXS10A-R6001-20K</t>
  </si>
  <si>
    <t>CXS15S3-V01D</t>
  </si>
  <si>
    <t>CXS15A-BA022-20K</t>
  </si>
  <si>
    <t>CXS20S3-V01D</t>
  </si>
  <si>
    <t>CXS20A-BA023-20K</t>
  </si>
  <si>
    <t>CXS25S3-V01D</t>
  </si>
  <si>
    <t>CXS25A-BA024-20K</t>
  </si>
  <si>
    <t>CXS32S3-V01D</t>
  </si>
  <si>
    <t>CXS32A-BA025-20K</t>
  </si>
  <si>
    <t>PS50-V01D</t>
  </si>
  <si>
    <t>S500A61T50X14X30</t>
  </si>
  <si>
    <t>Piston Material</t>
  </si>
  <si>
    <t>PS63-V01D</t>
  </si>
  <si>
    <t>S500A61T63X14X20</t>
  </si>
  <si>
    <t>PS50B-V01D</t>
  </si>
  <si>
    <t>S502A61T50X13X27</t>
  </si>
  <si>
    <t>PS63B-V01D</t>
  </si>
  <si>
    <t>S502A61T63X13X20</t>
  </si>
  <si>
    <t>CQ50G-V01C</t>
  </si>
  <si>
    <t>C2Q50G-F2256-30K</t>
  </si>
  <si>
    <t>End Plate Material</t>
  </si>
  <si>
    <t>CQ63G-V01C</t>
  </si>
  <si>
    <t>C2Q63G-F2257-20K</t>
  </si>
  <si>
    <t>CQ12TH-V01D</t>
  </si>
  <si>
    <t>C2Q012K04-56563</t>
  </si>
  <si>
    <t>Cylinder Tube Material</t>
  </si>
  <si>
    <t>CQ16TH-V01D</t>
  </si>
  <si>
    <t>C2Q016K04-56564</t>
  </si>
  <si>
    <t>CQ12T3L-V01B</t>
  </si>
  <si>
    <t>C2Q12A-AD367-20K</t>
  </si>
  <si>
    <t>CQ16T3L-V01B</t>
  </si>
  <si>
    <t>C2Q16A-AD368-20K</t>
  </si>
  <si>
    <t>CQ20T3-V01B</t>
  </si>
  <si>
    <t>C2Q20A-AD136A20K</t>
  </si>
  <si>
    <t>CQ25T3-V01B</t>
  </si>
  <si>
    <t>C2Q25A-AD137A20K</t>
  </si>
  <si>
    <t>CQ32T3-V01B</t>
  </si>
  <si>
    <t>C2Q32A-AD138A20K</t>
  </si>
  <si>
    <t>CQ40T3-V01B</t>
  </si>
  <si>
    <t>C2Q40A-AD139A20K</t>
  </si>
  <si>
    <t>CQ50T3-V01B</t>
  </si>
  <si>
    <t>C2Q50A-AD140A20K</t>
  </si>
  <si>
    <t>CQ63T3-V01C</t>
  </si>
  <si>
    <t>C2Q63A-AD141A20K</t>
  </si>
  <si>
    <t>CQS12T</t>
  </si>
  <si>
    <t>CQS12-04-F6462-K</t>
  </si>
  <si>
    <t>CQS12T2</t>
  </si>
  <si>
    <t>CQS12-04-F6464-K</t>
  </si>
  <si>
    <t>CQS16T</t>
  </si>
  <si>
    <t>CQS16-04-F6463-K</t>
  </si>
  <si>
    <t>CQS16T2</t>
  </si>
  <si>
    <t>CQS16-04-F6465-K</t>
  </si>
  <si>
    <t>CQS20T</t>
  </si>
  <si>
    <t>CQS20-04-F6466-K</t>
  </si>
  <si>
    <t>CQS25T</t>
  </si>
  <si>
    <t>CQS25-04-F6467-K</t>
  </si>
  <si>
    <t>CJ10C-V01D</t>
  </si>
  <si>
    <t>C2J10L-AH082-30K</t>
  </si>
  <si>
    <t>Cover Material</t>
  </si>
  <si>
    <t>CJ16C-V01D</t>
  </si>
  <si>
    <t>C2J16L-AH081-30K</t>
  </si>
  <si>
    <t>CP9632T-V01B</t>
  </si>
  <si>
    <t>C9632AAAC958-30K</t>
  </si>
  <si>
    <t>CP9640T-V01B</t>
  </si>
  <si>
    <t>C9640AAAC959-30K</t>
  </si>
  <si>
    <t>CP9650T-V01B</t>
  </si>
  <si>
    <t>C9650AAAC960-30K</t>
  </si>
  <si>
    <t>CP9663T-V01B</t>
  </si>
  <si>
    <t>C9663AAAC961-30K</t>
  </si>
  <si>
    <t>M1B32T</t>
  </si>
  <si>
    <t>MB-32AAL8509-30K</t>
  </si>
  <si>
    <t>M1B40T</t>
  </si>
  <si>
    <t>MB-40AAL8510-30K</t>
  </si>
  <si>
    <t>M1B50T</t>
  </si>
  <si>
    <t>MB-50AAL8511-30K</t>
  </si>
  <si>
    <t>M1B63T</t>
  </si>
  <si>
    <t>MB-63AAL8512-30K</t>
  </si>
  <si>
    <t>CA20T-V01C</t>
  </si>
  <si>
    <t>S192A63T26X20X20</t>
  </si>
  <si>
    <t>Cylinder Tube(E tube)</t>
  </si>
  <si>
    <t>CA25T-V01C</t>
  </si>
  <si>
    <t>S192A63T31X25X30</t>
  </si>
  <si>
    <t>CA32T-V01C</t>
  </si>
  <si>
    <t>S192A63T38X32X30</t>
  </si>
  <si>
    <t>CA40T-V01C</t>
  </si>
  <si>
    <t>S192A63T47X40X30</t>
  </si>
  <si>
    <t>CA50T-V01C</t>
  </si>
  <si>
    <t>S192A63T58X50X30</t>
  </si>
  <si>
    <t>CA63T-V01C</t>
  </si>
  <si>
    <t>S192A63T72X63X30</t>
  </si>
  <si>
    <t>CA80T-V01C</t>
  </si>
  <si>
    <t>S192A63T89X80X30</t>
  </si>
  <si>
    <t>CAA0T-V01C</t>
  </si>
  <si>
    <t>S192A63T110X100X30</t>
  </si>
  <si>
    <t>MB32T-V01C</t>
  </si>
  <si>
    <t>S265A63T36X32X30</t>
  </si>
  <si>
    <t>MB40T-V01C</t>
  </si>
  <si>
    <t>S265A63T45X40X30</t>
  </si>
  <si>
    <t>MB50T-V01C</t>
  </si>
  <si>
    <t>S265A63T55X50X30</t>
  </si>
  <si>
    <t>CG20TD-V01C</t>
  </si>
  <si>
    <t>S163A63T26X20X20</t>
  </si>
  <si>
    <t>Cylinder Tube(D tube)</t>
  </si>
  <si>
    <t>CG25TD-V01C</t>
  </si>
  <si>
    <t>S163A63T31X25X30</t>
  </si>
  <si>
    <t>CG32TD-V01C</t>
  </si>
  <si>
    <t>S163A63T38X32X30</t>
  </si>
  <si>
    <t>CG40TD-V01C</t>
  </si>
  <si>
    <t>S163A63T47X40X30</t>
  </si>
  <si>
    <t>CG50TD-V01C</t>
  </si>
  <si>
    <t>S163A63T58X50X30</t>
  </si>
  <si>
    <t>CG63TD-V01C</t>
  </si>
  <si>
    <t>S163A63T72X63X30</t>
  </si>
  <si>
    <t>CG80TD-V01C</t>
  </si>
  <si>
    <t>S163A63T89X80X30</t>
  </si>
  <si>
    <t>CGA0TD-V01C</t>
  </si>
  <si>
    <t>S163A63T110X100X30</t>
  </si>
  <si>
    <t>MB32TD-V01C</t>
  </si>
  <si>
    <t>S409A63T36X32X30</t>
  </si>
  <si>
    <t>MB40TD-V01C</t>
  </si>
  <si>
    <t>S409A63T45X40X30</t>
  </si>
  <si>
    <t>MB50TD-V01C</t>
  </si>
  <si>
    <t>S409A63T55X50X30</t>
  </si>
  <si>
    <t>MB63TD-V01C</t>
  </si>
  <si>
    <t>S409A63T68X63X30</t>
  </si>
  <si>
    <t>MB80TD-V01C</t>
  </si>
  <si>
    <t>S409A63T86X80X30</t>
  </si>
  <si>
    <t>MBA0TD-V01C</t>
  </si>
  <si>
    <t>S409A63T107X100X30</t>
  </si>
  <si>
    <t>NCA38TD-V01C</t>
  </si>
  <si>
    <t>S183A63T43X38X30</t>
  </si>
  <si>
    <t>NCA51TD-V01C</t>
  </si>
  <si>
    <t>S183A63T56X51X30</t>
  </si>
  <si>
    <t>NCA64TD-V01C</t>
  </si>
  <si>
    <t>S183A63T68X64X30</t>
  </si>
  <si>
    <t>NCA83TD-V01C</t>
  </si>
  <si>
    <t>S183A63T89X83X30</t>
  </si>
  <si>
    <t>NCAA0TD-V01C</t>
  </si>
  <si>
    <t>S183A63T108X102X30</t>
  </si>
  <si>
    <t>AXT663M6</t>
  </si>
  <si>
    <t>AXT663-1-X437</t>
  </si>
  <si>
    <t>AXT663M5</t>
  </si>
  <si>
    <t>AXT663-1-X439</t>
  </si>
  <si>
    <t>AXT663M7</t>
  </si>
  <si>
    <t>AXT663-1-X448</t>
  </si>
  <si>
    <t>AXT835M</t>
  </si>
  <si>
    <t>AXT835-30D-1</t>
  </si>
  <si>
    <t>CJP10B</t>
  </si>
  <si>
    <t>C2P10K-AB841-20K</t>
  </si>
  <si>
    <t>CJP16B</t>
  </si>
  <si>
    <t>C2P16K-AB842-20K</t>
  </si>
  <si>
    <t>CQ20T2</t>
  </si>
  <si>
    <t>C2Q020K04-51396</t>
  </si>
  <si>
    <t>CQ40K</t>
  </si>
  <si>
    <t>C2Q040K31-49702A</t>
  </si>
  <si>
    <t>CU10B3</t>
  </si>
  <si>
    <t>C2U10A-AS921-20K</t>
  </si>
  <si>
    <t>CU20B3</t>
  </si>
  <si>
    <t>C2U20A-AS923-20K</t>
  </si>
  <si>
    <t>CU25B3</t>
  </si>
  <si>
    <t>C2U25A-AS924-20K</t>
  </si>
  <si>
    <t>CU32B3</t>
  </si>
  <si>
    <t>C2U32A-AS925-20K</t>
  </si>
  <si>
    <t>DXT199M1</t>
  </si>
  <si>
    <t>DXT199-20-1</t>
  </si>
  <si>
    <t>MB32C</t>
  </si>
  <si>
    <t>MB-32-32-C6776-K</t>
  </si>
  <si>
    <t>MB40C</t>
  </si>
  <si>
    <t>MB-40-32-C6777-K</t>
  </si>
  <si>
    <t>MGJ06B</t>
  </si>
  <si>
    <t>MGJ06K-BA394-20K</t>
  </si>
  <si>
    <t>MGJ10B</t>
  </si>
  <si>
    <t>MGJ10K-BA395-20K</t>
  </si>
  <si>
    <t>MXH16P</t>
  </si>
  <si>
    <t>MXH16-47A7630K-K</t>
  </si>
  <si>
    <t>Block</t>
  </si>
  <si>
    <t>MHL10B2</t>
  </si>
  <si>
    <t>P3315161-M</t>
  </si>
  <si>
    <t>MHL16B2</t>
  </si>
  <si>
    <t>P3315261-M</t>
  </si>
  <si>
    <t>MHL20B2</t>
  </si>
  <si>
    <t>P3315361-M</t>
  </si>
  <si>
    <t>MHL25B2</t>
  </si>
  <si>
    <t>P3315461-M</t>
  </si>
  <si>
    <t>MHKL12B</t>
  </si>
  <si>
    <t>P3318110-M</t>
  </si>
  <si>
    <t>CRQ10B</t>
  </si>
  <si>
    <t>P4730001-D</t>
  </si>
  <si>
    <t>MHZ06B</t>
  </si>
  <si>
    <t>P4811001-M</t>
  </si>
  <si>
    <t>MHZ10B</t>
  </si>
  <si>
    <t>P4811101-M-2</t>
  </si>
  <si>
    <t>MHZ16B</t>
  </si>
  <si>
    <t>P4811201-M-1</t>
  </si>
  <si>
    <t>MHZ20B</t>
  </si>
  <si>
    <t>P4811301-M-1</t>
  </si>
  <si>
    <t>MHZ25B</t>
  </si>
  <si>
    <t>P4811401-M-1</t>
  </si>
  <si>
    <t>MHZ32B</t>
  </si>
  <si>
    <t>P4811501-M-1</t>
  </si>
  <si>
    <t>MHZ40B</t>
  </si>
  <si>
    <t>P4811601-M-1</t>
  </si>
  <si>
    <t>MHF08B</t>
  </si>
  <si>
    <t>P4814101-M-1</t>
  </si>
  <si>
    <t>MHF12B</t>
  </si>
  <si>
    <t>P4814201-M-1</t>
  </si>
  <si>
    <t>P5053B1</t>
  </si>
  <si>
    <t>P5053-1081</t>
  </si>
  <si>
    <t>P5053B2</t>
  </si>
  <si>
    <t>P5053-1082</t>
  </si>
  <si>
    <t>P5053B3</t>
  </si>
  <si>
    <t>P5053-1083</t>
  </si>
  <si>
    <t>MSQ7B</t>
  </si>
  <si>
    <t>P62104001-D</t>
  </si>
  <si>
    <t>RHC32B</t>
  </si>
  <si>
    <t>RHC32K27-82083A</t>
  </si>
  <si>
    <t>Body for Relief valbe</t>
  </si>
  <si>
    <t>S070M2</t>
  </si>
  <si>
    <t>SS0700-50-1D</t>
  </si>
  <si>
    <t>SY50M3</t>
  </si>
  <si>
    <t>SY5000-20-118</t>
  </si>
  <si>
    <t>V100M4</t>
  </si>
  <si>
    <t>V100-75-25</t>
  </si>
  <si>
    <t>V100M1</t>
  </si>
  <si>
    <t>V100-75-4</t>
  </si>
  <si>
    <t>V100M2</t>
  </si>
  <si>
    <t>V100-75-5</t>
  </si>
  <si>
    <t>VJ30M3</t>
  </si>
  <si>
    <t>VJ3000-20-10</t>
  </si>
  <si>
    <t>VJ30M</t>
  </si>
  <si>
    <t>VJ300-8-5</t>
  </si>
  <si>
    <t>VP300M</t>
  </si>
  <si>
    <t>VP300-22</t>
  </si>
  <si>
    <t>XLS25B</t>
  </si>
  <si>
    <t>XLS25-1-1B</t>
  </si>
  <si>
    <t>Product ID</t>
  </si>
  <si>
    <t>Name</t>
  </si>
  <si>
    <t>Unit Weight</t>
  </si>
  <si>
    <t>Row</t>
  </si>
  <si>
    <t>Column</t>
  </si>
  <si>
    <t>Type of Packing Box</t>
  </si>
  <si>
    <t>CBM</t>
  </si>
  <si>
    <t>Anti-rust paper</t>
  </si>
  <si>
    <t>Wrapt paper</t>
  </si>
  <si>
    <t xml:space="preserve">Short splint </t>
  </si>
  <si>
    <t xml:space="preserve">Long Splint </t>
  </si>
  <si>
    <t>Steel straps</t>
  </si>
  <si>
    <t>2M Pedestal</t>
  </si>
  <si>
    <t xml:space="preserve"> 2M Cover</t>
  </si>
  <si>
    <t xml:space="preserve"> 2M2 Pedestal</t>
  </si>
  <si>
    <t>2M2 Cover</t>
  </si>
  <si>
    <t xml:space="preserve">3M Pedestal </t>
  </si>
  <si>
    <t>3M Cover</t>
  </si>
  <si>
    <t>Other</t>
  </si>
  <si>
    <t>Quantity/Box</t>
  </si>
  <si>
    <t>Wooden splint 300</t>
  </si>
  <si>
    <t>Wooden splint 500</t>
  </si>
  <si>
    <t>Wooden splint 550</t>
  </si>
  <si>
    <t>Wooden splint 600</t>
  </si>
  <si>
    <t>Mold ID</t>
  </si>
  <si>
    <t>Number</t>
  </si>
  <si>
    <t>Cost saving
(VND)</t>
  </si>
  <si>
    <t>効果部署</t>
    <rPh sb="0" eb="2">
      <t>コウカ</t>
    </rPh>
    <rPh sb="2" eb="4">
      <t>ブショ</t>
    </rPh>
    <phoneticPr fontId="0"/>
  </si>
  <si>
    <t>部署</t>
    <rPh sb="0" eb="2">
      <t>ブショ</t>
    </rPh>
    <phoneticPr fontId="0"/>
  </si>
  <si>
    <t>ホロン</t>
    <phoneticPr fontId="0"/>
  </si>
  <si>
    <t>推進リーダ</t>
    <rPh sb="0" eb="2">
      <t>スイシン</t>
    </rPh>
    <phoneticPr fontId="0"/>
  </si>
  <si>
    <t>課   長</t>
    <rPh sb="0" eb="1">
      <t>カ</t>
    </rPh>
    <rPh sb="4" eb="5">
      <t>チョウ</t>
    </rPh>
    <phoneticPr fontId="0"/>
  </si>
  <si>
    <t>作成</t>
    <rPh sb="0" eb="2">
      <t>サクセイ</t>
    </rPh>
    <phoneticPr fontId="0"/>
  </si>
  <si>
    <t>部署‐ホロン</t>
    <rPh sb="0" eb="2">
      <t>ブショ</t>
    </rPh>
    <phoneticPr fontId="0"/>
  </si>
  <si>
    <r>
      <t>改善提案書</t>
    </r>
    <r>
      <rPr>
        <b/>
        <sz val="11"/>
        <rFont val="ＭＳ Ｐゴシック"/>
        <family val="3"/>
        <charset val="128"/>
      </rPr>
      <t>兼</t>
    </r>
    <r>
      <rPr>
        <b/>
        <sz val="16"/>
        <rFont val="ＭＳ Ｐゴシック"/>
        <family val="3"/>
        <charset val="128"/>
      </rPr>
      <t>改善かんばん</t>
    </r>
  </si>
  <si>
    <t>改善効果部署</t>
    <rPh sb="0" eb="2">
      <t>カイゼン</t>
    </rPh>
    <rPh sb="2" eb="4">
      <t>コウカ</t>
    </rPh>
    <rPh sb="4" eb="6">
      <t>ブショ</t>
    </rPh>
    <phoneticPr fontId="0"/>
  </si>
  <si>
    <t>工場名</t>
    <rPh sb="0" eb="2">
      <t>コウジョウ</t>
    </rPh>
    <rPh sb="2" eb="3">
      <t>メイ</t>
    </rPh>
    <phoneticPr fontId="0"/>
  </si>
  <si>
    <t>各課登録No.</t>
    <rPh sb="0" eb="2">
      <t>カクカ</t>
    </rPh>
    <rPh sb="2" eb="4">
      <t>トウロク</t>
    </rPh>
    <phoneticPr fontId="0"/>
  </si>
  <si>
    <t>工程・ライン</t>
    <rPh sb="0" eb="2">
      <t>コウテイ</t>
    </rPh>
    <phoneticPr fontId="0"/>
  </si>
  <si>
    <t>ベトナム工場</t>
  </si>
  <si>
    <t>機種</t>
  </si>
  <si>
    <t>改善担当者</t>
    <rPh sb="0" eb="2">
      <t>カイゼン</t>
    </rPh>
    <rPh sb="2" eb="5">
      <t>タントウシャ</t>
    </rPh>
    <phoneticPr fontId="0"/>
  </si>
  <si>
    <t>改善項目</t>
    <rPh sb="0" eb="2">
      <t>カイゼン</t>
    </rPh>
    <rPh sb="2" eb="4">
      <t>コウモク</t>
    </rPh>
    <phoneticPr fontId="0"/>
  </si>
  <si>
    <t>機能区分</t>
    <rPh sb="0" eb="2">
      <t>キノウ</t>
    </rPh>
    <rPh sb="2" eb="4">
      <t>クブン</t>
    </rPh>
    <phoneticPr fontId="0"/>
  </si>
  <si>
    <t>コード</t>
    <phoneticPr fontId="0"/>
  </si>
  <si>
    <t>開発1部</t>
    <rPh sb="0" eb="2">
      <t>カイハツ</t>
    </rPh>
    <rPh sb="3" eb="4">
      <t>ブ</t>
    </rPh>
    <phoneticPr fontId="0"/>
  </si>
  <si>
    <t>小巻装置</t>
  </si>
  <si>
    <t>設備導入</t>
    <rPh sb="0" eb="2">
      <t>セツビ</t>
    </rPh>
    <rPh sb="2" eb="4">
      <t>ドウニュウ</t>
    </rPh>
    <phoneticPr fontId="0"/>
  </si>
  <si>
    <t>治具</t>
    <rPh sb="0" eb="1">
      <t>ジ</t>
    </rPh>
    <rPh sb="1" eb="2">
      <t>グ</t>
    </rPh>
    <phoneticPr fontId="0"/>
  </si>
  <si>
    <t>作業</t>
    <rPh sb="0" eb="2">
      <t>サギョウ</t>
    </rPh>
    <phoneticPr fontId="0"/>
  </si>
  <si>
    <t>無人・既存設備改善</t>
    <rPh sb="0" eb="2">
      <t>ムジン</t>
    </rPh>
    <rPh sb="3" eb="5">
      <t>キゾン</t>
    </rPh>
    <rPh sb="5" eb="7">
      <t>セツビ</t>
    </rPh>
    <rPh sb="7" eb="9">
      <t>カイゼン</t>
    </rPh>
    <phoneticPr fontId="0"/>
  </si>
  <si>
    <t>システム</t>
    <phoneticPr fontId="0"/>
  </si>
  <si>
    <t>ﾚｲｱｳﾄ</t>
    <phoneticPr fontId="0"/>
  </si>
  <si>
    <t>品質</t>
    <rPh sb="0" eb="2">
      <t>ヒンシツ</t>
    </rPh>
    <phoneticPr fontId="0"/>
  </si>
  <si>
    <t>経費</t>
    <rPh sb="0" eb="2">
      <t>ケイヒ</t>
    </rPh>
    <phoneticPr fontId="0"/>
  </si>
  <si>
    <t>省エネ</t>
    <rPh sb="0" eb="1">
      <t>ショウ</t>
    </rPh>
    <phoneticPr fontId="0"/>
  </si>
  <si>
    <t>その他</t>
    <rPh sb="0" eb="3">
      <t>ソノタ</t>
    </rPh>
    <phoneticPr fontId="0"/>
  </si>
  <si>
    <t>　</t>
    <phoneticPr fontId="0"/>
  </si>
  <si>
    <t>加工：倉庫入出庫（材料・素材）</t>
    <rPh sb="0" eb="2">
      <t>カコウ</t>
    </rPh>
    <rPh sb="3" eb="5">
      <t>ソウコ</t>
    </rPh>
    <rPh sb="5" eb="6">
      <t>ニュウ</t>
    </rPh>
    <rPh sb="6" eb="8">
      <t>シュッコ</t>
    </rPh>
    <rPh sb="9" eb="11">
      <t>ザイリョウ</t>
    </rPh>
    <rPh sb="12" eb="14">
      <t>ソザイ</t>
    </rPh>
    <phoneticPr fontId="0"/>
  </si>
  <si>
    <t>開発2部</t>
    <rPh sb="0" eb="2">
      <t>カイハツ</t>
    </rPh>
    <rPh sb="3" eb="4">
      <t>ブ</t>
    </rPh>
    <phoneticPr fontId="0"/>
  </si>
  <si>
    <t>'04/11/15</t>
  </si>
  <si>
    <t>加工</t>
    <rPh sb="0" eb="2">
      <t>カコウ</t>
    </rPh>
    <phoneticPr fontId="0"/>
  </si>
  <si>
    <t>開発3部</t>
    <rPh sb="0" eb="2">
      <t>カイハツ</t>
    </rPh>
    <rPh sb="3" eb="4">
      <t>ブ</t>
    </rPh>
    <phoneticPr fontId="0"/>
  </si>
  <si>
    <t>工程・作業・業務</t>
    <rPh sb="0" eb="2">
      <t>コウテイ</t>
    </rPh>
    <rPh sb="3" eb="5">
      <t>サギョウ</t>
    </rPh>
    <rPh sb="6" eb="8">
      <t>ギョウム</t>
    </rPh>
    <phoneticPr fontId="0"/>
  </si>
  <si>
    <t>加工：洗浄</t>
    <rPh sb="0" eb="2">
      <t>カコウ</t>
    </rPh>
    <rPh sb="3" eb="5">
      <t>センジョウ</t>
    </rPh>
    <phoneticPr fontId="0"/>
  </si>
  <si>
    <t>開発4部</t>
    <rPh sb="0" eb="2">
      <t>カイハツ</t>
    </rPh>
    <rPh sb="3" eb="4">
      <t>ブ</t>
    </rPh>
    <phoneticPr fontId="0"/>
  </si>
  <si>
    <t>加工：バリ取り</t>
    <rPh sb="0" eb="2">
      <t>カコウ</t>
    </rPh>
    <rPh sb="5" eb="6">
      <t>ト</t>
    </rPh>
    <phoneticPr fontId="0"/>
  </si>
  <si>
    <t>開発5部</t>
    <rPh sb="0" eb="2">
      <t>カイハツ</t>
    </rPh>
    <rPh sb="3" eb="4">
      <t>ブ</t>
    </rPh>
    <phoneticPr fontId="0"/>
  </si>
  <si>
    <t>加工：最終検査</t>
    <rPh sb="0" eb="2">
      <t>カコウ</t>
    </rPh>
    <rPh sb="3" eb="5">
      <t>サイシュウ</t>
    </rPh>
    <rPh sb="5" eb="7">
      <t>ケンサ</t>
    </rPh>
    <phoneticPr fontId="0"/>
  </si>
  <si>
    <t>開発6部</t>
    <rPh sb="0" eb="2">
      <t>カイハツ</t>
    </rPh>
    <rPh sb="3" eb="4">
      <t>ブ</t>
    </rPh>
    <phoneticPr fontId="0"/>
  </si>
  <si>
    <t>加工：組合せ</t>
    <rPh sb="0" eb="2">
      <t>カコウ</t>
    </rPh>
    <rPh sb="3" eb="5">
      <t>クミアワ</t>
    </rPh>
    <phoneticPr fontId="0"/>
  </si>
  <si>
    <t>開発7部</t>
    <rPh sb="0" eb="2">
      <t>カイハツ</t>
    </rPh>
    <rPh sb="3" eb="4">
      <t>ブ</t>
    </rPh>
    <phoneticPr fontId="0"/>
  </si>
  <si>
    <t>P59</t>
    <phoneticPr fontId="0"/>
  </si>
  <si>
    <t>加工：梱包・出荷</t>
    <rPh sb="0" eb="2">
      <t>カコウ</t>
    </rPh>
    <rPh sb="3" eb="5">
      <t>コンポウ</t>
    </rPh>
    <rPh sb="6" eb="8">
      <t>シュッカ</t>
    </rPh>
    <phoneticPr fontId="0"/>
  </si>
  <si>
    <t>開発8部</t>
    <rPh sb="0" eb="2">
      <t>カイハツ</t>
    </rPh>
    <rPh sb="3" eb="4">
      <t>ブ</t>
    </rPh>
    <phoneticPr fontId="0"/>
  </si>
  <si>
    <t>クレーム対策</t>
    <rPh sb="4" eb="6">
      <t>タイサク</t>
    </rPh>
    <phoneticPr fontId="0"/>
  </si>
  <si>
    <t>加工：製造在庫担当業務（出荷業務除く）</t>
    <rPh sb="0" eb="2">
      <t>カコウ</t>
    </rPh>
    <rPh sb="3" eb="5">
      <t>セイゾウ</t>
    </rPh>
    <rPh sb="5" eb="7">
      <t>ザイコ</t>
    </rPh>
    <rPh sb="7" eb="9">
      <t>タントウ</t>
    </rPh>
    <rPh sb="9" eb="11">
      <t>ギョウム</t>
    </rPh>
    <rPh sb="12" eb="14">
      <t>シュッカ</t>
    </rPh>
    <rPh sb="14" eb="16">
      <t>ギョウム</t>
    </rPh>
    <rPh sb="16" eb="17">
      <t>ノゾ</t>
    </rPh>
    <phoneticPr fontId="0"/>
  </si>
  <si>
    <t>資材調達の改革（まとめ購入・仕込契約・S工号）</t>
    <rPh sb="0" eb="2">
      <t>シザイ</t>
    </rPh>
    <rPh sb="2" eb="4">
      <t>チョウタツ</t>
    </rPh>
    <rPh sb="5" eb="7">
      <t>カイカク</t>
    </rPh>
    <rPh sb="11" eb="13">
      <t>コウニュウ</t>
    </rPh>
    <rPh sb="14" eb="16">
      <t>シコ</t>
    </rPh>
    <rPh sb="16" eb="18">
      <t>ケイヤク</t>
    </rPh>
    <rPh sb="20" eb="21">
      <t>コウ</t>
    </rPh>
    <rPh sb="21" eb="22">
      <t>ゴウ</t>
    </rPh>
    <phoneticPr fontId="0"/>
  </si>
  <si>
    <t>加工：班責・班長・係長（現場）</t>
    <rPh sb="0" eb="2">
      <t>カコウ</t>
    </rPh>
    <rPh sb="3" eb="4">
      <t>ハン</t>
    </rPh>
    <rPh sb="4" eb="5">
      <t>セキ</t>
    </rPh>
    <rPh sb="6" eb="8">
      <t>ハンチョウ</t>
    </rPh>
    <rPh sb="9" eb="11">
      <t>カカリチョウ</t>
    </rPh>
    <rPh sb="12" eb="14">
      <t>ゲンバ</t>
    </rPh>
    <phoneticPr fontId="0"/>
  </si>
  <si>
    <t>設備：新鋭工法・技術導入</t>
    <rPh sb="0" eb="2">
      <t>セツビ</t>
    </rPh>
    <rPh sb="3" eb="5">
      <t>シンエイ</t>
    </rPh>
    <rPh sb="5" eb="7">
      <t>コウホウ</t>
    </rPh>
    <rPh sb="8" eb="10">
      <t>ギジュツ</t>
    </rPh>
    <rPh sb="10" eb="12">
      <t>ドウニュウ</t>
    </rPh>
    <phoneticPr fontId="0"/>
  </si>
  <si>
    <t>部分は　　ホロンNO　　　を入力時　自動で出力</t>
    <rPh sb="0" eb="2">
      <t>ブブン</t>
    </rPh>
    <rPh sb="14" eb="16">
      <t>ニュウリョク</t>
    </rPh>
    <rPh sb="16" eb="17">
      <t>ジ</t>
    </rPh>
    <rPh sb="18" eb="20">
      <t>ジドウ</t>
    </rPh>
    <rPh sb="21" eb="23">
      <t>シュツリョク</t>
    </rPh>
    <phoneticPr fontId="0"/>
  </si>
  <si>
    <t>加工：アウトソーシング</t>
    <rPh sb="0" eb="2">
      <t>カコウ</t>
    </rPh>
    <phoneticPr fontId="0"/>
  </si>
  <si>
    <t>生産拠点の再編成（海外移管・生産場所見直等）</t>
    <rPh sb="0" eb="2">
      <t>セイサン</t>
    </rPh>
    <rPh sb="2" eb="4">
      <t>キョテン</t>
    </rPh>
    <rPh sb="5" eb="8">
      <t>サイヘンセイ</t>
    </rPh>
    <rPh sb="9" eb="11">
      <t>カイガイ</t>
    </rPh>
    <rPh sb="11" eb="13">
      <t>イカン</t>
    </rPh>
    <rPh sb="14" eb="16">
      <t>セイサン</t>
    </rPh>
    <rPh sb="16" eb="18">
      <t>バショ</t>
    </rPh>
    <rPh sb="18" eb="20">
      <t>ミナオ</t>
    </rPh>
    <rPh sb="20" eb="21">
      <t>トウ</t>
    </rPh>
    <phoneticPr fontId="0"/>
  </si>
  <si>
    <t>⇒内容と異なる場合は手入力可</t>
    <rPh sb="1" eb="3">
      <t>ナイヨウ</t>
    </rPh>
    <rPh sb="4" eb="5">
      <t>コト</t>
    </rPh>
    <rPh sb="7" eb="9">
      <t>バアイ</t>
    </rPh>
    <rPh sb="10" eb="11">
      <t>テ</t>
    </rPh>
    <rPh sb="11" eb="13">
      <t>ニュウリョク</t>
    </rPh>
    <rPh sb="13" eb="14">
      <t>カ</t>
    </rPh>
    <phoneticPr fontId="0"/>
  </si>
  <si>
    <t>組立：取揃え</t>
    <rPh sb="0" eb="2">
      <t>クミタテ</t>
    </rPh>
    <rPh sb="3" eb="4">
      <t>ト</t>
    </rPh>
    <rPh sb="4" eb="5">
      <t>ソロ</t>
    </rPh>
    <phoneticPr fontId="0"/>
  </si>
  <si>
    <t>IT改善</t>
    <rPh sb="2" eb="4">
      <t>カイゼン</t>
    </rPh>
    <phoneticPr fontId="0"/>
  </si>
  <si>
    <t>組立：部品Ass'y</t>
    <rPh sb="0" eb="2">
      <t>クミタテ</t>
    </rPh>
    <rPh sb="3" eb="5">
      <t>ブヒン</t>
    </rPh>
    <phoneticPr fontId="0"/>
  </si>
  <si>
    <t>組立</t>
    <rPh sb="0" eb="2">
      <t>クミタテ</t>
    </rPh>
    <phoneticPr fontId="0"/>
  </si>
  <si>
    <t>倉庫：班責・班長・係長</t>
    <rPh sb="0" eb="2">
      <t>ソウコ</t>
    </rPh>
    <rPh sb="3" eb="4">
      <t>ハン</t>
    </rPh>
    <rPh sb="4" eb="5">
      <t>セキ</t>
    </rPh>
    <rPh sb="6" eb="8">
      <t>ハンチョウ</t>
    </rPh>
    <rPh sb="9" eb="11">
      <t>カカリチョウ</t>
    </rPh>
    <phoneticPr fontId="0"/>
  </si>
  <si>
    <t>物流：アウトソーシング</t>
    <rPh sb="0" eb="2">
      <t>ブツリュウ</t>
    </rPh>
    <phoneticPr fontId="0"/>
  </si>
  <si>
    <t>間接：受注処理</t>
    <rPh sb="0" eb="2">
      <t>カンセツ</t>
    </rPh>
    <rPh sb="3" eb="5">
      <t>ジュチュウ</t>
    </rPh>
    <rPh sb="5" eb="7">
      <t>ショリ</t>
    </rPh>
    <phoneticPr fontId="0"/>
  </si>
  <si>
    <t>間接：品管（ISO含む）</t>
    <rPh sb="0" eb="2">
      <t>カンセツ</t>
    </rPh>
    <rPh sb="3" eb="4">
      <t>ヒン</t>
    </rPh>
    <rPh sb="4" eb="5">
      <t>カン</t>
    </rPh>
    <rPh sb="9" eb="10">
      <t>フク</t>
    </rPh>
    <phoneticPr fontId="0"/>
  </si>
  <si>
    <t>間接：清掃専門（雑役含む）</t>
    <rPh sb="0" eb="2">
      <t>カンセツ</t>
    </rPh>
    <rPh sb="3" eb="5">
      <t>セイソウ</t>
    </rPh>
    <rPh sb="5" eb="7">
      <t>センモン</t>
    </rPh>
    <rPh sb="8" eb="10">
      <t>ザツエキ</t>
    </rPh>
    <rPh sb="10" eb="11">
      <t>フク</t>
    </rPh>
    <phoneticPr fontId="0"/>
  </si>
  <si>
    <t>間接：アウトソーシング</t>
    <rPh sb="0" eb="2">
      <t>カンセツ</t>
    </rPh>
    <phoneticPr fontId="0"/>
  </si>
  <si>
    <t>ｽｹｼﾞｭｰﾙ</t>
    <phoneticPr fontId="0"/>
  </si>
  <si>
    <t>日程</t>
    <rPh sb="0" eb="2">
      <t>ニッテイ</t>
    </rPh>
    <phoneticPr fontId="0"/>
  </si>
  <si>
    <t>改善効果</t>
  </si>
  <si>
    <t>項目</t>
    <rPh sb="0" eb="2">
      <t>コウモク</t>
    </rPh>
    <phoneticPr fontId="0"/>
  </si>
  <si>
    <t>計画</t>
    <rPh sb="0" eb="2">
      <t>ケイカク</t>
    </rPh>
    <phoneticPr fontId="0"/>
  </si>
  <si>
    <t>実行</t>
  </si>
  <si>
    <t>3/1　作業方法教える</t>
  </si>
  <si>
    <t>生産数</t>
  </si>
  <si>
    <t>(20m)</t>
  </si>
  <si>
    <t>個/月</t>
  </si>
  <si>
    <t>3/2　テスト行う</t>
  </si>
  <si>
    <t>投資額</t>
  </si>
  <si>
    <t>千円</t>
  </si>
  <si>
    <t>削減時間</t>
  </si>
  <si>
    <t>H/月</t>
  </si>
  <si>
    <t>→</t>
    <phoneticPr fontId="0"/>
  </si>
  <si>
    <t>完了予定</t>
  </si>
  <si>
    <t>完了</t>
  </si>
  <si>
    <t>実施</t>
    <rPh sb="0" eb="2">
      <t>ジッシ</t>
    </rPh>
    <phoneticPr fontId="0"/>
  </si>
  <si>
    <t>有　・　無</t>
    <rPh sb="0" eb="1">
      <t>ア</t>
    </rPh>
    <rPh sb="4" eb="5">
      <t>ナ</t>
    </rPh>
    <phoneticPr fontId="0"/>
  </si>
  <si>
    <t>実施年月</t>
  </si>
  <si>
    <t>機能区分</t>
    <rPh sb="0" eb="2">
      <t>キノウ</t>
    </rPh>
    <rPh sb="2" eb="4">
      <t>クブン</t>
    </rPh>
    <phoneticPr fontId="0"/>
  </si>
  <si>
    <t>組立</t>
  </si>
  <si>
    <t>詳細手法</t>
  </si>
  <si>
    <t>等級</t>
    <rPh sb="0" eb="2">
      <t>トウキュウ</t>
    </rPh>
    <phoneticPr fontId="0"/>
  </si>
  <si>
    <t>予算登録No</t>
    <rPh sb="0" eb="2">
      <t>ヨサン</t>
    </rPh>
    <rPh sb="2" eb="4">
      <t>トウロク</t>
    </rPh>
    <phoneticPr fontId="0"/>
  </si>
  <si>
    <t>*（製造技術）設備予算の場合は記載</t>
    <rPh sb="2" eb="4">
      <t>セイゾウ</t>
    </rPh>
    <rPh sb="4" eb="6">
      <t>ギジュツ</t>
    </rPh>
    <rPh sb="7" eb="9">
      <t>セツビ</t>
    </rPh>
    <rPh sb="9" eb="11">
      <t>ヨサン</t>
    </rPh>
    <rPh sb="12" eb="14">
      <t>バアイ</t>
    </rPh>
    <rPh sb="15" eb="17">
      <t>キサイ</t>
    </rPh>
    <phoneticPr fontId="0"/>
  </si>
  <si>
    <t>賃率記号</t>
    <rPh sb="0" eb="2">
      <t>チンリツ</t>
    </rPh>
    <rPh sb="2" eb="4">
      <t>キゴウ</t>
    </rPh>
    <phoneticPr fontId="0"/>
  </si>
  <si>
    <t>賃率表より、記号入力ねがいます。</t>
    <rPh sb="0" eb="2">
      <t>チンリツ</t>
    </rPh>
    <rPh sb="2" eb="3">
      <t>ヒョウ</t>
    </rPh>
    <rPh sb="6" eb="8">
      <t>キゴウ</t>
    </rPh>
    <rPh sb="8" eb="10">
      <t>ニュウリョク</t>
    </rPh>
    <phoneticPr fontId="0"/>
  </si>
  <si>
    <t>賃率 円/H</t>
    <rPh sb="0" eb="2">
      <t>チンリツ</t>
    </rPh>
    <rPh sb="3" eb="4">
      <t>エン</t>
    </rPh>
    <phoneticPr fontId="0"/>
  </si>
  <si>
    <t>NGUYỄN HẢI ĐĂNG</t>
  </si>
  <si>
    <t>PACKING PROCESS</t>
  </si>
  <si>
    <t>改善件名</t>
  </si>
  <si>
    <t>Decrease the packing material items cost
Decrease the process time</t>
  </si>
  <si>
    <t>Total Price
[After]
(VND)</t>
  </si>
  <si>
    <t>Total Price [Before]
(VND)</t>
  </si>
  <si>
    <t>1</t>
  </si>
  <si>
    <t>2290 x 565 x 520</t>
  </si>
  <si>
    <t>2</t>
  </si>
  <si>
    <t>2090 x 565 x 520</t>
  </si>
  <si>
    <t>3</t>
  </si>
  <si>
    <t>3090 x 600 x 450</t>
  </si>
  <si>
    <t>2M Wooden Box</t>
  </si>
  <si>
    <t>2.2M Wooden Box</t>
  </si>
  <si>
    <t>3M Wooden Box</t>
  </si>
  <si>
    <t>Box Type</t>
  </si>
  <si>
    <t>Average Price per Box (VND)</t>
  </si>
  <si>
    <t>Cycle time per Box (Second)</t>
  </si>
  <si>
    <t>* Các vấn đề về chi phí :</t>
  </si>
  <si>
    <t>* Các vấn đề liên quan đến quá trình xử lý</t>
  </si>
  <si>
    <t>(2)</t>
  </si>
  <si>
    <r>
      <rPr>
        <b/>
        <sz val="10"/>
        <rFont val="Times New Roman"/>
        <family val="1"/>
      </rPr>
      <t>(1)</t>
    </r>
    <r>
      <rPr>
        <sz val="10"/>
        <rFont val="Times New Roman"/>
        <family val="1"/>
      </rPr>
      <t xml:space="preserve"> Tiêu tốn nhiều thời gian gia cố và di chuyển thùng đóng gói.</t>
    </r>
  </si>
  <si>
    <r>
      <rPr>
        <b/>
        <sz val="10"/>
        <rFont val="Times New Roman"/>
        <family val="1"/>
      </rPr>
      <t>(2)</t>
    </r>
    <r>
      <rPr>
        <sz val="10"/>
        <rFont val="Times New Roman"/>
        <family val="1"/>
      </rPr>
      <t xml:space="preserve"> Gây bất lợi và khó khăn cho khách hàng , tốn nhiều thời gian để mở kiện hàng.</t>
    </r>
  </si>
  <si>
    <r>
      <rPr>
        <b/>
        <sz val="10"/>
        <rFont val="Times New Roman"/>
        <family val="1"/>
      </rPr>
      <t>(2)</t>
    </r>
    <r>
      <rPr>
        <sz val="10"/>
        <rFont val="Times New Roman"/>
        <family val="1"/>
        <charset val="128"/>
      </rPr>
      <t xml:space="preserve"> Kích thước lớn hơn , chiếm nhiều không gian hơn khi lưu trữ ở kho</t>
    </r>
  </si>
  <si>
    <t xml:space="preserve">       và trên phương tiện di chuyển.</t>
  </si>
  <si>
    <r>
      <rPr>
        <b/>
        <sz val="10"/>
        <rFont val="Times New Roman"/>
        <family val="1"/>
      </rPr>
      <t>(1)</t>
    </r>
    <r>
      <rPr>
        <sz val="10"/>
        <rFont val="Times New Roman"/>
        <family val="1"/>
      </rPr>
      <t xml:space="preserve"> Giảm thời thao tác cho người lao động.</t>
    </r>
  </si>
  <si>
    <r>
      <rPr>
        <b/>
        <sz val="10"/>
        <rFont val="Times New Roman"/>
        <family val="1"/>
      </rPr>
      <t>(2)</t>
    </r>
    <r>
      <rPr>
        <sz val="10"/>
        <rFont val="Times New Roman"/>
        <family val="1"/>
      </rPr>
      <t xml:space="preserve"> Thuận tiện và tiết kiệm thời gian cho khách hàng.</t>
    </r>
  </si>
  <si>
    <t xml:space="preserve">Dimension (mm)
(L x W x H)
</t>
  </si>
  <si>
    <t>(1)</t>
  </si>
  <si>
    <t>(4)</t>
  </si>
  <si>
    <t>(5</t>
  </si>
  <si>
    <t>AFTER</t>
  </si>
  <si>
    <t>BEFORE</t>
  </si>
  <si>
    <r>
      <t>(1)</t>
    </r>
    <r>
      <rPr>
        <sz val="10"/>
        <rFont val="Times New Roman"/>
        <family val="1"/>
      </rPr>
      <t xml:space="preserve"> Số lượng vật liệu và nguyên liệu cần sử dụng rất lớn.</t>
    </r>
  </si>
  <si>
    <r>
      <t>(1)</t>
    </r>
    <r>
      <rPr>
        <sz val="10"/>
        <rFont val="Times New Roman"/>
        <family val="1"/>
      </rPr>
      <t xml:space="preserve"> Giảm thiểu số lượng và khối lượng của các nguyên liệu, vật liệu.</t>
    </r>
  </si>
  <si>
    <t>Weight per Box (Kg)</t>
  </si>
  <si>
    <t>(7)</t>
  </si>
  <si>
    <t>(8)</t>
  </si>
  <si>
    <t>Weight Decrease</t>
  </si>
  <si>
    <t>Money Decrease</t>
  </si>
  <si>
    <t>Time Decrease</t>
  </si>
  <si>
    <t>(6)=(4)-(5)</t>
  </si>
  <si>
    <t>(3)=(1)-(2)</t>
  </si>
  <si>
    <t>(9)=(7)-(8)</t>
  </si>
  <si>
    <r>
      <rPr>
        <b/>
        <sz val="10"/>
        <rFont val="Times New Roman"/>
        <family val="1"/>
      </rPr>
      <t>(2)</t>
    </r>
    <r>
      <rPr>
        <sz val="10"/>
        <rFont val="Times New Roman"/>
        <family val="1"/>
        <charset val="128"/>
      </rPr>
      <t xml:space="preserve"> Kích thước nhỏ gọn , khối lượng giảm.</t>
    </r>
  </si>
  <si>
    <t>* Đặc điểm trước khi cải tiến : Thùng kín , được che chắn 6 mặt và gia cố thêm bên trong bởi các thanh gỗ.(Hình 1)</t>
  </si>
  <si>
    <t>* Đặc điểm sau khi cải tiến : Thùng hở, xung quanh giảm bớt lượng gỗ che chắn, phương pháp gia cố đơn giản hơn.(Hình 2)</t>
  </si>
  <si>
    <t>(1) Tìm kiếm những nhà cung cấp có giá bán cạnh tranh hơn.</t>
  </si>
  <si>
    <t>(2) Giảm bớt kích thước của nẹp giấy để giảm giá thành.</t>
  </si>
  <si>
    <t>(3) Đối với loại thùng 3M xuất khẩu , tăng kích thước của nắp thùng để có thể xếp các thùng hàng cao hơn , giảm không gian lưu trữ.</t>
  </si>
  <si>
    <t>改善前
Before
Trước</t>
  </si>
  <si>
    <t>改善後
After
Sau</t>
  </si>
  <si>
    <t xml:space="preserve">Kế hoạch trong tương lai </t>
  </si>
  <si>
    <t>* Tham khảo bảng 3:</t>
  </si>
  <si>
    <t>Hiệu quả cải tiến</t>
  </si>
  <si>
    <t>After
Improvement</t>
  </si>
  <si>
    <t>Before
Improvement</t>
  </si>
  <si>
    <t>Confirm</t>
  </si>
  <si>
    <t>DEPARTMENT</t>
  </si>
  <si>
    <t>Deformation
Aluminum Extrusion</t>
  </si>
  <si>
    <t>SMC VietNam</t>
  </si>
  <si>
    <t>Register No.</t>
  </si>
  <si>
    <t>MODEL</t>
  </si>
  <si>
    <t>PIC of Improvement</t>
  </si>
  <si>
    <t>Improvement Issue</t>
  </si>
  <si>
    <t>PROCESS</t>
  </si>
  <si>
    <t>SUBJECT</t>
  </si>
  <si>
    <t>IMPROVEMENT PROPOSAL</t>
  </si>
  <si>
    <t>HOLON</t>
  </si>
  <si>
    <t>DEPARTMENT ID</t>
  </si>
  <si>
    <t>FACTORY NAME</t>
  </si>
  <si>
    <t>Process/Line</t>
  </si>
  <si>
    <t>Approve</t>
  </si>
  <si>
    <t>Equipment</t>
  </si>
  <si>
    <t>JIG</t>
  </si>
  <si>
    <t>Work</t>
  </si>
  <si>
    <t>Systems</t>
  </si>
  <si>
    <t>Layout</t>
  </si>
  <si>
    <t>Quality</t>
  </si>
  <si>
    <t>Price</t>
  </si>
  <si>
    <t>Energy
Saving</t>
  </si>
  <si>
    <t>Others</t>
  </si>
  <si>
    <t>Facility</t>
  </si>
  <si>
    <t>Schedule</t>
  </si>
  <si>
    <t>Plan</t>
  </si>
  <si>
    <t>Execution</t>
  </si>
  <si>
    <t>SCHEDULES</t>
  </si>
  <si>
    <t>STATUS</t>
  </si>
  <si>
    <t>COMPLETE</t>
  </si>
  <si>
    <t>RESULT</t>
  </si>
  <si>
    <t>Implementation</t>
  </si>
  <si>
    <t>PASS　・　FAIL</t>
  </si>
  <si>
    <t>Date</t>
  </si>
  <si>
    <t>Functional division</t>
  </si>
  <si>
    <t>Budget registration No.</t>
  </si>
  <si>
    <t>Create</t>
  </si>
  <si>
    <t>Total</t>
  </si>
  <si>
    <t>Cost Down Plan(FY2024)</t>
  </si>
  <si>
    <t>Before implement</t>
  </si>
  <si>
    <t xml:space="preserve">Production </t>
  </si>
  <si>
    <t>Weight(Tons)</t>
  </si>
  <si>
    <t>Effect</t>
  </si>
  <si>
    <t>Offpeak time
Unit price = 1037(VND/kWh)</t>
  </si>
  <si>
    <t>Normal time
Unit price = 1600(VND/kWh)</t>
  </si>
  <si>
    <t>Peak Time
Unit price = 2959 (VND/kWh)</t>
  </si>
  <si>
    <t>Price (VND)</t>
  </si>
  <si>
    <t>Cost down (VND)</t>
  </si>
  <si>
    <t>Real capacity
(1)</t>
  </si>
  <si>
    <t>Hour</t>
  </si>
  <si>
    <t>Hours
(2)</t>
  </si>
  <si>
    <t>Cost
(4)=(3)*1037</t>
  </si>
  <si>
    <t>Hours
(5)</t>
  </si>
  <si>
    <t>Cost
(7)=(6)*1600</t>
  </si>
  <si>
    <t>Hours
(8)</t>
  </si>
  <si>
    <t>Cost
(10)=(9)*2959</t>
  </si>
  <si>
    <t>CASE 1</t>
  </si>
  <si>
    <t>CASE 2</t>
  </si>
  <si>
    <t>CASE 3</t>
  </si>
  <si>
    <t>CASE 4</t>
  </si>
  <si>
    <t>CASE 5</t>
  </si>
  <si>
    <t>Φ</t>
  </si>
  <si>
    <t>TIME</t>
  </si>
  <si>
    <t>OVERTIME 1</t>
  </si>
  <si>
    <t>WORKING TIME</t>
  </si>
  <si>
    <t>OVERTIME 2</t>
  </si>
  <si>
    <t>NON-WORKING TIME</t>
  </si>
  <si>
    <t>Total Heating time / day</t>
  </si>
  <si>
    <t>Production Weight/month
(Tons)</t>
  </si>
  <si>
    <t>80-100</t>
  </si>
  <si>
    <t>Case 1</t>
  </si>
  <si>
    <t>Case 2</t>
  </si>
  <si>
    <t>Case 3</t>
  </si>
  <si>
    <t>Case 4</t>
  </si>
  <si>
    <t>Case 5</t>
  </si>
  <si>
    <t>Total of power consumed</t>
  </si>
  <si>
    <t>Total power consumed/month
(kWh)</t>
  </si>
  <si>
    <t>BEFORE IMPROVEMENT</t>
  </si>
  <si>
    <t>AFTER IMPROVEMENT</t>
  </si>
  <si>
    <t>40-60</t>
  </si>
  <si>
    <t>60-80</t>
  </si>
  <si>
    <t>100-120</t>
  </si>
  <si>
    <t>120-140</t>
  </si>
  <si>
    <t>140-160</t>
  </si>
  <si>
    <t>160-180</t>
  </si>
  <si>
    <t>180-200</t>
  </si>
  <si>
    <t>200-220</t>
  </si>
  <si>
    <t>Aging Furnace Quantity</t>
  </si>
  <si>
    <t>20-40</t>
  </si>
  <si>
    <t xml:space="preserve">Cost Down/Month
(kVND)
</t>
  </si>
  <si>
    <t>Cost(kVND)</t>
  </si>
  <si>
    <t>C/D(kVND)</t>
  </si>
  <si>
    <t>After implement</t>
  </si>
  <si>
    <t>Total price/month
(kVND)
After implement</t>
  </si>
  <si>
    <t>Total price/month
(kVND)
Before implement</t>
  </si>
  <si>
    <t>ESTIMATE THE POWER CONSUMED AND PRICE FOR 1 AGING FURNACE ( TOTALY 2 AGING FURNACE )</t>
  </si>
  <si>
    <t>TOTAL PRICE PER MONTH (THESE VALUE DEPEND ON PRODUCTION WEIGHT PER MONTH)</t>
  </si>
  <si>
    <t>kWh</t>
  </si>
  <si>
    <t>Power (kWh)</t>
  </si>
  <si>
    <t>Average : 
20 day/ month</t>
  </si>
  <si>
    <t>Power consumption
(6)=(1)*(5)</t>
  </si>
  <si>
    <t>Power consumption
(3)=(1)*(2)</t>
  </si>
  <si>
    <t>Power consumption
(9)=(1)*(8)</t>
  </si>
  <si>
    <r>
      <t>And in these time, the price of electricity cosmumption are very high (</t>
    </r>
    <r>
      <rPr>
        <b/>
        <sz val="10"/>
        <rFont val="Times New Roman"/>
        <family val="1"/>
      </rPr>
      <t>1600 VND to 2959 VND</t>
    </r>
    <r>
      <rPr>
        <sz val="10"/>
        <rFont val="Times New Roman"/>
        <family val="1"/>
      </rPr>
      <t>).</t>
    </r>
  </si>
  <si>
    <t>Therefore, we propose a solution to reduce electricity consumption to reduce costs.</t>
  </si>
  <si>
    <r>
      <t xml:space="preserve">We calculated and estimated the diffenrent of price in </t>
    </r>
    <r>
      <rPr>
        <b/>
        <sz val="10"/>
        <rFont val="Times New Roman"/>
        <family val="1"/>
      </rPr>
      <t>5 case</t>
    </r>
    <r>
      <rPr>
        <sz val="10"/>
        <rFont val="Times New Roman"/>
        <family val="1"/>
      </rPr>
      <t xml:space="preserve"> of Aging in a working day.</t>
    </r>
  </si>
  <si>
    <t>Improvement Description</t>
  </si>
  <si>
    <r>
      <t xml:space="preserve">It take </t>
    </r>
    <r>
      <rPr>
        <b/>
        <sz val="10"/>
        <rFont val="Times New Roman"/>
        <family val="1"/>
      </rPr>
      <t>5 hours</t>
    </r>
    <r>
      <rPr>
        <sz val="10"/>
        <rFont val="Times New Roman"/>
        <family val="1"/>
      </rPr>
      <t xml:space="preserve"> for </t>
    </r>
    <r>
      <rPr>
        <b/>
        <sz val="10"/>
        <rFont val="Times New Roman"/>
        <family val="1"/>
      </rPr>
      <t>T5</t>
    </r>
    <r>
      <rPr>
        <sz val="10"/>
        <rFont val="Times New Roman"/>
        <family val="1"/>
      </rPr>
      <t xml:space="preserve"> process and </t>
    </r>
    <r>
      <rPr>
        <b/>
        <sz val="10"/>
        <rFont val="Times New Roman"/>
        <family val="1"/>
      </rPr>
      <t>10 hours</t>
    </r>
    <r>
      <rPr>
        <sz val="10"/>
        <rFont val="Times New Roman"/>
        <family val="1"/>
      </rPr>
      <t xml:space="preserve"> for </t>
    </r>
    <r>
      <rPr>
        <b/>
        <sz val="10"/>
        <rFont val="Times New Roman"/>
        <family val="1"/>
      </rPr>
      <t>T6</t>
    </r>
    <r>
      <rPr>
        <sz val="10"/>
        <rFont val="Times New Roman"/>
        <family val="1"/>
      </rPr>
      <t xml:space="preserve"> process of Heating.</t>
    </r>
  </si>
  <si>
    <t xml:space="preserve"> of aluminum extrusion products.</t>
  </si>
  <si>
    <t>The Aging Furnace using for heat treatment , improve the hardness and mechanical properties</t>
  </si>
  <si>
    <t>Method : We will operate aging furnace in the time with the lowest electricity consumption price.</t>
  </si>
  <si>
    <t>Because of long heating time and high temperature , 2 aging furnace consumed a lot of electricity energy.</t>
  </si>
  <si>
    <t>Data are summarized in the below table :</t>
  </si>
  <si>
    <t>We will operate both of aging furnace in the appropriate time to reduce the price of electricity consumption.</t>
  </si>
  <si>
    <r>
      <t xml:space="preserve">The </t>
    </r>
    <r>
      <rPr>
        <b/>
        <sz val="10"/>
        <rFont val="Times New Roman"/>
        <family val="1"/>
      </rPr>
      <t>Average power consumption</t>
    </r>
    <r>
      <rPr>
        <sz val="10"/>
        <rFont val="Times New Roman"/>
        <family val="1"/>
      </rPr>
      <t xml:space="preserve"> of Aging furnace are estimate depend on data of </t>
    </r>
    <r>
      <rPr>
        <b/>
        <sz val="10"/>
        <rFont val="Times New Roman"/>
        <family val="1"/>
      </rPr>
      <t>2022</t>
    </r>
    <r>
      <rPr>
        <sz val="10"/>
        <rFont val="Times New Roman"/>
        <family val="1"/>
      </rPr>
      <t xml:space="preserve"> and </t>
    </r>
    <r>
      <rPr>
        <b/>
        <sz val="10"/>
        <rFont val="Times New Roman"/>
        <family val="1"/>
      </rPr>
      <t>2023</t>
    </r>
    <r>
      <rPr>
        <sz val="10"/>
        <rFont val="Times New Roman"/>
        <family val="1"/>
      </rPr>
      <t>.</t>
    </r>
  </si>
  <si>
    <t>Average power consumption
(kW/h)</t>
  </si>
  <si>
    <r>
      <t>Initially, The aging process for both of furnace were executed in the administrative shift (</t>
    </r>
    <r>
      <rPr>
        <b/>
        <sz val="10"/>
        <rFont val="Times New Roman"/>
        <family val="1"/>
      </rPr>
      <t>7h45 to 16h30</t>
    </r>
    <r>
      <rPr>
        <sz val="10"/>
        <rFont val="Times New Roman"/>
        <family val="1"/>
      </rPr>
      <t xml:space="preserve">), and the heating also finished at </t>
    </r>
    <r>
      <rPr>
        <b/>
        <sz val="10"/>
        <rFont val="Times New Roman"/>
        <family val="1"/>
      </rPr>
      <t>2 am</t>
    </r>
    <r>
      <rPr>
        <sz val="10"/>
        <rFont val="Times New Roman"/>
        <family val="1"/>
      </rPr>
      <t xml:space="preserve"> of the next day.</t>
    </r>
  </si>
  <si>
    <t>2024/03</t>
  </si>
  <si>
    <t>A00679</t>
  </si>
  <si>
    <t>Calculate :12/2023</t>
  </si>
  <si>
    <t>Testing: 01/2024</t>
  </si>
  <si>
    <t>Implement:3/2024</t>
  </si>
  <si>
    <t>N08</t>
  </si>
  <si>
    <t>COST DOWN THE ELECTRICITY CONSUMPTION OF AGING FURNACE</t>
  </si>
  <si>
    <t>Cost down</t>
  </si>
  <si>
    <r>
      <rPr>
        <b/>
        <sz val="11"/>
        <color theme="1"/>
        <rFont val="Calibri"/>
        <family val="2"/>
        <scheme val="minor"/>
      </rPr>
      <t xml:space="preserve">Total price
kVND/Day
</t>
    </r>
    <r>
      <rPr>
        <sz val="11"/>
        <color theme="1"/>
        <rFont val="Calibri"/>
        <family val="2"/>
        <scheme val="minor"/>
      </rPr>
      <t xml:space="preserve">
(11)=(4)+(6)+(10)</t>
    </r>
  </si>
  <si>
    <t>Heat treatment Process</t>
  </si>
  <si>
    <t>T5</t>
  </si>
  <si>
    <t>T6</t>
  </si>
  <si>
    <t>Total Heating time</t>
  </si>
  <si>
    <t>Temperature</t>
  </si>
  <si>
    <t>5 hour</t>
  </si>
  <si>
    <t>10 hour</t>
  </si>
  <si>
    <t>200 °C</t>
  </si>
  <si>
    <t>175 °C</t>
  </si>
  <si>
    <r>
      <rPr>
        <sz val="12"/>
        <rFont val="Times New Roman"/>
        <family val="1"/>
      </rPr>
      <t>Total cost down in 2024</t>
    </r>
    <r>
      <rPr>
        <b/>
        <sz val="12"/>
        <rFont val="Times New Roman"/>
        <family val="1"/>
      </rPr>
      <t xml:space="preserve">                 : 303,691 kVND</t>
    </r>
  </si>
  <si>
    <r>
      <rPr>
        <sz val="12"/>
        <rFont val="Times New Roman"/>
        <family val="1"/>
      </rPr>
      <t>Average cost after Improvement</t>
    </r>
    <r>
      <rPr>
        <b/>
        <sz val="12"/>
        <rFont val="Times New Roman"/>
        <family val="1"/>
      </rPr>
      <t xml:space="preserve">     = 743,063(kVND)  ÷  2012(tons)   = 369.3161  kVND/ton</t>
    </r>
  </si>
  <si>
    <r>
      <rPr>
        <sz val="12"/>
        <rFont val="Times New Roman"/>
        <family val="1"/>
      </rPr>
      <t>Average cost before Improvement</t>
    </r>
    <r>
      <rPr>
        <b/>
        <sz val="12"/>
        <rFont val="Times New Roman"/>
        <family val="1"/>
      </rPr>
      <t xml:space="preserve">  = 1,046,754(kVND) ÷ 2012(tons) = 520.25546 kVND/ton</t>
    </r>
  </si>
  <si>
    <r>
      <rPr>
        <sz val="12"/>
        <rFont val="Times New Roman"/>
        <family val="1"/>
      </rPr>
      <t xml:space="preserve">Estimate the cost down in 2024      </t>
    </r>
    <r>
      <rPr>
        <b/>
        <sz val="12"/>
        <rFont val="Times New Roman"/>
        <family val="1"/>
      </rPr>
      <t xml:space="preserve"> = 303,691(kVND)  ÷  2012(tons)   = 150.93936 kVND/ton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</si>
</sst>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00"/>
    <numFmt numFmtId="165" formatCode="&quot;¥&quot;#,##0;[Red]&quot;¥&quot;\-#,##0"/>
    <numFmt numFmtId="166" formatCode="&quot;¥&quot;#,##0.00;[Red]&quot;¥&quot;\-#,##0.00"/>
    <numFmt numFmtId="167" formatCode="_-* #,##0_-;\-* #,##0_-;_-* &quot;-&quot;_-;_-@_-"/>
    <numFmt numFmtId="168" formatCode="_(* #,##0_);_(* \(#,##0\);_(* &quot;-&quot;??_);_(@_)"/>
  </numFmts>
  <fonts count="112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0"/>
      <color theme="1"/>
      <name val="Times New Roman"/>
      <family val="1"/>
    </font>
    <font>
      <b/>
      <sz val="14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8"/>
      <color theme="1"/>
      <name val="Times New Roman"/>
      <family val="1"/>
    </font>
    <font>
      <sz val="11"/>
      <name val="ＭＳ Ｐゴシック"/>
      <family val="3"/>
      <charset val="128"/>
    </font>
    <font>
      <u/>
      <sz val="11"/>
      <name val="HG丸ｺﾞｼｯｸM-PRO"/>
      <family val="3"/>
      <charset val="128"/>
    </font>
    <font>
      <sz val="9"/>
      <name val="ＭＳ Ｐゴシック"/>
      <family val="3"/>
      <charset val="128"/>
    </font>
    <font>
      <sz val="8"/>
      <name val="ＭＳ Ｐゴシック"/>
      <family val="3"/>
      <charset val="128"/>
    </font>
    <font>
      <sz val="14"/>
      <name val="ＭＳ Ｐゴシック"/>
      <family val="3"/>
      <charset val="128"/>
    </font>
    <font>
      <b/>
      <sz val="14"/>
      <color rgb="FFFF0000"/>
      <name val="ＭＳ Ｐゴシック"/>
      <family val="3"/>
      <charset val="128"/>
    </font>
    <font>
      <sz val="11"/>
      <name val="明朝"/>
      <family val="3"/>
      <charset val="128"/>
    </font>
    <font>
      <sz val="11"/>
      <color theme="0"/>
      <name val="ＭＳ Ｐゴシック"/>
      <family val="3"/>
      <charset val="128"/>
    </font>
    <font>
      <sz val="12"/>
      <name val="明朝"/>
      <family val="3"/>
      <charset val="128"/>
    </font>
    <font>
      <sz val="12"/>
      <color indexed="8"/>
      <name val="ＭＳ Ｐゴシック"/>
      <family val="3"/>
      <charset val="128"/>
    </font>
    <font>
      <b/>
      <sz val="16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18"/>
      <color rgb="FFFF0000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12"/>
      <color rgb="FFFF000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color theme="1"/>
      <name val="Arial"/>
      <family val="2"/>
    </font>
    <font>
      <sz val="9"/>
      <color theme="1"/>
      <name val="ＭＳ Ｐゴシック"/>
      <family val="3"/>
      <charset val="128"/>
    </font>
    <font>
      <sz val="8"/>
      <color theme="1"/>
      <name val="ＭＳ Ｐゴシック"/>
      <family val="3"/>
      <charset val="128"/>
    </font>
    <font>
      <sz val="16"/>
      <color indexed="1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4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0"/>
      <name val="Times New Roman"/>
      <family val="1"/>
    </font>
    <font>
      <sz val="9"/>
      <name val="ＭＳ Ｐ明朝"/>
      <family val="1"/>
      <charset val="128"/>
    </font>
    <font>
      <sz val="11"/>
      <name val="HG丸ｺﾞｼｯｸM-PRO"/>
      <family val="3"/>
      <charset val="128"/>
    </font>
    <font>
      <sz val="10"/>
      <name val="Times New Roman"/>
      <family val="1"/>
      <charset val="128"/>
    </font>
    <font>
      <sz val="11"/>
      <color rgb="FFFF0000"/>
      <name val="ＭＳ Ｐゴシック"/>
      <family val="3"/>
      <charset val="128"/>
    </font>
    <font>
      <sz val="12"/>
      <color theme="9" tint="0.79998168889431442"/>
      <name val="ＭＳ Ｐゴシック"/>
      <family val="3"/>
      <charset val="128"/>
    </font>
    <font>
      <sz val="14"/>
      <color rgb="FFFF0000"/>
      <name val="ＭＳ Ｐゴシック"/>
      <family val="3"/>
      <charset val="128"/>
    </font>
    <font>
      <b/>
      <sz val="11"/>
      <name val="HG丸ｺﾞｼｯｸM-PRO"/>
      <family val="3"/>
      <charset val="128"/>
    </font>
    <font>
      <sz val="10"/>
      <name val="Times New Roman"/>
      <family val="2"/>
    </font>
    <font>
      <sz val="12"/>
      <name val="HG丸ｺﾞｼｯｸM-PRO"/>
      <family val="3"/>
      <charset val="128"/>
    </font>
    <font>
      <sz val="11"/>
      <name val="Times New Roman"/>
      <family val="2"/>
    </font>
    <font>
      <sz val="9"/>
      <name val="Times New Roman"/>
      <family val="1"/>
    </font>
    <font>
      <sz val="14"/>
      <name val="明朝"/>
      <family val="1"/>
      <charset val="128"/>
    </font>
    <font>
      <sz val="12"/>
      <color theme="4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sz val="12"/>
      <color indexed="10"/>
      <name val="ＭＳ Ｐゴシック"/>
      <family val="3"/>
      <charset val="128"/>
    </font>
    <font>
      <b/>
      <sz val="14"/>
      <color indexed="81"/>
      <name val="ＭＳ Ｐゴシック"/>
      <family val="3"/>
      <charset val="128"/>
    </font>
    <font>
      <b/>
      <sz val="10"/>
      <color indexed="81"/>
      <name val="ＭＳ Ｐゴシック"/>
      <family val="3"/>
      <charset val="128"/>
    </font>
    <font>
      <b/>
      <sz val="10"/>
      <name val="Times New Roman"/>
      <family val="1"/>
    </font>
    <font>
      <b/>
      <sz val="16"/>
      <name val="Times New Roman"/>
      <family val="1"/>
    </font>
    <font>
      <b/>
      <sz val="14"/>
      <name val="Times New Roman"/>
      <family val="1"/>
    </font>
    <font>
      <b/>
      <sz val="12"/>
      <color rgb="FFFF0000"/>
      <name val="Times New Roman"/>
      <family val="1"/>
    </font>
    <font>
      <b/>
      <sz val="7"/>
      <name val="Times New Roman"/>
      <family val="1"/>
    </font>
    <font>
      <b/>
      <sz val="11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color indexed="10"/>
      <name val="ＭＳ Ｐゴシック"/>
      <family val="3"/>
      <charset val="128"/>
    </font>
    <font>
      <sz val="10"/>
      <name val="Arial"/>
      <family val="2"/>
    </font>
    <font>
      <b/>
      <sz val="8"/>
      <name val="Arial"/>
      <family val="2"/>
    </font>
    <font>
      <sz val="10"/>
      <color indexed="8"/>
      <name val="MS Sans Serif"/>
      <family val="2"/>
    </font>
    <font>
      <sz val="12"/>
      <name val="ＭＳ 明朝"/>
      <family val="1"/>
      <charset val="128"/>
    </font>
    <font>
      <sz val="14"/>
      <name val="ＭＳ 明朝"/>
      <family val="1"/>
      <charset val="128"/>
    </font>
    <font>
      <sz val="12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2"/>
      <color indexed="9"/>
      <name val="ＭＳ Ｐゴシック"/>
      <family val="3"/>
      <charset val="128"/>
    </font>
    <font>
      <sz val="12"/>
      <color indexed="19"/>
      <name val="ＭＳ Ｐゴシック"/>
      <family val="3"/>
      <charset val="128"/>
    </font>
    <font>
      <sz val="12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2"/>
      <color indexed="8"/>
      <name val="ＭＳ Ｐゴシック"/>
      <family val="3"/>
      <charset val="128"/>
    </font>
    <font>
      <b/>
      <sz val="12"/>
      <color indexed="63"/>
      <name val="ＭＳ Ｐゴシック"/>
      <family val="3"/>
      <charset val="128"/>
    </font>
    <font>
      <i/>
      <sz val="12"/>
      <color indexed="23"/>
      <name val="ＭＳ Ｐゴシック"/>
      <family val="3"/>
      <charset val="128"/>
    </font>
    <font>
      <sz val="12"/>
      <color indexed="62"/>
      <name val="ＭＳ Ｐゴシック"/>
      <family val="3"/>
      <charset val="128"/>
    </font>
    <font>
      <sz val="12"/>
      <color indexed="17"/>
      <name val="ＭＳ Ｐゴシック"/>
      <family val="3"/>
      <charset val="128"/>
    </font>
    <font>
      <sz val="11"/>
      <color theme="1"/>
      <name val="Calibri"/>
      <family val="2"/>
      <charset val="163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2"/>
      <color theme="1"/>
      <name val="HG丸ｺﾞｼｯｸM-PRO"/>
      <family val="2"/>
      <charset val="128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name val="Times New Roman"/>
      <family val="1"/>
    </font>
    <font>
      <sz val="11"/>
      <name val="Times New Roman"/>
      <family val="1"/>
    </font>
    <font>
      <sz val="11"/>
      <color theme="0"/>
      <name val="Times New Roman"/>
      <family val="1"/>
    </font>
    <font>
      <sz val="12"/>
      <color indexed="8"/>
      <name val="Times New Roman"/>
      <family val="1"/>
    </font>
    <font>
      <sz val="14"/>
      <name val="Times New Roman"/>
      <family val="1"/>
    </font>
    <font>
      <b/>
      <sz val="18"/>
      <color rgb="FFFF0000"/>
      <name val="Times New Roman"/>
      <family val="1"/>
    </font>
    <font>
      <sz val="12"/>
      <color rgb="FFFF0000"/>
      <name val="Times New Roman"/>
      <family val="1"/>
    </font>
    <font>
      <sz val="9"/>
      <color theme="1"/>
      <name val="Times New Roman"/>
      <family val="1"/>
    </font>
    <font>
      <sz val="8"/>
      <color theme="1"/>
      <name val="Times New Roman"/>
      <family val="1"/>
    </font>
    <font>
      <sz val="16"/>
      <color indexed="10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4"/>
      <color rgb="FFFF0000"/>
      <name val="Times New Roman"/>
      <family val="1"/>
    </font>
    <font>
      <sz val="11"/>
      <color rgb="FFFF0000"/>
      <name val="Times New Roman"/>
      <family val="1"/>
    </font>
    <font>
      <sz val="12"/>
      <color theme="9" tint="0.79998168889431442"/>
      <name val="Times New Roman"/>
      <family val="1"/>
    </font>
    <font>
      <sz val="12"/>
      <color theme="4"/>
      <name val="Times New Roman"/>
      <family val="1"/>
    </font>
    <font>
      <sz val="10"/>
      <color rgb="FFFF0000"/>
      <name val="Times New Roman"/>
      <family val="1"/>
    </font>
    <font>
      <sz val="12"/>
      <color indexed="10"/>
      <name val="Times New Roman"/>
      <family val="1"/>
    </font>
    <font>
      <sz val="24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</fills>
  <borders count="14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</borders>
  <cellStyleXfs count="71">
    <xf numFmtId="0" fontId="0" fillId="0" borderId="0"/>
    <xf numFmtId="0" fontId="8" fillId="0" borderId="0"/>
    <xf numFmtId="0" fontId="14" fillId="0" borderId="0"/>
    <xf numFmtId="0" fontId="14" fillId="0" borderId="0"/>
    <xf numFmtId="0" fontId="8" fillId="0" borderId="0">
      <alignment vertical="center"/>
    </xf>
    <xf numFmtId="0" fontId="8" fillId="0" borderId="0">
      <alignment vertical="center"/>
    </xf>
    <xf numFmtId="0" fontId="14" fillId="0" borderId="0"/>
    <xf numFmtId="0" fontId="8" fillId="0" borderId="0">
      <alignment vertical="center"/>
    </xf>
    <xf numFmtId="38" fontId="14" fillId="0" borderId="0" applyFont="0" applyFill="0" applyBorder="0" applyAlignment="0" applyProtection="0"/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66" fillId="16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6" fillId="20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66" fillId="16" borderId="0" applyNumberFormat="0" applyBorder="0" applyAlignment="0" applyProtection="0">
      <alignment vertical="center"/>
    </xf>
    <xf numFmtId="0" fontId="66" fillId="13" borderId="0" applyNumberFormat="0" applyBorder="0" applyAlignment="0" applyProtection="0">
      <alignment vertical="center"/>
    </xf>
    <xf numFmtId="0" fontId="62" fillId="0" borderId="11">
      <alignment horizontal="center"/>
    </xf>
    <xf numFmtId="0" fontId="66" fillId="21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6" fillId="20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8" fillId="0" borderId="0"/>
    <xf numFmtId="0" fontId="63" fillId="0" borderId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61" fillId="0" borderId="0"/>
    <xf numFmtId="0" fontId="67" fillId="0" borderId="0" applyNumberFormat="0" applyFill="0" applyBorder="0" applyAlignment="0" applyProtection="0">
      <alignment vertical="center"/>
    </xf>
    <xf numFmtId="0" fontId="68" fillId="25" borderId="112" applyNumberFormat="0" applyAlignment="0" applyProtection="0">
      <alignment vertical="center"/>
    </xf>
    <xf numFmtId="0" fontId="69" fillId="17" borderId="0" applyNumberFormat="0" applyBorder="0" applyAlignment="0" applyProtection="0">
      <alignment vertical="center"/>
    </xf>
    <xf numFmtId="38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0" fontId="64" fillId="14" borderId="113" applyNumberFormat="0" applyFont="0" applyAlignment="0" applyProtection="0">
      <alignment vertical="center"/>
    </xf>
    <xf numFmtId="0" fontId="49" fillId="0" borderId="114" applyNumberFormat="0" applyFill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60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71" fillId="0" borderId="116" applyNumberFormat="0" applyFill="0" applyAlignment="0" applyProtection="0">
      <alignment vertical="center"/>
    </xf>
    <xf numFmtId="0" fontId="72" fillId="0" borderId="117" applyNumberFormat="0" applyFill="0" applyAlignment="0" applyProtection="0">
      <alignment vertical="center"/>
    </xf>
    <xf numFmtId="0" fontId="73" fillId="0" borderId="118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119" applyNumberFormat="0" applyFill="0" applyAlignment="0" applyProtection="0">
      <alignment vertical="center"/>
    </xf>
    <xf numFmtId="0" fontId="75" fillId="27" borderId="120" applyNumberForma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17" borderId="115" applyNumberFormat="0" applyAlignment="0" applyProtection="0">
      <alignment vertical="center"/>
    </xf>
    <xf numFmtId="0" fontId="64" fillId="0" borderId="0"/>
    <xf numFmtId="0" fontId="65" fillId="0" borderId="0"/>
    <xf numFmtId="0" fontId="78" fillId="16" borderId="0" applyNumberFormat="0" applyBorder="0" applyAlignment="0" applyProtection="0">
      <alignment vertical="center"/>
    </xf>
    <xf numFmtId="0" fontId="14" fillId="0" borderId="0"/>
    <xf numFmtId="0" fontId="7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1" fillId="0" borderId="0" applyFont="0" applyFill="0" applyBorder="0" applyAlignment="0" applyProtection="0"/>
    <xf numFmtId="9" fontId="81" fillId="0" borderId="0" applyFont="0" applyFill="0" applyBorder="0" applyAlignment="0" applyProtection="0"/>
    <xf numFmtId="43" fontId="81" fillId="0" borderId="0" applyFont="0" applyFill="0" applyBorder="0" applyAlignment="0" applyProtection="0"/>
    <xf numFmtId="0" fontId="82" fillId="0" borderId="0"/>
    <xf numFmtId="167" fontId="82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1" fillId="0" borderId="0" applyFont="0" applyFill="0" applyBorder="0" applyAlignment="0" applyProtection="0"/>
  </cellStyleXfs>
  <cellXfs count="901">
    <xf numFmtId="0" fontId="0" fillId="0" borderId="0" xfId="0"/>
    <xf numFmtId="0" fontId="1" fillId="0" borderId="0" xfId="0" applyFont="1"/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3" fontId="3" fillId="2" borderId="7" xfId="0" applyNumberFormat="1" applyFont="1" applyFill="1" applyBorder="1" applyAlignment="1">
      <alignment horizontal="center" vertical="center" wrapText="1"/>
    </xf>
    <xf numFmtId="3" fontId="3" fillId="2" borderId="10" xfId="0" applyNumberFormat="1" applyFont="1" applyFill="1" applyBorder="1" applyAlignment="1">
      <alignment horizontal="center" vertical="center" wrapText="1"/>
    </xf>
    <xf numFmtId="3" fontId="3" fillId="0" borderId="7" xfId="0" applyNumberFormat="1" applyFont="1" applyBorder="1" applyAlignment="1">
      <alignment horizontal="center" vertical="center" wrapText="1"/>
    </xf>
    <xf numFmtId="3" fontId="3" fillId="0" borderId="10" xfId="0" applyNumberFormat="1" applyFont="1" applyBorder="1" applyAlignment="1">
      <alignment horizontal="center" vertical="center" wrapText="1"/>
    </xf>
    <xf numFmtId="3" fontId="3" fillId="2" borderId="11" xfId="0" applyNumberFormat="1" applyFont="1" applyFill="1" applyBorder="1" applyAlignment="1">
      <alignment horizontal="center" vertical="center" wrapText="1"/>
    </xf>
    <xf numFmtId="3" fontId="3" fillId="2" borderId="12" xfId="0" applyNumberFormat="1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4" fontId="1" fillId="2" borderId="7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164" fontId="1" fillId="3" borderId="7" xfId="0" applyNumberFormat="1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64" fontId="5" fillId="2" borderId="7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164" fontId="1" fillId="0" borderId="2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3" fontId="1" fillId="0" borderId="0" xfId="0" applyNumberFormat="1" applyFont="1"/>
    <xf numFmtId="3" fontId="1" fillId="0" borderId="7" xfId="0" applyNumberFormat="1" applyFont="1" applyBorder="1"/>
    <xf numFmtId="0" fontId="2" fillId="2" borderId="7" xfId="0" applyFont="1" applyFill="1" applyBorder="1" applyAlignment="1">
      <alignment horizontal="center" vertical="center" wrapText="1"/>
    </xf>
    <xf numFmtId="3" fontId="1" fillId="0" borderId="10" xfId="0" applyNumberFormat="1" applyFont="1" applyBorder="1"/>
    <xf numFmtId="3" fontId="6" fillId="4" borderId="24" xfId="0" applyNumberFormat="1" applyFont="1" applyFill="1" applyBorder="1"/>
    <xf numFmtId="3" fontId="6" fillId="4" borderId="25" xfId="0" applyNumberFormat="1" applyFont="1" applyFill="1" applyBorder="1"/>
    <xf numFmtId="3" fontId="2" fillId="0" borderId="7" xfId="0" applyNumberFormat="1" applyFont="1" applyBorder="1" applyAlignment="1">
      <alignment horizontal="center" vertical="center" wrapText="1"/>
    </xf>
    <xf numFmtId="3" fontId="2" fillId="0" borderId="10" xfId="0" applyNumberFormat="1" applyFont="1" applyBorder="1" applyAlignment="1">
      <alignment horizontal="center" vertical="center" wrapText="1"/>
    </xf>
    <xf numFmtId="3" fontId="6" fillId="5" borderId="23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3" fontId="6" fillId="5" borderId="26" xfId="0" applyNumberFormat="1" applyFont="1" applyFill="1" applyBorder="1"/>
    <xf numFmtId="3" fontId="6" fillId="5" borderId="27" xfId="0" applyNumberFormat="1" applyFont="1" applyFill="1" applyBorder="1"/>
    <xf numFmtId="0" fontId="2" fillId="0" borderId="2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1" fontId="2" fillId="2" borderId="16" xfId="0" applyNumberFormat="1" applyFont="1" applyFill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1" fontId="2" fillId="2" borderId="18" xfId="0" applyNumberFormat="1" applyFont="1" applyFill="1" applyBorder="1" applyAlignment="1">
      <alignment horizontal="center" vertical="center"/>
    </xf>
    <xf numFmtId="1" fontId="2" fillId="2" borderId="19" xfId="0" applyNumberFormat="1" applyFont="1" applyFill="1" applyBorder="1" applyAlignment="1">
      <alignment horizontal="center" vertical="center"/>
    </xf>
    <xf numFmtId="1" fontId="6" fillId="2" borderId="19" xfId="0" applyNumberFormat="1" applyFont="1" applyFill="1" applyBorder="1" applyAlignment="1">
      <alignment horizontal="center" vertical="center"/>
    </xf>
    <xf numFmtId="1" fontId="2" fillId="2" borderId="20" xfId="0" applyNumberFormat="1" applyFont="1" applyFill="1" applyBorder="1" applyAlignment="1">
      <alignment horizontal="center" vertical="center"/>
    </xf>
    <xf numFmtId="3" fontId="1" fillId="0" borderId="29" xfId="0" applyNumberFormat="1" applyFont="1" applyBorder="1"/>
    <xf numFmtId="0" fontId="6" fillId="4" borderId="23" xfId="0" applyFont="1" applyFill="1" applyBorder="1" applyAlignment="1">
      <alignment horizontal="center" vertical="center" wrapText="1"/>
    </xf>
    <xf numFmtId="3" fontId="1" fillId="0" borderId="31" xfId="0" applyNumberFormat="1" applyFont="1" applyBorder="1" applyAlignment="1">
      <alignment horizontal="center" vertical="center" wrapText="1"/>
    </xf>
    <xf numFmtId="3" fontId="2" fillId="3" borderId="22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/>
    <xf numFmtId="3" fontId="2" fillId="3" borderId="7" xfId="0" applyNumberFormat="1" applyFont="1" applyFill="1" applyBorder="1"/>
    <xf numFmtId="49" fontId="9" fillId="0" borderId="32" xfId="1" applyNumberFormat="1" applyFont="1" applyBorder="1" applyAlignment="1">
      <alignment vertical="center"/>
    </xf>
    <xf numFmtId="49" fontId="10" fillId="0" borderId="33" xfId="1" applyNumberFormat="1" applyFont="1" applyBorder="1" applyAlignment="1">
      <alignment horizontal="center" vertical="center"/>
    </xf>
    <xf numFmtId="49" fontId="10" fillId="0" borderId="34" xfId="1" applyNumberFormat="1" applyFont="1" applyBorder="1" applyAlignment="1">
      <alignment horizontal="center" vertical="center"/>
    </xf>
    <xf numFmtId="49" fontId="11" fillId="0" borderId="0" xfId="1" applyNumberFormat="1" applyFont="1" applyAlignment="1">
      <alignment horizontal="center" vertical="center"/>
    </xf>
    <xf numFmtId="49" fontId="8" fillId="0" borderId="0" xfId="1" applyNumberFormat="1" applyAlignment="1">
      <alignment vertical="center"/>
    </xf>
    <xf numFmtId="49" fontId="8" fillId="6" borderId="35" xfId="1" applyNumberFormat="1" applyFill="1" applyBorder="1" applyAlignment="1">
      <alignment horizontal="center" vertical="center"/>
    </xf>
    <xf numFmtId="49" fontId="8" fillId="6" borderId="7" xfId="1" applyNumberFormat="1" applyFill="1" applyBorder="1" applyAlignment="1">
      <alignment horizontal="center" vertical="center"/>
    </xf>
    <xf numFmtId="49" fontId="8" fillId="6" borderId="0" xfId="1" applyNumberFormat="1" applyFill="1" applyAlignment="1">
      <alignment vertical="center"/>
    </xf>
    <xf numFmtId="49" fontId="8" fillId="6" borderId="7" xfId="1" applyNumberFormat="1" applyFill="1" applyBorder="1" applyAlignment="1">
      <alignment horizontal="distributed" vertical="center" justifyLastLine="1"/>
    </xf>
    <xf numFmtId="49" fontId="8" fillId="0" borderId="36" xfId="1" applyNumberFormat="1" applyBorder="1" applyAlignment="1">
      <alignment vertical="center"/>
    </xf>
    <xf numFmtId="49" fontId="13" fillId="8" borderId="37" xfId="1" applyNumberFormat="1" applyFont="1" applyFill="1" applyBorder="1" applyAlignment="1">
      <alignment horizontal="center" vertical="center"/>
    </xf>
    <xf numFmtId="49" fontId="8" fillId="6" borderId="11" xfId="1" applyNumberFormat="1" applyFill="1" applyBorder="1" applyAlignment="1">
      <alignment horizontal="center" vertical="center"/>
    </xf>
    <xf numFmtId="49" fontId="8" fillId="6" borderId="11" xfId="1" applyNumberFormat="1" applyFill="1" applyBorder="1" applyAlignment="1">
      <alignment horizontal="distributed" vertical="center" justifyLastLine="1"/>
    </xf>
    <xf numFmtId="49" fontId="8" fillId="0" borderId="36" xfId="2" applyNumberFormat="1" applyFont="1" applyBorder="1" applyAlignment="1">
      <alignment vertical="center" wrapText="1"/>
    </xf>
    <xf numFmtId="49" fontId="14" fillId="0" borderId="0" xfId="3" applyNumberFormat="1"/>
    <xf numFmtId="49" fontId="15" fillId="0" borderId="37" xfId="1" applyNumberFormat="1" applyFont="1" applyBorder="1" applyAlignment="1">
      <alignment horizontal="center" vertical="center"/>
    </xf>
    <xf numFmtId="49" fontId="8" fillId="6" borderId="35" xfId="1" applyNumberFormat="1" applyFill="1" applyBorder="1" applyAlignment="1">
      <alignment vertical="center"/>
    </xf>
    <xf numFmtId="49" fontId="8" fillId="6" borderId="8" xfId="1" applyNumberFormat="1" applyFill="1" applyBorder="1" applyAlignment="1">
      <alignment vertical="center"/>
    </xf>
    <xf numFmtId="49" fontId="8" fillId="6" borderId="8" xfId="1" applyNumberFormat="1" applyFill="1" applyBorder="1" applyAlignment="1">
      <alignment horizontal="center" vertical="center" wrapText="1"/>
    </xf>
    <xf numFmtId="49" fontId="16" fillId="0" borderId="38" xfId="2" applyNumberFormat="1" applyFont="1" applyBorder="1" applyAlignment="1">
      <alignment vertical="center"/>
    </xf>
    <xf numFmtId="49" fontId="18" fillId="0" borderId="14" xfId="4" quotePrefix="1" applyNumberFormat="1" applyFont="1" applyBorder="1" applyAlignment="1">
      <alignment horizontal="left" vertical="center"/>
    </xf>
    <xf numFmtId="49" fontId="19" fillId="0" borderId="14" xfId="1" applyNumberFormat="1" applyFont="1" applyBorder="1" applyAlignment="1">
      <alignment vertical="center"/>
    </xf>
    <xf numFmtId="49" fontId="20" fillId="0" borderId="14" xfId="1" applyNumberFormat="1" applyFont="1" applyBorder="1" applyAlignment="1">
      <alignment vertical="center"/>
    </xf>
    <xf numFmtId="49" fontId="20" fillId="0" borderId="15" xfId="1" applyNumberFormat="1" applyFont="1" applyBorder="1" applyAlignment="1">
      <alignment vertical="center"/>
    </xf>
    <xf numFmtId="49" fontId="10" fillId="9" borderId="41" xfId="1" applyNumberFormat="1" applyFont="1" applyFill="1" applyBorder="1" applyAlignment="1">
      <alignment vertical="center"/>
    </xf>
    <xf numFmtId="49" fontId="12" fillId="0" borderId="0" xfId="1" applyNumberFormat="1" applyFont="1" applyAlignment="1">
      <alignment horizontal="center" vertical="center"/>
    </xf>
    <xf numFmtId="49" fontId="21" fillId="10" borderId="0" xfId="1" quotePrefix="1" applyNumberFormat="1" applyFont="1" applyFill="1" applyAlignment="1">
      <alignment horizontal="center" vertical="center"/>
    </xf>
    <xf numFmtId="49" fontId="10" fillId="6" borderId="0" xfId="1" applyNumberFormat="1" applyFont="1" applyFill="1" applyAlignment="1">
      <alignment horizontal="center" vertical="center" shrinkToFit="1"/>
    </xf>
    <xf numFmtId="49" fontId="22" fillId="11" borderId="45" xfId="1" applyNumberFormat="1" applyFont="1" applyFill="1" applyBorder="1" applyAlignment="1">
      <alignment horizontal="center" vertical="center"/>
    </xf>
    <xf numFmtId="49" fontId="23" fillId="0" borderId="45" xfId="1" applyNumberFormat="1" applyFont="1" applyBorder="1"/>
    <xf numFmtId="49" fontId="20" fillId="0" borderId="46" xfId="1" applyNumberFormat="1" applyFont="1" applyBorder="1" applyAlignment="1">
      <alignment vertical="center"/>
    </xf>
    <xf numFmtId="49" fontId="11" fillId="7" borderId="47" xfId="1" applyNumberFormat="1" applyFont="1" applyFill="1" applyBorder="1" applyAlignment="1">
      <alignment horizontal="center" vertical="center" wrapText="1" shrinkToFit="1"/>
    </xf>
    <xf numFmtId="49" fontId="24" fillId="0" borderId="0" xfId="1" quotePrefix="1" applyNumberFormat="1" applyFont="1" applyAlignment="1">
      <alignment horizontal="center" vertical="center"/>
    </xf>
    <xf numFmtId="49" fontId="21" fillId="2" borderId="0" xfId="1" quotePrefix="1" applyNumberFormat="1" applyFont="1" applyFill="1" applyAlignment="1">
      <alignment horizontal="center" vertical="center"/>
    </xf>
    <xf numFmtId="49" fontId="21" fillId="0" borderId="0" xfId="1" quotePrefix="1" applyNumberFormat="1" applyFont="1" applyAlignment="1">
      <alignment horizontal="center" vertical="center"/>
    </xf>
    <xf numFmtId="49" fontId="20" fillId="0" borderId="0" xfId="1" applyNumberFormat="1" applyFont="1" applyAlignment="1">
      <alignment vertical="center"/>
    </xf>
    <xf numFmtId="49" fontId="8" fillId="0" borderId="0" xfId="5" applyNumberFormat="1" applyAlignment="1">
      <alignment vertical="center" shrinkToFit="1"/>
    </xf>
    <xf numFmtId="49" fontId="25" fillId="0" borderId="54" xfId="3" applyNumberFormat="1" applyFont="1" applyBorder="1" applyAlignment="1">
      <alignment horizontal="center" vertical="center"/>
    </xf>
    <xf numFmtId="49" fontId="25" fillId="0" borderId="7" xfId="3" applyNumberFormat="1" applyFont="1" applyBorder="1" applyAlignment="1">
      <alignment horizontal="center" vertical="center"/>
    </xf>
    <xf numFmtId="49" fontId="27" fillId="0" borderId="57" xfId="1" applyNumberFormat="1" applyFont="1" applyBorder="1" applyAlignment="1">
      <alignment horizontal="center" vertical="center"/>
    </xf>
    <xf numFmtId="49" fontId="27" fillId="0" borderId="58" xfId="1" applyNumberFormat="1" applyFont="1" applyBorder="1" applyAlignment="1">
      <alignment horizontal="center" vertical="center"/>
    </xf>
    <xf numFmtId="49" fontId="28" fillId="0" borderId="58" xfId="1" applyNumberFormat="1" applyFont="1" applyBorder="1" applyAlignment="1">
      <alignment horizontal="center" vertical="center" wrapText="1"/>
    </xf>
    <xf numFmtId="49" fontId="27" fillId="0" borderId="58" xfId="1" applyNumberFormat="1" applyFont="1" applyBorder="1" applyAlignment="1">
      <alignment horizontal="center" vertical="center" wrapText="1"/>
    </xf>
    <xf numFmtId="49" fontId="27" fillId="0" borderId="59" xfId="1" applyNumberFormat="1" applyFont="1" applyBorder="1" applyAlignment="1">
      <alignment horizontal="center" vertical="center"/>
    </xf>
    <xf numFmtId="49" fontId="27" fillId="0" borderId="60" xfId="1" applyNumberFormat="1" applyFont="1" applyBorder="1" applyAlignment="1">
      <alignment horizontal="center" vertical="center" shrinkToFit="1"/>
    </xf>
    <xf numFmtId="49" fontId="27" fillId="0" borderId="0" xfId="1" applyNumberFormat="1" applyFont="1" applyAlignment="1">
      <alignment horizontal="center" vertical="center" shrinkToFit="1"/>
    </xf>
    <xf numFmtId="49" fontId="25" fillId="0" borderId="0" xfId="1" applyNumberFormat="1" applyFont="1" applyAlignment="1">
      <alignment horizontal="center" vertical="center" shrinkToFit="1"/>
    </xf>
    <xf numFmtId="49" fontId="29" fillId="0" borderId="0" xfId="1" applyNumberFormat="1" applyFont="1" applyAlignment="1">
      <alignment vertical="center"/>
    </xf>
    <xf numFmtId="49" fontId="11" fillId="0" borderId="8" xfId="3" applyNumberFormat="1" applyFont="1" applyBorder="1" applyAlignment="1">
      <alignment vertical="center"/>
    </xf>
    <xf numFmtId="49" fontId="25" fillId="0" borderId="8" xfId="3" applyNumberFormat="1" applyFont="1" applyBorder="1" applyAlignment="1">
      <alignment horizontal="center" vertical="center"/>
    </xf>
    <xf numFmtId="49" fontId="30" fillId="0" borderId="0" xfId="1" applyNumberFormat="1" applyFont="1" applyAlignment="1">
      <alignment vertical="center"/>
    </xf>
    <xf numFmtId="49" fontId="30" fillId="0" borderId="0" xfId="1" quotePrefix="1" applyNumberFormat="1" applyFont="1" applyAlignment="1">
      <alignment vertical="center"/>
    </xf>
    <xf numFmtId="49" fontId="11" fillId="0" borderId="7" xfId="3" applyNumberFormat="1" applyFont="1" applyBorder="1" applyAlignment="1">
      <alignment vertical="center"/>
    </xf>
    <xf numFmtId="49" fontId="31" fillId="0" borderId="0" xfId="1" applyNumberFormat="1" applyFont="1" applyAlignment="1">
      <alignment vertical="center"/>
    </xf>
    <xf numFmtId="49" fontId="8" fillId="0" borderId="0" xfId="1" applyNumberFormat="1" applyAlignment="1">
      <alignment horizontal="left" vertical="center"/>
    </xf>
    <xf numFmtId="49" fontId="32" fillId="0" borderId="0" xfId="1" applyNumberFormat="1" applyFont="1" applyAlignment="1">
      <alignment vertical="center"/>
    </xf>
    <xf numFmtId="49" fontId="33" fillId="0" borderId="0" xfId="1" applyNumberFormat="1" applyFont="1" applyAlignment="1">
      <alignment vertical="center"/>
    </xf>
    <xf numFmtId="49" fontId="21" fillId="0" borderId="0" xfId="1" applyNumberFormat="1" applyFont="1" applyAlignment="1">
      <alignment vertical="center"/>
    </xf>
    <xf numFmtId="49" fontId="8" fillId="0" borderId="0" xfId="1" applyNumberFormat="1" applyAlignment="1">
      <alignment horizontal="right" vertical="center"/>
    </xf>
    <xf numFmtId="49" fontId="34" fillId="0" borderId="61" xfId="1" applyNumberFormat="1" applyFont="1" applyBorder="1" applyAlignment="1">
      <alignment vertical="center" wrapText="1"/>
    </xf>
    <xf numFmtId="49" fontId="34" fillId="0" borderId="45" xfId="1" applyNumberFormat="1" applyFont="1" applyBorder="1" applyAlignment="1">
      <alignment vertical="center" wrapText="1"/>
    </xf>
    <xf numFmtId="49" fontId="21" fillId="0" borderId="45" xfId="1" applyNumberFormat="1" applyFont="1" applyBorder="1" applyAlignment="1">
      <alignment vertical="center"/>
    </xf>
    <xf numFmtId="49" fontId="25" fillId="0" borderId="46" xfId="6" applyNumberFormat="1" applyFont="1" applyBorder="1" applyAlignment="1">
      <alignment horizontal="center" vertical="center"/>
    </xf>
    <xf numFmtId="49" fontId="25" fillId="0" borderId="0" xfId="6" applyNumberFormat="1" applyFont="1" applyAlignment="1">
      <alignment horizontal="center" vertical="center"/>
    </xf>
    <xf numFmtId="49" fontId="8" fillId="0" borderId="0" xfId="1" quotePrefix="1" applyNumberFormat="1" applyAlignment="1">
      <alignment horizontal="right" vertical="center"/>
    </xf>
    <xf numFmtId="49" fontId="8" fillId="0" borderId="0" xfId="1" applyNumberFormat="1" applyAlignment="1">
      <alignment horizontal="center" vertical="center"/>
    </xf>
    <xf numFmtId="49" fontId="35" fillId="0" borderId="66" xfId="7" applyNumberFormat="1" applyFont="1" applyBorder="1" applyAlignment="1">
      <alignment horizontal="center" vertical="center"/>
    </xf>
    <xf numFmtId="49" fontId="34" fillId="0" borderId="68" xfId="1" applyNumberFormat="1" applyFont="1" applyBorder="1" applyAlignment="1">
      <alignment vertical="center" wrapText="1"/>
    </xf>
    <xf numFmtId="49" fontId="34" fillId="0" borderId="0" xfId="1" applyNumberFormat="1" applyFont="1" applyAlignment="1">
      <alignment horizontal="left" vertical="center"/>
    </xf>
    <xf numFmtId="49" fontId="34" fillId="0" borderId="0" xfId="1" applyNumberFormat="1" applyFont="1" applyAlignment="1">
      <alignment vertical="center"/>
    </xf>
    <xf numFmtId="49" fontId="34" fillId="0" borderId="0" xfId="1" applyNumberFormat="1" applyFont="1" applyAlignment="1">
      <alignment vertical="center" wrapText="1"/>
    </xf>
    <xf numFmtId="49" fontId="36" fillId="0" borderId="0" xfId="1" applyNumberFormat="1" applyFont="1" applyAlignment="1">
      <alignment vertical="center"/>
    </xf>
    <xf numFmtId="49" fontId="36" fillId="0" borderId="69" xfId="1" applyNumberFormat="1" applyFont="1" applyBorder="1" applyAlignment="1">
      <alignment vertical="center"/>
    </xf>
    <xf numFmtId="49" fontId="35" fillId="0" borderId="70" xfId="7" applyNumberFormat="1" applyFont="1" applyBorder="1" applyAlignment="1">
      <alignment horizontal="center" vertical="center"/>
    </xf>
    <xf numFmtId="49" fontId="37" fillId="0" borderId="68" xfId="1" applyNumberFormat="1" applyFont="1" applyBorder="1" applyAlignment="1">
      <alignment vertical="center" wrapText="1"/>
    </xf>
    <xf numFmtId="49" fontId="37" fillId="0" borderId="0" xfId="1" applyNumberFormat="1" applyFont="1" applyAlignment="1">
      <alignment vertical="center" wrapText="1"/>
    </xf>
    <xf numFmtId="49" fontId="38" fillId="0" borderId="0" xfId="1" applyNumberFormat="1" applyFont="1" applyAlignment="1">
      <alignment vertical="center"/>
    </xf>
    <xf numFmtId="49" fontId="38" fillId="0" borderId="0" xfId="1" applyNumberFormat="1" applyFont="1" applyAlignment="1">
      <alignment horizontal="center" vertical="center"/>
    </xf>
    <xf numFmtId="49" fontId="38" fillId="0" borderId="0" xfId="1" quotePrefix="1" applyNumberFormat="1" applyFont="1" applyAlignment="1">
      <alignment horizontal="center" vertical="center"/>
    </xf>
    <xf numFmtId="49" fontId="39" fillId="0" borderId="0" xfId="1" applyNumberFormat="1" applyFont="1" applyAlignment="1">
      <alignment vertical="center"/>
    </xf>
    <xf numFmtId="49" fontId="36" fillId="0" borderId="69" xfId="1" applyNumberFormat="1" applyFont="1" applyBorder="1" applyAlignment="1">
      <alignment horizontal="center" vertical="center"/>
    </xf>
    <xf numFmtId="49" fontId="36" fillId="0" borderId="0" xfId="1" applyNumberFormat="1" applyFont="1" applyAlignment="1">
      <alignment horizontal="center" vertical="center"/>
    </xf>
    <xf numFmtId="49" fontId="21" fillId="0" borderId="0" xfId="1" applyNumberFormat="1" applyFont="1" applyAlignment="1">
      <alignment horizontal="center" vertical="center"/>
    </xf>
    <xf numFmtId="49" fontId="39" fillId="7" borderId="0" xfId="1" applyNumberFormat="1" applyFont="1" applyFill="1" applyAlignment="1">
      <alignment vertical="center"/>
    </xf>
    <xf numFmtId="49" fontId="36" fillId="0" borderId="0" xfId="1" applyNumberFormat="1" applyFont="1" applyAlignment="1">
      <alignment horizontal="left" vertical="center"/>
    </xf>
    <xf numFmtId="49" fontId="36" fillId="0" borderId="69" xfId="1" applyNumberFormat="1" applyFont="1" applyBorder="1" applyAlignment="1">
      <alignment horizontal="left" vertical="center"/>
    </xf>
    <xf numFmtId="49" fontId="21" fillId="0" borderId="0" xfId="1" applyNumberFormat="1" applyFont="1" applyAlignment="1">
      <alignment horizontal="left" vertical="center"/>
    </xf>
    <xf numFmtId="49" fontId="8" fillId="0" borderId="0" xfId="1" quotePrefix="1" applyNumberFormat="1" applyAlignment="1">
      <alignment horizontal="center" vertical="center"/>
    </xf>
    <xf numFmtId="49" fontId="34" fillId="0" borderId="68" xfId="1" applyNumberFormat="1" applyFont="1" applyBorder="1" applyAlignment="1">
      <alignment vertical="center"/>
    </xf>
    <xf numFmtId="49" fontId="8" fillId="0" borderId="68" xfId="1" applyNumberFormat="1" applyBorder="1" applyAlignment="1">
      <alignment vertical="center"/>
    </xf>
    <xf numFmtId="49" fontId="21" fillId="0" borderId="0" xfId="1" applyNumberFormat="1" applyFont="1" applyAlignment="1">
      <alignment horizontal="right" vertical="center"/>
    </xf>
    <xf numFmtId="49" fontId="35" fillId="0" borderId="71" xfId="7" applyNumberFormat="1" applyFont="1" applyBorder="1" applyAlignment="1">
      <alignment horizontal="center" vertical="center"/>
    </xf>
    <xf numFmtId="49" fontId="21" fillId="0" borderId="69" xfId="1" applyNumberFormat="1" applyFont="1" applyBorder="1" applyAlignment="1">
      <alignment vertical="center"/>
    </xf>
    <xf numFmtId="49" fontId="21" fillId="0" borderId="68" xfId="1" applyNumberFormat="1" applyFont="1" applyBorder="1" applyAlignment="1">
      <alignment vertical="center"/>
    </xf>
    <xf numFmtId="49" fontId="23" fillId="0" borderId="0" xfId="1" applyNumberFormat="1" applyFont="1" applyAlignment="1">
      <alignment vertical="center"/>
    </xf>
    <xf numFmtId="49" fontId="21" fillId="0" borderId="0" xfId="2" applyNumberFormat="1" applyFont="1" applyAlignment="1">
      <alignment horizontal="center" vertical="center"/>
    </xf>
    <xf numFmtId="49" fontId="35" fillId="0" borderId="74" xfId="7" applyNumberFormat="1" applyFont="1" applyBorder="1" applyAlignment="1">
      <alignment horizontal="center" vertical="center"/>
    </xf>
    <xf numFmtId="49" fontId="23" fillId="0" borderId="6" xfId="1" applyNumberFormat="1" applyFont="1" applyBorder="1" applyAlignment="1">
      <alignment horizontal="center" vertical="center"/>
    </xf>
    <xf numFmtId="49" fontId="23" fillId="0" borderId="14" xfId="1" applyNumberFormat="1" applyFont="1" applyBorder="1" applyAlignment="1">
      <alignment horizontal="center" vertical="center"/>
    </xf>
    <xf numFmtId="49" fontId="21" fillId="0" borderId="14" xfId="1" applyNumberFormat="1" applyFont="1" applyBorder="1" applyAlignment="1">
      <alignment vertical="center"/>
    </xf>
    <xf numFmtId="49" fontId="14" fillId="0" borderId="14" xfId="3" applyNumberFormat="1" applyBorder="1"/>
    <xf numFmtId="49" fontId="21" fillId="0" borderId="15" xfId="2" applyNumberFormat="1" applyFont="1" applyBorder="1" applyAlignment="1">
      <alignment horizontal="center" vertical="center"/>
    </xf>
    <xf numFmtId="49" fontId="34" fillId="0" borderId="61" xfId="1" applyNumberFormat="1" applyFont="1" applyBorder="1" applyAlignment="1">
      <alignment vertical="center"/>
    </xf>
    <xf numFmtId="49" fontId="21" fillId="0" borderId="45" xfId="2" applyNumberFormat="1" applyFont="1" applyBorder="1" applyAlignment="1">
      <alignment vertical="center"/>
    </xf>
    <xf numFmtId="49" fontId="25" fillId="0" borderId="46" xfId="6" applyNumberFormat="1" applyFont="1" applyBorder="1" applyAlignment="1">
      <alignment horizontal="left" vertical="center"/>
    </xf>
    <xf numFmtId="49" fontId="25" fillId="0" borderId="0" xfId="6" applyNumberFormat="1" applyFont="1" applyAlignment="1">
      <alignment horizontal="left" vertical="center"/>
    </xf>
    <xf numFmtId="49" fontId="37" fillId="0" borderId="68" xfId="1" applyNumberFormat="1" applyFont="1" applyBorder="1" applyAlignment="1">
      <alignment vertical="center"/>
    </xf>
    <xf numFmtId="49" fontId="36" fillId="0" borderId="0" xfId="2" applyNumberFormat="1" applyFont="1" applyAlignment="1">
      <alignment vertical="center"/>
    </xf>
    <xf numFmtId="49" fontId="36" fillId="0" borderId="69" xfId="2" applyNumberFormat="1" applyFont="1" applyBorder="1" applyAlignment="1">
      <alignment vertical="center"/>
    </xf>
    <xf numFmtId="49" fontId="41" fillId="0" borderId="0" xfId="1" applyNumberFormat="1" applyFont="1" applyAlignment="1">
      <alignment vertical="center"/>
    </xf>
    <xf numFmtId="49" fontId="42" fillId="0" borderId="68" xfId="1" applyNumberFormat="1" applyFont="1" applyBorder="1" applyAlignment="1">
      <alignment vertical="center" wrapText="1"/>
    </xf>
    <xf numFmtId="49" fontId="42" fillId="0" borderId="0" xfId="1" applyNumberFormat="1" applyFont="1" applyAlignment="1">
      <alignment vertical="center" wrapText="1"/>
    </xf>
    <xf numFmtId="49" fontId="21" fillId="0" borderId="69" xfId="2" applyNumberFormat="1" applyFont="1" applyBorder="1" applyAlignment="1">
      <alignment vertical="center"/>
    </xf>
    <xf numFmtId="49" fontId="21" fillId="0" borderId="0" xfId="2" applyNumberFormat="1" applyFont="1" applyAlignment="1">
      <alignment vertical="center"/>
    </xf>
    <xf numFmtId="49" fontId="43" fillId="0" borderId="0" xfId="1" applyNumberFormat="1" applyFont="1" applyAlignment="1">
      <alignment vertical="center"/>
    </xf>
    <xf numFmtId="49" fontId="44" fillId="0" borderId="68" xfId="1" applyNumberFormat="1" applyFont="1" applyBorder="1" applyAlignment="1">
      <alignment vertical="center"/>
    </xf>
    <xf numFmtId="49" fontId="44" fillId="0" borderId="0" xfId="1" applyNumberFormat="1" applyFont="1" applyAlignment="1">
      <alignment vertical="center"/>
    </xf>
    <xf numFmtId="49" fontId="35" fillId="0" borderId="75" xfId="7" applyNumberFormat="1" applyFont="1" applyBorder="1" applyAlignment="1">
      <alignment horizontal="center" vertical="center"/>
    </xf>
    <xf numFmtId="49" fontId="14" fillId="0" borderId="0" xfId="2" applyNumberFormat="1" applyAlignment="1">
      <alignment vertical="center"/>
    </xf>
    <xf numFmtId="49" fontId="35" fillId="0" borderId="76" xfId="7" applyNumberFormat="1" applyFont="1" applyBorder="1" applyAlignment="1">
      <alignment horizontal="center" vertical="center"/>
    </xf>
    <xf numFmtId="49" fontId="21" fillId="0" borderId="0" xfId="2" quotePrefix="1" applyNumberFormat="1" applyFont="1" applyAlignment="1">
      <alignment horizontal="right" vertical="center"/>
    </xf>
    <xf numFmtId="49" fontId="24" fillId="0" borderId="0" xfId="2" applyNumberFormat="1" applyFont="1" applyAlignment="1">
      <alignment vertical="center"/>
    </xf>
    <xf numFmtId="49" fontId="23" fillId="0" borderId="68" xfId="1" applyNumberFormat="1" applyFont="1" applyBorder="1" applyAlignment="1">
      <alignment vertical="center"/>
    </xf>
    <xf numFmtId="49" fontId="23" fillId="0" borderId="6" xfId="1" applyNumberFormat="1" applyFont="1" applyBorder="1" applyAlignment="1">
      <alignment vertical="center"/>
    </xf>
    <xf numFmtId="49" fontId="23" fillId="0" borderId="14" xfId="1" applyNumberFormat="1" applyFont="1" applyBorder="1" applyAlignment="1">
      <alignment vertical="center"/>
    </xf>
    <xf numFmtId="49" fontId="25" fillId="11" borderId="68" xfId="6" applyNumberFormat="1" applyFont="1" applyFill="1" applyBorder="1" applyAlignment="1">
      <alignment vertical="center"/>
    </xf>
    <xf numFmtId="49" fontId="25" fillId="11" borderId="0" xfId="6" applyNumberFormat="1" applyFont="1" applyFill="1" applyAlignment="1">
      <alignment vertical="center"/>
    </xf>
    <xf numFmtId="49" fontId="8" fillId="0" borderId="0" xfId="6" applyNumberFormat="1" applyFont="1" applyAlignment="1">
      <alignment horizontal="center" vertical="center"/>
    </xf>
    <xf numFmtId="49" fontId="35" fillId="0" borderId="80" xfId="7" applyNumberFormat="1" applyFont="1" applyBorder="1" applyAlignment="1">
      <alignment horizontal="center" vertical="center"/>
    </xf>
    <xf numFmtId="49" fontId="25" fillId="9" borderId="83" xfId="6" applyNumberFormat="1" applyFont="1" applyFill="1" applyBorder="1" applyAlignment="1">
      <alignment vertical="center"/>
    </xf>
    <xf numFmtId="49" fontId="25" fillId="9" borderId="84" xfId="6" applyNumberFormat="1" applyFont="1" applyFill="1" applyBorder="1" applyAlignment="1">
      <alignment horizontal="center" vertical="center" wrapText="1"/>
    </xf>
    <xf numFmtId="49" fontId="10" fillId="9" borderId="86" xfId="6" applyNumberFormat="1" applyFont="1" applyFill="1" applyBorder="1" applyAlignment="1">
      <alignment vertical="center"/>
    </xf>
    <xf numFmtId="49" fontId="10" fillId="0" borderId="72" xfId="1" applyNumberFormat="1" applyFont="1" applyBorder="1" applyAlignment="1">
      <alignment horizontal="center" vertical="center"/>
    </xf>
    <xf numFmtId="49" fontId="10" fillId="0" borderId="72" xfId="6" applyNumberFormat="1" applyFont="1" applyBorder="1" applyAlignment="1">
      <alignment horizontal="center" vertical="center"/>
    </xf>
    <xf numFmtId="49" fontId="10" fillId="0" borderId="73" xfId="6" applyNumberFormat="1" applyFont="1" applyBorder="1" applyAlignment="1">
      <alignment vertical="center"/>
    </xf>
    <xf numFmtId="49" fontId="10" fillId="0" borderId="0" xfId="6" applyNumberFormat="1" applyFont="1" applyAlignment="1">
      <alignment vertical="center"/>
    </xf>
    <xf numFmtId="49" fontId="25" fillId="0" borderId="0" xfId="6" applyNumberFormat="1" applyFont="1" applyAlignment="1">
      <alignment vertical="center"/>
    </xf>
    <xf numFmtId="49" fontId="25" fillId="9" borderId="87" xfId="6" applyNumberFormat="1" applyFont="1" applyFill="1" applyBorder="1" applyAlignment="1">
      <alignment horizontal="left" vertical="center"/>
    </xf>
    <xf numFmtId="49" fontId="12" fillId="9" borderId="88" xfId="6" applyNumberFormat="1" applyFont="1" applyFill="1" applyBorder="1" applyAlignment="1">
      <alignment horizontal="center" vertical="center" wrapText="1"/>
    </xf>
    <xf numFmtId="49" fontId="10" fillId="9" borderId="89" xfId="6" applyNumberFormat="1" applyFont="1" applyFill="1" applyBorder="1" applyAlignment="1">
      <alignment horizontal="left" vertical="center"/>
    </xf>
    <xf numFmtId="49" fontId="8" fillId="0" borderId="90" xfId="1" applyNumberFormat="1" applyBorder="1" applyAlignment="1">
      <alignment vertical="center"/>
    </xf>
    <xf numFmtId="49" fontId="11" fillId="0" borderId="91" xfId="6" applyNumberFormat="1" applyFont="1" applyBorder="1" applyAlignment="1">
      <alignment horizontal="left" vertical="center"/>
    </xf>
    <xf numFmtId="49" fontId="11" fillId="0" borderId="0" xfId="6" applyNumberFormat="1" applyFont="1" applyAlignment="1">
      <alignment horizontal="left" vertical="center"/>
    </xf>
    <xf numFmtId="49" fontId="25" fillId="0" borderId="90" xfId="1" applyNumberFormat="1" applyFont="1" applyBorder="1" applyAlignment="1">
      <alignment horizontal="center" vertical="center"/>
    </xf>
    <xf numFmtId="49" fontId="10" fillId="0" borderId="90" xfId="6" applyNumberFormat="1" applyFont="1" applyBorder="1" applyAlignment="1">
      <alignment horizontal="center" vertical="center"/>
    </xf>
    <xf numFmtId="49" fontId="25" fillId="11" borderId="81" xfId="6" quotePrefix="1" applyNumberFormat="1" applyFont="1" applyFill="1" applyBorder="1" applyAlignment="1">
      <alignment horizontal="left" vertical="center"/>
    </xf>
    <xf numFmtId="49" fontId="25" fillId="11" borderId="88" xfId="6" quotePrefix="1" applyNumberFormat="1" applyFont="1" applyFill="1" applyBorder="1" applyAlignment="1">
      <alignment horizontal="left" vertical="center"/>
    </xf>
    <xf numFmtId="49" fontId="11" fillId="11" borderId="82" xfId="6" applyNumberFormat="1" applyFont="1" applyFill="1" applyBorder="1" applyAlignment="1">
      <alignment horizontal="left" vertical="center"/>
    </xf>
    <xf numFmtId="49" fontId="25" fillId="9" borderId="92" xfId="6" applyNumberFormat="1" applyFont="1" applyFill="1" applyBorder="1" applyAlignment="1">
      <alignment horizontal="left" vertical="center"/>
    </xf>
    <xf numFmtId="49" fontId="12" fillId="9" borderId="93" xfId="6" applyNumberFormat="1" applyFont="1" applyFill="1" applyBorder="1" applyAlignment="1">
      <alignment horizontal="center" vertical="center" wrapText="1"/>
    </xf>
    <xf numFmtId="49" fontId="10" fillId="9" borderId="95" xfId="6" applyNumberFormat="1" applyFont="1" applyFill="1" applyBorder="1" applyAlignment="1">
      <alignment horizontal="left" vertical="center"/>
    </xf>
    <xf numFmtId="49" fontId="25" fillId="0" borderId="90" xfId="1" applyNumberFormat="1" applyFont="1" applyBorder="1" applyAlignment="1">
      <alignment vertical="center"/>
    </xf>
    <xf numFmtId="49" fontId="35" fillId="0" borderId="30" xfId="7" applyNumberFormat="1" applyFont="1" applyBorder="1" applyAlignment="1">
      <alignment horizontal="center" vertical="center"/>
    </xf>
    <xf numFmtId="49" fontId="8" fillId="0" borderId="31" xfId="6" applyNumberFormat="1" applyFont="1" applyBorder="1" applyAlignment="1">
      <alignment horizontal="left" vertical="center"/>
    </xf>
    <xf numFmtId="49" fontId="12" fillId="0" borderId="42" xfId="6" applyNumberFormat="1" applyFont="1" applyBorder="1" applyAlignment="1">
      <alignment horizontal="center" vertical="center" wrapText="1"/>
    </xf>
    <xf numFmtId="49" fontId="25" fillId="0" borderId="96" xfId="6" applyNumberFormat="1" applyFont="1" applyBorder="1" applyAlignment="1">
      <alignment vertical="center"/>
    </xf>
    <xf numFmtId="49" fontId="25" fillId="0" borderId="97" xfId="6" applyNumberFormat="1" applyFont="1" applyBorder="1" applyAlignment="1">
      <alignment horizontal="center" vertical="center"/>
    </xf>
    <xf numFmtId="49" fontId="11" fillId="0" borderId="42" xfId="6" applyNumberFormat="1" applyFont="1" applyBorder="1" applyAlignment="1">
      <alignment horizontal="left"/>
    </xf>
    <xf numFmtId="49" fontId="10" fillId="0" borderId="10" xfId="1" applyNumberFormat="1" applyFont="1" applyBorder="1" applyAlignment="1">
      <alignment vertical="center"/>
    </xf>
    <xf numFmtId="49" fontId="25" fillId="0" borderId="90" xfId="6" applyNumberFormat="1" applyFont="1" applyBorder="1" applyAlignment="1">
      <alignment horizontal="center" vertical="center"/>
    </xf>
    <xf numFmtId="49" fontId="11" fillId="0" borderId="98" xfId="1" applyNumberFormat="1" applyFont="1" applyBorder="1" applyAlignment="1">
      <alignment horizontal="left"/>
    </xf>
    <xf numFmtId="49" fontId="35" fillId="0" borderId="99" xfId="7" applyNumberFormat="1" applyFont="1" applyBorder="1" applyAlignment="1">
      <alignment horizontal="center" vertical="center"/>
    </xf>
    <xf numFmtId="49" fontId="25" fillId="11" borderId="81" xfId="6" applyNumberFormat="1" applyFont="1" applyFill="1" applyBorder="1" applyAlignment="1">
      <alignment vertical="center"/>
    </xf>
    <xf numFmtId="49" fontId="25" fillId="11" borderId="88" xfId="6" applyNumberFormat="1" applyFont="1" applyFill="1" applyBorder="1" applyAlignment="1">
      <alignment vertical="center"/>
    </xf>
    <xf numFmtId="49" fontId="25" fillId="11" borderId="82" xfId="6" applyNumberFormat="1" applyFont="1" applyFill="1" applyBorder="1" applyAlignment="1">
      <alignment horizontal="left" vertical="center"/>
    </xf>
    <xf numFmtId="49" fontId="8" fillId="0" borderId="9" xfId="6" applyNumberFormat="1" applyFont="1" applyBorder="1" applyAlignment="1">
      <alignment horizontal="left" vertical="center"/>
    </xf>
    <xf numFmtId="49" fontId="12" fillId="0" borderId="78" xfId="6" applyNumberFormat="1" applyFont="1" applyBorder="1" applyAlignment="1">
      <alignment horizontal="center" vertical="center" wrapText="1"/>
    </xf>
    <xf numFmtId="49" fontId="10" fillId="0" borderId="78" xfId="6" applyNumberFormat="1" applyFont="1" applyBorder="1" applyAlignment="1">
      <alignment horizontal="left" vertical="center"/>
    </xf>
    <xf numFmtId="49" fontId="25" fillId="0" borderId="90" xfId="6" applyNumberFormat="1" applyFont="1" applyBorder="1" applyAlignment="1">
      <alignment horizontal="left" vertical="center"/>
    </xf>
    <xf numFmtId="49" fontId="8" fillId="0" borderId="54" xfId="1" applyNumberFormat="1" applyBorder="1" applyAlignment="1">
      <alignment vertical="center"/>
    </xf>
    <xf numFmtId="49" fontId="35" fillId="0" borderId="100" xfId="7" applyNumberFormat="1" applyFont="1" applyBorder="1" applyAlignment="1">
      <alignment horizontal="center" vertical="center"/>
    </xf>
    <xf numFmtId="49" fontId="25" fillId="11" borderId="6" xfId="6" applyNumberFormat="1" applyFont="1" applyFill="1" applyBorder="1" applyAlignment="1">
      <alignment horizontal="left" vertical="center"/>
    </xf>
    <xf numFmtId="49" fontId="25" fillId="11" borderId="14" xfId="6" applyNumberFormat="1" applyFont="1" applyFill="1" applyBorder="1" applyAlignment="1">
      <alignment horizontal="left" vertical="center"/>
    </xf>
    <xf numFmtId="49" fontId="8" fillId="0" borderId="29" xfId="6" applyNumberFormat="1" applyFont="1" applyBorder="1" applyAlignment="1">
      <alignment horizontal="left" vertical="center"/>
    </xf>
    <xf numFmtId="49" fontId="12" fillId="0" borderId="63" xfId="6" applyNumberFormat="1" applyFont="1" applyBorder="1" applyAlignment="1">
      <alignment horizontal="center" vertical="center" wrapText="1"/>
    </xf>
    <xf numFmtId="49" fontId="10" fillId="0" borderId="63" xfId="6" applyNumberFormat="1" applyFont="1" applyBorder="1" applyAlignment="1">
      <alignment horizontal="left" vertical="center"/>
    </xf>
    <xf numFmtId="49" fontId="8" fillId="0" borderId="63" xfId="1" applyNumberFormat="1" applyBorder="1" applyAlignment="1">
      <alignment vertical="center"/>
    </xf>
    <xf numFmtId="49" fontId="25" fillId="0" borderId="63" xfId="6" applyNumberFormat="1" applyFont="1" applyBorder="1" applyAlignment="1">
      <alignment horizontal="left" vertical="center"/>
    </xf>
    <xf numFmtId="49" fontId="8" fillId="0" borderId="62" xfId="1" applyNumberFormat="1" applyBorder="1" applyAlignment="1">
      <alignment vertical="center"/>
    </xf>
    <xf numFmtId="49" fontId="11" fillId="0" borderId="69" xfId="6" applyNumberFormat="1" applyFont="1" applyBorder="1" applyAlignment="1">
      <alignment horizontal="left" vertical="center"/>
    </xf>
    <xf numFmtId="49" fontId="35" fillId="0" borderId="101" xfId="7" applyNumberFormat="1" applyFont="1" applyBorder="1" applyAlignment="1">
      <alignment horizontal="center" vertical="center"/>
    </xf>
    <xf numFmtId="49" fontId="21" fillId="0" borderId="4" xfId="1" applyNumberFormat="1" applyFont="1" applyBorder="1" applyAlignment="1">
      <alignment horizontal="center" vertical="center"/>
    </xf>
    <xf numFmtId="49" fontId="24" fillId="0" borderId="0" xfId="1" applyNumberFormat="1" applyFont="1" applyAlignment="1">
      <alignment horizontal="center" vertical="center"/>
    </xf>
    <xf numFmtId="49" fontId="21" fillId="0" borderId="45" xfId="1" applyNumberFormat="1" applyFont="1" applyBorder="1" applyAlignment="1">
      <alignment horizontal="center" vertical="center"/>
    </xf>
    <xf numFmtId="49" fontId="46" fillId="0" borderId="0" xfId="6" applyNumberFormat="1" applyFont="1" applyAlignment="1">
      <alignment vertical="center"/>
    </xf>
    <xf numFmtId="49" fontId="25" fillId="0" borderId="0" xfId="1" applyNumberFormat="1" applyFont="1" applyAlignment="1">
      <alignment vertical="center"/>
    </xf>
    <xf numFmtId="49" fontId="21" fillId="0" borderId="102" xfId="1" applyNumberFormat="1" applyFont="1" applyBorder="1" applyAlignment="1">
      <alignment vertical="center"/>
    </xf>
    <xf numFmtId="49" fontId="43" fillId="0" borderId="103" xfId="1" applyNumberFormat="1" applyFont="1" applyBorder="1" applyAlignment="1">
      <alignment horizontal="center" vertical="center"/>
    </xf>
    <xf numFmtId="49" fontId="21" fillId="0" borderId="103" xfId="1" applyNumberFormat="1" applyFont="1" applyBorder="1" applyAlignment="1">
      <alignment vertical="center"/>
    </xf>
    <xf numFmtId="49" fontId="21" fillId="0" borderId="46" xfId="1" applyNumberFormat="1" applyFont="1" applyBorder="1" applyAlignment="1">
      <alignment vertical="center"/>
    </xf>
    <xf numFmtId="49" fontId="21" fillId="0" borderId="23" xfId="1" applyNumberFormat="1" applyFont="1" applyBorder="1" applyAlignment="1">
      <alignment horizontal="center" vertical="center"/>
    </xf>
    <xf numFmtId="49" fontId="21" fillId="0" borderId="104" xfId="1" applyNumberFormat="1" applyFont="1" applyBorder="1" applyAlignment="1">
      <alignment vertical="center"/>
    </xf>
    <xf numFmtId="49" fontId="48" fillId="0" borderId="0" xfId="1" applyNumberFormat="1" applyFont="1" applyAlignment="1">
      <alignment vertical="center"/>
    </xf>
    <xf numFmtId="49" fontId="21" fillId="0" borderId="33" xfId="1" applyNumberFormat="1" applyFont="1" applyBorder="1" applyAlignment="1">
      <alignment vertical="center"/>
    </xf>
    <xf numFmtId="49" fontId="21" fillId="0" borderId="13" xfId="1" applyNumberFormat="1" applyFont="1" applyBorder="1" applyAlignment="1">
      <alignment vertical="center"/>
    </xf>
    <xf numFmtId="49" fontId="21" fillId="0" borderId="93" xfId="1" applyNumberFormat="1" applyFont="1" applyBorder="1" applyAlignment="1">
      <alignment vertical="center"/>
    </xf>
    <xf numFmtId="49" fontId="48" fillId="0" borderId="93" xfId="1" applyNumberFormat="1" applyFont="1" applyBorder="1" applyAlignment="1">
      <alignment vertical="center"/>
    </xf>
    <xf numFmtId="49" fontId="21" fillId="0" borderId="15" xfId="1" applyNumberFormat="1" applyFont="1" applyBorder="1" applyAlignment="1">
      <alignment vertical="center"/>
    </xf>
    <xf numFmtId="49" fontId="21" fillId="11" borderId="7" xfId="1" applyNumberFormat="1" applyFont="1" applyFill="1" applyBorder="1" applyAlignment="1">
      <alignment vertical="center"/>
    </xf>
    <xf numFmtId="49" fontId="21" fillId="11" borderId="0" xfId="1" applyNumberFormat="1" applyFont="1" applyFill="1" applyAlignment="1">
      <alignment vertical="center"/>
    </xf>
    <xf numFmtId="49" fontId="49" fillId="0" borderId="0" xfId="1" applyNumberFormat="1" applyFont="1" applyAlignment="1">
      <alignment vertical="center"/>
    </xf>
    <xf numFmtId="49" fontId="49" fillId="5" borderId="7" xfId="8" applyNumberFormat="1" applyFont="1" applyFill="1" applyBorder="1" applyAlignment="1">
      <alignment vertical="center"/>
    </xf>
    <xf numFmtId="49" fontId="49" fillId="5" borderId="0" xfId="8" applyNumberFormat="1" applyFont="1" applyFill="1" applyBorder="1" applyAlignment="1">
      <alignment vertical="center"/>
    </xf>
    <xf numFmtId="49" fontId="14" fillId="0" borderId="0" xfId="2" applyNumberFormat="1" applyAlignment="1">
      <alignment horizontal="center" vertical="center"/>
    </xf>
    <xf numFmtId="49" fontId="14" fillId="6" borderId="0" xfId="2" applyNumberFormat="1" applyFill="1" applyAlignment="1">
      <alignment horizontal="center" vertical="center"/>
    </xf>
    <xf numFmtId="49" fontId="14" fillId="6" borderId="0" xfId="2" applyNumberFormat="1" applyFill="1" applyAlignment="1">
      <alignment vertical="center"/>
    </xf>
    <xf numFmtId="49" fontId="52" fillId="0" borderId="0" xfId="1" applyNumberFormat="1" applyFont="1" applyAlignment="1">
      <alignment horizontal="left" vertical="center"/>
    </xf>
    <xf numFmtId="49" fontId="52" fillId="0" borderId="0" xfId="1" applyNumberFormat="1" applyFont="1" applyAlignment="1">
      <alignment vertical="center"/>
    </xf>
    <xf numFmtId="49" fontId="25" fillId="0" borderId="14" xfId="2" applyNumberFormat="1" applyFont="1" applyBorder="1" applyAlignment="1">
      <alignment horizontal="center" vertical="center"/>
    </xf>
    <xf numFmtId="49" fontId="40" fillId="0" borderId="14" xfId="2" applyNumberFormat="1" applyFont="1" applyBorder="1" applyAlignment="1">
      <alignment horizontal="center" vertical="center"/>
    </xf>
    <xf numFmtId="49" fontId="6" fillId="2" borderId="72" xfId="3" applyNumberFormat="1" applyFont="1" applyFill="1" applyBorder="1" applyAlignment="1">
      <alignment horizontal="center" vertical="center" wrapText="1"/>
    </xf>
    <xf numFmtId="49" fontId="6" fillId="2" borderId="41" xfId="3" applyNumberFormat="1" applyFont="1" applyFill="1" applyBorder="1" applyAlignment="1">
      <alignment horizontal="center" vertical="center" wrapText="1"/>
    </xf>
    <xf numFmtId="49" fontId="6" fillId="2" borderId="26" xfId="3" applyNumberFormat="1" applyFont="1" applyFill="1" applyBorder="1" applyAlignment="1">
      <alignment horizontal="center" vertical="center" wrapText="1"/>
    </xf>
    <xf numFmtId="49" fontId="6" fillId="2" borderId="27" xfId="3" applyNumberFormat="1" applyFont="1" applyFill="1" applyBorder="1" applyAlignment="1">
      <alignment horizontal="center" vertical="center" wrapText="1"/>
    </xf>
    <xf numFmtId="49" fontId="6" fillId="2" borderId="42" xfId="3" applyNumberFormat="1" applyFont="1" applyFill="1" applyBorder="1" applyAlignment="1">
      <alignment horizontal="center" vertical="center" wrapText="1"/>
    </xf>
    <xf numFmtId="49" fontId="6" fillId="2" borderId="90" xfId="3" applyNumberFormat="1" applyFont="1" applyFill="1" applyBorder="1" applyAlignment="1">
      <alignment horizontal="center" vertical="center" wrapText="1"/>
    </xf>
    <xf numFmtId="49" fontId="6" fillId="2" borderId="63" xfId="3" applyNumberFormat="1" applyFont="1" applyFill="1" applyBorder="1" applyAlignment="1">
      <alignment horizontal="center" vertical="center" wrapText="1"/>
    </xf>
    <xf numFmtId="49" fontId="6" fillId="2" borderId="23" xfId="3" applyNumberFormat="1" applyFont="1" applyFill="1" applyBorder="1" applyAlignment="1">
      <alignment horizontal="center" vertical="center" wrapText="1"/>
    </xf>
    <xf numFmtId="49" fontId="6" fillId="2" borderId="24" xfId="3" applyNumberFormat="1" applyFont="1" applyFill="1" applyBorder="1" applyAlignment="1">
      <alignment horizontal="center" vertical="center" wrapText="1"/>
    </xf>
    <xf numFmtId="49" fontId="6" fillId="2" borderId="25" xfId="3" applyNumberFormat="1" applyFont="1" applyFill="1" applyBorder="1" applyAlignment="1">
      <alignment horizontal="center" vertical="center" wrapText="1"/>
    </xf>
    <xf numFmtId="49" fontId="6" fillId="5" borderId="78" xfId="3" applyNumberFormat="1" applyFont="1" applyFill="1" applyBorder="1" applyAlignment="1">
      <alignment horizontal="center" vertical="center" wrapText="1"/>
    </xf>
    <xf numFmtId="49" fontId="6" fillId="5" borderId="63" xfId="3" applyNumberFormat="1" applyFont="1" applyFill="1" applyBorder="1" applyAlignment="1">
      <alignment horizontal="center" vertical="center" wrapText="1"/>
    </xf>
    <xf numFmtId="3" fontId="6" fillId="5" borderId="42" xfId="3" applyNumberFormat="1" applyFont="1" applyFill="1" applyBorder="1" applyAlignment="1">
      <alignment horizontal="center" vertical="center" wrapText="1"/>
    </xf>
    <xf numFmtId="3" fontId="6" fillId="5" borderId="90" xfId="3" applyNumberFormat="1" applyFont="1" applyFill="1" applyBorder="1" applyAlignment="1">
      <alignment horizontal="center" vertical="center" wrapText="1"/>
    </xf>
    <xf numFmtId="3" fontId="6" fillId="5" borderId="63" xfId="3" applyNumberFormat="1" applyFont="1" applyFill="1" applyBorder="1" applyAlignment="1">
      <alignment horizontal="center" vertical="center" wrapText="1"/>
    </xf>
    <xf numFmtId="49" fontId="6" fillId="3" borderId="23" xfId="3" applyNumberFormat="1" applyFont="1" applyFill="1" applyBorder="1" applyAlignment="1">
      <alignment horizontal="center" vertical="center" wrapText="1"/>
    </xf>
    <xf numFmtId="49" fontId="6" fillId="3" borderId="25" xfId="3" applyNumberFormat="1" applyFont="1" applyFill="1" applyBorder="1" applyAlignment="1">
      <alignment horizontal="center" vertical="center" wrapText="1"/>
    </xf>
    <xf numFmtId="3" fontId="6" fillId="3" borderId="23" xfId="3" applyNumberFormat="1" applyFont="1" applyFill="1" applyBorder="1" applyAlignment="1">
      <alignment horizontal="center" vertical="center" wrapText="1"/>
    </xf>
    <xf numFmtId="3" fontId="6" fillId="3" borderId="24" xfId="3" applyNumberFormat="1" applyFont="1" applyFill="1" applyBorder="1" applyAlignment="1">
      <alignment horizontal="center" vertical="center" wrapText="1"/>
    </xf>
    <xf numFmtId="3" fontId="6" fillId="3" borderId="25" xfId="3" applyNumberFormat="1" applyFont="1" applyFill="1" applyBorder="1" applyAlignment="1">
      <alignment horizontal="center" vertical="center" wrapText="1"/>
    </xf>
    <xf numFmtId="49" fontId="6" fillId="4" borderId="77" xfId="3" applyNumberFormat="1" applyFont="1" applyFill="1" applyBorder="1" applyAlignment="1">
      <alignment horizontal="center" vertical="center" wrapText="1"/>
    </xf>
    <xf numFmtId="49" fontId="6" fillId="4" borderId="27" xfId="3" applyNumberFormat="1" applyFont="1" applyFill="1" applyBorder="1" applyAlignment="1">
      <alignment horizontal="center" vertical="center" wrapText="1"/>
    </xf>
    <xf numFmtId="3" fontId="6" fillId="4" borderId="41" xfId="3" applyNumberFormat="1" applyFont="1" applyFill="1" applyBorder="1" applyAlignment="1">
      <alignment horizontal="center" vertical="center" wrapText="1"/>
    </xf>
    <xf numFmtId="3" fontId="6" fillId="4" borderId="26" xfId="3" applyNumberFormat="1" applyFont="1" applyFill="1" applyBorder="1" applyAlignment="1">
      <alignment horizontal="center" vertical="center" wrapText="1"/>
    </xf>
    <xf numFmtId="3" fontId="6" fillId="4" borderId="27" xfId="3" applyNumberFormat="1" applyFont="1" applyFill="1" applyBorder="1" applyAlignment="1">
      <alignment horizontal="center" vertical="center" wrapText="1"/>
    </xf>
    <xf numFmtId="49" fontId="6" fillId="3" borderId="79" xfId="3" applyNumberFormat="1" applyFont="1" applyFill="1" applyBorder="1" applyAlignment="1">
      <alignment horizontal="center" vertical="center" wrapText="1"/>
    </xf>
    <xf numFmtId="49" fontId="6" fillId="3" borderId="64" xfId="3" applyNumberFormat="1" applyFont="1" applyFill="1" applyBorder="1" applyAlignment="1">
      <alignment horizontal="center" vertical="center" wrapText="1"/>
    </xf>
    <xf numFmtId="3" fontId="6" fillId="3" borderId="44" xfId="3" applyNumberFormat="1" applyFont="1" applyFill="1" applyBorder="1" applyAlignment="1">
      <alignment horizontal="center" vertical="center" wrapText="1"/>
    </xf>
    <xf numFmtId="3" fontId="6" fillId="3" borderId="91" xfId="3" applyNumberFormat="1" applyFont="1" applyFill="1" applyBorder="1" applyAlignment="1">
      <alignment horizontal="center" vertical="center" wrapText="1"/>
    </xf>
    <xf numFmtId="3" fontId="6" fillId="3" borderId="64" xfId="3" applyNumberFormat="1" applyFont="1" applyFill="1" applyBorder="1" applyAlignment="1">
      <alignment horizontal="center" vertical="center" wrapText="1"/>
    </xf>
    <xf numFmtId="49" fontId="6" fillId="5" borderId="23" xfId="3" applyNumberFormat="1" applyFont="1" applyFill="1" applyBorder="1" applyAlignment="1">
      <alignment horizontal="center" vertical="center" wrapText="1"/>
    </xf>
    <xf numFmtId="49" fontId="6" fillId="5" borderId="25" xfId="3" applyNumberFormat="1" applyFont="1" applyFill="1" applyBorder="1" applyAlignment="1">
      <alignment horizontal="center" vertical="center" wrapText="1"/>
    </xf>
    <xf numFmtId="3" fontId="6" fillId="5" borderId="23" xfId="3" applyNumberFormat="1" applyFont="1" applyFill="1" applyBorder="1" applyAlignment="1">
      <alignment horizontal="center" vertical="center" wrapText="1"/>
    </xf>
    <xf numFmtId="3" fontId="6" fillId="5" borderId="24" xfId="3" applyNumberFormat="1" applyFont="1" applyFill="1" applyBorder="1" applyAlignment="1">
      <alignment horizontal="center" vertical="center" wrapText="1"/>
    </xf>
    <xf numFmtId="3" fontId="6" fillId="5" borderId="25" xfId="3" applyNumberFormat="1" applyFont="1" applyFill="1" applyBorder="1" applyAlignment="1">
      <alignment horizontal="center" vertical="center" wrapText="1"/>
    </xf>
    <xf numFmtId="0" fontId="0" fillId="2" borderId="0" xfId="0" applyFill="1"/>
    <xf numFmtId="49" fontId="6" fillId="4" borderId="23" xfId="3" applyNumberFormat="1" applyFont="1" applyFill="1" applyBorder="1" applyAlignment="1">
      <alignment horizontal="center" vertical="center" wrapText="1"/>
    </xf>
    <xf numFmtId="49" fontId="6" fillId="4" borderId="25" xfId="3" applyNumberFormat="1" applyFont="1" applyFill="1" applyBorder="1" applyAlignment="1">
      <alignment horizontal="center" vertical="center" wrapText="1"/>
    </xf>
    <xf numFmtId="3" fontId="6" fillId="4" borderId="23" xfId="3" applyNumberFormat="1" applyFont="1" applyFill="1" applyBorder="1" applyAlignment="1">
      <alignment horizontal="center" vertical="center" wrapText="1"/>
    </xf>
    <xf numFmtId="3" fontId="6" fillId="4" borderId="24" xfId="3" applyNumberFormat="1" applyFont="1" applyFill="1" applyBorder="1" applyAlignment="1">
      <alignment horizontal="center" vertical="center" wrapText="1"/>
    </xf>
    <xf numFmtId="3" fontId="6" fillId="4" borderId="25" xfId="3" applyNumberFormat="1" applyFont="1" applyFill="1" applyBorder="1" applyAlignment="1">
      <alignment horizontal="center" vertical="center" wrapText="1"/>
    </xf>
    <xf numFmtId="49" fontId="8" fillId="0" borderId="45" xfId="1" applyNumberFormat="1" applyBorder="1" applyAlignment="1">
      <alignment vertical="center"/>
    </xf>
    <xf numFmtId="49" fontId="8" fillId="0" borderId="14" xfId="1" applyNumberFormat="1" applyBorder="1" applyAlignment="1">
      <alignment vertical="center"/>
    </xf>
    <xf numFmtId="49" fontId="21" fillId="0" borderId="14" xfId="2" applyNumberFormat="1" applyFont="1" applyBorder="1" applyAlignment="1">
      <alignment vertical="center"/>
    </xf>
    <xf numFmtId="49" fontId="21" fillId="0" borderId="15" xfId="2" applyNumberFormat="1" applyFont="1" applyBorder="1" applyAlignment="1">
      <alignment vertical="center"/>
    </xf>
    <xf numFmtId="49" fontId="25" fillId="0" borderId="0" xfId="2" applyNumberFormat="1" applyFont="1" applyAlignment="1">
      <alignment vertical="center"/>
    </xf>
    <xf numFmtId="49" fontId="25" fillId="0" borderId="14" xfId="2" applyNumberFormat="1" applyFont="1" applyBorder="1" applyAlignment="1">
      <alignment vertical="center"/>
    </xf>
    <xf numFmtId="49" fontId="40" fillId="0" borderId="0" xfId="2" applyNumberFormat="1" applyFont="1" applyAlignment="1">
      <alignment vertical="center"/>
    </xf>
    <xf numFmtId="49" fontId="40" fillId="0" borderId="14" xfId="2" applyNumberFormat="1" applyFont="1" applyBorder="1" applyAlignment="1">
      <alignment vertical="center"/>
    </xf>
    <xf numFmtId="49" fontId="44" fillId="0" borderId="61" xfId="1" applyNumberFormat="1" applyFont="1" applyBorder="1" applyAlignment="1">
      <alignment vertical="center"/>
    </xf>
    <xf numFmtId="49" fontId="44" fillId="0" borderId="45" xfId="1" applyNumberFormat="1" applyFont="1" applyBorder="1" applyAlignment="1">
      <alignment vertical="center"/>
    </xf>
    <xf numFmtId="49" fontId="21" fillId="0" borderId="46" xfId="2" applyNumberFormat="1" applyFont="1" applyBorder="1" applyAlignment="1">
      <alignment vertical="center"/>
    </xf>
    <xf numFmtId="49" fontId="8" fillId="0" borderId="6" xfId="1" applyNumberFormat="1" applyBorder="1" applyAlignment="1">
      <alignment vertical="center"/>
    </xf>
    <xf numFmtId="49" fontId="14" fillId="0" borderId="14" xfId="2" applyNumberFormat="1" applyBorder="1" applyAlignment="1">
      <alignment vertical="center"/>
    </xf>
    <xf numFmtId="49" fontId="53" fillId="0" borderId="14" xfId="4" quotePrefix="1" applyNumberFormat="1" applyFont="1" applyBorder="1" applyAlignment="1">
      <alignment horizontal="left" vertical="center"/>
    </xf>
    <xf numFmtId="49" fontId="54" fillId="8" borderId="22" xfId="1" applyNumberFormat="1" applyFont="1" applyFill="1" applyBorder="1" applyAlignment="1">
      <alignment horizontal="center" vertical="center"/>
    </xf>
    <xf numFmtId="49" fontId="56" fillId="0" borderId="34" xfId="1" applyNumberFormat="1" applyFont="1" applyBorder="1" applyAlignment="1">
      <alignment horizontal="center" vertical="center"/>
    </xf>
    <xf numFmtId="49" fontId="58" fillId="0" borderId="36" xfId="1" applyNumberFormat="1" applyFont="1" applyBorder="1" applyAlignment="1">
      <alignment vertical="center"/>
    </xf>
    <xf numFmtId="49" fontId="6" fillId="0" borderId="45" xfId="1" applyNumberFormat="1" applyFont="1" applyBorder="1" applyAlignment="1">
      <alignment horizontal="center" vertical="center" wrapText="1"/>
    </xf>
    <xf numFmtId="49" fontId="6" fillId="0" borderId="4" xfId="1" applyNumberFormat="1" applyFont="1" applyBorder="1" applyAlignment="1">
      <alignment horizontal="center" vertical="center"/>
    </xf>
    <xf numFmtId="49" fontId="6" fillId="0" borderId="102" xfId="1" applyNumberFormat="1" applyFont="1" applyBorder="1" applyAlignment="1">
      <alignment vertical="center"/>
    </xf>
    <xf numFmtId="49" fontId="6" fillId="0" borderId="104" xfId="1" applyNumberFormat="1" applyFont="1" applyBorder="1" applyAlignment="1">
      <alignment vertical="center"/>
    </xf>
    <xf numFmtId="49" fontId="34" fillId="11" borderId="81" xfId="6" quotePrefix="1" applyNumberFormat="1" applyFont="1" applyFill="1" applyBorder="1" applyAlignment="1">
      <alignment horizontal="left" vertical="center"/>
    </xf>
    <xf numFmtId="49" fontId="34" fillId="11" borderId="88" xfId="6" quotePrefix="1" applyNumberFormat="1" applyFont="1" applyFill="1" applyBorder="1" applyAlignment="1">
      <alignment horizontal="left" vertical="center"/>
    </xf>
    <xf numFmtId="49" fontId="59" fillId="11" borderId="82" xfId="6" applyNumberFormat="1" applyFont="1" applyFill="1" applyBorder="1" applyAlignment="1">
      <alignment horizontal="left" vertical="center"/>
    </xf>
    <xf numFmtId="49" fontId="52" fillId="11" borderId="68" xfId="6" applyNumberFormat="1" applyFont="1" applyFill="1" applyBorder="1" applyAlignment="1">
      <alignment vertical="center"/>
    </xf>
    <xf numFmtId="49" fontId="52" fillId="0" borderId="45" xfId="1" applyNumberFormat="1" applyFont="1" applyBorder="1" applyAlignment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4" fontId="0" fillId="2" borderId="30" xfId="0" applyNumberFormat="1" applyFill="1" applyBorder="1" applyAlignment="1">
      <alignment horizontal="center" vertical="center"/>
    </xf>
    <xf numFmtId="0" fontId="0" fillId="2" borderId="7" xfId="0" applyFill="1" applyBorder="1"/>
    <xf numFmtId="17" fontId="0" fillId="2" borderId="0" xfId="0" applyNumberFormat="1" applyFill="1" applyAlignment="1">
      <alignment horizontal="center" vertical="center"/>
    </xf>
    <xf numFmtId="0" fontId="0" fillId="2" borderId="10" xfId="0" applyFill="1" applyBorder="1"/>
    <xf numFmtId="0" fontId="0" fillId="2" borderId="90" xfId="0" applyFill="1" applyBorder="1" applyAlignment="1">
      <alignment horizontal="center" vertical="center"/>
    </xf>
    <xf numFmtId="0" fontId="0" fillId="2" borderId="90" xfId="0" applyFill="1" applyBorder="1"/>
    <xf numFmtId="0" fontId="0" fillId="2" borderId="54" xfId="0" applyFill="1" applyBorder="1"/>
    <xf numFmtId="168" fontId="0" fillId="2" borderId="7" xfId="64" applyNumberFormat="1" applyFont="1" applyFill="1" applyBorder="1" applyAlignment="1">
      <alignment horizontal="center" vertical="center"/>
    </xf>
    <xf numFmtId="4" fontId="87" fillId="2" borderId="41" xfId="0" applyNumberFormat="1" applyFont="1" applyFill="1" applyBorder="1" applyAlignment="1">
      <alignment horizontal="center" vertical="center"/>
    </xf>
    <xf numFmtId="4" fontId="87" fillId="2" borderId="126" xfId="0" applyNumberFormat="1" applyFont="1" applyFill="1" applyBorder="1" applyAlignment="1">
      <alignment horizontal="center" vertical="center"/>
    </xf>
    <xf numFmtId="4" fontId="87" fillId="2" borderId="26" xfId="0" applyNumberFormat="1" applyFont="1" applyFill="1" applyBorder="1" applyAlignment="1">
      <alignment horizontal="center" vertical="center"/>
    </xf>
    <xf numFmtId="4" fontId="87" fillId="2" borderId="128" xfId="0" applyNumberFormat="1" applyFont="1" applyFill="1" applyBorder="1" applyAlignment="1">
      <alignment horizontal="center" vertical="center"/>
    </xf>
    <xf numFmtId="4" fontId="87" fillId="2" borderId="27" xfId="0" applyNumberFormat="1" applyFont="1" applyFill="1" applyBorder="1" applyAlignment="1">
      <alignment horizontal="center" vertical="center"/>
    </xf>
    <xf numFmtId="4" fontId="87" fillId="2" borderId="133" xfId="0" applyNumberFormat="1" applyFont="1" applyFill="1" applyBorder="1" applyAlignment="1">
      <alignment horizontal="center" vertical="center"/>
    </xf>
    <xf numFmtId="0" fontId="87" fillId="2" borderId="10" xfId="0" applyFont="1" applyFill="1" applyBorder="1" applyAlignment="1">
      <alignment horizontal="center" vertical="center"/>
    </xf>
    <xf numFmtId="20" fontId="85" fillId="2" borderId="90" xfId="0" applyNumberFormat="1" applyFont="1" applyFill="1" applyBorder="1" applyAlignment="1">
      <alignment horizontal="left" vertical="center"/>
    </xf>
    <xf numFmtId="20" fontId="85" fillId="2" borderId="90" xfId="0" applyNumberFormat="1" applyFont="1" applyFill="1" applyBorder="1" applyAlignment="1">
      <alignment vertical="center"/>
    </xf>
    <xf numFmtId="20" fontId="0" fillId="2" borderId="54" xfId="0" applyNumberFormat="1" applyFill="1" applyBorder="1" applyAlignment="1">
      <alignment horizontal="center" vertical="center"/>
    </xf>
    <xf numFmtId="20" fontId="0" fillId="2" borderId="0" xfId="0" applyNumberFormat="1" applyFill="1" applyAlignment="1">
      <alignment horizontal="center" vertical="center"/>
    </xf>
    <xf numFmtId="20" fontId="0" fillId="2" borderId="35" xfId="0" applyNumberForma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36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8" borderId="10" xfId="0" applyFill="1" applyBorder="1" applyAlignment="1">
      <alignment horizontal="center" vertical="center"/>
    </xf>
    <xf numFmtId="0" fontId="90" fillId="2" borderId="0" xfId="0" applyFont="1" applyFill="1" applyAlignment="1">
      <alignment horizontal="center" vertical="center"/>
    </xf>
    <xf numFmtId="0" fontId="90" fillId="2" borderId="140" xfId="0" applyFont="1" applyFill="1" applyBorder="1" applyAlignment="1">
      <alignment horizontal="center" vertical="center"/>
    </xf>
    <xf numFmtId="0" fontId="90" fillId="3" borderId="0" xfId="0" applyFont="1" applyFill="1" applyAlignment="1">
      <alignment horizontal="center" vertical="center"/>
    </xf>
    <xf numFmtId="0" fontId="90" fillId="2" borderId="141" xfId="0" applyFont="1" applyFill="1" applyBorder="1" applyAlignment="1">
      <alignment horizontal="center" vertical="center"/>
    </xf>
    <xf numFmtId="0" fontId="0" fillId="3" borderId="0" xfId="0" applyFill="1"/>
    <xf numFmtId="0" fontId="0" fillId="28" borderId="0" xfId="0" applyFill="1"/>
    <xf numFmtId="0" fontId="0" fillId="2" borderId="35" xfId="0" applyFill="1" applyBorder="1"/>
    <xf numFmtId="0" fontId="0" fillId="2" borderId="0" xfId="0" applyFill="1" applyAlignment="1">
      <alignment horizontal="left" vertical="center"/>
    </xf>
    <xf numFmtId="4" fontId="87" fillId="2" borderId="0" xfId="0" applyNumberFormat="1" applyFont="1" applyFill="1" applyAlignment="1">
      <alignment horizontal="center" vertical="center"/>
    </xf>
    <xf numFmtId="4" fontId="0" fillId="2" borderId="0" xfId="0" applyNumberFormat="1" applyFill="1" applyAlignment="1">
      <alignment vertical="center"/>
    </xf>
    <xf numFmtId="4" fontId="0" fillId="2" borderId="0" xfId="0" applyNumberFormat="1" applyFill="1" applyAlignment="1">
      <alignment horizontal="center" vertical="center" wrapText="1"/>
    </xf>
    <xf numFmtId="4" fontId="85" fillId="2" borderId="41" xfId="0" applyNumberFormat="1" applyFont="1" applyFill="1" applyBorder="1" applyAlignment="1">
      <alignment horizontal="center" vertical="center" wrapText="1"/>
    </xf>
    <xf numFmtId="4" fontId="85" fillId="2" borderId="126" xfId="0" applyNumberFormat="1" applyFont="1" applyFill="1" applyBorder="1" applyAlignment="1">
      <alignment horizontal="center" vertical="center" wrapText="1"/>
    </xf>
    <xf numFmtId="4" fontId="85" fillId="2" borderId="61" xfId="0" applyNumberFormat="1" applyFont="1" applyFill="1" applyBorder="1" applyAlignment="1">
      <alignment horizontal="center" vertical="center" wrapText="1"/>
    </xf>
    <xf numFmtId="4" fontId="0" fillId="2" borderId="0" xfId="0" applyNumberFormat="1" applyFill="1" applyAlignment="1">
      <alignment horizontal="center" vertical="center"/>
    </xf>
    <xf numFmtId="4" fontId="85" fillId="2" borderId="26" xfId="0" applyNumberFormat="1" applyFont="1" applyFill="1" applyBorder="1" applyAlignment="1">
      <alignment horizontal="center" vertical="center"/>
    </xf>
    <xf numFmtId="4" fontId="85" fillId="2" borderId="128" xfId="0" applyNumberFormat="1" applyFont="1" applyFill="1" applyBorder="1" applyAlignment="1">
      <alignment horizontal="center" vertical="center"/>
    </xf>
    <xf numFmtId="4" fontId="85" fillId="2" borderId="68" xfId="0" applyNumberFormat="1" applyFont="1" applyFill="1" applyBorder="1" applyAlignment="1">
      <alignment horizontal="center" vertical="center"/>
    </xf>
    <xf numFmtId="4" fontId="85" fillId="2" borderId="111" xfId="0" applyNumberFormat="1" applyFont="1" applyFill="1" applyBorder="1" applyAlignment="1">
      <alignment horizontal="center" vertical="center"/>
    </xf>
    <xf numFmtId="4" fontId="0" fillId="2" borderId="13" xfId="0" applyNumberFormat="1" applyFill="1" applyBorder="1" applyAlignment="1">
      <alignment horizontal="center" vertical="center" wrapText="1"/>
    </xf>
    <xf numFmtId="4" fontId="0" fillId="2" borderId="131" xfId="0" applyNumberFormat="1" applyFill="1" applyBorder="1" applyAlignment="1">
      <alignment horizontal="center" vertical="center" wrapText="1"/>
    </xf>
    <xf numFmtId="4" fontId="0" fillId="2" borderId="132" xfId="0" applyNumberFormat="1" applyFill="1" applyBorder="1" applyAlignment="1">
      <alignment horizontal="center" vertical="center" wrapText="1"/>
    </xf>
    <xf numFmtId="4" fontId="0" fillId="2" borderId="62" xfId="0" applyNumberFormat="1" applyFill="1" applyBorder="1" applyAlignment="1">
      <alignment horizontal="center" vertical="center" wrapText="1"/>
    </xf>
    <xf numFmtId="4" fontId="0" fillId="2" borderId="133" xfId="0" applyNumberFormat="1" applyFill="1" applyBorder="1" applyAlignment="1">
      <alignment horizontal="center" vertical="center" wrapText="1"/>
    </xf>
    <xf numFmtId="4" fontId="0" fillId="2" borderId="21" xfId="0" applyNumberFormat="1" applyFill="1" applyBorder="1" applyAlignment="1">
      <alignment horizontal="center" vertical="center" wrapText="1"/>
    </xf>
    <xf numFmtId="4" fontId="0" fillId="2" borderId="29" xfId="0" applyNumberFormat="1" applyFill="1" applyBorder="1" applyAlignment="1">
      <alignment horizontal="center" vertical="center" wrapText="1"/>
    </xf>
    <xf numFmtId="4" fontId="0" fillId="2" borderId="6" xfId="0" applyNumberFormat="1" applyFill="1" applyBorder="1" applyAlignment="1">
      <alignment horizontal="center" vertical="center" wrapText="1"/>
    </xf>
    <xf numFmtId="4" fontId="88" fillId="2" borderId="122" xfId="0" applyNumberFormat="1" applyFont="1" applyFill="1" applyBorder="1" applyAlignment="1">
      <alignment vertical="center"/>
    </xf>
    <xf numFmtId="3" fontId="0" fillId="2" borderId="7" xfId="0" applyNumberFormat="1" applyFill="1" applyBorder="1" applyAlignment="1">
      <alignment vertical="center"/>
    </xf>
    <xf numFmtId="4" fontId="0" fillId="2" borderId="54" xfId="0" applyNumberFormat="1" applyFill="1" applyBorder="1" applyAlignment="1">
      <alignment vertical="center"/>
    </xf>
    <xf numFmtId="4" fontId="88" fillId="2" borderId="134" xfId="0" applyNumberFormat="1" applyFont="1" applyFill="1" applyBorder="1" applyAlignment="1">
      <alignment vertical="center"/>
    </xf>
    <xf numFmtId="4" fontId="0" fillId="2" borderId="62" xfId="0" applyNumberFormat="1" applyFill="1" applyBorder="1" applyAlignment="1">
      <alignment vertical="center"/>
    </xf>
    <xf numFmtId="4" fontId="88" fillId="2" borderId="123" xfId="0" applyNumberFormat="1" applyFont="1" applyFill="1" applyBorder="1" applyAlignment="1">
      <alignment vertical="center"/>
    </xf>
    <xf numFmtId="3" fontId="0" fillId="2" borderId="0" xfId="0" applyNumberFormat="1" applyFill="1" applyAlignment="1">
      <alignment vertical="center"/>
    </xf>
    <xf numFmtId="4" fontId="0" fillId="2" borderId="30" xfId="0" applyNumberFormat="1" applyFill="1" applyBorder="1" applyAlignment="1">
      <alignment horizontal="center" vertical="center" wrapText="1"/>
    </xf>
    <xf numFmtId="4" fontId="0" fillId="2" borderId="122" xfId="0" applyNumberFormat="1" applyFill="1" applyBorder="1" applyAlignment="1">
      <alignment horizontal="center" vertical="center" wrapText="1"/>
    </xf>
    <xf numFmtId="4" fontId="0" fillId="2" borderId="134" xfId="0" applyNumberFormat="1" applyFill="1" applyBorder="1" applyAlignment="1">
      <alignment vertical="center"/>
    </xf>
    <xf numFmtId="3" fontId="0" fillId="2" borderId="21" xfId="0" applyNumberFormat="1" applyFill="1" applyBorder="1" applyAlignment="1">
      <alignment vertical="center"/>
    </xf>
    <xf numFmtId="4" fontId="0" fillId="2" borderId="123" xfId="0" applyNumberFormat="1" applyFill="1" applyBorder="1" applyAlignment="1">
      <alignment vertical="center"/>
    </xf>
    <xf numFmtId="4" fontId="0" fillId="4" borderId="30" xfId="0" applyNumberFormat="1" applyFill="1" applyBorder="1" applyAlignment="1">
      <alignment horizontal="center" vertical="center" wrapText="1"/>
    </xf>
    <xf numFmtId="4" fontId="0" fillId="5" borderId="30" xfId="0" applyNumberFormat="1" applyFill="1" applyBorder="1" applyAlignment="1">
      <alignment horizontal="center" vertical="center" wrapText="1"/>
    </xf>
    <xf numFmtId="4" fontId="0" fillId="3" borderId="122" xfId="0" applyNumberFormat="1" applyFill="1" applyBorder="1" applyAlignment="1">
      <alignment horizontal="center" vertical="center" wrapText="1"/>
    </xf>
    <xf numFmtId="0" fontId="0" fillId="2" borderId="121" xfId="0" applyFill="1" applyBorder="1"/>
    <xf numFmtId="0" fontId="0" fillId="2" borderId="30" xfId="0" applyFill="1" applyBorder="1"/>
    <xf numFmtId="17" fontId="0" fillId="2" borderId="30" xfId="0" applyNumberFormat="1" applyFill="1" applyBorder="1" applyAlignment="1">
      <alignment horizontal="center" vertical="center"/>
    </xf>
    <xf numFmtId="0" fontId="85" fillId="2" borderId="122" xfId="0" applyFont="1" applyFill="1" applyBorder="1" applyAlignment="1">
      <alignment horizontal="center" vertical="center"/>
    </xf>
    <xf numFmtId="0" fontId="0" fillId="2" borderId="19" xfId="0" applyFill="1" applyBorder="1"/>
    <xf numFmtId="168" fontId="85" fillId="2" borderId="134" xfId="64" applyNumberFormat="1" applyFont="1" applyFill="1" applyBorder="1" applyAlignment="1">
      <alignment horizontal="center" vertical="center"/>
    </xf>
    <xf numFmtId="0" fontId="0" fillId="2" borderId="20" xfId="0" applyFill="1" applyBorder="1"/>
    <xf numFmtId="0" fontId="0" fillId="2" borderId="21" xfId="0" applyFill="1" applyBorder="1"/>
    <xf numFmtId="168" fontId="0" fillId="2" borderId="21" xfId="64" applyNumberFormat="1" applyFont="1" applyFill="1" applyBorder="1" applyAlignment="1">
      <alignment horizontal="center" vertical="center"/>
    </xf>
    <xf numFmtId="168" fontId="85" fillId="2" borderId="123" xfId="64" applyNumberFormat="1" applyFont="1" applyFill="1" applyBorder="1" applyAlignment="1">
      <alignment horizontal="center" vertical="center"/>
    </xf>
    <xf numFmtId="20" fontId="0" fillId="2" borderId="0" xfId="0" applyNumberFormat="1" applyFill="1"/>
    <xf numFmtId="0" fontId="86" fillId="2" borderId="0" xfId="0" applyFont="1" applyFill="1"/>
    <xf numFmtId="4" fontId="0" fillId="2" borderId="41" xfId="0" applyNumberFormat="1" applyFill="1" applyBorder="1" applyAlignment="1">
      <alignment horizontal="center" vertical="center" wrapText="1"/>
    </xf>
    <xf numFmtId="4" fontId="0" fillId="2" borderId="43" xfId="0" applyNumberFormat="1" applyFill="1" applyBorder="1" applyAlignment="1">
      <alignment horizontal="center" vertical="center" wrapText="1"/>
    </xf>
    <xf numFmtId="4" fontId="0" fillId="2" borderId="121" xfId="0" applyNumberFormat="1" applyFill="1" applyBorder="1" applyAlignment="1">
      <alignment horizontal="center" vertical="center"/>
    </xf>
    <xf numFmtId="3" fontId="0" fillId="2" borderId="19" xfId="0" applyNumberFormat="1" applyFill="1" applyBorder="1" applyAlignment="1">
      <alignment vertical="center"/>
    </xf>
    <xf numFmtId="3" fontId="0" fillId="2" borderId="20" xfId="0" applyNumberFormat="1" applyFill="1" applyBorder="1" applyAlignment="1">
      <alignment vertical="center"/>
    </xf>
    <xf numFmtId="49" fontId="53" fillId="0" borderId="67" xfId="1" applyNumberFormat="1" applyFont="1" applyBorder="1" applyAlignment="1">
      <alignment vertical="center" wrapText="1"/>
    </xf>
    <xf numFmtId="49" fontId="92" fillId="0" borderId="32" xfId="1" applyNumberFormat="1" applyFont="1" applyBorder="1" applyAlignment="1">
      <alignment vertical="center"/>
    </xf>
    <xf numFmtId="49" fontId="59" fillId="0" borderId="0" xfId="1" applyNumberFormat="1" applyFont="1" applyAlignment="1">
      <alignment horizontal="center" vertical="center"/>
    </xf>
    <xf numFmtId="49" fontId="93" fillId="0" borderId="0" xfId="1" applyNumberFormat="1" applyFont="1" applyAlignment="1">
      <alignment vertical="center"/>
    </xf>
    <xf numFmtId="49" fontId="93" fillId="6" borderId="35" xfId="1" applyNumberFormat="1" applyFont="1" applyFill="1" applyBorder="1" applyAlignment="1">
      <alignment horizontal="center" vertical="center"/>
    </xf>
    <xf numFmtId="49" fontId="93" fillId="6" borderId="7" xfId="1" applyNumberFormat="1" applyFont="1" applyFill="1" applyBorder="1" applyAlignment="1">
      <alignment horizontal="center" vertical="center"/>
    </xf>
    <xf numFmtId="49" fontId="93" fillId="6" borderId="0" xfId="1" applyNumberFormat="1" applyFont="1" applyFill="1" applyAlignment="1">
      <alignment vertical="center"/>
    </xf>
    <xf numFmtId="49" fontId="93" fillId="6" borderId="7" xfId="1" applyNumberFormat="1" applyFont="1" applyFill="1" applyBorder="1" applyAlignment="1">
      <alignment horizontal="distributed" vertical="center" justifyLastLine="1"/>
    </xf>
    <xf numFmtId="49" fontId="93" fillId="6" borderId="11" xfId="1" applyNumberFormat="1" applyFont="1" applyFill="1" applyBorder="1" applyAlignment="1">
      <alignment horizontal="center" vertical="center"/>
    </xf>
    <xf numFmtId="49" fontId="93" fillId="6" borderId="11" xfId="1" applyNumberFormat="1" applyFont="1" applyFill="1" applyBorder="1" applyAlignment="1">
      <alignment horizontal="distributed" vertical="center" justifyLastLine="1"/>
    </xf>
    <xf numFmtId="49" fontId="93" fillId="0" borderId="36" xfId="2" applyNumberFormat="1" applyFont="1" applyBorder="1" applyAlignment="1">
      <alignment vertical="center" wrapText="1"/>
    </xf>
    <xf numFmtId="49" fontId="93" fillId="0" borderId="0" xfId="3" applyNumberFormat="1" applyFont="1"/>
    <xf numFmtId="49" fontId="94" fillId="0" borderId="37" xfId="1" applyNumberFormat="1" applyFont="1" applyBorder="1" applyAlignment="1">
      <alignment horizontal="center" vertical="center"/>
    </xf>
    <xf numFmtId="49" fontId="93" fillId="6" borderId="35" xfId="1" applyNumberFormat="1" applyFont="1" applyFill="1" applyBorder="1" applyAlignment="1">
      <alignment vertical="center"/>
    </xf>
    <xf numFmtId="49" fontId="93" fillId="6" borderId="8" xfId="1" applyNumberFormat="1" applyFont="1" applyFill="1" applyBorder="1" applyAlignment="1">
      <alignment vertical="center"/>
    </xf>
    <xf numFmtId="49" fontId="93" fillId="6" borderId="8" xfId="1" applyNumberFormat="1" applyFont="1" applyFill="1" applyBorder="1" applyAlignment="1">
      <alignment horizontal="center" vertical="center" wrapText="1"/>
    </xf>
    <xf numFmtId="49" fontId="5" fillId="0" borderId="38" xfId="2" applyNumberFormat="1" applyFont="1" applyBorder="1" applyAlignment="1">
      <alignment vertical="center"/>
    </xf>
    <xf numFmtId="49" fontId="57" fillId="0" borderId="14" xfId="1" applyNumberFormat="1" applyFont="1" applyBorder="1" applyAlignment="1">
      <alignment vertical="center"/>
    </xf>
    <xf numFmtId="49" fontId="54" fillId="0" borderId="14" xfId="1" applyNumberFormat="1" applyFont="1" applyBorder="1" applyAlignment="1">
      <alignment vertical="center"/>
    </xf>
    <xf numFmtId="49" fontId="54" fillId="0" borderId="15" xfId="1" applyNumberFormat="1" applyFont="1" applyBorder="1" applyAlignment="1">
      <alignment vertical="center"/>
    </xf>
    <xf numFmtId="49" fontId="45" fillId="9" borderId="41" xfId="1" applyNumberFormat="1" applyFont="1" applyFill="1" applyBorder="1" applyAlignment="1">
      <alignment vertical="center"/>
    </xf>
    <xf numFmtId="49" fontId="96" fillId="0" borderId="0" xfId="1" applyNumberFormat="1" applyFont="1" applyAlignment="1">
      <alignment horizontal="center" vertical="center"/>
    </xf>
    <xf numFmtId="49" fontId="5" fillId="10" borderId="0" xfId="1" quotePrefix="1" applyNumberFormat="1" applyFont="1" applyFill="1" applyAlignment="1">
      <alignment horizontal="center" vertical="center"/>
    </xf>
    <xf numFmtId="49" fontId="45" fillId="6" borderId="0" xfId="1" applyNumberFormat="1" applyFont="1" applyFill="1" applyAlignment="1">
      <alignment horizontal="center" vertical="center" shrinkToFit="1"/>
    </xf>
    <xf numFmtId="49" fontId="97" fillId="11" borderId="45" xfId="1" applyNumberFormat="1" applyFont="1" applyFill="1" applyBorder="1" applyAlignment="1">
      <alignment horizontal="center" vertical="center"/>
    </xf>
    <xf numFmtId="49" fontId="54" fillId="0" borderId="46" xfId="1" applyNumberFormat="1" applyFont="1" applyBorder="1" applyAlignment="1">
      <alignment vertical="center"/>
    </xf>
    <xf numFmtId="49" fontId="59" fillId="7" borderId="47" xfId="1" applyNumberFormat="1" applyFont="1" applyFill="1" applyBorder="1" applyAlignment="1">
      <alignment horizontal="center" vertical="center" wrapText="1" shrinkToFit="1"/>
    </xf>
    <xf numFmtId="49" fontId="98" fillId="0" borderId="0" xfId="1" quotePrefix="1" applyNumberFormat="1" applyFont="1" applyAlignment="1">
      <alignment horizontal="center" vertical="center"/>
    </xf>
    <xf numFmtId="49" fontId="5" fillId="2" borderId="0" xfId="1" quotePrefix="1" applyNumberFormat="1" applyFont="1" applyFill="1" applyAlignment="1">
      <alignment horizontal="center" vertical="center"/>
    </xf>
    <xf numFmtId="49" fontId="5" fillId="0" borderId="0" xfId="1" quotePrefix="1" applyNumberFormat="1" applyFont="1" applyAlignment="1">
      <alignment horizontal="center" vertical="center"/>
    </xf>
    <xf numFmtId="49" fontId="54" fillId="0" borderId="0" xfId="1" applyNumberFormat="1" applyFont="1" applyAlignment="1">
      <alignment vertical="center"/>
    </xf>
    <xf numFmtId="49" fontId="93" fillId="0" borderId="0" xfId="5" applyNumberFormat="1" applyFont="1" applyAlignment="1">
      <alignment vertical="center" shrinkToFit="1"/>
    </xf>
    <xf numFmtId="49" fontId="34" fillId="0" borderId="54" xfId="3" applyNumberFormat="1" applyFont="1" applyBorder="1" applyAlignment="1">
      <alignment horizontal="center" vertical="center"/>
    </xf>
    <xf numFmtId="49" fontId="34" fillId="0" borderId="7" xfId="3" applyNumberFormat="1" applyFont="1" applyBorder="1" applyAlignment="1">
      <alignment horizontal="center" vertical="center"/>
    </xf>
    <xf numFmtId="49" fontId="99" fillId="0" borderId="57" xfId="1" applyNumberFormat="1" applyFont="1" applyBorder="1" applyAlignment="1">
      <alignment horizontal="center" vertical="center"/>
    </xf>
    <xf numFmtId="49" fontId="99" fillId="0" borderId="58" xfId="1" applyNumberFormat="1" applyFont="1" applyBorder="1" applyAlignment="1">
      <alignment horizontal="center" vertical="center"/>
    </xf>
    <xf numFmtId="49" fontId="100" fillId="0" borderId="58" xfId="1" applyNumberFormat="1" applyFont="1" applyBorder="1" applyAlignment="1">
      <alignment horizontal="center" vertical="center" wrapText="1"/>
    </xf>
    <xf numFmtId="49" fontId="99" fillId="0" borderId="58" xfId="1" applyNumberFormat="1" applyFont="1" applyBorder="1" applyAlignment="1">
      <alignment horizontal="center" vertical="center" wrapText="1"/>
    </xf>
    <xf numFmtId="49" fontId="99" fillId="0" borderId="59" xfId="1" applyNumberFormat="1" applyFont="1" applyBorder="1" applyAlignment="1">
      <alignment horizontal="center" vertical="center" wrapText="1"/>
    </xf>
    <xf numFmtId="49" fontId="99" fillId="0" borderId="60" xfId="1" applyNumberFormat="1" applyFont="1" applyBorder="1" applyAlignment="1">
      <alignment horizontal="center" vertical="center" shrinkToFit="1"/>
    </xf>
    <xf numFmtId="49" fontId="99" fillId="0" borderId="0" xfId="1" applyNumberFormat="1" applyFont="1" applyAlignment="1">
      <alignment horizontal="center" vertical="center" shrinkToFit="1"/>
    </xf>
    <xf numFmtId="49" fontId="34" fillId="0" borderId="0" xfId="1" applyNumberFormat="1" applyFont="1" applyAlignment="1">
      <alignment horizontal="center" vertical="center" shrinkToFit="1"/>
    </xf>
    <xf numFmtId="49" fontId="101" fillId="0" borderId="0" xfId="1" applyNumberFormat="1" applyFont="1" applyAlignment="1">
      <alignment vertical="center"/>
    </xf>
    <xf numFmtId="49" fontId="59" fillId="0" borderId="8" xfId="3" applyNumberFormat="1" applyFont="1" applyBorder="1" applyAlignment="1">
      <alignment vertical="center"/>
    </xf>
    <xf numFmtId="49" fontId="34" fillId="0" borderId="8" xfId="3" applyNumberFormat="1" applyFont="1" applyBorder="1" applyAlignment="1">
      <alignment horizontal="center" vertical="center"/>
    </xf>
    <xf numFmtId="49" fontId="102" fillId="0" borderId="0" xfId="1" applyNumberFormat="1" applyFont="1" applyAlignment="1">
      <alignment vertical="center"/>
    </xf>
    <xf numFmtId="49" fontId="102" fillId="0" borderId="0" xfId="1" quotePrefix="1" applyNumberFormat="1" applyFont="1" applyAlignment="1">
      <alignment vertical="center"/>
    </xf>
    <xf numFmtId="49" fontId="59" fillId="0" borderId="7" xfId="3" applyNumberFormat="1" applyFont="1" applyBorder="1" applyAlignment="1">
      <alignment vertical="center"/>
    </xf>
    <xf numFmtId="49" fontId="103" fillId="0" borderId="0" xfId="1" applyNumberFormat="1" applyFont="1" applyAlignment="1">
      <alignment vertical="center"/>
    </xf>
    <xf numFmtId="49" fontId="93" fillId="0" borderId="0" xfId="1" applyNumberFormat="1" applyFont="1" applyAlignment="1">
      <alignment horizontal="left" vertical="center"/>
    </xf>
    <xf numFmtId="49" fontId="1" fillId="0" borderId="0" xfId="1" applyNumberFormat="1" applyFont="1" applyAlignment="1">
      <alignment vertical="center"/>
    </xf>
    <xf numFmtId="49" fontId="92" fillId="0" borderId="0" xfId="1" applyNumberFormat="1" applyFont="1" applyAlignment="1">
      <alignment vertical="center"/>
    </xf>
    <xf numFmtId="49" fontId="5" fillId="0" borderId="0" xfId="1" applyNumberFormat="1" applyFont="1" applyAlignment="1">
      <alignment vertical="center"/>
    </xf>
    <xf numFmtId="49" fontId="93" fillId="0" borderId="0" xfId="1" applyNumberFormat="1" applyFont="1" applyAlignment="1">
      <alignment horizontal="right" vertical="center"/>
    </xf>
    <xf numFmtId="49" fontId="5" fillId="0" borderId="45" xfId="1" applyNumberFormat="1" applyFont="1" applyBorder="1" applyAlignment="1">
      <alignment vertical="center"/>
    </xf>
    <xf numFmtId="49" fontId="34" fillId="0" borderId="46" xfId="6" applyNumberFormat="1" applyFont="1" applyBorder="1" applyAlignment="1">
      <alignment horizontal="center" vertical="center"/>
    </xf>
    <xf numFmtId="49" fontId="93" fillId="0" borderId="69" xfId="1" applyNumberFormat="1" applyFont="1" applyBorder="1" applyAlignment="1">
      <alignment vertical="center"/>
    </xf>
    <xf numFmtId="49" fontId="93" fillId="0" borderId="69" xfId="1" applyNumberFormat="1" applyFont="1" applyBorder="1" applyAlignment="1">
      <alignment horizontal="center" vertical="center"/>
    </xf>
    <xf numFmtId="49" fontId="93" fillId="0" borderId="69" xfId="1" applyNumberFormat="1" applyFont="1" applyBorder="1" applyAlignment="1">
      <alignment horizontal="left" vertical="center"/>
    </xf>
    <xf numFmtId="49" fontId="93" fillId="0" borderId="45" xfId="1" applyNumberFormat="1" applyFont="1" applyBorder="1" applyAlignment="1">
      <alignment vertical="center"/>
    </xf>
    <xf numFmtId="49" fontId="52" fillId="0" borderId="0" xfId="1" applyNumberFormat="1" applyFont="1" applyAlignment="1">
      <alignment horizontal="center" vertical="center"/>
    </xf>
    <xf numFmtId="49" fontId="34" fillId="0" borderId="69" xfId="6" applyNumberFormat="1" applyFont="1" applyBorder="1" applyAlignment="1">
      <alignment horizontal="center" vertical="center"/>
    </xf>
    <xf numFmtId="49" fontId="34" fillId="0" borderId="0" xfId="6" applyNumberFormat="1" applyFont="1" applyAlignment="1">
      <alignment horizontal="center" vertical="center"/>
    </xf>
    <xf numFmtId="49" fontId="93" fillId="0" borderId="0" xfId="1" quotePrefix="1" applyNumberFormat="1" applyFont="1" applyAlignment="1">
      <alignment horizontal="right" vertical="center"/>
    </xf>
    <xf numFmtId="49" fontId="93" fillId="0" borderId="0" xfId="1" applyNumberFormat="1" applyFont="1" applyAlignment="1">
      <alignment horizontal="center" vertical="center"/>
    </xf>
    <xf numFmtId="49" fontId="45" fillId="0" borderId="66" xfId="7" applyNumberFormat="1" applyFont="1" applyBorder="1" applyAlignment="1">
      <alignment horizontal="center" vertical="center"/>
    </xf>
    <xf numFmtId="49" fontId="45" fillId="0" borderId="70" xfId="7" applyNumberFormat="1" applyFont="1" applyBorder="1" applyAlignment="1">
      <alignment horizontal="center" vertical="center"/>
    </xf>
    <xf numFmtId="49" fontId="105" fillId="0" borderId="0" xfId="1" applyNumberFormat="1" applyFont="1" applyAlignment="1">
      <alignment vertical="center"/>
    </xf>
    <xf numFmtId="49" fontId="105" fillId="0" borderId="0" xfId="1" applyNumberFormat="1" applyFont="1" applyAlignment="1">
      <alignment horizontal="center" vertical="center"/>
    </xf>
    <xf numFmtId="49" fontId="105" fillId="0" borderId="0" xfId="1" quotePrefix="1" applyNumberFormat="1" applyFont="1" applyAlignment="1">
      <alignment horizontal="center" vertical="center"/>
    </xf>
    <xf numFmtId="49" fontId="106" fillId="0" borderId="0" xfId="1" applyNumberFormat="1" applyFont="1" applyAlignment="1">
      <alignment vertical="center"/>
    </xf>
    <xf numFmtId="49" fontId="5" fillId="0" borderId="0" xfId="1" applyNumberFormat="1" applyFont="1" applyAlignment="1">
      <alignment horizontal="center" vertical="center"/>
    </xf>
    <xf numFmtId="49" fontId="5" fillId="0" borderId="45" xfId="2" applyNumberFormat="1" applyFont="1" applyBorder="1" applyAlignment="1">
      <alignment vertical="center"/>
    </xf>
    <xf numFmtId="49" fontId="34" fillId="0" borderId="46" xfId="6" applyNumberFormat="1" applyFont="1" applyBorder="1" applyAlignment="1">
      <alignment horizontal="left" vertical="center"/>
    </xf>
    <xf numFmtId="49" fontId="34" fillId="0" borderId="0" xfId="6" applyNumberFormat="1" applyFont="1" applyAlignment="1">
      <alignment horizontal="left" vertical="center"/>
    </xf>
    <xf numFmtId="49" fontId="93" fillId="0" borderId="0" xfId="2" applyNumberFormat="1" applyFont="1" applyAlignment="1">
      <alignment vertical="center"/>
    </xf>
    <xf numFmtId="49" fontId="93" fillId="0" borderId="69" xfId="2" applyNumberFormat="1" applyFont="1" applyBorder="1" applyAlignment="1">
      <alignment vertical="center"/>
    </xf>
    <xf numFmtId="49" fontId="45" fillId="0" borderId="74" xfId="7" applyNumberFormat="1" applyFont="1" applyBorder="1" applyAlignment="1">
      <alignment horizontal="center" vertical="center"/>
    </xf>
    <xf numFmtId="49" fontId="5" fillId="0" borderId="0" xfId="2" applyNumberFormat="1" applyFont="1" applyAlignment="1">
      <alignment vertical="center"/>
    </xf>
    <xf numFmtId="49" fontId="5" fillId="0" borderId="69" xfId="2" applyNumberFormat="1" applyFont="1" applyBorder="1" applyAlignment="1">
      <alignment vertical="center"/>
    </xf>
    <xf numFmtId="49" fontId="45" fillId="0" borderId="75" xfId="7" applyNumberFormat="1" applyFont="1" applyBorder="1" applyAlignment="1">
      <alignment horizontal="center" vertical="center"/>
    </xf>
    <xf numFmtId="49" fontId="93" fillId="0" borderId="68" xfId="1" applyNumberFormat="1" applyFont="1" applyBorder="1" applyAlignment="1">
      <alignment vertical="center"/>
    </xf>
    <xf numFmtId="49" fontId="45" fillId="0" borderId="76" xfId="7" applyNumberFormat="1" applyFont="1" applyBorder="1" applyAlignment="1">
      <alignment horizontal="center" vertical="center"/>
    </xf>
    <xf numFmtId="49" fontId="45" fillId="0" borderId="71" xfId="7" applyNumberFormat="1" applyFont="1" applyBorder="1" applyAlignment="1">
      <alignment horizontal="center" vertical="center"/>
    </xf>
    <xf numFmtId="49" fontId="93" fillId="0" borderId="6" xfId="1" applyNumberFormat="1" applyFont="1" applyBorder="1" applyAlignment="1">
      <alignment vertical="center"/>
    </xf>
    <xf numFmtId="49" fontId="93" fillId="0" borderId="14" xfId="1" applyNumberFormat="1" applyFont="1" applyBorder="1" applyAlignment="1">
      <alignment vertical="center"/>
    </xf>
    <xf numFmtId="49" fontId="5" fillId="0" borderId="14" xfId="1" applyNumberFormat="1" applyFont="1" applyBorder="1" applyAlignment="1">
      <alignment vertical="center"/>
    </xf>
    <xf numFmtId="49" fontId="5" fillId="0" borderId="15" xfId="2" applyNumberFormat="1" applyFont="1" applyBorder="1" applyAlignment="1">
      <alignment vertical="center"/>
    </xf>
    <xf numFmtId="49" fontId="5" fillId="0" borderId="68" xfId="1" applyNumberFormat="1" applyFont="1" applyBorder="1" applyAlignment="1">
      <alignment vertical="center"/>
    </xf>
    <xf numFmtId="49" fontId="6" fillId="0" borderId="68" xfId="1" applyNumberFormat="1" applyFont="1" applyBorder="1" applyAlignment="1">
      <alignment vertical="center"/>
    </xf>
    <xf numFmtId="49" fontId="5" fillId="0" borderId="0" xfId="2" applyNumberFormat="1" applyFont="1" applyAlignment="1">
      <alignment horizontal="center" vertical="center"/>
    </xf>
    <xf numFmtId="49" fontId="6" fillId="0" borderId="6" xfId="1" applyNumberFormat="1" applyFont="1" applyBorder="1" applyAlignment="1">
      <alignment vertical="center"/>
    </xf>
    <xf numFmtId="49" fontId="6" fillId="0" borderId="14" xfId="1" applyNumberFormat="1" applyFont="1" applyBorder="1" applyAlignment="1">
      <alignment vertical="center"/>
    </xf>
    <xf numFmtId="49" fontId="93" fillId="0" borderId="14" xfId="3" applyNumberFormat="1" applyFont="1" applyBorder="1"/>
    <xf numFmtId="49" fontId="34" fillId="0" borderId="14" xfId="2" applyNumberFormat="1" applyFont="1" applyBorder="1" applyAlignment="1">
      <alignment vertical="center"/>
    </xf>
    <xf numFmtId="49" fontId="104" fillId="0" borderId="14" xfId="2" applyNumberFormat="1" applyFont="1" applyBorder="1" applyAlignment="1">
      <alignment vertical="center"/>
    </xf>
    <xf numFmtId="49" fontId="34" fillId="11" borderId="0" xfId="6" applyNumberFormat="1" applyFont="1" applyFill="1" applyAlignment="1">
      <alignment vertical="center"/>
    </xf>
    <xf numFmtId="49" fontId="52" fillId="11" borderId="0" xfId="6" applyNumberFormat="1" applyFont="1" applyFill="1" applyAlignment="1">
      <alignment vertical="center"/>
    </xf>
    <xf numFmtId="49" fontId="93" fillId="0" borderId="0" xfId="6" applyNumberFormat="1" applyFont="1" applyAlignment="1">
      <alignment horizontal="center" vertical="center"/>
    </xf>
    <xf numFmtId="49" fontId="45" fillId="0" borderId="80" xfId="7" applyNumberFormat="1" applyFont="1" applyBorder="1" applyAlignment="1">
      <alignment horizontal="center" vertical="center"/>
    </xf>
    <xf numFmtId="49" fontId="34" fillId="9" borderId="83" xfId="6" applyNumberFormat="1" applyFont="1" applyFill="1" applyBorder="1" applyAlignment="1">
      <alignment vertical="center"/>
    </xf>
    <xf numFmtId="49" fontId="34" fillId="9" borderId="84" xfId="6" applyNumberFormat="1" applyFont="1" applyFill="1" applyBorder="1" applyAlignment="1">
      <alignment horizontal="center" vertical="center" wrapText="1"/>
    </xf>
    <xf numFmtId="49" fontId="45" fillId="9" borderId="86" xfId="6" applyNumberFormat="1" applyFont="1" applyFill="1" applyBorder="1" applyAlignment="1">
      <alignment vertical="center"/>
    </xf>
    <xf numFmtId="49" fontId="45" fillId="0" borderId="72" xfId="1" applyNumberFormat="1" applyFont="1" applyBorder="1" applyAlignment="1">
      <alignment horizontal="center" vertical="center"/>
    </xf>
    <xf numFmtId="49" fontId="45" fillId="0" borderId="72" xfId="6" applyNumberFormat="1" applyFont="1" applyBorder="1" applyAlignment="1">
      <alignment horizontal="center" vertical="center"/>
    </xf>
    <xf numFmtId="49" fontId="45" fillId="0" borderId="73" xfId="6" applyNumberFormat="1" applyFont="1" applyBorder="1" applyAlignment="1">
      <alignment vertical="center"/>
    </xf>
    <xf numFmtId="49" fontId="45" fillId="0" borderId="0" xfId="6" applyNumberFormat="1" applyFont="1" applyAlignment="1">
      <alignment vertical="center"/>
    </xf>
    <xf numFmtId="49" fontId="34" fillId="0" borderId="0" xfId="6" applyNumberFormat="1" applyFont="1" applyAlignment="1">
      <alignment vertical="center"/>
    </xf>
    <xf numFmtId="49" fontId="34" fillId="9" borderId="87" xfId="6" applyNumberFormat="1" applyFont="1" applyFill="1" applyBorder="1" applyAlignment="1">
      <alignment horizontal="left" vertical="center"/>
    </xf>
    <xf numFmtId="49" fontId="96" fillId="9" borderId="88" xfId="6" applyNumberFormat="1" applyFont="1" applyFill="1" applyBorder="1" applyAlignment="1">
      <alignment horizontal="center" vertical="center" wrapText="1"/>
    </xf>
    <xf numFmtId="49" fontId="45" fillId="9" borderId="89" xfId="6" applyNumberFormat="1" applyFont="1" applyFill="1" applyBorder="1" applyAlignment="1">
      <alignment horizontal="left" vertical="center"/>
    </xf>
    <xf numFmtId="49" fontId="93" fillId="0" borderId="90" xfId="1" applyNumberFormat="1" applyFont="1" applyBorder="1" applyAlignment="1">
      <alignment vertical="center"/>
    </xf>
    <xf numFmtId="49" fontId="59" fillId="0" borderId="91" xfId="6" applyNumberFormat="1" applyFont="1" applyBorder="1" applyAlignment="1">
      <alignment horizontal="left" vertical="center"/>
    </xf>
    <xf numFmtId="49" fontId="59" fillId="0" borderId="0" xfId="6" applyNumberFormat="1" applyFont="1" applyAlignment="1">
      <alignment horizontal="left" vertical="center"/>
    </xf>
    <xf numFmtId="49" fontId="34" fillId="0" borderId="90" xfId="1" applyNumberFormat="1" applyFont="1" applyBorder="1" applyAlignment="1">
      <alignment horizontal="center" vertical="center"/>
    </xf>
    <xf numFmtId="49" fontId="45" fillId="0" borderId="90" xfId="6" applyNumberFormat="1" applyFont="1" applyBorder="1" applyAlignment="1">
      <alignment horizontal="center" vertical="center"/>
    </xf>
    <xf numFmtId="49" fontId="34" fillId="9" borderId="92" xfId="6" applyNumberFormat="1" applyFont="1" applyFill="1" applyBorder="1" applyAlignment="1">
      <alignment horizontal="left" vertical="center"/>
    </xf>
    <xf numFmtId="49" fontId="96" fillId="9" borderId="93" xfId="6" applyNumberFormat="1" applyFont="1" applyFill="1" applyBorder="1" applyAlignment="1">
      <alignment horizontal="center" vertical="center" wrapText="1"/>
    </xf>
    <xf numFmtId="49" fontId="45" fillId="9" borderId="95" xfId="6" applyNumberFormat="1" applyFont="1" applyFill="1" applyBorder="1" applyAlignment="1">
      <alignment horizontal="left" vertical="center"/>
    </xf>
    <xf numFmtId="49" fontId="34" fillId="0" borderId="90" xfId="1" applyNumberFormat="1" applyFont="1" applyBorder="1" applyAlignment="1">
      <alignment vertical="center"/>
    </xf>
    <xf numFmtId="49" fontId="45" fillId="0" borderId="30" xfId="7" applyNumberFormat="1" applyFont="1" applyBorder="1" applyAlignment="1">
      <alignment horizontal="center" vertical="center"/>
    </xf>
    <xf numFmtId="49" fontId="93" fillId="0" borderId="31" xfId="6" applyNumberFormat="1" applyFont="1" applyBorder="1" applyAlignment="1">
      <alignment horizontal="left" vertical="center"/>
    </xf>
    <xf numFmtId="49" fontId="96" fillId="0" borderId="42" xfId="6" applyNumberFormat="1" applyFont="1" applyBorder="1" applyAlignment="1">
      <alignment horizontal="center" vertical="center" wrapText="1"/>
    </xf>
    <xf numFmtId="49" fontId="34" fillId="0" borderId="96" xfId="6" applyNumberFormat="1" applyFont="1" applyBorder="1" applyAlignment="1">
      <alignment vertical="center"/>
    </xf>
    <xf numFmtId="49" fontId="34" fillId="0" borderId="97" xfId="6" applyNumberFormat="1" applyFont="1" applyBorder="1" applyAlignment="1">
      <alignment horizontal="center" vertical="center"/>
    </xf>
    <xf numFmtId="49" fontId="59" fillId="0" borderId="42" xfId="6" applyNumberFormat="1" applyFont="1" applyBorder="1" applyAlignment="1">
      <alignment horizontal="left"/>
    </xf>
    <xf numFmtId="49" fontId="45" fillId="0" borderId="10" xfId="1" applyNumberFormat="1" applyFont="1" applyBorder="1" applyAlignment="1">
      <alignment vertical="center"/>
    </xf>
    <xf numFmtId="49" fontId="34" fillId="0" borderId="90" xfId="6" applyNumberFormat="1" applyFont="1" applyBorder="1" applyAlignment="1">
      <alignment horizontal="center" vertical="center"/>
    </xf>
    <xf numFmtId="49" fontId="59" fillId="0" borderId="98" xfId="1" applyNumberFormat="1" applyFont="1" applyBorder="1" applyAlignment="1">
      <alignment horizontal="left"/>
    </xf>
    <xf numFmtId="49" fontId="45" fillId="0" borderId="99" xfId="7" applyNumberFormat="1" applyFont="1" applyBorder="1" applyAlignment="1">
      <alignment horizontal="center" vertical="center"/>
    </xf>
    <xf numFmtId="49" fontId="34" fillId="11" borderId="81" xfId="6" applyNumberFormat="1" applyFont="1" applyFill="1" applyBorder="1" applyAlignment="1">
      <alignment vertical="center"/>
    </xf>
    <xf numFmtId="49" fontId="34" fillId="11" borderId="88" xfId="6" applyNumberFormat="1" applyFont="1" applyFill="1" applyBorder="1" applyAlignment="1">
      <alignment vertical="center"/>
    </xf>
    <xf numFmtId="49" fontId="34" fillId="11" borderId="82" xfId="6" applyNumberFormat="1" applyFont="1" applyFill="1" applyBorder="1" applyAlignment="1">
      <alignment horizontal="left" vertical="center"/>
    </xf>
    <xf numFmtId="49" fontId="93" fillId="0" borderId="9" xfId="6" applyNumberFormat="1" applyFont="1" applyBorder="1" applyAlignment="1">
      <alignment horizontal="left" vertical="center"/>
    </xf>
    <xf numFmtId="49" fontId="96" fillId="0" borderId="78" xfId="6" applyNumberFormat="1" applyFont="1" applyBorder="1" applyAlignment="1">
      <alignment horizontal="center" vertical="center" wrapText="1"/>
    </xf>
    <xf numFmtId="49" fontId="45" fillId="0" borderId="78" xfId="6" applyNumberFormat="1" applyFont="1" applyBorder="1" applyAlignment="1">
      <alignment horizontal="left" vertical="center"/>
    </xf>
    <xf numFmtId="49" fontId="34" fillId="0" borderId="90" xfId="6" applyNumberFormat="1" applyFont="1" applyBorder="1" applyAlignment="1">
      <alignment horizontal="left" vertical="center"/>
    </xf>
    <xf numFmtId="49" fontId="93" fillId="0" borderId="54" xfId="1" applyNumberFormat="1" applyFont="1" applyBorder="1" applyAlignment="1">
      <alignment vertical="center"/>
    </xf>
    <xf numFmtId="49" fontId="45" fillId="0" borderId="100" xfId="7" applyNumberFormat="1" applyFont="1" applyBorder="1" applyAlignment="1">
      <alignment horizontal="center" vertical="center"/>
    </xf>
    <xf numFmtId="49" fontId="34" fillId="11" borderId="6" xfId="6" applyNumberFormat="1" applyFont="1" applyFill="1" applyBorder="1" applyAlignment="1">
      <alignment horizontal="left" vertical="center"/>
    </xf>
    <xf numFmtId="49" fontId="34" fillId="11" borderId="14" xfId="6" applyNumberFormat="1" applyFont="1" applyFill="1" applyBorder="1" applyAlignment="1">
      <alignment horizontal="left" vertical="center"/>
    </xf>
    <xf numFmtId="49" fontId="93" fillId="0" borderId="29" xfId="6" applyNumberFormat="1" applyFont="1" applyBorder="1" applyAlignment="1">
      <alignment horizontal="left" vertical="center"/>
    </xf>
    <xf numFmtId="49" fontId="96" fillId="0" borderId="63" xfId="6" applyNumberFormat="1" applyFont="1" applyBorder="1" applyAlignment="1">
      <alignment horizontal="center" vertical="center" wrapText="1"/>
    </xf>
    <xf numFmtId="49" fontId="45" fillId="0" borderId="63" xfId="6" applyNumberFormat="1" applyFont="1" applyBorder="1" applyAlignment="1">
      <alignment horizontal="left" vertical="center"/>
    </xf>
    <xf numFmtId="49" fontId="93" fillId="0" borderId="63" xfId="1" applyNumberFormat="1" applyFont="1" applyBorder="1" applyAlignment="1">
      <alignment vertical="center"/>
    </xf>
    <xf numFmtId="49" fontId="34" fillId="0" borderId="63" xfId="6" applyNumberFormat="1" applyFont="1" applyBorder="1" applyAlignment="1">
      <alignment horizontal="left" vertical="center"/>
    </xf>
    <xf numFmtId="49" fontId="93" fillId="0" borderId="62" xfId="1" applyNumberFormat="1" applyFont="1" applyBorder="1" applyAlignment="1">
      <alignment vertical="center"/>
    </xf>
    <xf numFmtId="49" fontId="59" fillId="0" borderId="69" xfId="6" applyNumberFormat="1" applyFont="1" applyBorder="1" applyAlignment="1">
      <alignment horizontal="left" vertical="center"/>
    </xf>
    <xf numFmtId="49" fontId="45" fillId="0" borderId="101" xfId="7" applyNumberFormat="1" applyFont="1" applyBorder="1" applyAlignment="1">
      <alignment horizontal="center" vertical="center"/>
    </xf>
    <xf numFmtId="49" fontId="98" fillId="0" borderId="0" xfId="1" applyNumberFormat="1" applyFont="1" applyAlignment="1">
      <alignment horizontal="center" vertical="center"/>
    </xf>
    <xf numFmtId="49" fontId="5" fillId="0" borderId="45" xfId="1" applyNumberFormat="1" applyFont="1" applyBorder="1" applyAlignment="1">
      <alignment horizontal="center" vertical="center"/>
    </xf>
    <xf numFmtId="49" fontId="96" fillId="0" borderId="0" xfId="6" applyNumberFormat="1" applyFont="1" applyAlignment="1">
      <alignment vertical="center"/>
    </xf>
    <xf numFmtId="49" fontId="5" fillId="0" borderId="103" xfId="1" applyNumberFormat="1" applyFont="1" applyBorder="1" applyAlignment="1">
      <alignment horizontal="center" vertical="center"/>
    </xf>
    <xf numFmtId="49" fontId="5" fillId="0" borderId="103" xfId="1" applyNumberFormat="1" applyFont="1" applyBorder="1" applyAlignment="1">
      <alignment vertical="center"/>
    </xf>
    <xf numFmtId="49" fontId="5" fillId="0" borderId="46" xfId="1" applyNumberFormat="1" applyFont="1" applyBorder="1" applyAlignment="1">
      <alignment vertical="center"/>
    </xf>
    <xf numFmtId="49" fontId="5" fillId="0" borderId="23" xfId="1" applyNumberFormat="1" applyFont="1" applyBorder="1" applyAlignment="1">
      <alignment horizontal="center" vertical="center"/>
    </xf>
    <xf numFmtId="49" fontId="108" fillId="0" borderId="0" xfId="1" applyNumberFormat="1" applyFont="1" applyAlignment="1">
      <alignment vertical="center"/>
    </xf>
    <xf numFmtId="49" fontId="5" fillId="0" borderId="33" xfId="1" applyNumberFormat="1" applyFont="1" applyBorder="1" applyAlignment="1">
      <alignment vertical="center"/>
    </xf>
    <xf numFmtId="49" fontId="5" fillId="0" borderId="69" xfId="1" applyNumberFormat="1" applyFont="1" applyBorder="1" applyAlignment="1">
      <alignment vertical="center"/>
    </xf>
    <xf numFmtId="49" fontId="5" fillId="0" borderId="13" xfId="1" applyNumberFormat="1" applyFont="1" applyBorder="1" applyAlignment="1">
      <alignment vertical="center"/>
    </xf>
    <xf numFmtId="49" fontId="5" fillId="0" borderId="93" xfId="1" applyNumberFormat="1" applyFont="1" applyBorder="1" applyAlignment="1">
      <alignment vertical="center"/>
    </xf>
    <xf numFmtId="49" fontId="108" fillId="0" borderId="93" xfId="1" applyNumberFormat="1" applyFont="1" applyBorder="1" applyAlignment="1">
      <alignment vertical="center"/>
    </xf>
    <xf numFmtId="49" fontId="5" fillId="0" borderId="15" xfId="1" applyNumberFormat="1" applyFont="1" applyBorder="1" applyAlignment="1">
      <alignment vertical="center"/>
    </xf>
    <xf numFmtId="49" fontId="5" fillId="0" borderId="0" xfId="1" applyNumberFormat="1" applyFont="1" applyAlignment="1">
      <alignment horizontal="right" vertical="center"/>
    </xf>
    <xf numFmtId="49" fontId="5" fillId="11" borderId="7" xfId="1" applyNumberFormat="1" applyFont="1" applyFill="1" applyBorder="1" applyAlignment="1">
      <alignment vertical="center"/>
    </xf>
    <xf numFmtId="49" fontId="5" fillId="11" borderId="0" xfId="1" applyNumberFormat="1" applyFont="1" applyFill="1" applyAlignment="1">
      <alignment vertical="center"/>
    </xf>
    <xf numFmtId="49" fontId="109" fillId="0" borderId="0" xfId="1" applyNumberFormat="1" applyFont="1" applyAlignment="1">
      <alignment vertical="center"/>
    </xf>
    <xf numFmtId="49" fontId="109" fillId="5" borderId="7" xfId="8" applyNumberFormat="1" applyFont="1" applyFill="1" applyBorder="1" applyAlignment="1">
      <alignment vertical="center"/>
    </xf>
    <xf numFmtId="49" fontId="109" fillId="5" borderId="0" xfId="8" applyNumberFormat="1" applyFont="1" applyFill="1" applyBorder="1" applyAlignment="1">
      <alignment vertical="center"/>
    </xf>
    <xf numFmtId="49" fontId="93" fillId="0" borderId="0" xfId="2" applyNumberFormat="1" applyFont="1" applyAlignment="1">
      <alignment horizontal="center" vertical="center"/>
    </xf>
    <xf numFmtId="49" fontId="93" fillId="6" borderId="0" xfId="2" applyNumberFormat="1" applyFont="1" applyFill="1" applyAlignment="1">
      <alignment horizontal="center" vertical="center"/>
    </xf>
    <xf numFmtId="49" fontId="93" fillId="6" borderId="0" xfId="2" applyNumberFormat="1" applyFont="1" applyFill="1" applyAlignment="1">
      <alignment vertical="center"/>
    </xf>
    <xf numFmtId="49" fontId="34" fillId="0" borderId="6" xfId="1" applyNumberFormat="1" applyFont="1" applyBorder="1" applyAlignment="1">
      <alignment vertical="center" wrapText="1"/>
    </xf>
    <xf numFmtId="49" fontId="34" fillId="0" borderId="14" xfId="1" applyNumberFormat="1" applyFont="1" applyBorder="1" applyAlignment="1">
      <alignment vertical="center" wrapText="1"/>
    </xf>
    <xf numFmtId="49" fontId="93" fillId="0" borderId="14" xfId="1" applyNumberFormat="1" applyFont="1" applyBorder="1" applyAlignment="1">
      <alignment horizontal="left" vertical="center"/>
    </xf>
    <xf numFmtId="49" fontId="93" fillId="0" borderId="15" xfId="1" applyNumberFormat="1" applyFont="1" applyBorder="1" applyAlignment="1">
      <alignment horizontal="left" vertical="center"/>
    </xf>
    <xf numFmtId="49" fontId="6" fillId="0" borderId="0" xfId="1" applyNumberFormat="1" applyFont="1" applyAlignment="1">
      <alignment vertical="center"/>
    </xf>
    <xf numFmtId="49" fontId="5" fillId="0" borderId="0" xfId="2" quotePrefix="1" applyNumberFormat="1" applyFont="1" applyAlignment="1">
      <alignment horizontal="right" vertical="center"/>
    </xf>
    <xf numFmtId="49" fontId="98" fillId="0" borderId="0" xfId="2" applyNumberFormat="1" applyFont="1" applyAlignment="1">
      <alignment vertical="center"/>
    </xf>
    <xf numFmtId="49" fontId="34" fillId="0" borderId="0" xfId="2" applyNumberFormat="1" applyFont="1" applyAlignment="1">
      <alignment vertical="center"/>
    </xf>
    <xf numFmtId="49" fontId="104" fillId="0" borderId="0" xfId="2" applyNumberFormat="1" applyFont="1" applyAlignment="1">
      <alignment vertical="center"/>
    </xf>
    <xf numFmtId="49" fontId="57" fillId="0" borderId="0" xfId="1" applyNumberFormat="1" applyFont="1" applyAlignment="1">
      <alignment vertical="center"/>
    </xf>
    <xf numFmtId="49" fontId="5" fillId="0" borderId="14" xfId="2" applyNumberFormat="1" applyFont="1" applyBorder="1" applyAlignment="1">
      <alignment vertical="center"/>
    </xf>
    <xf numFmtId="49" fontId="25" fillId="11" borderId="94" xfId="6" quotePrefix="1" applyNumberFormat="1" applyFont="1" applyFill="1" applyBorder="1" applyAlignment="1">
      <alignment horizontal="center" vertical="center"/>
    </xf>
    <xf numFmtId="49" fontId="25" fillId="11" borderId="108" xfId="6" quotePrefix="1" applyNumberFormat="1" applyFont="1" applyFill="1" applyBorder="1" applyAlignment="1">
      <alignment horizontal="center" vertical="center"/>
    </xf>
    <xf numFmtId="49" fontId="45" fillId="11" borderId="81" xfId="6" quotePrefix="1" applyNumberFormat="1" applyFont="1" applyFill="1" applyBorder="1" applyAlignment="1">
      <alignment horizontal="left" vertical="center" shrinkToFit="1"/>
    </xf>
    <xf numFmtId="49" fontId="45" fillId="11" borderId="88" xfId="6" quotePrefix="1" applyNumberFormat="1" applyFont="1" applyFill="1" applyBorder="1" applyAlignment="1">
      <alignment horizontal="left" vertical="center" shrinkToFit="1"/>
    </xf>
    <xf numFmtId="49" fontId="45" fillId="11" borderId="82" xfId="6" quotePrefix="1" applyNumberFormat="1" applyFont="1" applyFill="1" applyBorder="1" applyAlignment="1">
      <alignment horizontal="left" vertical="center" shrinkToFit="1"/>
    </xf>
    <xf numFmtId="49" fontId="25" fillId="11" borderId="81" xfId="6" applyNumberFormat="1" applyFont="1" applyFill="1" applyBorder="1" applyAlignment="1">
      <alignment horizontal="center" vertical="center"/>
    </xf>
    <xf numFmtId="49" fontId="25" fillId="11" borderId="82" xfId="6" applyNumberFormat="1" applyFont="1" applyFill="1" applyBorder="1" applyAlignment="1">
      <alignment horizontal="center" vertical="center"/>
    </xf>
    <xf numFmtId="49" fontId="25" fillId="11" borderId="85" xfId="8" applyNumberFormat="1" applyFont="1" applyFill="1" applyBorder="1" applyAlignment="1">
      <alignment horizontal="center" vertical="center"/>
    </xf>
    <xf numFmtId="49" fontId="25" fillId="11" borderId="107" xfId="8" applyNumberFormat="1" applyFont="1" applyFill="1" applyBorder="1" applyAlignment="1">
      <alignment horizontal="center" vertical="center"/>
    </xf>
    <xf numFmtId="49" fontId="47" fillId="11" borderId="103" xfId="1" applyNumberFormat="1" applyFont="1" applyFill="1" applyBorder="1" applyAlignment="1">
      <alignment horizontal="center" vertical="center"/>
    </xf>
    <xf numFmtId="49" fontId="21" fillId="11" borderId="88" xfId="1" applyNumberFormat="1" applyFont="1" applyFill="1" applyBorder="1" applyAlignment="1">
      <alignment horizontal="center" vertical="center"/>
    </xf>
    <xf numFmtId="49" fontId="24" fillId="11" borderId="28" xfId="6" quotePrefix="1" applyNumberFormat="1" applyFont="1" applyFill="1" applyBorder="1" applyAlignment="1">
      <alignment horizontal="center" vertical="center"/>
    </xf>
    <xf numFmtId="49" fontId="24" fillId="11" borderId="2" xfId="6" quotePrefix="1" applyNumberFormat="1" applyFont="1" applyFill="1" applyBorder="1" applyAlignment="1">
      <alignment horizontal="center" vertical="center"/>
    </xf>
    <xf numFmtId="49" fontId="24" fillId="11" borderId="53" xfId="6" quotePrefix="1" applyNumberFormat="1" applyFont="1" applyFill="1" applyBorder="1" applyAlignment="1">
      <alignment horizontal="center" vertical="center"/>
    </xf>
    <xf numFmtId="49" fontId="21" fillId="0" borderId="28" xfId="1" quotePrefix="1" applyNumberFormat="1" applyFont="1" applyBorder="1" applyAlignment="1">
      <alignment horizontal="center" vertical="center"/>
    </xf>
    <xf numFmtId="49" fontId="21" fillId="0" borderId="53" xfId="1" quotePrefix="1" applyNumberFormat="1" applyFont="1" applyBorder="1" applyAlignment="1">
      <alignment horizontal="center" vertical="center"/>
    </xf>
    <xf numFmtId="49" fontId="21" fillId="11" borderId="28" xfId="1" quotePrefix="1" applyNumberFormat="1" applyFont="1" applyFill="1" applyBorder="1" applyAlignment="1">
      <alignment horizontal="center" vertical="center"/>
    </xf>
    <xf numFmtId="49" fontId="21" fillId="11" borderId="2" xfId="1" quotePrefix="1" applyNumberFormat="1" applyFont="1" applyFill="1" applyBorder="1" applyAlignment="1">
      <alignment horizontal="center" vertical="center"/>
    </xf>
    <xf numFmtId="49" fontId="21" fillId="11" borderId="53" xfId="1" quotePrefix="1" applyNumberFormat="1" applyFont="1" applyFill="1" applyBorder="1" applyAlignment="1">
      <alignment horizontal="center" vertical="center"/>
    </xf>
    <xf numFmtId="49" fontId="21" fillId="0" borderId="28" xfId="1" applyNumberFormat="1" applyFont="1" applyBorder="1" applyAlignment="1">
      <alignment horizontal="center" vertical="center"/>
    </xf>
    <xf numFmtId="49" fontId="21" fillId="0" borderId="53" xfId="1" applyNumberFormat="1" applyFont="1" applyBorder="1" applyAlignment="1">
      <alignment horizontal="center" vertical="center"/>
    </xf>
    <xf numFmtId="49" fontId="12" fillId="0" borderId="105" xfId="1" applyNumberFormat="1" applyFont="1" applyBorder="1" applyAlignment="1">
      <alignment horizontal="center" vertical="center"/>
    </xf>
    <xf numFmtId="49" fontId="12" fillId="0" borderId="106" xfId="1" applyNumberFormat="1" applyFont="1" applyBorder="1" applyAlignment="1">
      <alignment horizontal="center" vertical="center"/>
    </xf>
    <xf numFmtId="49" fontId="21" fillId="11" borderId="93" xfId="1" applyNumberFormat="1" applyFont="1" applyFill="1" applyBorder="1" applyAlignment="1">
      <alignment horizontal="center" vertical="center"/>
    </xf>
    <xf numFmtId="49" fontId="53" fillId="0" borderId="65" xfId="1" applyNumberFormat="1" applyFont="1" applyBorder="1" applyAlignment="1">
      <alignment horizontal="center" vertical="center" wrapText="1"/>
    </xf>
    <xf numFmtId="49" fontId="53" fillId="0" borderId="67" xfId="1" applyNumberFormat="1" applyFont="1" applyBorder="1" applyAlignment="1">
      <alignment horizontal="center" vertical="center" wrapText="1"/>
    </xf>
    <xf numFmtId="49" fontId="53" fillId="0" borderId="4" xfId="1" applyNumberFormat="1" applyFont="1" applyBorder="1" applyAlignment="1">
      <alignment horizontal="center" vertical="center" wrapText="1"/>
    </xf>
    <xf numFmtId="49" fontId="24" fillId="11" borderId="28" xfId="1" applyNumberFormat="1" applyFont="1" applyFill="1" applyBorder="1" applyAlignment="1">
      <alignment horizontal="center" vertical="center"/>
    </xf>
    <xf numFmtId="49" fontId="24" fillId="11" borderId="2" xfId="1" applyNumberFormat="1" applyFont="1" applyFill="1" applyBorder="1" applyAlignment="1">
      <alignment horizontal="center" vertical="center"/>
    </xf>
    <xf numFmtId="49" fontId="24" fillId="11" borderId="3" xfId="1" applyNumberFormat="1" applyFont="1" applyFill="1" applyBorder="1" applyAlignment="1">
      <alignment horizontal="center" vertical="center"/>
    </xf>
    <xf numFmtId="49" fontId="8" fillId="0" borderId="10" xfId="6" applyNumberFormat="1" applyFont="1" applyBorder="1" applyAlignment="1">
      <alignment horizontal="center" vertical="center"/>
    </xf>
    <xf numFmtId="49" fontId="8" fillId="0" borderId="54" xfId="6" applyNumberFormat="1" applyFont="1" applyBorder="1" applyAlignment="1">
      <alignment horizontal="center" vertical="center"/>
    </xf>
    <xf numFmtId="49" fontId="8" fillId="0" borderId="10" xfId="6" quotePrefix="1" applyNumberFormat="1" applyFont="1" applyBorder="1" applyAlignment="1">
      <alignment horizontal="center" vertical="center"/>
    </xf>
    <xf numFmtId="49" fontId="8" fillId="0" borderId="54" xfId="6" quotePrefix="1" applyNumberFormat="1" applyFont="1" applyBorder="1" applyAlignment="1">
      <alignment horizontal="center" vertical="center"/>
    </xf>
    <xf numFmtId="49" fontId="12" fillId="0" borderId="65" xfId="1" applyNumberFormat="1" applyFont="1" applyBorder="1" applyAlignment="1">
      <alignment horizontal="center" vertical="center"/>
    </xf>
    <xf numFmtId="49" fontId="12" fillId="0" borderId="67" xfId="1" applyNumberFormat="1" applyFont="1" applyBorder="1" applyAlignment="1">
      <alignment horizontal="center" vertical="center"/>
    </xf>
    <xf numFmtId="49" fontId="12" fillId="0" borderId="4" xfId="1" applyNumberFormat="1" applyFont="1" applyBorder="1" applyAlignment="1">
      <alignment horizontal="center" vertical="center"/>
    </xf>
    <xf numFmtId="49" fontId="12" fillId="0" borderId="61" xfId="6" applyNumberFormat="1" applyFont="1" applyBorder="1" applyAlignment="1">
      <alignment horizontal="center" vertical="center" wrapText="1"/>
    </xf>
    <xf numFmtId="49" fontId="12" fillId="0" borderId="68" xfId="6" applyNumberFormat="1" applyFont="1" applyBorder="1" applyAlignment="1">
      <alignment horizontal="center" vertical="center" wrapText="1"/>
    </xf>
    <xf numFmtId="49" fontId="12" fillId="0" borderId="6" xfId="6" applyNumberFormat="1" applyFont="1" applyBorder="1" applyAlignment="1">
      <alignment horizontal="center" vertical="center" wrapText="1"/>
    </xf>
    <xf numFmtId="49" fontId="8" fillId="9" borderId="41" xfId="6" applyNumberFormat="1" applyFont="1" applyFill="1" applyBorder="1" applyAlignment="1">
      <alignment horizontal="center" vertical="center" wrapText="1"/>
    </xf>
    <xf numFmtId="49" fontId="8" fillId="9" borderId="43" xfId="6" applyNumberFormat="1" applyFont="1" applyFill="1" applyBorder="1" applyAlignment="1">
      <alignment horizontal="center" vertical="center" wrapText="1"/>
    </xf>
    <xf numFmtId="49" fontId="8" fillId="9" borderId="31" xfId="6" applyNumberFormat="1" applyFont="1" applyFill="1" applyBorder="1" applyAlignment="1">
      <alignment horizontal="center" vertical="center"/>
    </xf>
    <xf numFmtId="49" fontId="8" fillId="9" borderId="42" xfId="6" applyNumberFormat="1" applyFont="1" applyFill="1" applyBorder="1" applyAlignment="1">
      <alignment horizontal="center" vertical="center"/>
    </xf>
    <xf numFmtId="49" fontId="8" fillId="9" borderId="44" xfId="6" applyNumberFormat="1" applyFont="1" applyFill="1" applyBorder="1" applyAlignment="1">
      <alignment horizontal="center" vertical="center"/>
    </xf>
    <xf numFmtId="49" fontId="8" fillId="0" borderId="41" xfId="6" applyNumberFormat="1" applyFont="1" applyBorder="1" applyAlignment="1">
      <alignment horizontal="center" vertical="center"/>
    </xf>
    <xf numFmtId="49" fontId="8" fillId="0" borderId="42" xfId="6" applyNumberFormat="1" applyFont="1" applyBorder="1" applyAlignment="1">
      <alignment horizontal="center" vertical="center"/>
    </xf>
    <xf numFmtId="49" fontId="8" fillId="0" borderId="44" xfId="6" applyNumberFormat="1" applyFont="1" applyBorder="1" applyAlignment="1">
      <alignment horizontal="center" vertical="center"/>
    </xf>
    <xf numFmtId="49" fontId="25" fillId="0" borderId="63" xfId="6" applyNumberFormat="1" applyFont="1" applyBorder="1" applyAlignment="1">
      <alignment horizontal="center" vertical="center"/>
    </xf>
    <xf numFmtId="49" fontId="8" fillId="0" borderId="29" xfId="6" applyNumberFormat="1" applyFont="1" applyBorder="1" applyAlignment="1">
      <alignment horizontal="center" vertical="center"/>
    </xf>
    <xf numFmtId="49" fontId="8" fillId="0" borderId="62" xfId="6" applyNumberFormat="1" applyFont="1" applyBorder="1" applyAlignment="1">
      <alignment horizontal="center" vertical="center"/>
    </xf>
    <xf numFmtId="49" fontId="25" fillId="0" borderId="90" xfId="6" applyNumberFormat="1" applyFont="1" applyBorder="1" applyAlignment="1">
      <alignment horizontal="center" vertical="center"/>
    </xf>
    <xf numFmtId="49" fontId="25" fillId="11" borderId="10" xfId="6" applyNumberFormat="1" applyFont="1" applyFill="1" applyBorder="1" applyAlignment="1">
      <alignment horizontal="center" vertical="center"/>
    </xf>
    <xf numFmtId="49" fontId="25" fillId="11" borderId="54" xfId="6" applyNumberFormat="1" applyFont="1" applyFill="1" applyBorder="1" applyAlignment="1">
      <alignment horizontal="center" vertical="center"/>
    </xf>
    <xf numFmtId="49" fontId="25" fillId="11" borderId="81" xfId="8" applyNumberFormat="1" applyFont="1" applyFill="1" applyBorder="1" applyAlignment="1">
      <alignment horizontal="center" vertical="center"/>
    </xf>
    <xf numFmtId="49" fontId="25" fillId="11" borderId="82" xfId="8" applyNumberFormat="1" applyFont="1" applyFill="1" applyBorder="1" applyAlignment="1">
      <alignment horizontal="center" vertical="center"/>
    </xf>
    <xf numFmtId="49" fontId="22" fillId="11" borderId="45" xfId="1" applyNumberFormat="1" applyFont="1" applyFill="1" applyBorder="1" applyAlignment="1">
      <alignment horizontal="center" vertical="center"/>
    </xf>
    <xf numFmtId="49" fontId="21" fillId="7" borderId="48" xfId="1" quotePrefix="1" applyNumberFormat="1" applyFont="1" applyFill="1" applyBorder="1" applyAlignment="1">
      <alignment horizontal="center" vertical="center"/>
    </xf>
    <xf numFmtId="49" fontId="21" fillId="7" borderId="49" xfId="1" quotePrefix="1" applyNumberFormat="1" applyFont="1" applyFill="1" applyBorder="1" applyAlignment="1">
      <alignment horizontal="center" vertical="center"/>
    </xf>
    <xf numFmtId="49" fontId="21" fillId="7" borderId="50" xfId="1" quotePrefix="1" applyNumberFormat="1" applyFont="1" applyFill="1" applyBorder="1" applyAlignment="1">
      <alignment horizontal="center" vertical="center"/>
    </xf>
    <xf numFmtId="49" fontId="21" fillId="7" borderId="48" xfId="1" applyNumberFormat="1" applyFont="1" applyFill="1" applyBorder="1" applyAlignment="1">
      <alignment horizontal="center" vertical="center"/>
    </xf>
    <xf numFmtId="49" fontId="21" fillId="7" borderId="49" xfId="1" applyNumberFormat="1" applyFont="1" applyFill="1" applyBorder="1" applyAlignment="1">
      <alignment horizontal="center" vertical="center"/>
    </xf>
    <xf numFmtId="49" fontId="21" fillId="7" borderId="51" xfId="1" applyNumberFormat="1" applyFont="1" applyFill="1" applyBorder="1" applyAlignment="1">
      <alignment horizontal="center" vertical="center"/>
    </xf>
    <xf numFmtId="49" fontId="24" fillId="11" borderId="52" xfId="1" applyNumberFormat="1" applyFont="1" applyFill="1" applyBorder="1" applyAlignment="1">
      <alignment horizontal="center" vertical="center"/>
    </xf>
    <xf numFmtId="49" fontId="24" fillId="11" borderId="49" xfId="1" applyNumberFormat="1" applyFont="1" applyFill="1" applyBorder="1" applyAlignment="1">
      <alignment horizontal="center" vertical="center"/>
    </xf>
    <xf numFmtId="49" fontId="24" fillId="11" borderId="51" xfId="1" applyNumberFormat="1" applyFont="1" applyFill="1" applyBorder="1" applyAlignment="1">
      <alignment horizontal="center" vertical="center"/>
    </xf>
    <xf numFmtId="49" fontId="12" fillId="0" borderId="1" xfId="1" applyNumberFormat="1" applyFont="1" applyBorder="1" applyAlignment="1">
      <alignment horizontal="center" vertical="center" shrinkToFit="1"/>
    </xf>
    <xf numFmtId="49" fontId="12" fillId="0" borderId="2" xfId="1" applyNumberFormat="1" applyFont="1" applyBorder="1" applyAlignment="1">
      <alignment horizontal="center" vertical="center" shrinkToFit="1"/>
    </xf>
    <xf numFmtId="49" fontId="12" fillId="0" borderId="53" xfId="1" applyNumberFormat="1" applyFont="1" applyBorder="1" applyAlignment="1">
      <alignment horizontal="center" vertical="center" shrinkToFit="1"/>
    </xf>
    <xf numFmtId="49" fontId="12" fillId="7" borderId="55" xfId="1" applyNumberFormat="1" applyFont="1" applyFill="1" applyBorder="1" applyAlignment="1">
      <alignment horizontal="center" vertical="center" wrapText="1" shrinkToFit="1"/>
    </xf>
    <xf numFmtId="49" fontId="12" fillId="7" borderId="45" xfId="1" applyNumberFormat="1" applyFont="1" applyFill="1" applyBorder="1" applyAlignment="1">
      <alignment horizontal="center" vertical="center" wrapText="1" shrinkToFit="1"/>
    </xf>
    <xf numFmtId="49" fontId="12" fillId="7" borderId="56" xfId="1" applyNumberFormat="1" applyFont="1" applyFill="1" applyBorder="1" applyAlignment="1">
      <alignment horizontal="center" vertical="center" wrapText="1" shrinkToFit="1"/>
    </xf>
    <xf numFmtId="49" fontId="12" fillId="0" borderId="41" xfId="6" applyNumberFormat="1" applyFont="1" applyBorder="1" applyAlignment="1">
      <alignment horizontal="center" vertical="center"/>
    </xf>
    <xf numFmtId="49" fontId="12" fillId="0" borderId="42" xfId="6" applyNumberFormat="1" applyFont="1" applyBorder="1" applyAlignment="1">
      <alignment horizontal="center" vertical="center"/>
    </xf>
    <xf numFmtId="49" fontId="12" fillId="0" borderId="43" xfId="6" applyNumberFormat="1" applyFont="1" applyBorder="1" applyAlignment="1">
      <alignment horizontal="center" vertical="center"/>
    </xf>
    <xf numFmtId="49" fontId="12" fillId="0" borderId="27" xfId="6" applyNumberFormat="1" applyFont="1" applyBorder="1" applyAlignment="1">
      <alignment horizontal="center" vertical="center"/>
    </xf>
    <xf numFmtId="49" fontId="12" fillId="0" borderId="63" xfId="6" applyNumberFormat="1" applyFont="1" applyBorder="1" applyAlignment="1">
      <alignment horizontal="center" vertical="center"/>
    </xf>
    <xf numFmtId="49" fontId="12" fillId="0" borderId="62" xfId="6" applyNumberFormat="1" applyFont="1" applyBorder="1" applyAlignment="1">
      <alignment horizontal="center" vertical="center"/>
    </xf>
    <xf numFmtId="49" fontId="8" fillId="0" borderId="0" xfId="1" quotePrefix="1" applyNumberFormat="1" applyAlignment="1">
      <alignment horizontal="center" vertical="center"/>
    </xf>
    <xf numFmtId="49" fontId="12" fillId="2" borderId="28" xfId="1" quotePrefix="1" applyNumberFormat="1" applyFont="1" applyFill="1" applyBorder="1" applyAlignment="1">
      <alignment horizontal="center" vertical="center" shrinkToFit="1"/>
    </xf>
    <xf numFmtId="49" fontId="12" fillId="2" borderId="2" xfId="1" quotePrefix="1" applyNumberFormat="1" applyFont="1" applyFill="1" applyBorder="1" applyAlignment="1">
      <alignment horizontal="center" vertical="center" shrinkToFit="1"/>
    </xf>
    <xf numFmtId="49" fontId="12" fillId="2" borderId="53" xfId="1" quotePrefix="1" applyNumberFormat="1" applyFont="1" applyFill="1" applyBorder="1" applyAlignment="1">
      <alignment horizontal="center" vertical="center" shrinkToFit="1"/>
    </xf>
    <xf numFmtId="49" fontId="12" fillId="0" borderId="28" xfId="1" applyNumberFormat="1" applyFont="1" applyBorder="1" applyAlignment="1">
      <alignment horizontal="center" vertical="center" shrinkToFit="1"/>
    </xf>
    <xf numFmtId="49" fontId="12" fillId="0" borderId="3" xfId="1" applyNumberFormat="1" applyFont="1" applyBorder="1" applyAlignment="1">
      <alignment horizontal="center" vertical="center" shrinkToFit="1"/>
    </xf>
    <xf numFmtId="49" fontId="26" fillId="11" borderId="28" xfId="1" applyNumberFormat="1" applyFont="1" applyFill="1" applyBorder="1" applyAlignment="1">
      <alignment horizontal="center" vertical="center"/>
    </xf>
    <xf numFmtId="49" fontId="26" fillId="11" borderId="2" xfId="1" applyNumberFormat="1" applyFont="1" applyFill="1" applyBorder="1" applyAlignment="1">
      <alignment horizontal="center" vertical="center"/>
    </xf>
    <xf numFmtId="49" fontId="26" fillId="11" borderId="53" xfId="1" applyNumberFormat="1" applyFont="1" applyFill="1" applyBorder="1" applyAlignment="1">
      <alignment horizontal="center" vertical="center"/>
    </xf>
    <xf numFmtId="49" fontId="31" fillId="11" borderId="31" xfId="1" applyNumberFormat="1" applyFont="1" applyFill="1" applyBorder="1" applyAlignment="1">
      <alignment vertical="center"/>
    </xf>
    <xf numFmtId="49" fontId="31" fillId="11" borderId="42" xfId="1" applyNumberFormat="1" applyFont="1" applyFill="1" applyBorder="1" applyAlignment="1">
      <alignment vertical="center"/>
    </xf>
    <xf numFmtId="49" fontId="31" fillId="11" borderId="44" xfId="1" applyNumberFormat="1" applyFont="1" applyFill="1" applyBorder="1" applyAlignment="1">
      <alignment vertical="center"/>
    </xf>
    <xf numFmtId="49" fontId="32" fillId="11" borderId="29" xfId="1" applyNumberFormat="1" applyFont="1" applyFill="1" applyBorder="1" applyAlignment="1">
      <alignment vertical="center" wrapText="1"/>
    </xf>
    <xf numFmtId="49" fontId="32" fillId="11" borderId="63" xfId="1" applyNumberFormat="1" applyFont="1" applyFill="1" applyBorder="1" applyAlignment="1">
      <alignment vertical="center" wrapText="1"/>
    </xf>
    <xf numFmtId="49" fontId="32" fillId="11" borderId="64" xfId="1" applyNumberFormat="1" applyFont="1" applyFill="1" applyBorder="1" applyAlignment="1">
      <alignment vertical="center" wrapText="1"/>
    </xf>
    <xf numFmtId="49" fontId="12" fillId="7" borderId="0" xfId="1" applyNumberFormat="1" applyFont="1" applyFill="1" applyAlignment="1">
      <alignment horizontal="center" vertical="center"/>
    </xf>
    <xf numFmtId="49" fontId="17" fillId="0" borderId="39" xfId="1" quotePrefix="1" applyNumberFormat="1" applyFont="1" applyBorder="1" applyAlignment="1">
      <alignment horizontal="left" vertical="center"/>
    </xf>
    <xf numFmtId="49" fontId="17" fillId="0" borderId="40" xfId="1" quotePrefix="1" applyNumberFormat="1" applyFont="1" applyBorder="1" applyAlignment="1">
      <alignment horizontal="left" vertical="center"/>
    </xf>
    <xf numFmtId="49" fontId="12" fillId="0" borderId="31" xfId="1" applyNumberFormat="1" applyFont="1" applyBorder="1" applyAlignment="1">
      <alignment horizontal="center" vertical="center"/>
    </xf>
    <xf numFmtId="49" fontId="12" fillId="0" borderId="42" xfId="1" applyNumberFormat="1" applyFont="1" applyBorder="1" applyAlignment="1">
      <alignment horizontal="center" vertical="center"/>
    </xf>
    <xf numFmtId="49" fontId="12" fillId="0" borderId="43" xfId="1" applyNumberFormat="1" applyFont="1" applyBorder="1" applyAlignment="1">
      <alignment horizontal="center" vertical="center"/>
    </xf>
    <xf numFmtId="49" fontId="12" fillId="0" borderId="31" xfId="1" quotePrefix="1" applyNumberFormat="1" applyFont="1" applyBorder="1" applyAlignment="1">
      <alignment horizontal="center" vertical="center"/>
    </xf>
    <xf numFmtId="49" fontId="12" fillId="0" borderId="42" xfId="1" quotePrefix="1" applyNumberFormat="1" applyFont="1" applyBorder="1" applyAlignment="1">
      <alignment horizontal="center" vertical="center"/>
    </xf>
    <xf numFmtId="49" fontId="12" fillId="0" borderId="44" xfId="1" quotePrefix="1" applyNumberFormat="1" applyFont="1" applyBorder="1" applyAlignment="1">
      <alignment horizontal="center" vertical="center"/>
    </xf>
    <xf numFmtId="49" fontId="12" fillId="0" borderId="41" xfId="1" applyNumberFormat="1" applyFont="1" applyBorder="1" applyAlignment="1">
      <alignment horizontal="center" vertical="center"/>
    </xf>
    <xf numFmtId="49" fontId="12" fillId="0" borderId="44" xfId="1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49" fontId="54" fillId="7" borderId="1" xfId="1" applyNumberFormat="1" applyFont="1" applyFill="1" applyBorder="1" applyAlignment="1">
      <alignment horizontal="center" vertical="center"/>
    </xf>
    <xf numFmtId="49" fontId="54" fillId="7" borderId="2" xfId="1" applyNumberFormat="1" applyFont="1" applyFill="1" applyBorder="1" applyAlignment="1">
      <alignment horizontal="center" vertical="center"/>
    </xf>
    <xf numFmtId="49" fontId="54" fillId="7" borderId="3" xfId="1" applyNumberFormat="1" applyFont="1" applyFill="1" applyBorder="1" applyAlignment="1">
      <alignment horizontal="center" vertical="center"/>
    </xf>
    <xf numFmtId="49" fontId="95" fillId="0" borderId="39" xfId="1" quotePrefix="1" applyNumberFormat="1" applyFont="1" applyBorder="1" applyAlignment="1">
      <alignment horizontal="left" vertical="center"/>
    </xf>
    <xf numFmtId="49" fontId="95" fillId="0" borderId="40" xfId="1" quotePrefix="1" applyNumberFormat="1" applyFont="1" applyBorder="1" applyAlignment="1">
      <alignment horizontal="left" vertical="center"/>
    </xf>
    <xf numFmtId="49" fontId="54" fillId="0" borderId="31" xfId="1" applyNumberFormat="1" applyFont="1" applyBorder="1" applyAlignment="1">
      <alignment horizontal="center" vertical="center"/>
    </xf>
    <xf numFmtId="49" fontId="54" fillId="0" borderId="42" xfId="1" applyNumberFormat="1" applyFont="1" applyBorder="1" applyAlignment="1">
      <alignment horizontal="center" vertical="center"/>
    </xf>
    <xf numFmtId="49" fontId="54" fillId="0" borderId="43" xfId="1" applyNumberFormat="1" applyFont="1" applyBorder="1" applyAlignment="1">
      <alignment horizontal="center" vertical="center"/>
    </xf>
    <xf numFmtId="49" fontId="54" fillId="0" borderId="31" xfId="1" quotePrefix="1" applyNumberFormat="1" applyFont="1" applyBorder="1" applyAlignment="1">
      <alignment horizontal="center" vertical="center"/>
    </xf>
    <xf numFmtId="49" fontId="54" fillId="0" borderId="42" xfId="1" quotePrefix="1" applyNumberFormat="1" applyFont="1" applyBorder="1" applyAlignment="1">
      <alignment horizontal="center" vertical="center"/>
    </xf>
    <xf numFmtId="49" fontId="54" fillId="0" borderId="44" xfId="1" quotePrefix="1" applyNumberFormat="1" applyFont="1" applyBorder="1" applyAlignment="1">
      <alignment horizontal="center" vertical="center"/>
    </xf>
    <xf numFmtId="49" fontId="54" fillId="0" borderId="41" xfId="1" applyNumberFormat="1" applyFont="1" applyBorder="1" applyAlignment="1">
      <alignment horizontal="center" vertical="center"/>
    </xf>
    <xf numFmtId="49" fontId="54" fillId="0" borderId="44" xfId="1" applyNumberFormat="1" applyFont="1" applyBorder="1" applyAlignment="1">
      <alignment horizontal="center" vertical="center"/>
    </xf>
    <xf numFmtId="49" fontId="97" fillId="11" borderId="45" xfId="1" applyNumberFormat="1" applyFont="1" applyFill="1" applyBorder="1" applyAlignment="1">
      <alignment horizontal="center" vertical="center"/>
    </xf>
    <xf numFmtId="49" fontId="6" fillId="7" borderId="48" xfId="1" quotePrefix="1" applyNumberFormat="1" applyFont="1" applyFill="1" applyBorder="1" applyAlignment="1">
      <alignment horizontal="center" vertical="center" wrapText="1"/>
    </xf>
    <xf numFmtId="49" fontId="6" fillId="7" borderId="49" xfId="1" quotePrefix="1" applyNumberFormat="1" applyFont="1" applyFill="1" applyBorder="1" applyAlignment="1">
      <alignment horizontal="center" vertical="center"/>
    </xf>
    <xf numFmtId="49" fontId="6" fillId="7" borderId="50" xfId="1" quotePrefix="1" applyNumberFormat="1" applyFont="1" applyFill="1" applyBorder="1" applyAlignment="1">
      <alignment horizontal="center" vertical="center"/>
    </xf>
    <xf numFmtId="49" fontId="6" fillId="7" borderId="48" xfId="1" applyNumberFormat="1" applyFont="1" applyFill="1" applyBorder="1" applyAlignment="1">
      <alignment horizontal="center" vertical="center"/>
    </xf>
    <xf numFmtId="49" fontId="6" fillId="7" borderId="49" xfId="1" applyNumberFormat="1" applyFont="1" applyFill="1" applyBorder="1" applyAlignment="1">
      <alignment horizontal="center" vertical="center"/>
    </xf>
    <xf numFmtId="49" fontId="6" fillId="7" borderId="51" xfId="1" applyNumberFormat="1" applyFont="1" applyFill="1" applyBorder="1" applyAlignment="1">
      <alignment horizontal="center" vertical="center"/>
    </xf>
    <xf numFmtId="49" fontId="55" fillId="11" borderId="52" xfId="1" applyNumberFormat="1" applyFont="1" applyFill="1" applyBorder="1" applyAlignment="1">
      <alignment horizontal="center" vertical="center"/>
    </xf>
    <xf numFmtId="49" fontId="55" fillId="11" borderId="49" xfId="1" applyNumberFormat="1" applyFont="1" applyFill="1" applyBorder="1" applyAlignment="1">
      <alignment horizontal="center" vertical="center"/>
    </xf>
    <xf numFmtId="49" fontId="55" fillId="11" borderId="51" xfId="1" applyNumberFormat="1" applyFont="1" applyFill="1" applyBorder="1" applyAlignment="1">
      <alignment horizontal="center" vertical="center"/>
    </xf>
    <xf numFmtId="49" fontId="54" fillId="0" borderId="1" xfId="1" applyNumberFormat="1" applyFont="1" applyBorder="1" applyAlignment="1">
      <alignment horizontal="center" vertical="center" shrinkToFit="1"/>
    </xf>
    <xf numFmtId="49" fontId="54" fillId="0" borderId="2" xfId="1" applyNumberFormat="1" applyFont="1" applyBorder="1" applyAlignment="1">
      <alignment horizontal="center" vertical="center" shrinkToFit="1"/>
    </xf>
    <xf numFmtId="49" fontId="54" fillId="0" borderId="53" xfId="1" applyNumberFormat="1" applyFont="1" applyBorder="1" applyAlignment="1">
      <alignment horizontal="center" vertical="center" shrinkToFit="1"/>
    </xf>
    <xf numFmtId="49" fontId="54" fillId="2" borderId="28" xfId="1" quotePrefix="1" applyNumberFormat="1" applyFont="1" applyFill="1" applyBorder="1" applyAlignment="1">
      <alignment horizontal="center" vertical="center" shrinkToFit="1"/>
    </xf>
    <xf numFmtId="49" fontId="54" fillId="2" borderId="2" xfId="1" quotePrefix="1" applyNumberFormat="1" applyFont="1" applyFill="1" applyBorder="1" applyAlignment="1">
      <alignment horizontal="center" vertical="center" shrinkToFit="1"/>
    </xf>
    <xf numFmtId="49" fontId="54" fillId="2" borderId="53" xfId="1" quotePrefix="1" applyNumberFormat="1" applyFont="1" applyFill="1" applyBorder="1" applyAlignment="1">
      <alignment horizontal="center" vertical="center" shrinkToFit="1"/>
    </xf>
    <xf numFmtId="49" fontId="54" fillId="0" borderId="28" xfId="1" applyNumberFormat="1" applyFont="1" applyBorder="1" applyAlignment="1">
      <alignment horizontal="center" vertical="center" shrinkToFit="1"/>
    </xf>
    <xf numFmtId="49" fontId="54" fillId="0" borderId="3" xfId="1" applyNumberFormat="1" applyFont="1" applyBorder="1" applyAlignment="1">
      <alignment horizontal="center" vertical="center" shrinkToFit="1"/>
    </xf>
    <xf numFmtId="49" fontId="96" fillId="7" borderId="55" xfId="1" applyNumberFormat="1" applyFont="1" applyFill="1" applyBorder="1" applyAlignment="1">
      <alignment horizontal="center" vertical="center" wrapText="1" shrinkToFit="1"/>
    </xf>
    <xf numFmtId="49" fontId="96" fillId="7" borderId="45" xfId="1" applyNumberFormat="1" applyFont="1" applyFill="1" applyBorder="1" applyAlignment="1">
      <alignment horizontal="center" vertical="center" wrapText="1" shrinkToFit="1"/>
    </xf>
    <xf numFmtId="49" fontId="96" fillId="7" borderId="56" xfId="1" applyNumberFormat="1" applyFont="1" applyFill="1" applyBorder="1" applyAlignment="1">
      <alignment horizontal="center" vertical="center" wrapText="1" shrinkToFit="1"/>
    </xf>
    <xf numFmtId="49" fontId="3" fillId="11" borderId="28" xfId="1" applyNumberFormat="1" applyFont="1" applyFill="1" applyBorder="1" applyAlignment="1">
      <alignment horizontal="center" vertical="center"/>
    </xf>
    <xf numFmtId="49" fontId="3" fillId="11" borderId="2" xfId="1" applyNumberFormat="1" applyFont="1" applyFill="1" applyBorder="1" applyAlignment="1">
      <alignment horizontal="center" vertical="center"/>
    </xf>
    <xf numFmtId="49" fontId="3" fillId="11" borderId="53" xfId="1" applyNumberFormat="1" applyFont="1" applyFill="1" applyBorder="1" applyAlignment="1">
      <alignment horizontal="center" vertical="center"/>
    </xf>
    <xf numFmtId="49" fontId="2" fillId="11" borderId="29" xfId="1" applyNumberFormat="1" applyFont="1" applyFill="1" applyBorder="1" applyAlignment="1">
      <alignment horizontal="left" vertical="center" wrapText="1"/>
    </xf>
    <xf numFmtId="49" fontId="2" fillId="11" borderId="63" xfId="1" applyNumberFormat="1" applyFont="1" applyFill="1" applyBorder="1" applyAlignment="1">
      <alignment horizontal="left" vertical="center" wrapText="1"/>
    </xf>
    <xf numFmtId="49" fontId="2" fillId="11" borderId="64" xfId="1" applyNumberFormat="1" applyFont="1" applyFill="1" applyBorder="1" applyAlignment="1">
      <alignment horizontal="left" vertical="center" wrapText="1"/>
    </xf>
    <xf numFmtId="49" fontId="93" fillId="0" borderId="0" xfId="1" quotePrefix="1" applyNumberFormat="1" applyFont="1" applyAlignment="1">
      <alignment horizontal="center" vertical="center"/>
    </xf>
    <xf numFmtId="49" fontId="54" fillId="0" borderId="41" xfId="6" applyNumberFormat="1" applyFont="1" applyBorder="1" applyAlignment="1">
      <alignment horizontal="center" vertical="center"/>
    </xf>
    <xf numFmtId="49" fontId="54" fillId="0" borderId="42" xfId="6" applyNumberFormat="1" applyFont="1" applyBorder="1" applyAlignment="1">
      <alignment horizontal="center" vertical="center"/>
    </xf>
    <xf numFmtId="49" fontId="54" fillId="0" borderId="43" xfId="6" applyNumberFormat="1" applyFont="1" applyBorder="1" applyAlignment="1">
      <alignment horizontal="center" vertical="center"/>
    </xf>
    <xf numFmtId="49" fontId="4" fillId="11" borderId="31" xfId="1" applyNumberFormat="1" applyFont="1" applyFill="1" applyBorder="1" applyAlignment="1">
      <alignment vertical="center"/>
    </xf>
    <xf numFmtId="49" fontId="4" fillId="11" borderId="42" xfId="1" applyNumberFormat="1" applyFont="1" applyFill="1" applyBorder="1" applyAlignment="1">
      <alignment vertical="center"/>
    </xf>
    <xf numFmtId="49" fontId="4" fillId="11" borderId="44" xfId="1" applyNumberFormat="1" applyFont="1" applyFill="1" applyBorder="1" applyAlignment="1">
      <alignment vertical="center"/>
    </xf>
    <xf numFmtId="49" fontId="54" fillId="0" borderId="65" xfId="1" applyNumberFormat="1" applyFont="1" applyBorder="1" applyAlignment="1">
      <alignment horizontal="center" vertical="center"/>
    </xf>
    <xf numFmtId="49" fontId="54" fillId="0" borderId="67" xfId="1" applyNumberFormat="1" applyFont="1" applyBorder="1" applyAlignment="1">
      <alignment horizontal="center" vertical="center"/>
    </xf>
    <xf numFmtId="49" fontId="54" fillId="0" borderId="4" xfId="1" applyNumberFormat="1" applyFont="1" applyBorder="1" applyAlignment="1">
      <alignment horizontal="center" vertical="center"/>
    </xf>
    <xf numFmtId="49" fontId="54" fillId="0" borderId="61" xfId="6" applyNumberFormat="1" applyFont="1" applyBorder="1" applyAlignment="1">
      <alignment horizontal="center" vertical="center" wrapText="1"/>
    </xf>
    <xf numFmtId="49" fontId="54" fillId="0" borderId="68" xfId="6" applyNumberFormat="1" applyFont="1" applyBorder="1" applyAlignment="1">
      <alignment horizontal="center" vertical="center" wrapText="1"/>
    </xf>
    <xf numFmtId="49" fontId="54" fillId="0" borderId="6" xfId="6" applyNumberFormat="1" applyFont="1" applyBorder="1" applyAlignment="1">
      <alignment horizontal="center" vertical="center" wrapText="1"/>
    </xf>
    <xf numFmtId="49" fontId="93" fillId="9" borderId="41" xfId="6" applyNumberFormat="1" applyFont="1" applyFill="1" applyBorder="1" applyAlignment="1">
      <alignment horizontal="center" vertical="center" wrapText="1"/>
    </xf>
    <xf numFmtId="49" fontId="93" fillId="9" borderId="43" xfId="6" applyNumberFormat="1" applyFont="1" applyFill="1" applyBorder="1" applyAlignment="1">
      <alignment horizontal="center" vertical="center" wrapText="1"/>
    </xf>
    <xf numFmtId="49" fontId="57" fillId="9" borderId="31" xfId="6" applyNumberFormat="1" applyFont="1" applyFill="1" applyBorder="1" applyAlignment="1">
      <alignment horizontal="center" vertical="center"/>
    </xf>
    <xf numFmtId="49" fontId="57" fillId="9" borderId="42" xfId="6" applyNumberFormat="1" applyFont="1" applyFill="1" applyBorder="1" applyAlignment="1">
      <alignment horizontal="center" vertical="center"/>
    </xf>
    <xf numFmtId="49" fontId="57" fillId="9" borderId="44" xfId="6" applyNumberFormat="1" applyFont="1" applyFill="1" applyBorder="1" applyAlignment="1">
      <alignment horizontal="center" vertical="center"/>
    </xf>
    <xf numFmtId="49" fontId="34" fillId="11" borderId="85" xfId="8" applyNumberFormat="1" applyFont="1" applyFill="1" applyBorder="1" applyAlignment="1">
      <alignment horizontal="center" vertical="center"/>
    </xf>
    <xf numFmtId="49" fontId="34" fillId="11" borderId="107" xfId="8" applyNumberFormat="1" applyFont="1" applyFill="1" applyBorder="1" applyAlignment="1">
      <alignment horizontal="center" vertical="center"/>
    </xf>
    <xf numFmtId="49" fontId="55" fillId="11" borderId="28" xfId="6" quotePrefix="1" applyNumberFormat="1" applyFont="1" applyFill="1" applyBorder="1" applyAlignment="1">
      <alignment horizontal="center" vertical="center"/>
    </xf>
    <xf numFmtId="49" fontId="55" fillId="11" borderId="2" xfId="6" quotePrefix="1" applyNumberFormat="1" applyFont="1" applyFill="1" applyBorder="1" applyAlignment="1">
      <alignment horizontal="center" vertical="center"/>
    </xf>
    <xf numFmtId="49" fontId="55" fillId="11" borderId="53" xfId="6" quotePrefix="1" applyNumberFormat="1" applyFont="1" applyFill="1" applyBorder="1" applyAlignment="1">
      <alignment horizontal="center" vertical="center"/>
    </xf>
    <xf numFmtId="49" fontId="6" fillId="0" borderId="28" xfId="1" quotePrefix="1" applyNumberFormat="1" applyFont="1" applyBorder="1" applyAlignment="1">
      <alignment horizontal="center" vertical="center"/>
    </xf>
    <xf numFmtId="49" fontId="6" fillId="0" borderId="53" xfId="1" quotePrefix="1" applyNumberFormat="1" applyFont="1" applyBorder="1" applyAlignment="1">
      <alignment horizontal="center" vertical="center"/>
    </xf>
    <xf numFmtId="49" fontId="5" fillId="11" borderId="28" xfId="1" quotePrefix="1" applyNumberFormat="1" applyFont="1" applyFill="1" applyBorder="1" applyAlignment="1">
      <alignment horizontal="center" vertical="center"/>
    </xf>
    <xf numFmtId="49" fontId="5" fillId="11" borderId="2" xfId="1" quotePrefix="1" applyNumberFormat="1" applyFont="1" applyFill="1" applyBorder="1" applyAlignment="1">
      <alignment horizontal="center" vertical="center"/>
    </xf>
    <xf numFmtId="49" fontId="5" fillId="11" borderId="53" xfId="1" quotePrefix="1" applyNumberFormat="1" applyFont="1" applyFill="1" applyBorder="1" applyAlignment="1">
      <alignment horizontal="center" vertical="center"/>
    </xf>
    <xf numFmtId="49" fontId="6" fillId="0" borderId="28" xfId="1" applyNumberFormat="1" applyFont="1" applyBorder="1" applyAlignment="1">
      <alignment horizontal="center" vertical="center"/>
    </xf>
    <xf numFmtId="49" fontId="6" fillId="0" borderId="53" xfId="1" applyNumberFormat="1" applyFont="1" applyBorder="1" applyAlignment="1">
      <alignment horizontal="center" vertical="center"/>
    </xf>
    <xf numFmtId="49" fontId="55" fillId="11" borderId="28" xfId="1" applyNumberFormat="1" applyFont="1" applyFill="1" applyBorder="1" applyAlignment="1">
      <alignment horizontal="center" vertical="center"/>
    </xf>
    <xf numFmtId="49" fontId="55" fillId="11" borderId="2" xfId="1" applyNumberFormat="1" applyFont="1" applyFill="1" applyBorder="1" applyAlignment="1">
      <alignment horizontal="center" vertical="center"/>
    </xf>
    <xf numFmtId="49" fontId="55" fillId="11" borderId="3" xfId="1" applyNumberFormat="1" applyFont="1" applyFill="1" applyBorder="1" applyAlignment="1">
      <alignment horizontal="center" vertical="center"/>
    </xf>
    <xf numFmtId="49" fontId="56" fillId="0" borderId="93" xfId="1" applyNumberFormat="1" applyFont="1" applyBorder="1" applyAlignment="1">
      <alignment horizontal="center" vertical="center"/>
    </xf>
    <xf numFmtId="49" fontId="93" fillId="0" borderId="10" xfId="6" applyNumberFormat="1" applyFont="1" applyBorder="1" applyAlignment="1">
      <alignment horizontal="center" vertical="center"/>
    </xf>
    <xf numFmtId="49" fontId="93" fillId="0" borderId="54" xfId="6" applyNumberFormat="1" applyFont="1" applyBorder="1" applyAlignment="1">
      <alignment horizontal="center" vertical="center"/>
    </xf>
    <xf numFmtId="49" fontId="34" fillId="0" borderId="90" xfId="6" applyNumberFormat="1" applyFont="1" applyBorder="1" applyAlignment="1">
      <alignment horizontal="center" vertical="center"/>
    </xf>
    <xf numFmtId="49" fontId="34" fillId="0" borderId="63" xfId="6" applyNumberFormat="1" applyFont="1" applyBorder="1" applyAlignment="1">
      <alignment horizontal="center" vertical="center"/>
    </xf>
    <xf numFmtId="49" fontId="93" fillId="0" borderId="29" xfId="6" applyNumberFormat="1" applyFont="1" applyBorder="1" applyAlignment="1">
      <alignment horizontal="center" vertical="center"/>
    </xf>
    <xf numFmtId="49" fontId="93" fillId="0" borderId="62" xfId="6" applyNumberFormat="1" applyFont="1" applyBorder="1" applyAlignment="1">
      <alignment horizontal="center" vertical="center"/>
    </xf>
    <xf numFmtId="49" fontId="34" fillId="11" borderId="81" xfId="8" applyNumberFormat="1" applyFont="1" applyFill="1" applyBorder="1" applyAlignment="1">
      <alignment horizontal="center" vertical="center"/>
    </xf>
    <xf numFmtId="49" fontId="34" fillId="11" borderId="82" xfId="8" applyNumberFormat="1" applyFont="1" applyFill="1" applyBorder="1" applyAlignment="1">
      <alignment horizontal="center" vertical="center"/>
    </xf>
    <xf numFmtId="49" fontId="34" fillId="11" borderId="10" xfId="6" applyNumberFormat="1" applyFont="1" applyFill="1" applyBorder="1" applyAlignment="1">
      <alignment horizontal="center" vertical="center"/>
    </xf>
    <xf numFmtId="49" fontId="34" fillId="11" borderId="54" xfId="6" applyNumberFormat="1" applyFont="1" applyFill="1" applyBorder="1" applyAlignment="1">
      <alignment horizontal="center" vertical="center"/>
    </xf>
    <xf numFmtId="49" fontId="34" fillId="11" borderId="81" xfId="6" applyNumberFormat="1" applyFont="1" applyFill="1" applyBorder="1" applyAlignment="1">
      <alignment horizontal="center" vertical="center"/>
    </xf>
    <xf numFmtId="49" fontId="34" fillId="11" borderId="82" xfId="6" applyNumberFormat="1" applyFont="1" applyFill="1" applyBorder="1" applyAlignment="1">
      <alignment horizontal="center" vertical="center"/>
    </xf>
    <xf numFmtId="49" fontId="34" fillId="11" borderId="94" xfId="6" quotePrefix="1" applyNumberFormat="1" applyFont="1" applyFill="1" applyBorder="1" applyAlignment="1">
      <alignment horizontal="center" vertical="center"/>
    </xf>
    <xf numFmtId="49" fontId="34" fillId="11" borderId="108" xfId="6" quotePrefix="1" applyNumberFormat="1" applyFont="1" applyFill="1" applyBorder="1" applyAlignment="1">
      <alignment horizontal="center" vertical="center"/>
    </xf>
    <xf numFmtId="49" fontId="93" fillId="0" borderId="10" xfId="6" quotePrefix="1" applyNumberFormat="1" applyFont="1" applyBorder="1" applyAlignment="1">
      <alignment horizontal="center" vertical="center"/>
    </xf>
    <xf numFmtId="49" fontId="93" fillId="0" borderId="54" xfId="6" quotePrefix="1" applyNumberFormat="1" applyFont="1" applyBorder="1" applyAlignment="1">
      <alignment horizontal="center" vertical="center"/>
    </xf>
    <xf numFmtId="49" fontId="57" fillId="0" borderId="41" xfId="6" applyNumberFormat="1" applyFont="1" applyBorder="1" applyAlignment="1">
      <alignment horizontal="center" vertical="center"/>
    </xf>
    <xf numFmtId="49" fontId="57" fillId="0" borderId="42" xfId="6" applyNumberFormat="1" applyFont="1" applyBorder="1" applyAlignment="1">
      <alignment horizontal="center" vertical="center"/>
    </xf>
    <xf numFmtId="49" fontId="57" fillId="0" borderId="44" xfId="6" applyNumberFormat="1" applyFont="1" applyBorder="1" applyAlignment="1">
      <alignment horizontal="center" vertical="center"/>
    </xf>
    <xf numFmtId="49" fontId="54" fillId="0" borderId="27" xfId="6" applyNumberFormat="1" applyFont="1" applyBorder="1" applyAlignment="1">
      <alignment horizontal="center" vertical="center"/>
    </xf>
    <xf numFmtId="49" fontId="54" fillId="0" borderId="63" xfId="6" applyNumberFormat="1" applyFont="1" applyBorder="1" applyAlignment="1">
      <alignment horizontal="center" vertical="center"/>
    </xf>
    <xf numFmtId="49" fontId="54" fillId="0" borderId="62" xfId="6" applyNumberFormat="1" applyFont="1" applyBorder="1" applyAlignment="1">
      <alignment horizontal="center" vertical="center"/>
    </xf>
    <xf numFmtId="49" fontId="107" fillId="11" borderId="103" xfId="1" applyNumberFormat="1" applyFont="1" applyFill="1" applyBorder="1" applyAlignment="1">
      <alignment horizontal="center" vertical="center"/>
    </xf>
    <xf numFmtId="49" fontId="5" fillId="11" borderId="88" xfId="1" applyNumberFormat="1" applyFont="1" applyFill="1" applyBorder="1" applyAlignment="1">
      <alignment horizontal="center" vertical="center"/>
    </xf>
    <xf numFmtId="49" fontId="96" fillId="0" borderId="105" xfId="1" applyNumberFormat="1" applyFont="1" applyBorder="1" applyAlignment="1">
      <alignment horizontal="center" vertical="center"/>
    </xf>
    <xf numFmtId="49" fontId="96" fillId="0" borderId="106" xfId="1" applyNumberFormat="1" applyFont="1" applyBorder="1" applyAlignment="1">
      <alignment horizontal="center" vertical="center"/>
    </xf>
    <xf numFmtId="49" fontId="5" fillId="11" borderId="93" xfId="1" applyNumberFormat="1" applyFont="1" applyFill="1" applyBorder="1" applyAlignment="1">
      <alignment horizontal="center" vertical="center"/>
    </xf>
    <xf numFmtId="4" fontId="85" fillId="2" borderId="104" xfId="0" applyNumberFormat="1" applyFont="1" applyFill="1" applyBorder="1" applyAlignment="1">
      <alignment horizontal="center" vertical="center"/>
    </xf>
    <xf numFmtId="4" fontId="85" fillId="2" borderId="0" xfId="0" applyNumberFormat="1" applyFont="1" applyFill="1" applyAlignment="1">
      <alignment horizontal="center" vertical="center"/>
    </xf>
    <xf numFmtId="4" fontId="87" fillId="2" borderId="110" xfId="0" applyNumberFormat="1" applyFont="1" applyFill="1" applyBorder="1" applyAlignment="1">
      <alignment horizontal="center" vertical="center" wrapText="1"/>
    </xf>
    <xf numFmtId="4" fontId="87" fillId="2" borderId="111" xfId="0" applyNumberFormat="1" applyFont="1" applyFill="1" applyBorder="1" applyAlignment="1">
      <alignment horizontal="center" vertical="center" wrapText="1"/>
    </xf>
    <xf numFmtId="4" fontId="87" fillId="2" borderId="106" xfId="0" applyNumberFormat="1" applyFont="1" applyFill="1" applyBorder="1" applyAlignment="1">
      <alignment horizontal="center" vertical="center" wrapText="1"/>
    </xf>
    <xf numFmtId="4" fontId="87" fillId="2" borderId="1" xfId="0" applyNumberFormat="1" applyFont="1" applyFill="1" applyBorder="1" applyAlignment="1">
      <alignment horizontal="center" vertical="center"/>
    </xf>
    <xf numFmtId="4" fontId="87" fillId="2" borderId="2" xfId="0" applyNumberFormat="1" applyFont="1" applyFill="1" applyBorder="1" applyAlignment="1">
      <alignment horizontal="center" vertical="center"/>
    </xf>
    <xf numFmtId="4" fontId="87" fillId="2" borderId="3" xfId="0" applyNumberFormat="1" applyFont="1" applyFill="1" applyBorder="1" applyAlignment="1">
      <alignment horizontal="center" vertical="center"/>
    </xf>
    <xf numFmtId="4" fontId="89" fillId="2" borderId="1" xfId="0" applyNumberFormat="1" applyFont="1" applyFill="1" applyBorder="1" applyAlignment="1">
      <alignment horizontal="center" vertical="center"/>
    </xf>
    <xf numFmtId="4" fontId="89" fillId="2" borderId="2" xfId="0" applyNumberFormat="1" applyFont="1" applyFill="1" applyBorder="1" applyAlignment="1">
      <alignment horizontal="center" vertical="center"/>
    </xf>
    <xf numFmtId="4" fontId="89" fillId="2" borderId="3" xfId="0" applyNumberFormat="1" applyFont="1" applyFill="1" applyBorder="1" applyAlignment="1">
      <alignment horizontal="center" vertical="center"/>
    </xf>
    <xf numFmtId="4" fontId="85" fillId="2" borderId="127" xfId="0" applyNumberFormat="1" applyFont="1" applyFill="1" applyBorder="1" applyAlignment="1">
      <alignment horizontal="center" vertical="center" wrapText="1"/>
    </xf>
    <xf numFmtId="4" fontId="85" fillId="2" borderId="43" xfId="0" applyNumberFormat="1" applyFont="1" applyFill="1" applyBorder="1" applyAlignment="1">
      <alignment horizontal="center" vertical="center" wrapText="1"/>
    </xf>
    <xf numFmtId="4" fontId="85" fillId="2" borderId="126" xfId="0" applyNumberFormat="1" applyFont="1" applyFill="1" applyBorder="1" applyAlignment="1">
      <alignment horizontal="center" vertical="center"/>
    </xf>
    <xf numFmtId="4" fontId="85" fillId="2" borderId="30" xfId="0" applyNumberFormat="1" applyFont="1" applyFill="1" applyBorder="1" applyAlignment="1">
      <alignment horizontal="center" vertical="center" wrapText="1"/>
    </xf>
    <xf numFmtId="4" fontId="85" fillId="2" borderId="31" xfId="0" applyNumberFormat="1" applyFont="1" applyFill="1" applyBorder="1" applyAlignment="1">
      <alignment horizontal="center" vertical="center"/>
    </xf>
    <xf numFmtId="4" fontId="85" fillId="2" borderId="30" xfId="0" applyNumberFormat="1" applyFont="1" applyFill="1" applyBorder="1" applyAlignment="1">
      <alignment horizontal="center" vertical="center"/>
    </xf>
    <xf numFmtId="4" fontId="0" fillId="2" borderId="124" xfId="0" applyNumberFormat="1" applyFill="1" applyBorder="1" applyAlignment="1">
      <alignment horizontal="center" vertical="center" wrapText="1"/>
    </xf>
    <xf numFmtId="4" fontId="0" fillId="2" borderId="130" xfId="0" applyNumberFormat="1" applyFill="1" applyBorder="1" applyAlignment="1">
      <alignment horizontal="center" vertical="center"/>
    </xf>
    <xf numFmtId="4" fontId="0" fillId="2" borderId="125" xfId="0" applyNumberFormat="1" applyFill="1" applyBorder="1" applyAlignment="1">
      <alignment horizontal="center" vertical="center"/>
    </xf>
    <xf numFmtId="4" fontId="85" fillId="2" borderId="129" xfId="0" applyNumberFormat="1" applyFont="1" applyFill="1" applyBorder="1" applyAlignment="1">
      <alignment horizontal="center" vertical="center"/>
    </xf>
    <xf numFmtId="4" fontId="85" fillId="2" borderId="54" xfId="0" applyNumberFormat="1" applyFont="1" applyFill="1" applyBorder="1" applyAlignment="1">
      <alignment horizontal="center" vertical="center"/>
    </xf>
    <xf numFmtId="4" fontId="85" fillId="2" borderId="128" xfId="0" applyNumberFormat="1" applyFont="1" applyFill="1" applyBorder="1" applyAlignment="1">
      <alignment horizontal="center" vertical="center"/>
    </xf>
    <xf numFmtId="4" fontId="85" fillId="2" borderId="7" xfId="0" applyNumberFormat="1" applyFont="1" applyFill="1" applyBorder="1" applyAlignment="1">
      <alignment horizontal="center" vertical="center"/>
    </xf>
    <xf numFmtId="4" fontId="85" fillId="2" borderId="10" xfId="0" applyNumberFormat="1" applyFont="1" applyFill="1" applyBorder="1" applyAlignment="1">
      <alignment horizontal="center" vertical="center"/>
    </xf>
    <xf numFmtId="20" fontId="85" fillId="2" borderId="90" xfId="0" applyNumberFormat="1" applyFont="1" applyFill="1" applyBorder="1" applyAlignment="1">
      <alignment horizontal="center" vertical="center"/>
    </xf>
    <xf numFmtId="20" fontId="85" fillId="2" borderId="54" xfId="0" applyNumberFormat="1" applyFont="1" applyFill="1" applyBorder="1" applyAlignment="1">
      <alignment horizontal="center" vertical="center"/>
    </xf>
    <xf numFmtId="0" fontId="85" fillId="2" borderId="7" xfId="0" applyFont="1" applyFill="1" applyBorder="1" applyAlignment="1">
      <alignment horizontal="center" vertical="center"/>
    </xf>
    <xf numFmtId="0" fontId="89" fillId="2" borderId="12" xfId="0" applyFont="1" applyFill="1" applyBorder="1" applyAlignment="1">
      <alignment horizontal="center" vertical="center"/>
    </xf>
    <xf numFmtId="0" fontId="89" fillId="2" borderId="135" xfId="0" applyFont="1" applyFill="1" applyBorder="1" applyAlignment="1">
      <alignment horizontal="center" vertical="center"/>
    </xf>
    <xf numFmtId="0" fontId="89" fillId="2" borderId="9" xfId="0" applyFont="1" applyFill="1" applyBorder="1" applyAlignment="1">
      <alignment horizontal="center" vertical="center"/>
    </xf>
    <xf numFmtId="0" fontId="89" fillId="2" borderId="138" xfId="0" applyFont="1" applyFill="1" applyBorder="1" applyAlignment="1">
      <alignment horizontal="center" vertical="center"/>
    </xf>
    <xf numFmtId="0" fontId="85" fillId="2" borderId="10" xfId="0" applyFont="1" applyFill="1" applyBorder="1" applyAlignment="1">
      <alignment horizontal="center" vertical="center"/>
    </xf>
    <xf numFmtId="0" fontId="85" fillId="2" borderId="90" xfId="0" applyFont="1" applyFill="1" applyBorder="1" applyAlignment="1">
      <alignment horizontal="center" vertical="center"/>
    </xf>
    <xf numFmtId="0" fontId="87" fillId="2" borderId="136" xfId="0" applyFont="1" applyFill="1" applyBorder="1" applyAlignment="1">
      <alignment horizontal="center" vertical="center"/>
    </xf>
    <xf numFmtId="0" fontId="87" fillId="2" borderId="90" xfId="0" applyFont="1" applyFill="1" applyBorder="1" applyAlignment="1">
      <alignment horizontal="center" vertical="center"/>
    </xf>
    <xf numFmtId="0" fontId="87" fillId="2" borderId="137" xfId="0" applyFont="1" applyFill="1" applyBorder="1" applyAlignment="1">
      <alignment horizontal="center" vertical="center"/>
    </xf>
    <xf numFmtId="0" fontId="87" fillId="2" borderId="54" xfId="0" applyFont="1" applyFill="1" applyBorder="1" applyAlignment="1">
      <alignment horizontal="center" vertical="center"/>
    </xf>
    <xf numFmtId="0" fontId="87" fillId="2" borderId="10" xfId="0" applyFont="1" applyFill="1" applyBorder="1" applyAlignment="1">
      <alignment horizontal="center" vertical="center"/>
    </xf>
    <xf numFmtId="0" fontId="91" fillId="2" borderId="1" xfId="0" applyFont="1" applyFill="1" applyBorder="1" applyAlignment="1">
      <alignment horizontal="center" vertical="center"/>
    </xf>
    <xf numFmtId="0" fontId="91" fillId="2" borderId="2" xfId="0" applyFont="1" applyFill="1" applyBorder="1" applyAlignment="1">
      <alignment horizontal="center" vertical="center"/>
    </xf>
    <xf numFmtId="0" fontId="91" fillId="2" borderId="3" xfId="0" applyFont="1" applyFill="1" applyBorder="1" applyAlignment="1">
      <alignment horizontal="center" vertical="center"/>
    </xf>
    <xf numFmtId="49" fontId="6" fillId="2" borderId="12" xfId="3" applyNumberFormat="1" applyFont="1" applyFill="1" applyBorder="1" applyAlignment="1">
      <alignment horizontal="center" vertical="center" wrapText="1"/>
    </xf>
    <xf numFmtId="49" fontId="6" fillId="2" borderId="68" xfId="3" applyNumberFormat="1" applyFont="1" applyFill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4" fillId="2" borderId="109" xfId="0" applyFont="1" applyFill="1" applyBorder="1" applyAlignment="1">
      <alignment horizontal="center" vertical="center"/>
    </xf>
    <xf numFmtId="49" fontId="6" fillId="2" borderId="90" xfId="3" applyNumberFormat="1" applyFont="1" applyFill="1" applyBorder="1" applyAlignment="1">
      <alignment horizontal="center" vertical="center" wrapText="1"/>
    </xf>
    <xf numFmtId="49" fontId="6" fillId="2" borderId="110" xfId="3" applyNumberFormat="1" applyFont="1" applyFill="1" applyBorder="1" applyAlignment="1">
      <alignment horizontal="center" vertical="center" wrapText="1"/>
    </xf>
    <xf numFmtId="49" fontId="6" fillId="2" borderId="111" xfId="3" applyNumberFormat="1" applyFont="1" applyFill="1" applyBorder="1" applyAlignment="1">
      <alignment horizontal="center" vertical="center" wrapText="1"/>
    </xf>
    <xf numFmtId="49" fontId="6" fillId="2" borderId="106" xfId="3" applyNumberFormat="1" applyFont="1" applyFill="1" applyBorder="1" applyAlignment="1">
      <alignment horizontal="center" vertical="center" wrapText="1"/>
    </xf>
    <xf numFmtId="3" fontId="0" fillId="2" borderId="127" xfId="0" applyNumberFormat="1" applyFill="1" applyBorder="1" applyAlignment="1">
      <alignment vertical="center"/>
    </xf>
    <xf numFmtId="3" fontId="0" fillId="2" borderId="30" xfId="0" applyNumberFormat="1" applyFill="1" applyBorder="1" applyAlignment="1">
      <alignment vertical="center"/>
    </xf>
    <xf numFmtId="3" fontId="84" fillId="2" borderId="126" xfId="0" applyNumberFormat="1" applyFont="1" applyFill="1" applyBorder="1" applyAlignment="1">
      <alignment vertical="center"/>
    </xf>
    <xf numFmtId="3" fontId="0" fillId="2" borderId="43" xfId="0" applyNumberFormat="1" applyFill="1" applyBorder="1" applyAlignment="1">
      <alignment vertical="center"/>
    </xf>
    <xf numFmtId="3" fontId="84" fillId="2" borderId="31" xfId="0" applyNumberFormat="1" applyFont="1" applyFill="1" applyBorder="1" applyAlignment="1">
      <alignment vertical="center"/>
    </xf>
    <xf numFmtId="3" fontId="84" fillId="2" borderId="30" xfId="0" applyNumberFormat="1" applyFont="1" applyFill="1" applyBorder="1" applyAlignment="1">
      <alignment vertical="center"/>
    </xf>
    <xf numFmtId="3" fontId="0" fillId="2" borderId="129" xfId="0" applyNumberFormat="1" applyFill="1" applyBorder="1" applyAlignment="1">
      <alignment vertical="center"/>
    </xf>
    <xf numFmtId="3" fontId="84" fillId="2" borderId="128" xfId="0" applyNumberFormat="1" applyFont="1" applyFill="1" applyBorder="1" applyAlignment="1">
      <alignment vertical="center"/>
    </xf>
    <xf numFmtId="3" fontId="0" fillId="2" borderId="54" xfId="0" applyNumberFormat="1" applyFill="1" applyBorder="1" applyAlignment="1">
      <alignment vertical="center"/>
    </xf>
    <xf numFmtId="3" fontId="84" fillId="2" borderId="10" xfId="0" applyNumberFormat="1" applyFont="1" applyFill="1" applyBorder="1" applyAlignment="1">
      <alignment vertical="center"/>
    </xf>
    <xf numFmtId="3" fontId="84" fillId="2" borderId="7" xfId="0" applyNumberFormat="1" applyFont="1" applyFill="1" applyBorder="1" applyAlignment="1">
      <alignment vertical="center"/>
    </xf>
    <xf numFmtId="3" fontId="0" fillId="2" borderId="132" xfId="0" applyNumberFormat="1" applyFill="1" applyBorder="1" applyAlignment="1">
      <alignment vertical="center"/>
    </xf>
    <xf numFmtId="3" fontId="84" fillId="2" borderId="133" xfId="0" applyNumberFormat="1" applyFont="1" applyFill="1" applyBorder="1" applyAlignment="1">
      <alignment vertical="center"/>
    </xf>
    <xf numFmtId="3" fontId="0" fillId="2" borderId="62" xfId="0" applyNumberFormat="1" applyFill="1" applyBorder="1" applyAlignment="1">
      <alignment vertical="center"/>
    </xf>
    <xf numFmtId="3" fontId="84" fillId="2" borderId="29" xfId="0" applyNumberFormat="1" applyFont="1" applyFill="1" applyBorder="1" applyAlignment="1">
      <alignment vertical="center"/>
    </xf>
    <xf numFmtId="3" fontId="84" fillId="2" borderId="21" xfId="0" applyNumberFormat="1" applyFont="1" applyFill="1" applyBorder="1" applyAlignment="1">
      <alignment vertical="center"/>
    </xf>
    <xf numFmtId="3" fontId="0" fillId="4" borderId="7" xfId="0" applyNumberFormat="1" applyFill="1" applyBorder="1" applyAlignment="1">
      <alignment vertical="center"/>
    </xf>
    <xf numFmtId="3" fontId="0" fillId="5" borderId="7" xfId="0" applyNumberFormat="1" applyFill="1" applyBorder="1" applyAlignment="1">
      <alignment vertical="center"/>
    </xf>
    <xf numFmtId="3" fontId="0" fillId="3" borderId="134" xfId="0" applyNumberFormat="1" applyFill="1" applyBorder="1" applyAlignment="1">
      <alignment vertical="center"/>
    </xf>
    <xf numFmtId="3" fontId="0" fillId="4" borderId="21" xfId="0" applyNumberFormat="1" applyFill="1" applyBorder="1" applyAlignment="1">
      <alignment vertical="center"/>
    </xf>
    <xf numFmtId="3" fontId="0" fillId="5" borderId="21" xfId="0" applyNumberFormat="1" applyFill="1" applyBorder="1" applyAlignment="1">
      <alignment vertical="center"/>
    </xf>
    <xf numFmtId="3" fontId="0" fillId="3" borderId="123" xfId="0" applyNumberFormat="1" applyFill="1" applyBorder="1" applyAlignment="1">
      <alignment vertical="center"/>
    </xf>
    <xf numFmtId="4" fontId="110" fillId="2" borderId="0" xfId="0" applyNumberFormat="1" applyFont="1" applyFill="1" applyAlignment="1">
      <alignment vertical="center"/>
    </xf>
    <xf numFmtId="4" fontId="111" fillId="2" borderId="7" xfId="0" applyNumberFormat="1" applyFont="1" applyFill="1" applyBorder="1" applyAlignment="1">
      <alignment horizontal="center" vertical="center" wrapText="1"/>
    </xf>
    <xf numFmtId="1" fontId="0" fillId="2" borderId="0" xfId="0" applyNumberFormat="1" applyFill="1" applyAlignment="1">
      <alignment horizontal="center" vertical="center"/>
    </xf>
    <xf numFmtId="43" fontId="0" fillId="2" borderId="0" xfId="0" applyNumberFormat="1" applyFill="1"/>
  </cellXfs>
  <cellStyles count="71">
    <cellStyle name="20% - Accent1 2" xfId="9" xr:uid="{C88273C8-37F6-4C5B-A350-6F6A8BB3F991}"/>
    <cellStyle name="20% - Accent2 2" xfId="10" xr:uid="{5ABFA5D6-76B9-455E-9C3C-940FBE03F5BB}"/>
    <cellStyle name="20% - Accent3 2" xfId="11" xr:uid="{7FAB6D45-6742-42BB-AF6C-E8EF3AF6BDAE}"/>
    <cellStyle name="20% - Accent4 2" xfId="12" xr:uid="{14767512-45D2-499E-B484-1A90EA0B2B59}"/>
    <cellStyle name="20% - Accent5 2" xfId="13" xr:uid="{9920B893-596D-4633-8237-A1F58F60DC92}"/>
    <cellStyle name="20% - Accent6 2" xfId="14" xr:uid="{0F98C758-AB61-4D85-84A6-9EFD8F929F98}"/>
    <cellStyle name="40% - Accent1 2" xfId="15" xr:uid="{7E5F2B52-8B75-43A9-92C0-45A4933DA1C7}"/>
    <cellStyle name="40% - Accent2 2" xfId="16" xr:uid="{83D10C05-7E2A-49F9-9F0A-78CE0089DFB4}"/>
    <cellStyle name="40% - Accent3 2" xfId="17" xr:uid="{5C94639E-A3FB-4281-9780-212AEC806AAB}"/>
    <cellStyle name="40% - Accent4 2" xfId="18" xr:uid="{FEDCA71A-D9B1-4D7F-9DFD-F213A6185BE7}"/>
    <cellStyle name="40% - Accent5 2" xfId="19" xr:uid="{AE7E0F7B-DAC8-4288-B279-5F1AABE42F57}"/>
    <cellStyle name="40% - Accent6 2" xfId="20" xr:uid="{1AA239EA-C426-47D9-9A4F-B4D92F89F361}"/>
    <cellStyle name="60% - Accent1 2" xfId="21" xr:uid="{7A890AB9-9CA8-4FD2-AA30-CAF6BCDDECBB}"/>
    <cellStyle name="60% - Accent2 2" xfId="22" xr:uid="{D93A2BDE-CCA7-487D-853C-9C7A869402CE}"/>
    <cellStyle name="60% - Accent3 2" xfId="23" xr:uid="{1C569772-274C-4099-91AE-4C7605E6B672}"/>
    <cellStyle name="60% - Accent4 2" xfId="24" xr:uid="{91285A69-1887-4BEA-B4AF-8AB9330E572E}"/>
    <cellStyle name="60% - Accent5 2" xfId="25" xr:uid="{33BA7CB6-0F0D-4891-90FE-A24D230EE12D}"/>
    <cellStyle name="60% - Accent6 2" xfId="26" xr:uid="{89725637-3F68-4CD2-915C-A1959D74B2CA}"/>
    <cellStyle name="Accent1 2" xfId="28" xr:uid="{159EEC93-FB96-4030-9EBF-B34C998FFF4C}"/>
    <cellStyle name="Accent2 2" xfId="29" xr:uid="{994B0099-F5FD-4A90-A8AC-277B3416A46F}"/>
    <cellStyle name="Accent3 2" xfId="30" xr:uid="{162A1BC6-4CEE-4AEE-B455-47AEF488A597}"/>
    <cellStyle name="Accent4 2" xfId="31" xr:uid="{9AC10F9F-82CC-4D3C-A7D0-137CD098A24A}"/>
    <cellStyle name="Accent5 2" xfId="32" xr:uid="{EBA2B55F-865B-466E-B5B0-F8A3CDF54498}"/>
    <cellStyle name="Accent6 2" xfId="33" xr:uid="{A66A029A-AED0-44A4-919A-62F69A56699A}"/>
    <cellStyle name="Bad 2" xfId="46" xr:uid="{2C6F51D9-BBBC-4DE0-BB99-910EC24521FD}"/>
    <cellStyle name="Calculation 2" xfId="47" xr:uid="{EDEA12C9-2819-473A-99F3-265CFFFB6E7A}"/>
    <cellStyle name="Check Cell 2" xfId="40" xr:uid="{8E433E4F-B03E-45A8-8504-E88827FD8C92}"/>
    <cellStyle name="Column_Title" xfId="27" xr:uid="{41F8279F-309A-4565-9ACE-D2D5F6903ABB}"/>
    <cellStyle name="Comma" xfId="64" builtinId="3"/>
    <cellStyle name="Comma [0] 2" xfId="8" xr:uid="{361C7519-0514-4C9C-B8F0-2D108B3692D6}"/>
    <cellStyle name="Comma [0] 2 4" xfId="68" xr:uid="{AC009C82-54C6-4C49-8117-1F6D0FB27278}"/>
    <cellStyle name="Comma 2" xfId="62" xr:uid="{C100D22A-E62F-47AD-8754-0A4FDC2E21FB}"/>
    <cellStyle name="Comma 2 2" xfId="69" xr:uid="{57979CDB-B960-442E-9E55-54DA73A45F31}"/>
    <cellStyle name="Comma 3" xfId="63" xr:uid="{B7422C91-01BD-4F2C-A584-591E5559555F}"/>
    <cellStyle name="Comma 4" xfId="66" xr:uid="{137C3396-CDA7-4354-8196-4BA2E4ACDD6D}"/>
    <cellStyle name="Comma 5" xfId="70" xr:uid="{306B65F7-FB40-404F-9863-DD2DC964D75C}"/>
    <cellStyle name="Explanatory Text 2" xfId="55" xr:uid="{AF5B7540-BDB8-49CC-B626-114D644DA4C7}"/>
    <cellStyle name="Good 2" xfId="59" xr:uid="{833A9AD1-3565-451C-BBD2-20E018C0CC65}"/>
    <cellStyle name="Heading 1 2" xfId="49" xr:uid="{FADB53D9-9E9D-4549-BE31-47122C5F97BB}"/>
    <cellStyle name="Heading 2 2" xfId="50" xr:uid="{529C6493-F61D-4D83-8894-D2BFB25015B3}"/>
    <cellStyle name="Heading 3 2" xfId="51" xr:uid="{0624E53E-A403-4182-8091-BB9FE023D1A7}"/>
    <cellStyle name="Heading 4 2" xfId="52" xr:uid="{FBBDF6AA-4181-42EF-BAF2-27207AD2936C}"/>
    <cellStyle name="Input 2" xfId="56" xr:uid="{96D4A9BB-110C-4895-BD3C-246793A8C971}"/>
    <cellStyle name="Linked Cell 2" xfId="45" xr:uid="{24F2A745-A659-4C47-B5F5-48340DE95AFC}"/>
    <cellStyle name="Neutral 2" xfId="41" xr:uid="{06C5A25C-CB62-4924-9D18-260C93201797}"/>
    <cellStyle name="Normal" xfId="0" builtinId="0"/>
    <cellStyle name="Normal 2" xfId="3" xr:uid="{CB740D0B-A3D6-4C5E-A1E2-CF8B22F738A3}"/>
    <cellStyle name="Normal 2 2" xfId="61" xr:uid="{940A9EBD-887B-4870-B20B-5818835413E0}"/>
    <cellStyle name="Normal 2 5" xfId="67" xr:uid="{8D1C59FA-CA5E-4CB3-B9F5-175474C4FCCE}"/>
    <cellStyle name="Note 2" xfId="44" xr:uid="{7BF7B000-2207-474C-BF05-CBDCF89685C4}"/>
    <cellStyle name="Output 2" xfId="54" xr:uid="{A7765303-45CE-41D9-BF6C-485EFE08936E}"/>
    <cellStyle name="Percent 2" xfId="65" xr:uid="{10086D0B-B973-4F58-AA67-42F8E77AB89C}"/>
    <cellStyle name="Title 2" xfId="39" xr:uid="{86186664-5137-4413-8699-623B5D045581}"/>
    <cellStyle name="Total 2" xfId="53" xr:uid="{8FC717E5-8396-4A90-AFDB-58D6E64C2320}"/>
    <cellStyle name="Warning Text 2" xfId="48" xr:uid="{92EDB89D-B0C5-475B-A344-E17462C03D08}"/>
    <cellStyle name="ｳ｣ｹ訐laroux" xfId="34" xr:uid="{A43B97A1-CD63-47D6-8545-9BA9BFD8DC03}"/>
    <cellStyle name="ｳ｣ｹ訐Sheet1" xfId="35" xr:uid="{50EE5650-FB69-4577-A5ED-4D3B0F50959F}"/>
    <cellStyle name="ｻﾒ[0]_laroux" xfId="36" xr:uid="{5CF9303A-35A5-412E-A7E9-59CFF68A6F86}"/>
    <cellStyle name="ｻﾒ_laroux" xfId="37" xr:uid="{759C61B3-5D2F-4A84-B5AD-472DC1E69376}"/>
    <cellStyle name="スタイル 1" xfId="38" xr:uid="{DA02630C-2DFF-44E2-ABDE-C8B694674216}"/>
    <cellStyle name="ﾇｧﾎｻ[0]_laroux" xfId="42" xr:uid="{235BBC70-5529-43D0-9AC4-8CF1CF1A9642}"/>
    <cellStyle name="ﾇｧﾎｻ_laroux" xfId="43" xr:uid="{FAC51E1C-63B9-4C03-A6EF-3ACA4EEB868C}"/>
    <cellStyle name="未定義" xfId="58" xr:uid="{D19BCF71-67CB-43B6-89F4-54178F08C692}"/>
    <cellStyle name="標準 3" xfId="60" xr:uid="{21E59319-964A-4DA3-A57C-9436D03D69B1}"/>
    <cellStyle name="標準_20130207 誠係長2012合理化報告（製造3部各課計上分）1月" xfId="57" xr:uid="{B24B267B-167A-4896-8444-E4692EE32669}"/>
    <cellStyle name="標準_Half pj 生産強化策・かんばんﾌｫｰﾑ" xfId="5" xr:uid="{D38054B6-BCD5-4F44-83D2-E0793F0C85C1}"/>
    <cellStyle name="標準_コストダウン体系図" xfId="7" xr:uid="{9A8D8377-A9EE-4EA2-9805-7F1E71FB84BF}"/>
    <cellStyle name="標準_小林" xfId="4" xr:uid="{2A184E73-E69C-45F5-981C-9D369EAB5B49}"/>
    <cellStyle name="標準_改善かんばん" xfId="6" xr:uid="{3FCA6F7F-8D4B-4971-9010-B32C20CA481E}"/>
    <cellStyle name="標準_改善提案書　兼　かんばん（最新バージョン）" xfId="2" xr:uid="{50961553-C466-4E9E-945A-02495149C1A2}"/>
    <cellStyle name="標準_製1部  1月「改善かんばん」①" xfId="1" xr:uid="{E3D56CAA-27D4-4412-B0D9-EF90E7447576}"/>
  </cellStyles>
  <dxfs count="2"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Electricity price chart of a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386105992070149E-3"/>
                  <c:y val="-6.5450209890956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AB-4145-974F-1033B1D367A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AB-4145-974F-1033B1D367A7}"/>
                </c:ext>
              </c:extLst>
            </c:dLbl>
            <c:dLbl>
              <c:idx val="2"/>
              <c:layout>
                <c:manualLayout>
                  <c:x val="-9.4067794717149739E-2"/>
                  <c:y val="-5.2831913360987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AB-4145-974F-1033B1D367A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AB-4145-974F-1033B1D367A7}"/>
                </c:ext>
              </c:extLst>
            </c:dLbl>
            <c:dLbl>
              <c:idx val="4"/>
              <c:layout>
                <c:manualLayout>
                  <c:x val="-9.4067794717149725E-2"/>
                  <c:y val="1.44656681321774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AB-4145-974F-1033B1D367A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AB-4145-974F-1033B1D367A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AB-4145-974F-1033B1D367A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1AB-4145-974F-1033B1D367A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1AB-4145-974F-1033B1D367A7}"/>
                </c:ext>
              </c:extLst>
            </c:dLbl>
            <c:dLbl>
              <c:idx val="9"/>
              <c:layout>
                <c:manualLayout>
                  <c:x val="1.751612963273208E-2"/>
                  <c:y val="2.19580933314286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1AB-4145-974F-1033B1D367A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1AB-4145-974F-1033B1D367A7}"/>
                </c:ext>
              </c:extLst>
            </c:dLbl>
            <c:dLbl>
              <c:idx val="11"/>
              <c:layout>
                <c:manualLayout>
                  <c:x val="1.3733623722566594E-2"/>
                  <c:y val="-6.5450209890956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1AB-4145-974F-1033B1D367A7}"/>
                </c:ext>
              </c:extLst>
            </c:dLbl>
            <c:dLbl>
              <c:idx val="12"/>
              <c:layout>
                <c:manualLayout>
                  <c:x val="-0.10730656540272891"/>
                  <c:y val="-2.33892214577278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1AB-4145-974F-1033B1D367A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1AB-4145-974F-1033B1D367A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Trend!$B$2:$B$15</c:f>
              <c:numCache>
                <c:formatCode>h:mm</c:formatCode>
                <c:ptCount val="14"/>
                <c:pt idx="0">
                  <c:v>0</c:v>
                </c:pt>
                <c:pt idx="1">
                  <c:v>0.16666666666666666</c:v>
                </c:pt>
                <c:pt idx="2">
                  <c:v>0.16666666666666666</c:v>
                </c:pt>
                <c:pt idx="3">
                  <c:v>0.39583333333333331</c:v>
                </c:pt>
                <c:pt idx="4">
                  <c:v>0.39583333333333331</c:v>
                </c:pt>
                <c:pt idx="5">
                  <c:v>0.47916666666666669</c:v>
                </c:pt>
                <c:pt idx="6">
                  <c:v>0.47916666666666669</c:v>
                </c:pt>
                <c:pt idx="7">
                  <c:v>0.70833333333333337</c:v>
                </c:pt>
                <c:pt idx="8">
                  <c:v>0.70833333333333337</c:v>
                </c:pt>
                <c:pt idx="9">
                  <c:v>0.83333333333333337</c:v>
                </c:pt>
                <c:pt idx="10">
                  <c:v>0.83333333333333337</c:v>
                </c:pt>
                <c:pt idx="11">
                  <c:v>0.91666666666666663</c:v>
                </c:pt>
                <c:pt idx="12">
                  <c:v>0.91666666666666663</c:v>
                </c:pt>
                <c:pt idx="13">
                  <c:v>1</c:v>
                </c:pt>
              </c:numCache>
            </c:numRef>
          </c:xVal>
          <c:yVal>
            <c:numRef>
              <c:f>Trend!$C$2:$C$15</c:f>
              <c:numCache>
                <c:formatCode>General</c:formatCode>
                <c:ptCount val="14"/>
                <c:pt idx="0">
                  <c:v>1037</c:v>
                </c:pt>
                <c:pt idx="1">
                  <c:v>1037</c:v>
                </c:pt>
                <c:pt idx="2">
                  <c:v>1600</c:v>
                </c:pt>
                <c:pt idx="3">
                  <c:v>1600</c:v>
                </c:pt>
                <c:pt idx="4">
                  <c:v>2959</c:v>
                </c:pt>
                <c:pt idx="5">
                  <c:v>2959</c:v>
                </c:pt>
                <c:pt idx="6">
                  <c:v>1600</c:v>
                </c:pt>
                <c:pt idx="7">
                  <c:v>1600</c:v>
                </c:pt>
                <c:pt idx="8">
                  <c:v>2959</c:v>
                </c:pt>
                <c:pt idx="9">
                  <c:v>2959</c:v>
                </c:pt>
                <c:pt idx="10">
                  <c:v>1600</c:v>
                </c:pt>
                <c:pt idx="11">
                  <c:v>1600</c:v>
                </c:pt>
                <c:pt idx="12">
                  <c:v>1037</c:v>
                </c:pt>
                <c:pt idx="13">
                  <c:v>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1AB-4145-974F-1033B1D36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274703"/>
        <c:axId val="144424847"/>
      </c:scatterChart>
      <c:valAx>
        <c:axId val="2035274703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alpha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4847"/>
        <c:crosses val="autoZero"/>
        <c:crossBetween val="midCat"/>
        <c:majorUnit val="6.2500000000000014E-2"/>
        <c:minorUnit val="6.2500000000000014E-2"/>
      </c:valAx>
      <c:valAx>
        <c:axId val="144424847"/>
        <c:scaling>
          <c:orientation val="minMax"/>
          <c:max val="3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274703"/>
        <c:crosses val="autoZero"/>
        <c:crossBetween val="midCat"/>
        <c:majorUnit val="200"/>
        <c:min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49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n-lt"/>
              </a:rPr>
              <a:t>CONSUMPTION</a:t>
            </a:r>
            <a:r>
              <a:rPr lang="en-US" b="1" baseline="0">
                <a:latin typeface="+mn-lt"/>
              </a:rPr>
              <a:t> AND COST PER DAY (1 furnace)</a:t>
            </a:r>
            <a:endParaRPr lang="en-US" b="1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Consumption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Data!$B$6:$B$10</c:f>
              <c:strCache>
                <c:ptCount val="5"/>
                <c:pt idx="0">
                  <c:v>CASE 1</c:v>
                </c:pt>
                <c:pt idx="1">
                  <c:v>CASE 2</c:v>
                </c:pt>
                <c:pt idx="2">
                  <c:v>CASE 3</c:v>
                </c:pt>
                <c:pt idx="3">
                  <c:v>CASE 4</c:v>
                </c:pt>
                <c:pt idx="4">
                  <c:v>CASE 5</c:v>
                </c:pt>
              </c:strCache>
            </c:strRef>
          </c:cat>
          <c:val>
            <c:numRef>
              <c:f>Data!$N$6:$N$10</c:f>
              <c:numCache>
                <c:formatCode>#,##0</c:formatCode>
                <c:ptCount val="5"/>
                <c:pt idx="0">
                  <c:v>700</c:v>
                </c:pt>
                <c:pt idx="1">
                  <c:v>1000</c:v>
                </c:pt>
                <c:pt idx="2">
                  <c:v>1400</c:v>
                </c:pt>
                <c:pt idx="3">
                  <c:v>1725</c:v>
                </c:pt>
                <c:pt idx="4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B-4B20-AF01-77A0913204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66723423"/>
        <c:axId val="66723903"/>
      </c:barChart>
      <c:lineChart>
        <c:grouping val="standard"/>
        <c:varyColors val="0"/>
        <c:ser>
          <c:idx val="1"/>
          <c:order val="1"/>
          <c:tx>
            <c:v>Before</c:v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50800">
                <a:solidFill>
                  <a:schemeClr val="tx1">
                    <a:alpha val="94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92936580093723E-3"/>
                  <c:y val="-7.2900158478605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9B-4B20-AF01-77A0913204D9}"/>
                </c:ext>
              </c:extLst>
            </c:dLbl>
            <c:dLbl>
              <c:idx val="1"/>
              <c:layout>
                <c:manualLayout>
                  <c:x val="-3.9922230238103096E-2"/>
                  <c:y val="-8.24088748019018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39B-4B20-AF01-77A0913204D9}"/>
                </c:ext>
              </c:extLst>
            </c:dLbl>
            <c:dLbl>
              <c:idx val="2"/>
              <c:layout>
                <c:manualLayout>
                  <c:x val="-2.9034349264074978E-2"/>
                  <c:y val="-8.24088748019017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9B-4B20-AF01-77A0913204D9}"/>
                </c:ext>
              </c:extLst>
            </c:dLbl>
            <c:dLbl>
              <c:idx val="3"/>
              <c:layout>
                <c:manualLayout>
                  <c:x val="-2.3590408777060919E-2"/>
                  <c:y val="-7.92393026941362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9B-4B20-AF01-77A0913204D9}"/>
                </c:ext>
              </c:extLst>
            </c:dLbl>
            <c:dLbl>
              <c:idx val="4"/>
              <c:layout>
                <c:manualLayout>
                  <c:x val="-3.2663642922084353E-2"/>
                  <c:y val="-5.3882725832012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39B-4B20-AF01-77A0913204D9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Data!$B$6:$B$10</c:f>
              <c:strCache>
                <c:ptCount val="5"/>
                <c:pt idx="0">
                  <c:v>CASE 1</c:v>
                </c:pt>
                <c:pt idx="1">
                  <c:v>CASE 2</c:v>
                </c:pt>
                <c:pt idx="2">
                  <c:v>CASE 3</c:v>
                </c:pt>
                <c:pt idx="3">
                  <c:v>CASE 4</c:v>
                </c:pt>
                <c:pt idx="4">
                  <c:v>CASE 5</c:v>
                </c:pt>
              </c:strCache>
            </c:strRef>
          </c:cat>
          <c:val>
            <c:numRef>
              <c:f>Data!$O$6:$O$10</c:f>
              <c:numCache>
                <c:formatCode>#,##0.00</c:formatCode>
                <c:ptCount val="5"/>
                <c:pt idx="0">
                  <c:v>1500.52</c:v>
                </c:pt>
                <c:pt idx="1">
                  <c:v>1782.5</c:v>
                </c:pt>
                <c:pt idx="2">
                  <c:v>3191.3</c:v>
                </c:pt>
                <c:pt idx="3">
                  <c:v>3282.4450000000002</c:v>
                </c:pt>
                <c:pt idx="4">
                  <c:v>3501.9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B-4B20-AF01-77A0913204D9}"/>
            </c:ext>
          </c:extLst>
        </c:ser>
        <c:ser>
          <c:idx val="2"/>
          <c:order val="2"/>
          <c:tx>
            <c:v>After</c:v>
          </c:tx>
          <c:spPr>
            <a:ln w="444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508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775761948056235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39B-4B20-AF01-77A0913204D9}"/>
                </c:ext>
              </c:extLst>
            </c:dLbl>
            <c:dLbl>
              <c:idx val="1"/>
              <c:layout>
                <c:manualLayout>
                  <c:x val="5.443940487013992E-3"/>
                  <c:y val="3.80348652931854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39B-4B20-AF01-77A0913204D9}"/>
                </c:ext>
              </c:extLst>
            </c:dLbl>
            <c:dLbl>
              <c:idx val="2"/>
              <c:layout>
                <c:manualLayout>
                  <c:x val="3.6292936580093723E-3"/>
                  <c:y val="3.4865293185419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39B-4B20-AF01-77A0913204D9}"/>
                </c:ext>
              </c:extLst>
            </c:dLbl>
            <c:dLbl>
              <c:idx val="3"/>
              <c:layout>
                <c:manualLayout>
                  <c:x val="1.0887880974028118E-2"/>
                  <c:y val="2.2187004754358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39B-4B20-AF01-77A0913204D9}"/>
                </c:ext>
              </c:extLst>
            </c:dLbl>
            <c:dLbl>
              <c:idx val="4"/>
              <c:layout>
                <c:manualLayout>
                  <c:x val="-5.4439404870140588E-3"/>
                  <c:y val="6.6561014263074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39B-4B20-AF01-77A0913204D9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Data!$B$6:$B$10</c:f>
              <c:strCache>
                <c:ptCount val="5"/>
                <c:pt idx="0">
                  <c:v>CASE 1</c:v>
                </c:pt>
                <c:pt idx="1">
                  <c:v>CASE 2</c:v>
                </c:pt>
                <c:pt idx="2">
                  <c:v>CASE 3</c:v>
                </c:pt>
                <c:pt idx="3">
                  <c:v>CASE 4</c:v>
                </c:pt>
                <c:pt idx="4">
                  <c:v>CASE 5</c:v>
                </c:pt>
              </c:strCache>
            </c:strRef>
          </c:cat>
          <c:val>
            <c:numRef>
              <c:f>Data!$O$11:$O$15</c:f>
              <c:numCache>
                <c:formatCode>#,##0.00</c:formatCode>
                <c:ptCount val="5"/>
                <c:pt idx="0">
                  <c:v>725.9</c:v>
                </c:pt>
                <c:pt idx="1">
                  <c:v>1262.2</c:v>
                </c:pt>
                <c:pt idx="2">
                  <c:v>2131.29</c:v>
                </c:pt>
                <c:pt idx="3">
                  <c:v>2605.9575</c:v>
                </c:pt>
                <c:pt idx="4">
                  <c:v>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B-4B20-AF01-77A0913204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2936991"/>
        <c:axId val="722935551"/>
      </c:lineChart>
      <c:catAx>
        <c:axId val="6672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3903"/>
        <c:crosses val="autoZero"/>
        <c:auto val="1"/>
        <c:lblAlgn val="ctr"/>
        <c:lblOffset val="100"/>
        <c:noMultiLvlLbl val="0"/>
      </c:catAx>
      <c:valAx>
        <c:axId val="667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cross"/>
        <c:minorTickMark val="none"/>
        <c:tickLblPos val="nextTo"/>
        <c:spPr>
          <a:noFill/>
          <a:ln>
            <a:solidFill>
              <a:schemeClr val="lt1">
                <a:shade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3423"/>
        <c:crosses val="autoZero"/>
        <c:crossBetween val="between"/>
      </c:valAx>
      <c:valAx>
        <c:axId val="722935551"/>
        <c:scaling>
          <c:orientation val="minMax"/>
        </c:scaling>
        <c:delete val="0"/>
        <c:axPos val="r"/>
        <c:numFmt formatCode="#,##0.00" sourceLinked="1"/>
        <c:majorTickMark val="cross"/>
        <c:minorTickMark val="none"/>
        <c:tickLblPos val="nextTo"/>
        <c:spPr>
          <a:noFill/>
          <a:ln>
            <a:solidFill>
              <a:schemeClr val="lt1">
                <a:shade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936991"/>
        <c:crosses val="max"/>
        <c:crossBetween val="between"/>
      </c:valAx>
      <c:catAx>
        <c:axId val="7229369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293555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latin typeface="+mn-lt"/>
              </a:rPr>
              <a:t>PRODUCTION</a:t>
            </a:r>
            <a:r>
              <a:rPr lang="en-US" sz="2000" b="1" baseline="0">
                <a:latin typeface="+mn-lt"/>
              </a:rPr>
              <a:t> VOLUME PER MONTH</a:t>
            </a:r>
            <a:endParaRPr lang="en-US" sz="2000" b="1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579708937095378E-2"/>
          <c:y val="6.9122567226266543E-2"/>
          <c:w val="0.85241234968442414"/>
          <c:h val="0.80937631852622194"/>
        </c:manualLayout>
      </c:layout>
      <c:barChart>
        <c:barDir val="col"/>
        <c:grouping val="clustered"/>
        <c:varyColors val="0"/>
        <c:ser>
          <c:idx val="0"/>
          <c:order val="0"/>
          <c:tx>
            <c:v>Consumption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Data!$Q$6:$Q$15</c:f>
              <c:strCache>
                <c:ptCount val="10"/>
                <c:pt idx="0">
                  <c:v>20-40</c:v>
                </c:pt>
                <c:pt idx="1">
                  <c:v>40-60</c:v>
                </c:pt>
                <c:pt idx="2">
                  <c:v>60-80</c:v>
                </c:pt>
                <c:pt idx="3">
                  <c:v>80-100</c:v>
                </c:pt>
                <c:pt idx="4">
                  <c:v>100-120</c:v>
                </c:pt>
                <c:pt idx="5">
                  <c:v>120-140</c:v>
                </c:pt>
                <c:pt idx="6">
                  <c:v>140-160</c:v>
                </c:pt>
                <c:pt idx="7">
                  <c:v>160-180</c:v>
                </c:pt>
                <c:pt idx="8">
                  <c:v>180-200</c:v>
                </c:pt>
                <c:pt idx="9">
                  <c:v>200-220</c:v>
                </c:pt>
              </c:strCache>
            </c:strRef>
          </c:cat>
          <c:val>
            <c:numRef>
              <c:f>Data!$Y$6:$Y$15</c:f>
              <c:numCache>
                <c:formatCode>#,##0</c:formatCode>
                <c:ptCount val="10"/>
                <c:pt idx="0">
                  <c:v>17000</c:v>
                </c:pt>
                <c:pt idx="1">
                  <c:v>21575</c:v>
                </c:pt>
                <c:pt idx="2">
                  <c:v>25200</c:v>
                </c:pt>
                <c:pt idx="3">
                  <c:v>26650</c:v>
                </c:pt>
                <c:pt idx="4">
                  <c:v>32800</c:v>
                </c:pt>
                <c:pt idx="5">
                  <c:v>38100</c:v>
                </c:pt>
                <c:pt idx="6">
                  <c:v>42450</c:v>
                </c:pt>
                <c:pt idx="7">
                  <c:v>47150</c:v>
                </c:pt>
                <c:pt idx="8">
                  <c:v>50400</c:v>
                </c:pt>
                <c:pt idx="9">
                  <c:v>53300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C-4CD3-A76C-19B90CFDED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66723423"/>
        <c:axId val="66723903"/>
      </c:barChart>
      <c:lineChart>
        <c:grouping val="standard"/>
        <c:varyColors val="0"/>
        <c:ser>
          <c:idx val="1"/>
          <c:order val="1"/>
          <c:tx>
            <c:v>Before</c:v>
          </c:tx>
          <c:spPr>
            <a:ln w="508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50800">
                <a:solidFill>
                  <a:schemeClr val="tx1">
                    <a:alpha val="94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94384277526047E-2"/>
                  <c:y val="-7.16981132075470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9C-4CD3-A76C-19B90CFDEDB5}"/>
                </c:ext>
              </c:extLst>
            </c:dLbl>
            <c:dLbl>
              <c:idx val="1"/>
              <c:layout>
                <c:manualLayout>
                  <c:x val="-2.2570194192529088E-2"/>
                  <c:y val="-8.30188679245283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9C-4CD3-A76C-19B90CFDEDB5}"/>
                </c:ext>
              </c:extLst>
            </c:dLbl>
            <c:dLbl>
              <c:idx val="2"/>
              <c:layout>
                <c:manualLayout>
                  <c:x val="-2.8509718980036788E-2"/>
                  <c:y val="-9.43396226415094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9C-4CD3-A76C-19B90CFDEDB5}"/>
                </c:ext>
              </c:extLst>
            </c:dLbl>
            <c:dLbl>
              <c:idx val="3"/>
              <c:layout>
                <c:manualLayout>
                  <c:x val="-3.2383785714666581E-2"/>
                  <c:y val="-8.7186450750259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9C-4CD3-A76C-19B90CFDEDB5}"/>
                </c:ext>
              </c:extLst>
            </c:dLbl>
            <c:dLbl>
              <c:idx val="4"/>
              <c:layout>
                <c:manualLayout>
                  <c:x val="-2.954431872294418E-2"/>
                  <c:y val="-9.3896152131926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9C-4CD3-A76C-19B90CFDEDB5}"/>
                </c:ext>
              </c:extLst>
            </c:dLbl>
            <c:dLbl>
              <c:idx val="5"/>
              <c:layout>
                <c:manualLayout>
                  <c:x val="-2.0194384277526026E-2"/>
                  <c:y val="-9.81969989600356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9C-4CD3-A76C-19B90CFDEDB5}"/>
                </c:ext>
              </c:extLst>
            </c:dLbl>
            <c:dLbl>
              <c:idx val="6"/>
              <c:layout>
                <c:manualLayout>
                  <c:x val="-2.2570194192529088E-2"/>
                  <c:y val="-0.103773584905660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9C-4CD3-A76C-19B90CFDEDB5}"/>
                </c:ext>
              </c:extLst>
            </c:dLbl>
            <c:dLbl>
              <c:idx val="7"/>
              <c:layout>
                <c:manualLayout>
                  <c:x val="-2.3758099150030704E-2"/>
                  <c:y val="-0.103773584905660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9C-4CD3-A76C-19B90CFDEDB5}"/>
                </c:ext>
              </c:extLst>
            </c:dLbl>
            <c:dLbl>
              <c:idx val="8"/>
              <c:layout>
                <c:manualLayout>
                  <c:x val="-2.1382289235027559E-2"/>
                  <c:y val="-0.113207547169811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9C-4CD3-A76C-19B90CFDEDB5}"/>
                </c:ext>
              </c:extLst>
            </c:dLbl>
            <c:dLbl>
              <c:idx val="9"/>
              <c:layout>
                <c:manualLayout>
                  <c:x val="-3.9200863597550518E-2"/>
                  <c:y val="-0.101886792452830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9C-4CD3-A76C-19B90CFDEDB5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Data!$Q$6:$Q$15</c:f>
              <c:strCache>
                <c:ptCount val="10"/>
                <c:pt idx="0">
                  <c:v>20-40</c:v>
                </c:pt>
                <c:pt idx="1">
                  <c:v>40-60</c:v>
                </c:pt>
                <c:pt idx="2">
                  <c:v>60-80</c:v>
                </c:pt>
                <c:pt idx="3">
                  <c:v>80-100</c:v>
                </c:pt>
                <c:pt idx="4">
                  <c:v>100-120</c:v>
                </c:pt>
                <c:pt idx="5">
                  <c:v>120-140</c:v>
                </c:pt>
                <c:pt idx="6">
                  <c:v>140-160</c:v>
                </c:pt>
                <c:pt idx="7">
                  <c:v>160-180</c:v>
                </c:pt>
                <c:pt idx="8">
                  <c:v>180-200</c:v>
                </c:pt>
                <c:pt idx="9">
                  <c:v>200-220</c:v>
                </c:pt>
              </c:strCache>
            </c:strRef>
          </c:cat>
          <c:val>
            <c:numRef>
              <c:f>Data!$Z$6:$Z$15</c:f>
              <c:numCache>
                <c:formatCode>#,##0</c:formatCode>
                <c:ptCount val="10"/>
                <c:pt idx="0">
                  <c:v>32830.199999999997</c:v>
                </c:pt>
                <c:pt idx="1">
                  <c:v>39585.875</c:v>
                </c:pt>
                <c:pt idx="2">
                  <c:v>47085.600000000006</c:v>
                </c:pt>
                <c:pt idx="3">
                  <c:v>50085.490000000005</c:v>
                </c:pt>
                <c:pt idx="4">
                  <c:v>64532.479999999996</c:v>
                </c:pt>
                <c:pt idx="5">
                  <c:v>72788.100000000006</c:v>
                </c:pt>
                <c:pt idx="6">
                  <c:v>81787.77</c:v>
                </c:pt>
                <c:pt idx="7">
                  <c:v>89479.43</c:v>
                </c:pt>
                <c:pt idx="8">
                  <c:v>94171.200000000012</c:v>
                </c:pt>
                <c:pt idx="9">
                  <c:v>100170.98000000001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9C-4CD3-A76C-19B90CFDEDB5}"/>
            </c:ext>
          </c:extLst>
        </c:ser>
        <c:ser>
          <c:idx val="2"/>
          <c:order val="2"/>
          <c:tx>
            <c:v>After</c:v>
          </c:tx>
          <c:spPr>
            <a:ln w="508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508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88768555052051E-2"/>
                  <c:y val="-4.2642549398306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9C-4CD3-A76C-19B90CFDEDB5}"/>
                </c:ext>
              </c:extLst>
            </c:dLbl>
            <c:dLbl>
              <c:idx val="1"/>
              <c:layout>
                <c:manualLayout>
                  <c:x val="-2.6195175029377262E-2"/>
                  <c:y val="-3.81348982320606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9C-4CD3-A76C-19B90CFDEDB5}"/>
                </c:ext>
              </c:extLst>
            </c:dLbl>
            <c:dLbl>
              <c:idx val="2"/>
              <c:layout>
                <c:manualLayout>
                  <c:x val="-1.1955655414400645E-2"/>
                  <c:y val="-4.2893775070569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9C-4CD3-A76C-19B90CFDEDB5}"/>
                </c:ext>
              </c:extLst>
            </c:dLbl>
            <c:dLbl>
              <c:idx val="3"/>
              <c:layout>
                <c:manualLayout>
                  <c:x val="-1.5442764447519946E-2"/>
                  <c:y val="-4.71698113207547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9C-4CD3-A76C-19B90CFDEDB5}"/>
                </c:ext>
              </c:extLst>
            </c:dLbl>
            <c:dLbl>
              <c:idx val="4"/>
              <c:layout>
                <c:manualLayout>
                  <c:x val="-2.3758099150030618E-2"/>
                  <c:y val="-5.47169811320754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9C-4CD3-A76C-19B90CFDEDB5}"/>
                </c:ext>
              </c:extLst>
            </c:dLbl>
            <c:dLbl>
              <c:idx val="5"/>
              <c:layout>
                <c:manualLayout>
                  <c:x val="-3.3878301101356263E-2"/>
                  <c:y val="-5.93920665577180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9C-4CD3-A76C-19B90CFDEDB5}"/>
                </c:ext>
              </c:extLst>
            </c:dLbl>
            <c:dLbl>
              <c:idx val="6"/>
              <c:layout>
                <c:manualLayout>
                  <c:x val="-3.44492437675444E-2"/>
                  <c:y val="-4.90566037735849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9C-4CD3-A76C-19B90CFDEDB5}"/>
                </c:ext>
              </c:extLst>
            </c:dLbl>
            <c:dLbl>
              <c:idx val="7"/>
              <c:layout>
                <c:manualLayout>
                  <c:x val="-4.6328293342559793E-2"/>
                  <c:y val="-4.33962264150943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9C-4CD3-A76C-19B90CFDEDB5}"/>
                </c:ext>
              </c:extLst>
            </c:dLbl>
            <c:dLbl>
              <c:idx val="8"/>
              <c:layout>
                <c:manualLayout>
                  <c:x val="-3.8012958640049076E-2"/>
                  <c:y val="-5.28301886792452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9C-4CD3-A76C-19B90CFDEDB5}"/>
                </c:ext>
              </c:extLst>
            </c:dLbl>
            <c:dLbl>
              <c:idx val="9"/>
              <c:layout>
                <c:manualLayout>
                  <c:x val="-4.7516198300061235E-2"/>
                  <c:y val="-6.79245283018867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9C-4CD3-A76C-19B90CFDEDB5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Data!$Q$6:$Q$15</c:f>
              <c:strCache>
                <c:ptCount val="10"/>
                <c:pt idx="0">
                  <c:v>20-40</c:v>
                </c:pt>
                <c:pt idx="1">
                  <c:v>40-60</c:v>
                </c:pt>
                <c:pt idx="2">
                  <c:v>60-80</c:v>
                </c:pt>
                <c:pt idx="3">
                  <c:v>80-100</c:v>
                </c:pt>
                <c:pt idx="4">
                  <c:v>100-120</c:v>
                </c:pt>
                <c:pt idx="5">
                  <c:v>120-140</c:v>
                </c:pt>
                <c:pt idx="6">
                  <c:v>140-160</c:v>
                </c:pt>
                <c:pt idx="7">
                  <c:v>160-180</c:v>
                </c:pt>
                <c:pt idx="8">
                  <c:v>180-200</c:v>
                </c:pt>
                <c:pt idx="9">
                  <c:v>200-220</c:v>
                </c:pt>
              </c:strCache>
            </c:strRef>
          </c:cat>
          <c:val>
            <c:numRef>
              <c:f>Data!$AA$6:$AA$15</c:f>
              <c:numCache>
                <c:formatCode>#,##0</c:formatCode>
                <c:ptCount val="10"/>
                <c:pt idx="0">
                  <c:v>21630.199999999997</c:v>
                </c:pt>
                <c:pt idx="1">
                  <c:v>26485.875</c:v>
                </c:pt>
                <c:pt idx="2">
                  <c:v>32385.600000000006</c:v>
                </c:pt>
                <c:pt idx="3">
                  <c:v>34385.490000000005</c:v>
                </c:pt>
                <c:pt idx="4">
                  <c:v>46432.479999999996</c:v>
                </c:pt>
                <c:pt idx="5">
                  <c:v>51688.100000000006</c:v>
                </c:pt>
                <c:pt idx="6">
                  <c:v>58587.770000000004</c:v>
                </c:pt>
                <c:pt idx="7">
                  <c:v>63979.429999999993</c:v>
                </c:pt>
                <c:pt idx="8">
                  <c:v>66321.200000000012</c:v>
                </c:pt>
                <c:pt idx="9">
                  <c:v>70679.98000000001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9C-4CD3-A76C-19B90CFDEDB5}"/>
            </c:ext>
          </c:extLst>
        </c:ser>
        <c:ser>
          <c:idx val="3"/>
          <c:order val="3"/>
          <c:tx>
            <c:v>Cost down</c:v>
          </c:tx>
          <c:spPr>
            <a:ln w="76200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tx1"/>
              </a:solidFill>
              <a:ln w="88900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lt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Data!$Q$6:$Q$15</c:f>
              <c:strCache>
                <c:ptCount val="10"/>
                <c:pt idx="0">
                  <c:v>20-40</c:v>
                </c:pt>
                <c:pt idx="1">
                  <c:v>40-60</c:v>
                </c:pt>
                <c:pt idx="2">
                  <c:v>60-80</c:v>
                </c:pt>
                <c:pt idx="3">
                  <c:v>80-100</c:v>
                </c:pt>
                <c:pt idx="4">
                  <c:v>100-120</c:v>
                </c:pt>
                <c:pt idx="5">
                  <c:v>120-140</c:v>
                </c:pt>
                <c:pt idx="6">
                  <c:v>140-160</c:v>
                </c:pt>
                <c:pt idx="7">
                  <c:v>160-180</c:v>
                </c:pt>
                <c:pt idx="8">
                  <c:v>180-200</c:v>
                </c:pt>
                <c:pt idx="9">
                  <c:v>200-220</c:v>
                </c:pt>
              </c:strCache>
            </c:strRef>
          </c:cat>
          <c:val>
            <c:numRef>
              <c:f>Data!$AB$6:$AB$15</c:f>
              <c:numCache>
                <c:formatCode>#,##0</c:formatCode>
                <c:ptCount val="10"/>
                <c:pt idx="0">
                  <c:v>11200</c:v>
                </c:pt>
                <c:pt idx="1">
                  <c:v>13100</c:v>
                </c:pt>
                <c:pt idx="2">
                  <c:v>14700</c:v>
                </c:pt>
                <c:pt idx="3">
                  <c:v>15700</c:v>
                </c:pt>
                <c:pt idx="4">
                  <c:v>18100</c:v>
                </c:pt>
                <c:pt idx="5">
                  <c:v>21100</c:v>
                </c:pt>
                <c:pt idx="6">
                  <c:v>23200</c:v>
                </c:pt>
                <c:pt idx="7">
                  <c:v>25500</c:v>
                </c:pt>
                <c:pt idx="8">
                  <c:v>27850</c:v>
                </c:pt>
                <c:pt idx="9">
                  <c:v>29491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39C-4CD3-A76C-19B90CFDED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2936991"/>
        <c:axId val="722935551"/>
      </c:lineChart>
      <c:catAx>
        <c:axId val="6672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3903"/>
        <c:crosses val="autoZero"/>
        <c:auto val="1"/>
        <c:lblAlgn val="ctr"/>
        <c:lblOffset val="100"/>
        <c:noMultiLvlLbl val="0"/>
      </c:catAx>
      <c:valAx>
        <c:axId val="667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cross"/>
        <c:minorTickMark val="none"/>
        <c:tickLblPos val="nextTo"/>
        <c:spPr>
          <a:noFill/>
          <a:ln>
            <a:solidFill>
              <a:schemeClr val="lt1">
                <a:shade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3423"/>
        <c:crosses val="autoZero"/>
        <c:crossBetween val="between"/>
      </c:valAx>
      <c:valAx>
        <c:axId val="722935551"/>
        <c:scaling>
          <c:orientation val="minMax"/>
        </c:scaling>
        <c:delete val="0"/>
        <c:axPos val="r"/>
        <c:numFmt formatCode="#,##0" sourceLinked="1"/>
        <c:majorTickMark val="cross"/>
        <c:minorTickMark val="none"/>
        <c:tickLblPos val="nextTo"/>
        <c:spPr>
          <a:noFill/>
          <a:ln>
            <a:solidFill>
              <a:schemeClr val="lt1">
                <a:shade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936991"/>
        <c:crosses val="max"/>
        <c:crossBetween val="between"/>
      </c:valAx>
      <c:catAx>
        <c:axId val="7229369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29355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emf"/><Relationship Id="rId13" Type="http://schemas.openxmlformats.org/officeDocument/2006/relationships/image" Target="../media/image18.emf"/><Relationship Id="rId3" Type="http://schemas.openxmlformats.org/officeDocument/2006/relationships/image" Target="../media/image8.png"/><Relationship Id="rId7" Type="http://schemas.openxmlformats.org/officeDocument/2006/relationships/image" Target="../media/image12.emf"/><Relationship Id="rId12" Type="http://schemas.openxmlformats.org/officeDocument/2006/relationships/image" Target="../media/image17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6" Type="http://schemas.openxmlformats.org/officeDocument/2006/relationships/image" Target="../media/image11.emf"/><Relationship Id="rId11" Type="http://schemas.openxmlformats.org/officeDocument/2006/relationships/image" Target="../media/image16.emf"/><Relationship Id="rId5" Type="http://schemas.openxmlformats.org/officeDocument/2006/relationships/image" Target="../media/image10.emf"/><Relationship Id="rId10" Type="http://schemas.openxmlformats.org/officeDocument/2006/relationships/image" Target="../media/image15.emf"/><Relationship Id="rId4" Type="http://schemas.openxmlformats.org/officeDocument/2006/relationships/image" Target="../media/image9.png"/><Relationship Id="rId9" Type="http://schemas.openxmlformats.org/officeDocument/2006/relationships/image" Target="../media/image14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100852</xdr:colOff>
      <xdr:row>1</xdr:row>
      <xdr:rowOff>257175</xdr:rowOff>
    </xdr:from>
    <xdr:to>
      <xdr:col>24</xdr:col>
      <xdr:colOff>404532</xdr:colOff>
      <xdr:row>2</xdr:row>
      <xdr:rowOff>145677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55086756-5879-4DCF-961C-51A9AD069FE2}"/>
            </a:ext>
          </a:extLst>
        </xdr:cNvPr>
        <xdr:cNvSpPr>
          <a:spLocks noChangeArrowheads="1"/>
        </xdr:cNvSpPr>
      </xdr:nvSpPr>
      <xdr:spPr bwMode="auto">
        <a:xfrm>
          <a:off x="12292852" y="476250"/>
          <a:ext cx="303680" cy="307602"/>
        </a:xfrm>
        <a:prstGeom prst="leftArrow">
          <a:avLst>
            <a:gd name="adj1" fmla="val 50000"/>
            <a:gd name="adj2" fmla="val 3088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365312</xdr:colOff>
      <xdr:row>64</xdr:row>
      <xdr:rowOff>117101</xdr:rowOff>
    </xdr:from>
    <xdr:to>
      <xdr:col>19</xdr:col>
      <xdr:colOff>347382</xdr:colOff>
      <xdr:row>64</xdr:row>
      <xdr:rowOff>134471</xdr:rowOff>
    </xdr:to>
    <xdr:sp macro="" textlink="">
      <xdr:nvSpPr>
        <xdr:cNvPr id="3" name="Line 67">
          <a:extLst>
            <a:ext uri="{FF2B5EF4-FFF2-40B4-BE49-F238E27FC236}">
              <a16:creationId xmlns:a16="http://schemas.microsoft.com/office/drawing/2014/main" id="{28E72ECD-1642-4A3D-95D6-13316D9046FE}"/>
            </a:ext>
          </a:extLst>
        </xdr:cNvPr>
        <xdr:cNvSpPr>
          <a:spLocks noChangeShapeType="1"/>
        </xdr:cNvSpPr>
      </xdr:nvSpPr>
      <xdr:spPr bwMode="auto">
        <a:xfrm>
          <a:off x="4289612" y="12461501"/>
          <a:ext cx="4782670" cy="1737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380999</xdr:colOff>
      <xdr:row>57</xdr:row>
      <xdr:rowOff>161366</xdr:rowOff>
    </xdr:from>
    <xdr:to>
      <xdr:col>10</xdr:col>
      <xdr:colOff>233082</xdr:colOff>
      <xdr:row>59</xdr:row>
      <xdr:rowOff>17930</xdr:rowOff>
    </xdr:to>
    <xdr:sp macro="" textlink="">
      <xdr:nvSpPr>
        <xdr:cNvPr id="5" name="円/楕円 7">
          <a:extLst>
            <a:ext uri="{FF2B5EF4-FFF2-40B4-BE49-F238E27FC236}">
              <a16:creationId xmlns:a16="http://schemas.microsoft.com/office/drawing/2014/main" id="{F727A6E6-E0E5-4ED4-863A-C2F2C58AB432}"/>
            </a:ext>
          </a:extLst>
        </xdr:cNvPr>
        <xdr:cNvSpPr/>
      </xdr:nvSpPr>
      <xdr:spPr>
        <a:xfrm>
          <a:off x="4305299" y="11153216"/>
          <a:ext cx="395008" cy="313764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</xdr:colOff>
      <xdr:row>8</xdr:row>
      <xdr:rowOff>11954</xdr:rowOff>
    </xdr:from>
    <xdr:to>
      <xdr:col>10</xdr:col>
      <xdr:colOff>493059</xdr:colOff>
      <xdr:row>8</xdr:row>
      <xdr:rowOff>307789</xdr:rowOff>
    </xdr:to>
    <xdr:sp macro="" textlink="">
      <xdr:nvSpPr>
        <xdr:cNvPr id="6" name="円/楕円 9">
          <a:extLst>
            <a:ext uri="{FF2B5EF4-FFF2-40B4-BE49-F238E27FC236}">
              <a16:creationId xmlns:a16="http://schemas.microsoft.com/office/drawing/2014/main" id="{4C01F30A-D263-4A4E-B2B6-615033849FE0}"/>
            </a:ext>
          </a:extLst>
        </xdr:cNvPr>
        <xdr:cNvSpPr/>
      </xdr:nvSpPr>
      <xdr:spPr>
        <a:xfrm>
          <a:off x="4467226" y="2374154"/>
          <a:ext cx="493058" cy="295835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328706</xdr:colOff>
          <xdr:row>0</xdr:row>
          <xdr:rowOff>52294</xdr:rowOff>
        </xdr:from>
        <xdr:to>
          <xdr:col>17</xdr:col>
          <xdr:colOff>484468</xdr:colOff>
          <xdr:row>3</xdr:row>
          <xdr:rowOff>58644</xdr:rowOff>
        </xdr:to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79B1A2F5-6968-4779-8693-06B390A8FDA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Z$1:$AA$3" spid="_x0000_s466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986681" y="52294"/>
              <a:ext cx="1784536" cy="10541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12</xdr:col>
      <xdr:colOff>219075</xdr:colOff>
      <xdr:row>25</xdr:row>
      <xdr:rowOff>76200</xdr:rowOff>
    </xdr:from>
    <xdr:to>
      <xdr:col>17</xdr:col>
      <xdr:colOff>420450</xdr:colOff>
      <xdr:row>32</xdr:row>
      <xdr:rowOff>123825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E3F41AF8-0608-4A60-8DDD-FCBED9CFF310}"/>
            </a:ext>
          </a:extLst>
        </xdr:cNvPr>
        <xdr:cNvGrpSpPr/>
      </xdr:nvGrpSpPr>
      <xdr:grpSpPr>
        <a:xfrm>
          <a:off x="5908675" y="5702300"/>
          <a:ext cx="3027125" cy="1425575"/>
          <a:chOff x="5676900" y="5924550"/>
          <a:chExt cx="2916000" cy="1447800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B5386271-CD21-4BC8-9D00-463B6FBF9CA7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76900" y="5924550"/>
            <a:ext cx="2916000" cy="1440000"/>
          </a:xfrm>
          <a:prstGeom prst="rect">
            <a:avLst/>
          </a:prstGeom>
          <a:ln w="25400">
            <a:solidFill>
              <a:schemeClr val="tx1"/>
            </a:solidFill>
          </a:ln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58579C3E-2990-402A-8AFC-0C396FE8F7D2}"/>
              </a:ext>
            </a:extLst>
          </xdr:cNvPr>
          <xdr:cNvSpPr txBox="1"/>
        </xdr:nvSpPr>
        <xdr:spPr>
          <a:xfrm>
            <a:off x="8353425" y="7153275"/>
            <a:ext cx="238124" cy="219075"/>
          </a:xfrm>
          <a:prstGeom prst="rect">
            <a:avLst/>
          </a:prstGeom>
          <a:solidFill>
            <a:schemeClr val="lt1"/>
          </a:solidFill>
          <a:ln w="254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2</a:t>
            </a:r>
          </a:p>
        </xdr:txBody>
      </xdr:sp>
    </xdr:grpSp>
    <xdr:clientData/>
  </xdr:twoCellAnchor>
  <xdr:twoCellAnchor>
    <xdr:from>
      <xdr:col>12</xdr:col>
      <xdr:colOff>201621</xdr:colOff>
      <xdr:row>15</xdr:row>
      <xdr:rowOff>47625</xdr:rowOff>
    </xdr:from>
    <xdr:to>
      <xdr:col>17</xdr:col>
      <xdr:colOff>402996</xdr:colOff>
      <xdr:row>22</xdr:row>
      <xdr:rowOff>87450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6818136-8106-4EF5-ADB4-1E15DB509030}"/>
            </a:ext>
          </a:extLst>
        </xdr:cNvPr>
        <xdr:cNvGrpSpPr/>
      </xdr:nvGrpSpPr>
      <xdr:grpSpPr>
        <a:xfrm>
          <a:off x="5891221" y="3838575"/>
          <a:ext cx="3027125" cy="1417775"/>
          <a:chOff x="5659446" y="3981450"/>
          <a:chExt cx="2916000" cy="144000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1C7AF1B4-3551-4F5D-BA61-10B10FEF6E41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659446" y="3981450"/>
            <a:ext cx="2916000" cy="1440000"/>
          </a:xfrm>
          <a:prstGeom prst="rect">
            <a:avLst/>
          </a:prstGeom>
          <a:ln w="25400">
            <a:solidFill>
              <a:schemeClr val="tx1"/>
            </a:solidFill>
          </a:ln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52DFA103-31B8-429C-A20F-5EAE18A4538D}"/>
              </a:ext>
            </a:extLst>
          </xdr:cNvPr>
          <xdr:cNvSpPr txBox="1"/>
        </xdr:nvSpPr>
        <xdr:spPr>
          <a:xfrm>
            <a:off x="8324850" y="5219700"/>
            <a:ext cx="247650" cy="200025"/>
          </a:xfrm>
          <a:prstGeom prst="rect">
            <a:avLst/>
          </a:prstGeom>
          <a:solidFill>
            <a:schemeClr val="lt1"/>
          </a:solidFill>
          <a:ln w="254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1</a:t>
            </a:r>
            <a:endParaRPr lang="en-US" sz="11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3</xdr:col>
      <xdr:colOff>76200</xdr:colOff>
      <xdr:row>35</xdr:row>
      <xdr:rowOff>66675</xdr:rowOff>
    </xdr:from>
    <xdr:to>
      <xdr:col>17</xdr:col>
      <xdr:colOff>409575</xdr:colOff>
      <xdr:row>44</xdr:row>
      <xdr:rowOff>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1A10B2CE-8D59-436F-B0A5-CFCA78488C44}"/>
            </a:ext>
          </a:extLst>
        </xdr:cNvPr>
        <xdr:cNvGrpSpPr/>
      </xdr:nvGrpSpPr>
      <xdr:grpSpPr>
        <a:xfrm>
          <a:off x="1181100" y="7559675"/>
          <a:ext cx="7743825" cy="1704975"/>
          <a:chOff x="1114425" y="7991475"/>
          <a:chExt cx="7448550" cy="173355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8CD62850-F4D9-4C99-9526-34687D617B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14425" y="7991475"/>
            <a:ext cx="7436822" cy="1485900"/>
          </a:xfrm>
          <a:prstGeom prst="rect">
            <a:avLst/>
          </a:prstGeom>
          <a:ln w="25400">
            <a:solidFill>
              <a:schemeClr val="tx1"/>
            </a:solidFill>
          </a:ln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5C1629D5-BA88-4D2D-BF55-88BA2D45F839}"/>
              </a:ext>
            </a:extLst>
          </xdr:cNvPr>
          <xdr:cNvSpPr txBox="1"/>
        </xdr:nvSpPr>
        <xdr:spPr>
          <a:xfrm>
            <a:off x="7705725" y="9477375"/>
            <a:ext cx="857250" cy="247650"/>
          </a:xfrm>
          <a:prstGeom prst="rect">
            <a:avLst/>
          </a:prstGeom>
          <a:solidFill>
            <a:schemeClr val="lt1"/>
          </a:solidFill>
          <a:ln w="254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Bảng 3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100852</xdr:colOff>
      <xdr:row>1</xdr:row>
      <xdr:rowOff>257175</xdr:rowOff>
    </xdr:from>
    <xdr:to>
      <xdr:col>24</xdr:col>
      <xdr:colOff>404532</xdr:colOff>
      <xdr:row>2</xdr:row>
      <xdr:rowOff>145677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DDEAB273-9437-45E0-8241-F226E869ACEA}"/>
            </a:ext>
          </a:extLst>
        </xdr:cNvPr>
        <xdr:cNvSpPr>
          <a:spLocks noChangeArrowheads="1"/>
        </xdr:cNvSpPr>
      </xdr:nvSpPr>
      <xdr:spPr bwMode="auto">
        <a:xfrm>
          <a:off x="12178552" y="476250"/>
          <a:ext cx="303680" cy="307602"/>
        </a:xfrm>
        <a:prstGeom prst="leftArrow">
          <a:avLst>
            <a:gd name="adj1" fmla="val 50000"/>
            <a:gd name="adj2" fmla="val 3088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365312</xdr:colOff>
      <xdr:row>92</xdr:row>
      <xdr:rowOff>117101</xdr:rowOff>
    </xdr:from>
    <xdr:to>
      <xdr:col>19</xdr:col>
      <xdr:colOff>347382</xdr:colOff>
      <xdr:row>92</xdr:row>
      <xdr:rowOff>134471</xdr:rowOff>
    </xdr:to>
    <xdr:sp macro="" textlink="">
      <xdr:nvSpPr>
        <xdr:cNvPr id="3" name="Line 67">
          <a:extLst>
            <a:ext uri="{FF2B5EF4-FFF2-40B4-BE49-F238E27FC236}">
              <a16:creationId xmlns:a16="http://schemas.microsoft.com/office/drawing/2014/main" id="{CE253F21-9322-4DDC-AA90-21BF54DF287A}"/>
            </a:ext>
          </a:extLst>
        </xdr:cNvPr>
        <xdr:cNvSpPr>
          <a:spLocks noChangeShapeType="1"/>
        </xdr:cNvSpPr>
      </xdr:nvSpPr>
      <xdr:spPr bwMode="auto">
        <a:xfrm>
          <a:off x="4175312" y="13204451"/>
          <a:ext cx="4782670" cy="1737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471581</xdr:colOff>
          <xdr:row>7</xdr:row>
          <xdr:rowOff>204694</xdr:rowOff>
        </xdr:from>
        <xdr:to>
          <xdr:col>23</xdr:col>
          <xdr:colOff>814481</xdr:colOff>
          <xdr:row>11</xdr:row>
          <xdr:rowOff>290419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9E1F555B-DDE8-46A1-8680-9EB8F186B71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Z$1:$AA$3" spid="_x0000_s2820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0977656" y="2481169"/>
              <a:ext cx="1771650" cy="10477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410931</xdr:colOff>
          <xdr:row>0</xdr:row>
          <xdr:rowOff>132603</xdr:rowOff>
        </xdr:from>
        <xdr:to>
          <xdr:col>17</xdr:col>
          <xdr:colOff>597648</xdr:colOff>
          <xdr:row>3</xdr:row>
          <xdr:rowOff>298823</xdr:rowOff>
        </xdr:to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A1803CF4-CC48-4DBE-83E9-516756B388B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1:$AA$3" spid="_x0000_s28210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6701166" y="132603"/>
              <a:ext cx="3817423" cy="120463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15</xdr:col>
      <xdr:colOff>100666</xdr:colOff>
      <xdr:row>8</xdr:row>
      <xdr:rowOff>19052</xdr:rowOff>
    </xdr:from>
    <xdr:to>
      <xdr:col>15</xdr:col>
      <xdr:colOff>500716</xdr:colOff>
      <xdr:row>8</xdr:row>
      <xdr:rowOff>304802</xdr:rowOff>
    </xdr:to>
    <xdr:sp macro="" textlink="">
      <xdr:nvSpPr>
        <xdr:cNvPr id="25" name="円/楕円 9">
          <a:extLst>
            <a:ext uri="{FF2B5EF4-FFF2-40B4-BE49-F238E27FC236}">
              <a16:creationId xmlns:a16="http://schemas.microsoft.com/office/drawing/2014/main" id="{9F9658AD-89F7-4C9C-BBAA-E41D63758AB9}"/>
            </a:ext>
          </a:extLst>
        </xdr:cNvPr>
        <xdr:cNvSpPr/>
      </xdr:nvSpPr>
      <xdr:spPr>
        <a:xfrm>
          <a:off x="8811372" y="2551581"/>
          <a:ext cx="400050" cy="285750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156882</xdr:colOff>
      <xdr:row>1</xdr:row>
      <xdr:rowOff>164352</xdr:rowOff>
    </xdr:from>
    <xdr:to>
      <xdr:col>17</xdr:col>
      <xdr:colOff>560294</xdr:colOff>
      <xdr:row>3</xdr:row>
      <xdr:rowOff>261470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ED41A15-C72B-4B18-BEE0-ED274FA48E9A}"/>
            </a:ext>
          </a:extLst>
        </xdr:cNvPr>
        <xdr:cNvGrpSpPr>
          <a:grpSpLocks/>
        </xdr:cNvGrpSpPr>
      </xdr:nvGrpSpPr>
      <xdr:grpSpPr bwMode="auto">
        <a:xfrm>
          <a:off x="9453282" y="380252"/>
          <a:ext cx="1006662" cy="922618"/>
          <a:chOff x="676275" y="409575"/>
          <a:chExt cx="742950" cy="666750"/>
        </a:xfrm>
      </xdr:grpSpPr>
      <xdr:grpSp>
        <xdr:nvGrpSpPr>
          <xdr:cNvPr id="26" name="Group 386">
            <a:extLst>
              <a:ext uri="{FF2B5EF4-FFF2-40B4-BE49-F238E27FC236}">
                <a16:creationId xmlns:a16="http://schemas.microsoft.com/office/drawing/2014/main" id="{76A7B2C2-7DC4-8C25-F791-55EC62A61DD2}"/>
              </a:ext>
            </a:extLst>
          </xdr:cNvPr>
          <xdr:cNvGrpSpPr>
            <a:grpSpLocks/>
          </xdr:cNvGrpSpPr>
        </xdr:nvGrpSpPr>
        <xdr:grpSpPr bwMode="auto">
          <a:xfrm>
            <a:off x="676275" y="409575"/>
            <a:ext cx="742950" cy="666750"/>
            <a:chOff x="573" y="388"/>
            <a:chExt cx="78" cy="70"/>
          </a:xfrm>
        </xdr:grpSpPr>
        <xdr:grpSp>
          <xdr:nvGrpSpPr>
            <xdr:cNvPr id="28" name="Group 387">
              <a:extLst>
                <a:ext uri="{FF2B5EF4-FFF2-40B4-BE49-F238E27FC236}">
                  <a16:creationId xmlns:a16="http://schemas.microsoft.com/office/drawing/2014/main" id="{B86DDFF7-ACAD-04A7-FAE7-046B5E752FF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76" y="388"/>
              <a:ext cx="73" cy="70"/>
              <a:chOff x="472" y="220"/>
              <a:chExt cx="73" cy="70"/>
            </a:xfrm>
          </xdr:grpSpPr>
          <xdr:sp macro="" textlink="">
            <xdr:nvSpPr>
              <xdr:cNvPr id="30" name="Oval 388">
                <a:extLst>
                  <a:ext uri="{FF2B5EF4-FFF2-40B4-BE49-F238E27FC236}">
                    <a16:creationId xmlns:a16="http://schemas.microsoft.com/office/drawing/2014/main" id="{6ABC0A19-9EEC-D2C2-F67F-9742571DA37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2" y="220"/>
                <a:ext cx="73" cy="7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1" name="Line 389">
                <a:extLst>
                  <a:ext uri="{FF2B5EF4-FFF2-40B4-BE49-F238E27FC236}">
                    <a16:creationId xmlns:a16="http://schemas.microsoft.com/office/drawing/2014/main" id="{21BBEA2E-E7BF-ADA7-3675-443455A1723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4" y="244"/>
                <a:ext cx="69" cy="0"/>
              </a:xfrm>
              <a:prstGeom prst="lin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" name="Line 390">
                <a:extLst>
                  <a:ext uri="{FF2B5EF4-FFF2-40B4-BE49-F238E27FC236}">
                    <a16:creationId xmlns:a16="http://schemas.microsoft.com/office/drawing/2014/main" id="{093645E7-C9C9-CE8D-A267-95A9292C75D4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5" y="267"/>
                <a:ext cx="68" cy="0"/>
              </a:xfrm>
              <a:prstGeom prst="lin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" name="Rectangle 391">
                <a:extLst>
                  <a:ext uri="{FF2B5EF4-FFF2-40B4-BE49-F238E27FC236}">
                    <a16:creationId xmlns:a16="http://schemas.microsoft.com/office/drawing/2014/main" id="{0E73D95C-9772-7A3F-C59A-4E9084DBD3AD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2" y="224"/>
                <a:ext cx="55" cy="2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  <xdr:txBody>
              <a:bodyPr vertOverflow="clip" wrap="square" lIns="27432" tIns="18288" rIns="27432" bIns="0" anchor="ctr" upright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kumimoji="0" lang="en-US" altLang="ja-JP" sz="7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ＤＨＰ平成明朝体W3"/>
                  </a:rPr>
                  <a:t>Production Dept</a:t>
                </a:r>
                <a:endParaRPr kumimoji="0" lang="ja-JP" altLang="en-US" sz="7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ＤＨＰ平成明朝体W3"/>
                </a:endParaRPr>
              </a:p>
            </xdr:txBody>
          </xdr:sp>
          <xdr:sp macro="" textlink="">
            <xdr:nvSpPr>
              <xdr:cNvPr id="34" name="Rectangle 392">
                <a:extLst>
                  <a:ext uri="{FF2B5EF4-FFF2-40B4-BE49-F238E27FC236}">
                    <a16:creationId xmlns:a16="http://schemas.microsoft.com/office/drawing/2014/main" id="{E03D7841-6069-1295-F747-F494B22E690B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1" y="266"/>
                <a:ext cx="55" cy="21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  <xdr:txBody>
              <a:bodyPr vertOverflow="clip" wrap="square" lIns="27432" tIns="18288" rIns="27432" bIns="0" anchor="t" upright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endParaRPr kumimoji="0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ＤＨＰ平成明朝体W3"/>
                </a:endParaRPr>
              </a:p>
            </xdr:txBody>
          </xdr:sp>
        </xdr:grpSp>
        <xdr:sp macro="" textlink="">
          <xdr:nvSpPr>
            <xdr:cNvPr id="29" name="Rectangle 393">
              <a:extLst>
                <a:ext uri="{FF2B5EF4-FFF2-40B4-BE49-F238E27FC236}">
                  <a16:creationId xmlns:a16="http://schemas.microsoft.com/office/drawing/2014/main" id="{575F6FA3-EC24-6B61-1FE2-7558710A072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413"/>
              <a:ext cx="78" cy="2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kumimoji="0" lang="en-US" altLang="ja-JP" sz="9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 panose="020B0604020202020204" pitchFamily="34" charset="0"/>
                  <a:ea typeface="ＭＳ Ｐゴシック"/>
                  <a:cs typeface="Arial" panose="020B0604020202020204" pitchFamily="34" charset="0"/>
                </a:rPr>
                <a:t>01 Mar 2024</a:t>
              </a:r>
            </a:p>
          </xdr:txBody>
        </xdr:sp>
      </xdr:grpSp>
      <xdr:sp macro="" textlink="">
        <xdr:nvSpPr>
          <xdr:cNvPr id="27" name="Rectangle 391">
            <a:extLst>
              <a:ext uri="{FF2B5EF4-FFF2-40B4-BE49-F238E27FC236}">
                <a16:creationId xmlns:a16="http://schemas.microsoft.com/office/drawing/2014/main" id="{86022F9C-A110-6EF4-E56B-F03567D1684D}"/>
              </a:ext>
            </a:extLst>
          </xdr:cNvPr>
          <xdr:cNvSpPr>
            <a:spLocks noChangeArrowheads="1"/>
          </xdr:cNvSpPr>
        </xdr:nvSpPr>
        <xdr:spPr bwMode="auto">
          <a:xfrm>
            <a:off x="768350" y="847908"/>
            <a:ext cx="561975" cy="18097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27432" bIns="0" anchor="ctr" upright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r>
              <a:rPr kumimoji="0" lang="en-US" altLang="ja-JP" sz="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N.H.Đăng</a:t>
            </a:r>
            <a:endParaRPr kumimoji="0" lang="ja-JP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12</xdr:col>
      <xdr:colOff>89647</xdr:colOff>
      <xdr:row>13</xdr:row>
      <xdr:rowOff>44824</xdr:rowOff>
    </xdr:from>
    <xdr:to>
      <xdr:col>17</xdr:col>
      <xdr:colOff>537882</xdr:colOff>
      <xdr:row>21</xdr:row>
      <xdr:rowOff>141941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6224D4-FD74-4A65-8ED1-7D56FDE43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5000" y="3996765"/>
          <a:ext cx="3473823" cy="171076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19050</xdr:colOff>
      <xdr:row>41</xdr:row>
      <xdr:rowOff>30067</xdr:rowOff>
    </xdr:from>
    <xdr:to>
      <xdr:col>17</xdr:col>
      <xdr:colOff>552450</xdr:colOff>
      <xdr:row>47</xdr:row>
      <xdr:rowOff>164353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2B73243F-210A-CA3E-9858-B915472C80E4}"/>
            </a:ext>
          </a:extLst>
        </xdr:cNvPr>
        <xdr:cNvGrpSpPr/>
      </xdr:nvGrpSpPr>
      <xdr:grpSpPr>
        <a:xfrm>
          <a:off x="1422400" y="9536017"/>
          <a:ext cx="9029700" cy="1182036"/>
          <a:chOff x="1390650" y="3953246"/>
          <a:chExt cx="9075116" cy="1196604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AAFC3ABB-9506-AB4F-A555-378B449A0C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949292" y="3953246"/>
            <a:ext cx="2516474" cy="1190254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grpSp>
            <xdr:nvGrpSpPr>
              <xdr:cNvPr id="63" name="Group 62">
                <a:extLst>
                  <a:ext uri="{FF2B5EF4-FFF2-40B4-BE49-F238E27FC236}">
                    <a16:creationId xmlns:a16="http://schemas.microsoft.com/office/drawing/2014/main" id="{D64BEBC1-B366-9153-D5FB-955C944DC077}"/>
                  </a:ext>
                </a:extLst>
              </xdr:cNvPr>
              <xdr:cNvGrpSpPr/>
            </xdr:nvGrpSpPr>
            <xdr:grpSpPr>
              <a:xfrm>
                <a:off x="1390650" y="3962400"/>
                <a:ext cx="6521450" cy="1187450"/>
                <a:chOff x="1454150" y="5581650"/>
                <a:chExt cx="6521450" cy="1187450"/>
              </a:xfrm>
            </xdr:grpSpPr>
            <xdr:pic>
              <xdr:nvPicPr>
                <xdr:cNvPr id="61" name="Picture 60">
                  <a:extLst>
                    <a:ext uri="{FF2B5EF4-FFF2-40B4-BE49-F238E27FC236}">
                      <a16:creationId xmlns:a16="http://schemas.microsoft.com/office/drawing/2014/main" id="{8035E238-08C2-8C31-7F7B-CEC8BF116324}"/>
                    </a:ext>
                  </a:extLst>
                </xdr:cNvPr>
                <xdr:cNvPicPr>
                  <a:picLocks noChangeAspect="1" noChangeArrowheads="1"/>
                  <a:extLst>
                    <a:ext uri="{84589F7E-364E-4C9E-8A38-B11213B215E9}">
                      <a14:cameraTool cellRange="'Time line of Heating Case '!$A$10:$BB$14" spid="_x0000_s28211"/>
                    </a:ext>
                  </a:extLst>
                </xdr:cNvPicPr>
              </xdr:nvPicPr>
              <xdr:blipFill>
                <a:blip xmlns:r="http://schemas.openxmlformats.org/officeDocument/2006/relationships" r:embed="rId5"/>
                <a:srcRect/>
                <a:stretch>
                  <a:fillRect/>
                </a:stretch>
              </xdr:blipFill>
              <xdr:spPr bwMode="auto">
                <a:xfrm>
                  <a:off x="1460500" y="5892800"/>
                  <a:ext cx="6515100" cy="876300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pic>
              <xdr:nvPicPr>
                <xdr:cNvPr id="62" name="Picture 61">
                  <a:extLst>
                    <a:ext uri="{FF2B5EF4-FFF2-40B4-BE49-F238E27FC236}">
                      <a16:creationId xmlns:a16="http://schemas.microsoft.com/office/drawing/2014/main" id="{A16F1659-4079-42C5-862C-9FF1FC1A6BFC}"/>
                    </a:ext>
                  </a:extLst>
                </xdr:cNvPr>
                <xdr:cNvPicPr>
                  <a:picLocks noChangeAspect="1" noChangeArrowheads="1"/>
                  <a:extLst>
                    <a:ext uri="{84589F7E-364E-4C9E-8A38-B11213B215E9}">
                      <a14:cameraTool cellRange="'Time line of Heating Case '!$A$1:$BB$2" spid="_x0000_s28212"/>
                    </a:ext>
                  </a:extLst>
                </xdr:cNvPicPr>
              </xdr:nvPicPr>
              <xdr:blipFill>
                <a:blip xmlns:r="http://schemas.openxmlformats.org/officeDocument/2006/relationships" r:embed="rId6"/>
                <a:srcRect/>
                <a:stretch>
                  <a:fillRect/>
                </a:stretch>
              </xdr:blipFill>
              <xdr:spPr bwMode="auto">
                <a:xfrm>
                  <a:off x="1454150" y="5581650"/>
                  <a:ext cx="6521450" cy="311149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>
                      <a:solidFill>
                        <a:srgbClr val="FFFFFF"/>
                      </a:solidFill>
                    </a14:hiddenFill>
                  </a:ext>
                </a:extLst>
              </xdr:spPr>
            </xdr:pic>
          </xdr:grpSp>
        </mc:Choice>
        <mc:Fallback/>
      </mc:AlternateContent>
    </xdr:grpSp>
    <xdr:clientData/>
  </xdr:twoCellAnchor>
  <xdr:twoCellAnchor>
    <xdr:from>
      <xdr:col>3</xdr:col>
      <xdr:colOff>976</xdr:colOff>
      <xdr:row>22</xdr:row>
      <xdr:rowOff>52913</xdr:rowOff>
    </xdr:from>
    <xdr:to>
      <xdr:col>17</xdr:col>
      <xdr:colOff>557176</xdr:colOff>
      <xdr:row>28</xdr:row>
      <xdr:rowOff>0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801D530D-A46E-A4E3-040E-6452841BF4E2}"/>
            </a:ext>
          </a:extLst>
        </xdr:cNvPr>
        <xdr:cNvGrpSpPr/>
      </xdr:nvGrpSpPr>
      <xdr:grpSpPr>
        <a:xfrm>
          <a:off x="1480526" y="5831413"/>
          <a:ext cx="8976300" cy="1166287"/>
          <a:chOff x="1498600" y="8026400"/>
          <a:chExt cx="8978900" cy="1164854"/>
        </a:xfrm>
      </xdr:grpSpPr>
      <mc:AlternateContent xmlns:mc="http://schemas.openxmlformats.org/markup-compatibility/2006">
        <mc:Choice xmlns:a14="http://schemas.microsoft.com/office/drawing/2010/main" Requires="a14">
          <xdr:grpSp>
            <xdr:nvGrpSpPr>
              <xdr:cNvPr id="47" name="Group 46">
                <a:extLst>
                  <a:ext uri="{FF2B5EF4-FFF2-40B4-BE49-F238E27FC236}">
                    <a16:creationId xmlns:a16="http://schemas.microsoft.com/office/drawing/2014/main" id="{3CBB2FDE-7793-C246-49EA-5A9168ED6B0F}"/>
                  </a:ext>
                </a:extLst>
              </xdr:cNvPr>
              <xdr:cNvGrpSpPr/>
            </xdr:nvGrpSpPr>
            <xdr:grpSpPr>
              <a:xfrm>
                <a:off x="1498600" y="8026400"/>
                <a:ext cx="6521450" cy="1162050"/>
                <a:chOff x="1454150" y="4025900"/>
                <a:chExt cx="6521450" cy="1162050"/>
              </a:xfrm>
            </xdr:grpSpPr>
            <xdr:pic>
              <xdr:nvPicPr>
                <xdr:cNvPr id="37" name="Picture 36">
                  <a:extLst>
                    <a:ext uri="{FF2B5EF4-FFF2-40B4-BE49-F238E27FC236}">
                      <a16:creationId xmlns:a16="http://schemas.microsoft.com/office/drawing/2014/main" id="{6AC16C6D-1B0E-D08A-3540-8CCFD33D9053}"/>
                    </a:ext>
                  </a:extLst>
                </xdr:cNvPr>
                <xdr:cNvPicPr>
                  <a:picLocks noChangeAspect="1" noChangeArrowheads="1"/>
                  <a:extLst>
                    <a:ext uri="{84589F7E-364E-4C9E-8A38-B11213B215E9}">
                      <a14:cameraTool cellRange="'Time line of Heating Case '!$A$1:$BB$2" spid="_x0000_s28213"/>
                    </a:ext>
                  </a:extLst>
                </xdr:cNvPicPr>
              </xdr:nvPicPr>
              <xdr:blipFill>
                <a:blip xmlns:r="http://schemas.openxmlformats.org/officeDocument/2006/relationships" r:embed="rId7"/>
                <a:srcRect/>
                <a:stretch>
                  <a:fillRect/>
                </a:stretch>
              </xdr:blipFill>
              <xdr:spPr bwMode="auto">
                <a:xfrm>
                  <a:off x="1454150" y="4025900"/>
                  <a:ext cx="6521450" cy="311149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pic>
              <xdr:nvPicPr>
                <xdr:cNvPr id="46" name="Picture 45">
                  <a:extLst>
                    <a:ext uri="{FF2B5EF4-FFF2-40B4-BE49-F238E27FC236}">
                      <a16:creationId xmlns:a16="http://schemas.microsoft.com/office/drawing/2014/main" id="{FB5F1C5A-0FE1-99C2-3348-A27D73BEFE48}"/>
                    </a:ext>
                  </a:extLst>
                </xdr:cNvPr>
                <xdr:cNvPicPr>
                  <a:picLocks noChangeAspect="1" noChangeArrowheads="1"/>
                  <a:extLst>
                    <a:ext uri="{84589F7E-364E-4C9E-8A38-B11213B215E9}">
                      <a14:cameraTool cellRange="'Time line of Heating Case '!$A$4:$BB$8" spid="_x0000_s28214"/>
                    </a:ext>
                  </a:extLst>
                </xdr:cNvPicPr>
              </xdr:nvPicPr>
              <xdr:blipFill>
                <a:blip xmlns:r="http://schemas.openxmlformats.org/officeDocument/2006/relationships" r:embed="rId8"/>
                <a:srcRect/>
                <a:stretch>
                  <a:fillRect/>
                </a:stretch>
              </xdr:blipFill>
              <xdr:spPr bwMode="auto">
                <a:xfrm>
                  <a:off x="1454150" y="4343401"/>
                  <a:ext cx="6521450" cy="844549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>
                      <a:solidFill>
                        <a:srgbClr val="FFFFFF"/>
                      </a:solidFill>
                    </a14:hiddenFill>
                  </a:ext>
                </a:extLst>
              </xdr:spPr>
            </xdr:pic>
          </xdr:grpSp>
        </mc:Choice>
        <mc:Fallback/>
      </mc:AlternateContent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69CA9FB6-6C56-4FD0-B940-6DA2F39E83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057815" y="8032750"/>
            <a:ext cx="2419685" cy="1158504"/>
          </a:xfrm>
          <a:prstGeom prst="rect">
            <a:avLst/>
          </a:prstGeom>
        </xdr:spPr>
      </xdr:pic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74703</xdr:colOff>
          <xdr:row>32</xdr:row>
          <xdr:rowOff>59766</xdr:rowOff>
        </xdr:from>
        <xdr:to>
          <xdr:col>17</xdr:col>
          <xdr:colOff>522940</xdr:colOff>
          <xdr:row>40</xdr:row>
          <xdr:rowOff>89646</xdr:rowOff>
        </xdr:to>
        <xdr:pic>
          <xdr:nvPicPr>
            <xdr:cNvPr id="72" name="Picture 71">
              <a:extLst>
                <a:ext uri="{FF2B5EF4-FFF2-40B4-BE49-F238E27FC236}">
                  <a16:creationId xmlns:a16="http://schemas.microsoft.com/office/drawing/2014/main" id="{20FEC77C-8A2A-9A28-F42F-A014C4BAA9B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Data!$A$2:$O$10" spid="_x0000_s28215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1479174" y="8606119"/>
              <a:ext cx="8964707" cy="158376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59768</xdr:colOff>
          <xdr:row>51</xdr:row>
          <xdr:rowOff>59777</xdr:rowOff>
        </xdr:from>
        <xdr:to>
          <xdr:col>17</xdr:col>
          <xdr:colOff>530415</xdr:colOff>
          <xdr:row>59</xdr:row>
          <xdr:rowOff>149412</xdr:rowOff>
        </xdr:to>
        <xdr:grpSp>
          <xdr:nvGrpSpPr>
            <xdr:cNvPr id="76" name="Group 75">
              <a:extLst>
                <a:ext uri="{FF2B5EF4-FFF2-40B4-BE49-F238E27FC236}">
                  <a16:creationId xmlns:a16="http://schemas.microsoft.com/office/drawing/2014/main" id="{2F20E7BA-EDB3-3C57-BDB8-C03990FB791D}"/>
                </a:ext>
              </a:extLst>
            </xdr:cNvPr>
            <xdr:cNvGrpSpPr/>
          </xdr:nvGrpSpPr>
          <xdr:grpSpPr>
            <a:xfrm>
              <a:off x="1463118" y="11400877"/>
              <a:ext cx="8966947" cy="1632685"/>
              <a:chOff x="0" y="10966823"/>
              <a:chExt cx="13665574" cy="2582583"/>
            </a:xfrm>
          </xdr:grpSpPr>
          <xdr:pic>
            <xdr:nvPicPr>
              <xdr:cNvPr id="73" name="Picture 72">
                <a:extLst>
                  <a:ext uri="{FF2B5EF4-FFF2-40B4-BE49-F238E27FC236}">
                    <a16:creationId xmlns:a16="http://schemas.microsoft.com/office/drawing/2014/main" id="{305E7F5E-7C7D-5512-2779-156FB047C83A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Data!$C$2:$O$5" spid="_x0000_s28216"/>
                  </a:ext>
                </a:extLst>
              </xdr:cNvPicPr>
            </xdr:nvPicPr>
            <xdr:blipFill>
              <a:blip xmlns:r="http://schemas.openxmlformats.org/officeDocument/2006/relationships" r:embed="rId10"/>
              <a:srcRect/>
              <a:stretch>
                <a:fillRect/>
              </a:stretch>
            </xdr:blipFill>
            <xdr:spPr bwMode="auto">
              <a:xfrm>
                <a:off x="1785471" y="10966823"/>
                <a:ext cx="11877489" cy="1588621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74" name="Picture 73">
                <a:extLst>
                  <a:ext uri="{FF2B5EF4-FFF2-40B4-BE49-F238E27FC236}">
                    <a16:creationId xmlns:a16="http://schemas.microsoft.com/office/drawing/2014/main" id="{3458055F-8DAC-EBF2-4B38-8F42C13CF10E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Data!$A$11:$O$15" spid="_x0000_s28217"/>
                  </a:ext>
                </a:extLst>
              </xdr:cNvPicPr>
            </xdr:nvPicPr>
            <xdr:blipFill>
              <a:blip xmlns:r="http://schemas.openxmlformats.org/officeDocument/2006/relationships" r:embed="rId11"/>
              <a:srcRect/>
              <a:stretch>
                <a:fillRect/>
              </a:stretch>
            </xdr:blipFill>
            <xdr:spPr bwMode="auto">
              <a:xfrm>
                <a:off x="0" y="12565529"/>
                <a:ext cx="13665574" cy="983877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29882</xdr:colOff>
          <xdr:row>61</xdr:row>
          <xdr:rowOff>44824</xdr:rowOff>
        </xdr:from>
        <xdr:to>
          <xdr:col>17</xdr:col>
          <xdr:colOff>425823</xdr:colOff>
          <xdr:row>68</xdr:row>
          <xdr:rowOff>291353</xdr:rowOff>
        </xdr:to>
        <xdr:pic>
          <xdr:nvPicPr>
            <xdr:cNvPr id="77" name="Picture 76">
              <a:extLst>
                <a:ext uri="{FF2B5EF4-FFF2-40B4-BE49-F238E27FC236}">
                  <a16:creationId xmlns:a16="http://schemas.microsoft.com/office/drawing/2014/main" id="{5410C55A-4ECE-5C86-4FB0-FEB9879783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Data!$Q$3:$AB$15" spid="_x0000_s28218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1509058" y="13081000"/>
              <a:ext cx="8837706" cy="183776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14</xdr:col>
      <xdr:colOff>283883</xdr:colOff>
      <xdr:row>1</xdr:row>
      <xdr:rowOff>194235</xdr:rowOff>
    </xdr:from>
    <xdr:to>
      <xdr:col>16</xdr:col>
      <xdr:colOff>82176</xdr:colOff>
      <xdr:row>3</xdr:row>
      <xdr:rowOff>291353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059A36F-3A86-60F4-7497-4C2D37BB8240}"/>
            </a:ext>
          </a:extLst>
        </xdr:cNvPr>
        <xdr:cNvGrpSpPr>
          <a:grpSpLocks/>
        </xdr:cNvGrpSpPr>
      </xdr:nvGrpSpPr>
      <xdr:grpSpPr bwMode="auto">
        <a:xfrm>
          <a:off x="8373783" y="410135"/>
          <a:ext cx="1004793" cy="922618"/>
          <a:chOff x="676275" y="409575"/>
          <a:chExt cx="742950" cy="666750"/>
        </a:xfrm>
      </xdr:grpSpPr>
      <xdr:grpSp>
        <xdr:nvGrpSpPr>
          <xdr:cNvPr id="21" name="Group 386">
            <a:extLst>
              <a:ext uri="{FF2B5EF4-FFF2-40B4-BE49-F238E27FC236}">
                <a16:creationId xmlns:a16="http://schemas.microsoft.com/office/drawing/2014/main" id="{F23B8496-3F31-16FC-37D6-D63B4E63EDFB}"/>
              </a:ext>
            </a:extLst>
          </xdr:cNvPr>
          <xdr:cNvGrpSpPr>
            <a:grpSpLocks/>
          </xdr:cNvGrpSpPr>
        </xdr:nvGrpSpPr>
        <xdr:grpSpPr bwMode="auto">
          <a:xfrm>
            <a:off x="676275" y="409575"/>
            <a:ext cx="742950" cy="666750"/>
            <a:chOff x="573" y="388"/>
            <a:chExt cx="78" cy="70"/>
          </a:xfrm>
        </xdr:grpSpPr>
        <xdr:grpSp>
          <xdr:nvGrpSpPr>
            <xdr:cNvPr id="36" name="Group 387">
              <a:extLst>
                <a:ext uri="{FF2B5EF4-FFF2-40B4-BE49-F238E27FC236}">
                  <a16:creationId xmlns:a16="http://schemas.microsoft.com/office/drawing/2014/main" id="{67DAF1F7-F700-6993-82D0-10A5CC612FC5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76" y="388"/>
              <a:ext cx="73" cy="70"/>
              <a:chOff x="472" y="220"/>
              <a:chExt cx="73" cy="70"/>
            </a:xfrm>
          </xdr:grpSpPr>
          <xdr:sp macro="" textlink="">
            <xdr:nvSpPr>
              <xdr:cNvPr id="39" name="Oval 388">
                <a:extLst>
                  <a:ext uri="{FF2B5EF4-FFF2-40B4-BE49-F238E27FC236}">
                    <a16:creationId xmlns:a16="http://schemas.microsoft.com/office/drawing/2014/main" id="{FD564103-7689-AAB0-10C0-7E0CC2FBA03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2" y="220"/>
                <a:ext cx="73" cy="7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0" name="Line 389">
                <a:extLst>
                  <a:ext uri="{FF2B5EF4-FFF2-40B4-BE49-F238E27FC236}">
                    <a16:creationId xmlns:a16="http://schemas.microsoft.com/office/drawing/2014/main" id="{3F27B8A2-0767-31FC-FC78-00EA90A98B89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4" y="244"/>
                <a:ext cx="69" cy="0"/>
              </a:xfrm>
              <a:prstGeom prst="lin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" name="Line 390">
                <a:extLst>
                  <a:ext uri="{FF2B5EF4-FFF2-40B4-BE49-F238E27FC236}">
                    <a16:creationId xmlns:a16="http://schemas.microsoft.com/office/drawing/2014/main" id="{C9601F39-2AC5-0DA0-2E27-EA407F0D0145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5" y="267"/>
                <a:ext cx="68" cy="0"/>
              </a:xfrm>
              <a:prstGeom prst="lin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" name="Rectangle 391">
                <a:extLst>
                  <a:ext uri="{FF2B5EF4-FFF2-40B4-BE49-F238E27FC236}">
                    <a16:creationId xmlns:a16="http://schemas.microsoft.com/office/drawing/2014/main" id="{5AA3F926-4D5B-B64D-C3DB-D985DB3B3288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2" y="224"/>
                <a:ext cx="55" cy="2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  <xdr:txBody>
              <a:bodyPr vertOverflow="clip" wrap="square" lIns="27432" tIns="18288" rIns="27432" bIns="0" anchor="ctr" upright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kumimoji="0" lang="en-US" altLang="ja-JP" sz="7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ＤＨＰ平成明朝体W3"/>
                  </a:rPr>
                  <a:t>Production Dept</a:t>
                </a:r>
                <a:endParaRPr kumimoji="0" lang="ja-JP" altLang="en-US" sz="7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ＤＨＰ平成明朝体W3"/>
                </a:endParaRPr>
              </a:p>
            </xdr:txBody>
          </xdr:sp>
          <xdr:sp macro="" textlink="">
            <xdr:nvSpPr>
              <xdr:cNvPr id="43" name="Rectangle 392">
                <a:extLst>
                  <a:ext uri="{FF2B5EF4-FFF2-40B4-BE49-F238E27FC236}">
                    <a16:creationId xmlns:a16="http://schemas.microsoft.com/office/drawing/2014/main" id="{66706BE2-28BC-8B7E-A6C4-0C557F133BA9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1" y="266"/>
                <a:ext cx="55" cy="21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  <xdr:txBody>
              <a:bodyPr vertOverflow="clip" wrap="square" lIns="27432" tIns="18288" rIns="27432" bIns="0" anchor="t" upright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endParaRPr kumimoji="0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ＤＨＰ平成明朝体W3"/>
                </a:endParaRPr>
              </a:p>
            </xdr:txBody>
          </xdr:sp>
        </xdr:grpSp>
        <xdr:sp macro="" textlink="">
          <xdr:nvSpPr>
            <xdr:cNvPr id="38" name="Rectangle 393">
              <a:extLst>
                <a:ext uri="{FF2B5EF4-FFF2-40B4-BE49-F238E27FC236}">
                  <a16:creationId xmlns:a16="http://schemas.microsoft.com/office/drawing/2014/main" id="{470E838F-1009-5617-87AD-72FBF58F9BB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413"/>
              <a:ext cx="78" cy="2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kumimoji="0" lang="en-US" altLang="ja-JP" sz="9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 panose="020B0604020202020204" pitchFamily="34" charset="0"/>
                  <a:ea typeface="ＭＳ Ｐゴシック"/>
                  <a:cs typeface="Arial" panose="020B0604020202020204" pitchFamily="34" charset="0"/>
                </a:rPr>
                <a:t>04 Mar 2024</a:t>
              </a:r>
            </a:p>
          </xdr:txBody>
        </xdr:sp>
      </xdr:grpSp>
      <xdr:sp macro="" textlink="">
        <xdr:nvSpPr>
          <xdr:cNvPr id="35" name="Rectangle 391">
            <a:extLst>
              <a:ext uri="{FF2B5EF4-FFF2-40B4-BE49-F238E27FC236}">
                <a16:creationId xmlns:a16="http://schemas.microsoft.com/office/drawing/2014/main" id="{A0C22C00-F300-89F1-51BC-2A0C49CF5606}"/>
              </a:ext>
            </a:extLst>
          </xdr:cNvPr>
          <xdr:cNvSpPr>
            <a:spLocks noChangeArrowheads="1"/>
          </xdr:cNvSpPr>
        </xdr:nvSpPr>
        <xdr:spPr bwMode="auto">
          <a:xfrm>
            <a:off x="768350" y="847908"/>
            <a:ext cx="561975" cy="18097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27432" bIns="0" anchor="ctr" upright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r>
              <a:rPr kumimoji="0" lang="en-US" altLang="ja-JP" sz="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N.X.Tuấn</a:t>
            </a:r>
            <a:endParaRPr kumimoji="0" lang="ja-JP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11</xdr:col>
      <xdr:colOff>418353</xdr:colOff>
      <xdr:row>1</xdr:row>
      <xdr:rowOff>156882</xdr:rowOff>
    </xdr:from>
    <xdr:to>
      <xdr:col>13</xdr:col>
      <xdr:colOff>216646</xdr:colOff>
      <xdr:row>3</xdr:row>
      <xdr:rowOff>254000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29D924D2-F98C-BF56-39E2-E3D50F42B87A}"/>
            </a:ext>
          </a:extLst>
        </xdr:cNvPr>
        <xdr:cNvGrpSpPr>
          <a:grpSpLocks/>
        </xdr:cNvGrpSpPr>
      </xdr:nvGrpSpPr>
      <xdr:grpSpPr bwMode="auto">
        <a:xfrm>
          <a:off x="6698503" y="372782"/>
          <a:ext cx="1004793" cy="922618"/>
          <a:chOff x="676275" y="409575"/>
          <a:chExt cx="742950" cy="666750"/>
        </a:xfrm>
      </xdr:grpSpPr>
      <xdr:grpSp>
        <xdr:nvGrpSpPr>
          <xdr:cNvPr id="45" name="Group 386">
            <a:extLst>
              <a:ext uri="{FF2B5EF4-FFF2-40B4-BE49-F238E27FC236}">
                <a16:creationId xmlns:a16="http://schemas.microsoft.com/office/drawing/2014/main" id="{0FF8C1A9-12BE-427C-3067-346AC629BA5A}"/>
              </a:ext>
            </a:extLst>
          </xdr:cNvPr>
          <xdr:cNvGrpSpPr>
            <a:grpSpLocks/>
          </xdr:cNvGrpSpPr>
        </xdr:nvGrpSpPr>
        <xdr:grpSpPr bwMode="auto">
          <a:xfrm>
            <a:off x="676275" y="409575"/>
            <a:ext cx="742950" cy="666750"/>
            <a:chOff x="573" y="388"/>
            <a:chExt cx="78" cy="70"/>
          </a:xfrm>
        </xdr:grpSpPr>
        <xdr:grpSp>
          <xdr:nvGrpSpPr>
            <xdr:cNvPr id="49" name="Group 387">
              <a:extLst>
                <a:ext uri="{FF2B5EF4-FFF2-40B4-BE49-F238E27FC236}">
                  <a16:creationId xmlns:a16="http://schemas.microsoft.com/office/drawing/2014/main" id="{7D9CFB7A-DC91-ED20-2390-8E08EEBC995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76" y="388"/>
              <a:ext cx="73" cy="70"/>
              <a:chOff x="472" y="220"/>
              <a:chExt cx="73" cy="70"/>
            </a:xfrm>
          </xdr:grpSpPr>
          <xdr:sp macro="" textlink="">
            <xdr:nvSpPr>
              <xdr:cNvPr id="51" name="Oval 388">
                <a:extLst>
                  <a:ext uri="{FF2B5EF4-FFF2-40B4-BE49-F238E27FC236}">
                    <a16:creationId xmlns:a16="http://schemas.microsoft.com/office/drawing/2014/main" id="{45970674-BF59-18B4-00EA-CA1978315A8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2" y="220"/>
                <a:ext cx="73" cy="7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2" name="Line 389">
                <a:extLst>
                  <a:ext uri="{FF2B5EF4-FFF2-40B4-BE49-F238E27FC236}">
                    <a16:creationId xmlns:a16="http://schemas.microsoft.com/office/drawing/2014/main" id="{BEEA6C17-409E-4A20-0A14-26A30E42EB17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4" y="244"/>
                <a:ext cx="69" cy="0"/>
              </a:xfrm>
              <a:prstGeom prst="lin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" name="Line 390">
                <a:extLst>
                  <a:ext uri="{FF2B5EF4-FFF2-40B4-BE49-F238E27FC236}">
                    <a16:creationId xmlns:a16="http://schemas.microsoft.com/office/drawing/2014/main" id="{5CF73D5A-2529-0897-E88B-9FE0C3CEC214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5" y="267"/>
                <a:ext cx="68" cy="0"/>
              </a:xfrm>
              <a:prstGeom prst="line">
                <a:avLst/>
              </a:prstGeom>
              <a:noFill/>
              <a:ln w="1905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Rectangle 391">
                <a:extLst>
                  <a:ext uri="{FF2B5EF4-FFF2-40B4-BE49-F238E27FC236}">
                    <a16:creationId xmlns:a16="http://schemas.microsoft.com/office/drawing/2014/main" id="{5B38DDF4-8F14-8180-F9EE-A904DB267CA6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2" y="224"/>
                <a:ext cx="55" cy="2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  <xdr:txBody>
              <a:bodyPr vertOverflow="clip" wrap="square" lIns="27432" tIns="18288" rIns="27432" bIns="0" anchor="ctr" upright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kumimoji="0" lang="en-US" altLang="ja-JP" sz="7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ＤＨＰ平成明朝体W3"/>
                  </a:rPr>
                  <a:t>Production Dept</a:t>
                </a:r>
                <a:endParaRPr kumimoji="0" lang="ja-JP" altLang="en-US" sz="7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ＤＨＰ平成明朝体W3"/>
                </a:endParaRPr>
              </a:p>
            </xdr:txBody>
          </xdr:sp>
          <xdr:sp macro="" textlink="">
            <xdr:nvSpPr>
              <xdr:cNvPr id="55" name="Rectangle 392">
                <a:extLst>
                  <a:ext uri="{FF2B5EF4-FFF2-40B4-BE49-F238E27FC236}">
                    <a16:creationId xmlns:a16="http://schemas.microsoft.com/office/drawing/2014/main" id="{B8FBA921-FC70-0C05-4A1A-BC3D402DE2A2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1" y="266"/>
                <a:ext cx="55" cy="21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  <xdr:txBody>
              <a:bodyPr vertOverflow="clip" wrap="square" lIns="27432" tIns="18288" rIns="27432" bIns="0" anchor="t" upright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endParaRPr kumimoji="0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ＤＨＰ平成明朝体W3"/>
                </a:endParaRPr>
              </a:p>
            </xdr:txBody>
          </xdr:sp>
        </xdr:grpSp>
        <xdr:sp macro="" textlink="">
          <xdr:nvSpPr>
            <xdr:cNvPr id="50" name="Rectangle 393">
              <a:extLst>
                <a:ext uri="{FF2B5EF4-FFF2-40B4-BE49-F238E27FC236}">
                  <a16:creationId xmlns:a16="http://schemas.microsoft.com/office/drawing/2014/main" id="{C033EB58-4A27-A2CC-62B2-B66B5E8D217B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413"/>
              <a:ext cx="78" cy="2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kumimoji="0" lang="en-US" altLang="ja-JP" sz="9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 panose="020B0604020202020204" pitchFamily="34" charset="0"/>
                  <a:ea typeface="ＭＳ Ｐゴシック"/>
                  <a:cs typeface="Arial" panose="020B0604020202020204" pitchFamily="34" charset="0"/>
                </a:rPr>
                <a:t>05 Mar 2024</a:t>
              </a:r>
            </a:p>
          </xdr:txBody>
        </xdr:sp>
      </xdr:grpSp>
      <xdr:sp macro="" textlink="">
        <xdr:nvSpPr>
          <xdr:cNvPr id="48" name="Rectangle 391">
            <a:extLst>
              <a:ext uri="{FF2B5EF4-FFF2-40B4-BE49-F238E27FC236}">
                <a16:creationId xmlns:a16="http://schemas.microsoft.com/office/drawing/2014/main" id="{ABCC5A62-EC2E-FD87-2F90-723D481229F8}"/>
              </a:ext>
            </a:extLst>
          </xdr:cNvPr>
          <xdr:cNvSpPr>
            <a:spLocks noChangeArrowheads="1"/>
          </xdr:cNvSpPr>
        </xdr:nvSpPr>
        <xdr:spPr bwMode="auto">
          <a:xfrm>
            <a:off x="768350" y="847908"/>
            <a:ext cx="561975" cy="18097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27432" bIns="0" anchor="ctr" upright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r>
              <a:rPr kumimoji="0" lang="en-US" altLang="ja-JP" sz="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M.Yamamori</a:t>
            </a:r>
            <a:endParaRPr kumimoji="0" lang="ja-JP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3</xdr:col>
      <xdr:colOff>25400</xdr:colOff>
      <xdr:row>69</xdr:row>
      <xdr:rowOff>44450</xdr:rowOff>
    </xdr:from>
    <xdr:to>
      <xdr:col>17</xdr:col>
      <xdr:colOff>457722</xdr:colOff>
      <xdr:row>73</xdr:row>
      <xdr:rowOff>164869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C751DEFF-7F98-8AE7-C349-88F81E2F72C2}"/>
            </a:ext>
          </a:extLst>
        </xdr:cNvPr>
        <xdr:cNvGrpSpPr/>
      </xdr:nvGrpSpPr>
      <xdr:grpSpPr>
        <a:xfrm>
          <a:off x="1504950" y="15074900"/>
          <a:ext cx="8852422" cy="1568219"/>
          <a:chOff x="1695450" y="16789400"/>
          <a:chExt cx="8852422" cy="1568219"/>
        </a:xfrm>
      </xdr:grpSpPr>
      <mc:AlternateContent xmlns:mc="http://schemas.openxmlformats.org/markup-compatibility/2006">
        <mc:Choice xmlns:a14="http://schemas.microsoft.com/office/drawing/2010/main" Requires="a14">
          <xdr:pic>
            <xdr:nvPicPr>
              <xdr:cNvPr id="16" name="Picture 15">
                <a:extLst>
                  <a:ext uri="{FF2B5EF4-FFF2-40B4-BE49-F238E27FC236}">
                    <a16:creationId xmlns:a16="http://schemas.microsoft.com/office/drawing/2014/main" id="{0617C5EF-287A-D0BA-CBF5-DF7FCAE77196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2024 Plan'!$A$1:$O$7" spid="_x0000_s28219"/>
                  </a:ext>
                </a:extLst>
              </xdr:cNvPicPr>
            </xdr:nvPicPr>
            <xdr:blipFill>
              <a:blip xmlns:r="http://schemas.openxmlformats.org/officeDocument/2006/relationships" r:embed="rId13"/>
              <a:srcRect/>
              <a:stretch>
                <a:fillRect/>
              </a:stretch>
            </xdr:blipFill>
            <xdr:spPr bwMode="auto">
              <a:xfrm>
                <a:off x="1695450" y="16789400"/>
                <a:ext cx="8851900" cy="1568219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46FA4AC4-394F-4997-BF51-B7D0D53B5F1C}"/>
              </a:ext>
            </a:extLst>
          </xdr:cNvPr>
          <xdr:cNvSpPr/>
        </xdr:nvSpPr>
        <xdr:spPr>
          <a:xfrm>
            <a:off x="9865543" y="17399000"/>
            <a:ext cx="165100" cy="146050"/>
          </a:xfrm>
          <a:prstGeom prst="rect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900" b="1">
                <a:solidFill>
                  <a:sysClr val="windowText" lastClr="000000"/>
                </a:solidFill>
              </a:rPr>
              <a:t>1</a:t>
            </a:r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6B8E9977-5FB9-43A4-979F-F49E72524A24}"/>
              </a:ext>
            </a:extLst>
          </xdr:cNvPr>
          <xdr:cNvSpPr/>
        </xdr:nvSpPr>
        <xdr:spPr>
          <a:xfrm>
            <a:off x="9864314" y="17608550"/>
            <a:ext cx="154858" cy="141014"/>
          </a:xfrm>
          <a:prstGeom prst="rect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900" b="1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4B0F629A-ED6B-439E-A83E-DEDD0EF9948C}"/>
              </a:ext>
            </a:extLst>
          </xdr:cNvPr>
          <xdr:cNvSpPr/>
        </xdr:nvSpPr>
        <xdr:spPr>
          <a:xfrm>
            <a:off x="9865543" y="17799051"/>
            <a:ext cx="139700" cy="139699"/>
          </a:xfrm>
          <a:prstGeom prst="rect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900" b="1">
                <a:solidFill>
                  <a:sysClr val="windowText" lastClr="000000"/>
                </a:solidFill>
              </a:rPr>
              <a:t>3</a:t>
            </a:r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14745483-AAFE-4A07-B53F-E151ED209C66}"/>
              </a:ext>
            </a:extLst>
          </xdr:cNvPr>
          <xdr:cNvSpPr/>
        </xdr:nvSpPr>
        <xdr:spPr>
          <a:xfrm>
            <a:off x="9861550" y="17995901"/>
            <a:ext cx="150044" cy="146050"/>
          </a:xfrm>
          <a:prstGeom prst="rect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900" b="1">
                <a:solidFill>
                  <a:sysClr val="windowText" lastClr="000000"/>
                </a:solidFill>
              </a:rPr>
              <a:t>4</a:t>
            </a:r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D7BAD8F4-3295-4FD6-BC8D-1208CAE01A12}"/>
              </a:ext>
            </a:extLst>
          </xdr:cNvPr>
          <xdr:cNvSpPr/>
        </xdr:nvSpPr>
        <xdr:spPr>
          <a:xfrm>
            <a:off x="9862368" y="18186400"/>
            <a:ext cx="149225" cy="139700"/>
          </a:xfrm>
          <a:prstGeom prst="rect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900" b="1">
                <a:solidFill>
                  <a:sysClr val="windowText" lastClr="000000"/>
                </a:solidFill>
              </a:rPr>
              <a:t>5</a:t>
            </a:r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A26003BC-76B4-44C0-85E7-913D72AB5EEB}"/>
              </a:ext>
            </a:extLst>
          </xdr:cNvPr>
          <xdr:cNvSpPr/>
        </xdr:nvSpPr>
        <xdr:spPr>
          <a:xfrm>
            <a:off x="9842500" y="17062450"/>
            <a:ext cx="705372" cy="12827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216646</xdr:colOff>
      <xdr:row>0</xdr:row>
      <xdr:rowOff>119530</xdr:rowOff>
    </xdr:from>
    <xdr:to>
      <xdr:col>12</xdr:col>
      <xdr:colOff>425822</xdr:colOff>
      <xdr:row>17</xdr:row>
      <xdr:rowOff>80121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5701AD-BC91-4FE2-A5F9-39B307998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0.01269</cdr:x>
      <cdr:y>0.02467</cdr:y>
    </cdr:from>
    <cdr:to>
      <cdr:x>0.16399</cdr:x>
      <cdr:y>0.08786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9F9E7C8-B7D1-3865-E39F-0C05C4C2C6D3}"/>
            </a:ext>
          </a:extLst>
        </cdr:cNvPr>
        <cdr:cNvSpPr txBox="1"/>
      </cdr:nvSpPr>
      <cdr:spPr>
        <a:xfrm xmlns:a="http://schemas.openxmlformats.org/drawingml/2006/main">
          <a:off x="84604" y="91890"/>
          <a:ext cx="1008530" cy="235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/>
            <a:t>Money (VND)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3</xdr:row>
      <xdr:rowOff>47627</xdr:rowOff>
    </xdr:from>
    <xdr:to>
      <xdr:col>19</xdr:col>
      <xdr:colOff>0</xdr:colOff>
      <xdr:row>3</xdr:row>
      <xdr:rowOff>242027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BA9EB11-5043-405D-A21D-3D27C99864C3}"/>
            </a:ext>
          </a:extLst>
        </xdr:cNvPr>
        <xdr:cNvSpPr/>
      </xdr:nvSpPr>
      <xdr:spPr>
        <a:xfrm>
          <a:off x="2863850" y="536577"/>
          <a:ext cx="2305050" cy="1944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209550</xdr:colOff>
      <xdr:row>4</xdr:row>
      <xdr:rowOff>9524</xdr:rowOff>
    </xdr:from>
    <xdr:to>
      <xdr:col>43</xdr:col>
      <xdr:colOff>1</xdr:colOff>
      <xdr:row>4</xdr:row>
      <xdr:rowOff>203924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F4741EBC-2AD8-42EB-81B4-31F8565C0DF1}"/>
            </a:ext>
          </a:extLst>
        </xdr:cNvPr>
        <xdr:cNvSpPr/>
      </xdr:nvSpPr>
      <xdr:spPr>
        <a:xfrm>
          <a:off x="6064250" y="752474"/>
          <a:ext cx="4591051" cy="1944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209550</xdr:colOff>
      <xdr:row>5</xdr:row>
      <xdr:rowOff>38100</xdr:rowOff>
    </xdr:from>
    <xdr:to>
      <xdr:col>18</xdr:col>
      <xdr:colOff>209550</xdr:colOff>
      <xdr:row>5</xdr:row>
      <xdr:rowOff>232500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16E9B35-9CD3-4EB9-B18E-261887B6EC68}"/>
            </a:ext>
          </a:extLst>
        </xdr:cNvPr>
        <xdr:cNvSpPr/>
      </xdr:nvSpPr>
      <xdr:spPr>
        <a:xfrm>
          <a:off x="2863850" y="1035050"/>
          <a:ext cx="2286000" cy="1944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9525</xdr:colOff>
      <xdr:row>5</xdr:row>
      <xdr:rowOff>38100</xdr:rowOff>
    </xdr:from>
    <xdr:to>
      <xdr:col>33</xdr:col>
      <xdr:colOff>38100</xdr:colOff>
      <xdr:row>5</xdr:row>
      <xdr:rowOff>232500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05DF612-2D99-45EE-9F80-82FBC2AF3B1F}"/>
            </a:ext>
          </a:extLst>
        </xdr:cNvPr>
        <xdr:cNvSpPr/>
      </xdr:nvSpPr>
      <xdr:spPr>
        <a:xfrm>
          <a:off x="6092825" y="1035050"/>
          <a:ext cx="2314575" cy="1944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209550</xdr:colOff>
      <xdr:row>6</xdr:row>
      <xdr:rowOff>57150</xdr:rowOff>
    </xdr:from>
    <xdr:to>
      <xdr:col>18</xdr:col>
      <xdr:colOff>209550</xdr:colOff>
      <xdr:row>7</xdr:row>
      <xdr:rowOff>3900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DA01BEA-075B-4967-8EDD-AEC9CADE8A89}"/>
            </a:ext>
          </a:extLst>
        </xdr:cNvPr>
        <xdr:cNvSpPr/>
      </xdr:nvSpPr>
      <xdr:spPr>
        <a:xfrm>
          <a:off x="2863850" y="1308100"/>
          <a:ext cx="2286000" cy="2007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6</xdr:row>
      <xdr:rowOff>47625</xdr:rowOff>
    </xdr:from>
    <xdr:to>
      <xdr:col>42</xdr:col>
      <xdr:colOff>209551</xdr:colOff>
      <xdr:row>6</xdr:row>
      <xdr:rowOff>242025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3637083A-6318-44B9-83EF-ADA6AB57FA09}"/>
            </a:ext>
          </a:extLst>
        </xdr:cNvPr>
        <xdr:cNvSpPr/>
      </xdr:nvSpPr>
      <xdr:spPr>
        <a:xfrm>
          <a:off x="6083300" y="1298575"/>
          <a:ext cx="4552951" cy="1944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9524</xdr:colOff>
      <xdr:row>7</xdr:row>
      <xdr:rowOff>38100</xdr:rowOff>
    </xdr:from>
    <xdr:to>
      <xdr:col>24</xdr:col>
      <xdr:colOff>9525</xdr:colOff>
      <xdr:row>7</xdr:row>
      <xdr:rowOff>232500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A6BD5F90-7D5F-495C-880D-4C09689E50A1}"/>
            </a:ext>
          </a:extLst>
        </xdr:cNvPr>
        <xdr:cNvSpPr/>
      </xdr:nvSpPr>
      <xdr:spPr>
        <a:xfrm>
          <a:off x="1749424" y="1543050"/>
          <a:ext cx="4572001" cy="1944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9524</xdr:colOff>
      <xdr:row>7</xdr:row>
      <xdr:rowOff>47625</xdr:rowOff>
    </xdr:from>
    <xdr:to>
      <xdr:col>46</xdr:col>
      <xdr:colOff>9525</xdr:colOff>
      <xdr:row>7</xdr:row>
      <xdr:rowOff>242025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5B5115BD-29C4-40D0-952A-3A286BAF4139}"/>
            </a:ext>
          </a:extLst>
        </xdr:cNvPr>
        <xdr:cNvSpPr/>
      </xdr:nvSpPr>
      <xdr:spPr>
        <a:xfrm>
          <a:off x="6778624" y="1552575"/>
          <a:ext cx="4572001" cy="1944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9526</xdr:colOff>
      <xdr:row>9</xdr:row>
      <xdr:rowOff>47627</xdr:rowOff>
    </xdr:from>
    <xdr:to>
      <xdr:col>45</xdr:col>
      <xdr:colOff>28576</xdr:colOff>
      <xdr:row>9</xdr:row>
      <xdr:rowOff>242027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2253B335-ADC3-4F54-9437-B43193C1C803}"/>
            </a:ext>
          </a:extLst>
        </xdr:cNvPr>
        <xdr:cNvSpPr/>
      </xdr:nvSpPr>
      <xdr:spPr>
        <a:xfrm>
          <a:off x="8836026" y="1939927"/>
          <a:ext cx="2305050" cy="1944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9524</xdr:colOff>
      <xdr:row>10</xdr:row>
      <xdr:rowOff>38099</xdr:rowOff>
    </xdr:from>
    <xdr:to>
      <xdr:col>50</xdr:col>
      <xdr:colOff>209550</xdr:colOff>
      <xdr:row>10</xdr:row>
      <xdr:rowOff>219075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C8DDD47B-98A5-42FF-A16A-9FF73F3A7FCF}"/>
            </a:ext>
          </a:extLst>
        </xdr:cNvPr>
        <xdr:cNvSpPr/>
      </xdr:nvSpPr>
      <xdr:spPr>
        <a:xfrm>
          <a:off x="7921624" y="2184399"/>
          <a:ext cx="4543426" cy="180976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9525</xdr:colOff>
      <xdr:row>11</xdr:row>
      <xdr:rowOff>47624</xdr:rowOff>
    </xdr:from>
    <xdr:to>
      <xdr:col>21</xdr:col>
      <xdr:colOff>9525</xdr:colOff>
      <xdr:row>11</xdr:row>
      <xdr:rowOff>242024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F6C5D215-4875-450E-A522-097494CBFC2B}"/>
            </a:ext>
          </a:extLst>
        </xdr:cNvPr>
        <xdr:cNvSpPr/>
      </xdr:nvSpPr>
      <xdr:spPr>
        <a:xfrm>
          <a:off x="3349625" y="2447924"/>
          <a:ext cx="2286000" cy="1944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7469</xdr:colOff>
      <xdr:row>11</xdr:row>
      <xdr:rowOff>38100</xdr:rowOff>
    </xdr:from>
    <xdr:to>
      <xdr:col>44</xdr:col>
      <xdr:colOff>228225</xdr:colOff>
      <xdr:row>11</xdr:row>
      <xdr:rowOff>216647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318FA4E8-EB76-42DC-AAA7-A077DD53188D}"/>
            </a:ext>
          </a:extLst>
        </xdr:cNvPr>
        <xdr:cNvSpPr/>
      </xdr:nvSpPr>
      <xdr:spPr>
        <a:xfrm>
          <a:off x="8833969" y="2438400"/>
          <a:ext cx="2278156" cy="17854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12</xdr:row>
      <xdr:rowOff>66676</xdr:rowOff>
    </xdr:from>
    <xdr:to>
      <xdr:col>20</xdr:col>
      <xdr:colOff>200025</xdr:colOff>
      <xdr:row>12</xdr:row>
      <xdr:rowOff>238125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225D90E9-B0E5-4282-86B1-BA827C3FAD9C}"/>
            </a:ext>
          </a:extLst>
        </xdr:cNvPr>
        <xdr:cNvSpPr/>
      </xdr:nvSpPr>
      <xdr:spPr>
        <a:xfrm>
          <a:off x="3340100" y="2720976"/>
          <a:ext cx="2257425" cy="17144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19049</xdr:colOff>
      <xdr:row>12</xdr:row>
      <xdr:rowOff>28575</xdr:rowOff>
    </xdr:from>
    <xdr:to>
      <xdr:col>51</xdr:col>
      <xdr:colOff>0</xdr:colOff>
      <xdr:row>12</xdr:row>
      <xdr:rowOff>219075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EADBD3AE-F428-4784-8336-0D4D1AEF009D}"/>
            </a:ext>
          </a:extLst>
        </xdr:cNvPr>
        <xdr:cNvSpPr/>
      </xdr:nvSpPr>
      <xdr:spPr>
        <a:xfrm>
          <a:off x="7931149" y="2682875"/>
          <a:ext cx="4552951" cy="1905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19049</xdr:colOff>
      <xdr:row>13</xdr:row>
      <xdr:rowOff>28574</xdr:rowOff>
    </xdr:from>
    <xdr:to>
      <xdr:col>23</xdr:col>
      <xdr:colOff>200025</xdr:colOff>
      <xdr:row>13</xdr:row>
      <xdr:rowOff>222974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6F41FD78-1C61-4E73-8552-1236C48B2F27}"/>
            </a:ext>
          </a:extLst>
        </xdr:cNvPr>
        <xdr:cNvSpPr/>
      </xdr:nvSpPr>
      <xdr:spPr>
        <a:xfrm>
          <a:off x="1758949" y="2936874"/>
          <a:ext cx="4524376" cy="1944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28575</xdr:colOff>
      <xdr:row>13</xdr:row>
      <xdr:rowOff>28574</xdr:rowOff>
    </xdr:from>
    <xdr:to>
      <xdr:col>51</xdr:col>
      <xdr:colOff>1</xdr:colOff>
      <xdr:row>13</xdr:row>
      <xdr:rowOff>228599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65815941-A8EA-4496-BED5-65AE5D1D2F8F}"/>
            </a:ext>
          </a:extLst>
        </xdr:cNvPr>
        <xdr:cNvSpPr/>
      </xdr:nvSpPr>
      <xdr:spPr>
        <a:xfrm>
          <a:off x="7940675" y="2936874"/>
          <a:ext cx="4543426" cy="20002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</xdr:row>
      <xdr:rowOff>19049</xdr:rowOff>
    </xdr:from>
    <xdr:to>
      <xdr:col>26</xdr:col>
      <xdr:colOff>28574</xdr:colOff>
      <xdr:row>1</xdr:row>
      <xdr:rowOff>219075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B02089F-809C-4CD4-8F50-AE0674BC0CF4}"/>
            </a:ext>
          </a:extLst>
        </xdr:cNvPr>
        <xdr:cNvSpPr txBox="1"/>
      </xdr:nvSpPr>
      <xdr:spPr>
        <a:xfrm>
          <a:off x="6235700" y="215899"/>
          <a:ext cx="561974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17:00</a:t>
          </a:r>
        </a:p>
      </xdr:txBody>
    </xdr:sp>
    <xdr:clientData/>
  </xdr:twoCellAnchor>
  <xdr:twoCellAnchor>
    <xdr:from>
      <xdr:col>29</xdr:col>
      <xdr:colOff>161925</xdr:colOff>
      <xdr:row>1</xdr:row>
      <xdr:rowOff>19049</xdr:rowOff>
    </xdr:from>
    <xdr:to>
      <xdr:col>32</xdr:col>
      <xdr:colOff>38099</xdr:colOff>
      <xdr:row>1</xdr:row>
      <xdr:rowOff>219075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196D31-591B-45E8-B4DC-F2EA4E772A6E}"/>
            </a:ext>
          </a:extLst>
        </xdr:cNvPr>
        <xdr:cNvSpPr txBox="1"/>
      </xdr:nvSpPr>
      <xdr:spPr>
        <a:xfrm>
          <a:off x="7616825" y="215899"/>
          <a:ext cx="561974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20:00</a:t>
          </a:r>
        </a:p>
      </xdr:txBody>
    </xdr:sp>
    <xdr:clientData/>
  </xdr:twoCellAnchor>
  <xdr:twoCellAnchor>
    <xdr:from>
      <xdr:col>0</xdr:col>
      <xdr:colOff>112807</xdr:colOff>
      <xdr:row>14</xdr:row>
      <xdr:rowOff>149412</xdr:rowOff>
    </xdr:from>
    <xdr:to>
      <xdr:col>11</xdr:col>
      <xdr:colOff>112060</xdr:colOff>
      <xdr:row>18</xdr:row>
      <xdr:rowOff>166035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F6B4FD4B-B973-405A-829A-6CCFD44D6C21}"/>
            </a:ext>
          </a:extLst>
        </xdr:cNvPr>
        <xdr:cNvGrpSpPr/>
      </xdr:nvGrpSpPr>
      <xdr:grpSpPr>
        <a:xfrm>
          <a:off x="112807" y="3311712"/>
          <a:ext cx="3339353" cy="1324723"/>
          <a:chOff x="685800" y="3105150"/>
          <a:chExt cx="3382702" cy="1752600"/>
        </a:xfrm>
      </xdr:grpSpPr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102D9D9D-4282-2A57-07C7-BFD5DB5137BD}"/>
              </a:ext>
            </a:extLst>
          </xdr:cNvPr>
          <xdr:cNvSpPr txBox="1"/>
        </xdr:nvSpPr>
        <xdr:spPr>
          <a:xfrm>
            <a:off x="695325" y="3848100"/>
            <a:ext cx="3372513" cy="333375"/>
          </a:xfrm>
          <a:prstGeom prst="rect">
            <a:avLst/>
          </a:prstGeom>
          <a:solidFill>
            <a:schemeClr val="lt1"/>
          </a:solidFill>
          <a:ln w="1270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/>
              <a:t>Peak</a:t>
            </a:r>
            <a:r>
              <a:rPr lang="en-US" sz="1400" b="1" baseline="0"/>
              <a:t> time       : 2959 VND / kWh</a:t>
            </a:r>
          </a:p>
          <a:p>
            <a:pPr algn="l"/>
            <a:endParaRPr lang="en-US" sz="1400" b="1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CBD98E35-C9D0-920B-C051-608E8FF6C8F6}"/>
              </a:ext>
            </a:extLst>
          </xdr:cNvPr>
          <xdr:cNvSpPr txBox="1"/>
        </xdr:nvSpPr>
        <xdr:spPr>
          <a:xfrm>
            <a:off x="704851" y="3105150"/>
            <a:ext cx="3362324" cy="333375"/>
          </a:xfrm>
          <a:prstGeom prst="rect">
            <a:avLst/>
          </a:prstGeom>
          <a:solidFill>
            <a:schemeClr val="lt1"/>
          </a:solidFill>
          <a:ln w="1270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/>
              <a:t>T5</a:t>
            </a:r>
            <a:r>
              <a:rPr lang="en-US" sz="1400" b="1" baseline="0"/>
              <a:t> process      : 5 Hours</a:t>
            </a:r>
            <a:endParaRPr lang="en-US" sz="1400" b="1"/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168F9EC1-0280-3AF0-CCD0-29E92D7A03E9}"/>
              </a:ext>
            </a:extLst>
          </xdr:cNvPr>
          <xdr:cNvSpPr txBox="1"/>
        </xdr:nvSpPr>
        <xdr:spPr>
          <a:xfrm>
            <a:off x="704851" y="3448050"/>
            <a:ext cx="3362324" cy="333375"/>
          </a:xfrm>
          <a:prstGeom prst="rect">
            <a:avLst/>
          </a:prstGeom>
          <a:solidFill>
            <a:schemeClr val="lt1"/>
          </a:solidFill>
          <a:ln w="1270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/>
              <a:t>T6</a:t>
            </a:r>
            <a:r>
              <a:rPr lang="en-US" sz="1400" b="1" baseline="0"/>
              <a:t> process      : 10 Hours</a:t>
            </a:r>
            <a:endParaRPr lang="en-US" sz="1400" b="1"/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EAA42A43-B6F1-CFCF-3C82-172451C8A623}"/>
              </a:ext>
            </a:extLst>
          </xdr:cNvPr>
          <xdr:cNvSpPr txBox="1"/>
        </xdr:nvSpPr>
        <xdr:spPr>
          <a:xfrm>
            <a:off x="685800" y="4191000"/>
            <a:ext cx="3382702" cy="333375"/>
          </a:xfrm>
          <a:prstGeom prst="rect">
            <a:avLst/>
          </a:prstGeom>
          <a:solidFill>
            <a:schemeClr val="lt1"/>
          </a:solidFill>
          <a:ln w="1270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/>
              <a:t>Normal</a:t>
            </a:r>
            <a:r>
              <a:rPr lang="en-US" sz="1400" b="1" baseline="0"/>
              <a:t> time  :  1600</a:t>
            </a: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VND / kWh</a:t>
            </a:r>
          </a:p>
          <a:p>
            <a:pPr algn="l"/>
            <a:endParaRPr lang="en-US" sz="1400" b="1"/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70B04BDB-E10D-BD90-8C77-49C001DA8330}"/>
              </a:ext>
            </a:extLst>
          </xdr:cNvPr>
          <xdr:cNvSpPr txBox="1"/>
        </xdr:nvSpPr>
        <xdr:spPr>
          <a:xfrm>
            <a:off x="685800" y="4524375"/>
            <a:ext cx="3382702" cy="333375"/>
          </a:xfrm>
          <a:prstGeom prst="rect">
            <a:avLst/>
          </a:prstGeom>
          <a:solidFill>
            <a:schemeClr val="lt1"/>
          </a:solidFill>
          <a:ln w="1270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Offpeak time : 1037 VND / kWh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" name="Arrow: Right 25">
            <a:extLst>
              <a:ext uri="{FF2B5EF4-FFF2-40B4-BE49-F238E27FC236}">
                <a16:creationId xmlns:a16="http://schemas.microsoft.com/office/drawing/2014/main" id="{F279CAB5-84C2-5448-308D-D9F5385664D2}"/>
              </a:ext>
            </a:extLst>
          </xdr:cNvPr>
          <xdr:cNvSpPr/>
        </xdr:nvSpPr>
        <xdr:spPr>
          <a:xfrm>
            <a:off x="3690939" y="3114675"/>
            <a:ext cx="323850" cy="266699"/>
          </a:xfrm>
          <a:prstGeom prst="right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400"/>
          </a:p>
        </xdr:txBody>
      </xdr:sp>
      <xdr:sp macro="" textlink="">
        <xdr:nvSpPr>
          <xdr:cNvPr id="27" name="Arrow: Right 26">
            <a:extLst>
              <a:ext uri="{FF2B5EF4-FFF2-40B4-BE49-F238E27FC236}">
                <a16:creationId xmlns:a16="http://schemas.microsoft.com/office/drawing/2014/main" id="{28760EC2-1376-5DD0-B9B3-C1F57513FF91}"/>
              </a:ext>
            </a:extLst>
          </xdr:cNvPr>
          <xdr:cNvSpPr/>
        </xdr:nvSpPr>
        <xdr:spPr>
          <a:xfrm>
            <a:off x="3690939" y="3486148"/>
            <a:ext cx="333376" cy="247651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4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C53FC8C0-7B89-7243-09B4-ACF07CA8EB93}"/>
              </a:ext>
            </a:extLst>
          </xdr:cNvPr>
          <xdr:cNvSpPr/>
        </xdr:nvSpPr>
        <xdr:spPr>
          <a:xfrm>
            <a:off x="3705226" y="4600574"/>
            <a:ext cx="323850" cy="228600"/>
          </a:xfrm>
          <a:prstGeom prst="rect">
            <a:avLst/>
          </a:prstGeom>
          <a:solidFill>
            <a:srgbClr val="92D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4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DDCD1F18-A859-4A0A-3EC4-9E97C6D7717D}"/>
              </a:ext>
            </a:extLst>
          </xdr:cNvPr>
          <xdr:cNvSpPr/>
        </xdr:nvSpPr>
        <xdr:spPr>
          <a:xfrm>
            <a:off x="3695701" y="3876674"/>
            <a:ext cx="323850" cy="257175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4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B99E0E8-38BB-5A6E-92F2-9154595CFE02}"/>
              </a:ext>
            </a:extLst>
          </xdr:cNvPr>
          <xdr:cNvSpPr/>
        </xdr:nvSpPr>
        <xdr:spPr>
          <a:xfrm>
            <a:off x="3705226" y="4229099"/>
            <a:ext cx="323850" cy="24765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4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204107</xdr:colOff>
      <xdr:row>15</xdr:row>
      <xdr:rowOff>175078</xdr:rowOff>
    </xdr:from>
    <xdr:to>
      <xdr:col>14</xdr:col>
      <xdr:colOff>762000</xdr:colOff>
      <xdr:row>39</xdr:row>
      <xdr:rowOff>150091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FD6F1-7062-7551-7FE5-04CDA0B51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154216</xdr:colOff>
      <xdr:row>31</xdr:row>
      <xdr:rowOff>126999</xdr:rowOff>
    </xdr:from>
    <xdr:to>
      <xdr:col>3</xdr:col>
      <xdr:colOff>27215</xdr:colOff>
      <xdr:row>33</xdr:row>
      <xdr:rowOff>145142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473F72-ADCC-6C9E-234F-D54939E201DC}"/>
            </a:ext>
          </a:extLst>
        </xdr:cNvPr>
        <xdr:cNvSpPr txBox="1"/>
      </xdr:nvSpPr>
      <xdr:spPr>
        <a:xfrm>
          <a:off x="1941287" y="6640285"/>
          <a:ext cx="119742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Consumption</a:t>
          </a:r>
        </a:p>
      </xdr:txBody>
    </xdr:sp>
    <xdr:clientData/>
  </xdr:twoCellAnchor>
  <xdr:twoCellAnchor>
    <xdr:from>
      <xdr:col>15</xdr:col>
      <xdr:colOff>80819</xdr:colOff>
      <xdr:row>16</xdr:row>
      <xdr:rowOff>46181</xdr:rowOff>
    </xdr:from>
    <xdr:to>
      <xdr:col>27</xdr:col>
      <xdr:colOff>889001</xdr:colOff>
      <xdr:row>52</xdr:row>
      <xdr:rowOff>126999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84847C-8F85-4BC7-B220-AEF1E249C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0.00239</cdr:x>
      <cdr:y>0.01355</cdr:y>
    </cdr:from>
    <cdr:to>
      <cdr:x>0.21354</cdr:x>
      <cdr:y>0.08849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E2473F72-ADCC-6C9E-234F-D54939E201DC}"/>
            </a:ext>
          </a:extLst>
        </cdr:cNvPr>
        <cdr:cNvSpPr txBox="1"/>
      </cdr:nvSpPr>
      <cdr:spPr>
        <a:xfrm xmlns:a="http://schemas.openxmlformats.org/drawingml/2006/main">
          <a:off x="17013" y="59889"/>
          <a:ext cx="1502462" cy="3312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/>
            <a:t>Consumption( kWh)</a:t>
          </a:r>
        </a:p>
      </cdr:txBody>
    </cdr:sp>
  </cdr:relSizeAnchor>
  <cdr:relSizeAnchor xmlns:cdr="http://schemas.openxmlformats.org/drawingml/2006/chartDrawing">
    <cdr:from>
      <cdr:x>0.86051</cdr:x>
      <cdr:y>0.02173</cdr:y>
    </cdr:from>
    <cdr:to>
      <cdr:x>0.99351</cdr:x>
      <cdr:y>0.08577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AA8268-250E-CFFF-8B4F-50F6E60D0770}"/>
            </a:ext>
          </a:extLst>
        </cdr:cNvPr>
        <cdr:cNvSpPr txBox="1"/>
      </cdr:nvSpPr>
      <cdr:spPr>
        <a:xfrm xmlns:a="http://schemas.openxmlformats.org/drawingml/2006/main">
          <a:off x="6123113" y="96065"/>
          <a:ext cx="946417" cy="2830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/>
            <a:t>Cost</a:t>
          </a:r>
          <a:r>
            <a:rPr lang="en-US" sz="1200" baseline="0"/>
            <a:t> (kVND)</a:t>
          </a:r>
          <a:endParaRPr lang="en-US" sz="12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0.06666</cdr:x>
      <cdr:y>0.00319</cdr:y>
    </cdr:from>
    <cdr:to>
      <cdr:x>0.25054</cdr:x>
      <cdr:y>0.07376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E2473F72-ADCC-6C9E-234F-D54939E201DC}"/>
            </a:ext>
          </a:extLst>
        </cdr:cNvPr>
        <cdr:cNvSpPr txBox="1"/>
      </cdr:nvSpPr>
      <cdr:spPr>
        <a:xfrm xmlns:a="http://schemas.openxmlformats.org/drawingml/2006/main">
          <a:off x="712616" y="21461"/>
          <a:ext cx="1965929" cy="4749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/>
            <a:t>Consumption( kWh)</a:t>
          </a:r>
        </a:p>
      </cdr:txBody>
    </cdr:sp>
  </cdr:relSizeAnchor>
  <cdr:relSizeAnchor xmlns:cdr="http://schemas.openxmlformats.org/drawingml/2006/chartDrawing">
    <cdr:from>
      <cdr:x>0.86501</cdr:x>
      <cdr:y>0.92739</cdr:y>
    </cdr:from>
    <cdr:to>
      <cdr:x>1</cdr:x>
      <cdr:y>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AA8268-250E-CFFF-8B4F-50F6E60D0770}"/>
            </a:ext>
          </a:extLst>
        </cdr:cNvPr>
        <cdr:cNvSpPr txBox="1"/>
      </cdr:nvSpPr>
      <cdr:spPr>
        <a:xfrm xmlns:a="http://schemas.openxmlformats.org/drawingml/2006/main">
          <a:off x="9247911" y="6242262"/>
          <a:ext cx="1443180" cy="4887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/>
            <a:t>Volume (Tons)</a:t>
          </a:r>
        </a:p>
      </cdr:txBody>
    </cdr:sp>
  </cdr:relSizeAnchor>
  <cdr:relSizeAnchor xmlns:cdr="http://schemas.openxmlformats.org/drawingml/2006/chartDrawing">
    <cdr:from>
      <cdr:x>0.87905</cdr:x>
      <cdr:y>0.00115</cdr:y>
    </cdr:from>
    <cdr:to>
      <cdr:x>1</cdr:x>
      <cdr:y>0.04803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06E1D9F-CF05-CE01-FCF5-0925D623D058}"/>
            </a:ext>
          </a:extLst>
        </cdr:cNvPr>
        <cdr:cNvSpPr txBox="1"/>
      </cdr:nvSpPr>
      <cdr:spPr>
        <a:xfrm xmlns:a="http://schemas.openxmlformats.org/drawingml/2006/main">
          <a:off x="9398001" y="7717"/>
          <a:ext cx="1293090" cy="3155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/>
            <a:t>Cost</a:t>
          </a:r>
          <a:r>
            <a:rPr lang="en-US" sz="1600" baseline="0"/>
            <a:t> (kVND)</a:t>
          </a:r>
          <a:endParaRPr lang="en-US" sz="16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577850</xdr:colOff>
      <xdr:row>49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BAF260D-AA84-E47F-D4F2-0DA34326C182}"/>
            </a:ext>
          </a:extLst>
        </xdr:cNvPr>
        <xdr:cNvSpPr txBox="1"/>
      </xdr:nvSpPr>
      <xdr:spPr>
        <a:xfrm>
          <a:off x="0" y="0"/>
          <a:ext cx="6064250" cy="9188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****Introduction :</a:t>
          </a:r>
        </a:p>
        <a:p>
          <a:r>
            <a:rPr lang="en-US" sz="1400"/>
            <a:t>Good [morning/afternoon/evening], everyone. Today, I would like to present how to optimizing electricity comsumption bill for heat treatment furnace.</a:t>
          </a:r>
        </a:p>
        <a:p>
          <a:r>
            <a:rPr lang="en-US" sz="1400"/>
            <a:t>*****Description :</a:t>
          </a:r>
        </a:p>
        <a:p>
          <a:r>
            <a:rPr lang="en-US" sz="1400"/>
            <a:t>The Aging Furnace using for heat treatment , improve the hardness and mechanical properties of aluminum extrusion products.        ​</a:t>
          </a:r>
        </a:p>
        <a:p>
          <a:r>
            <a:rPr lang="en-US" sz="1400"/>
            <a:t>Because the equipments include high electricity-consuming components (such as electric resistors, high-speed fans, etc...) and operates for extended time, the electricity consumption is substantial(up to 50kWh/months with the biggest volume of production)        ​</a:t>
          </a:r>
        </a:p>
        <a:p>
          <a:r>
            <a:rPr lang="en-US" sz="1400"/>
            <a:t>Therefore, we propose a solution to reduce electricity consumption costs.</a:t>
          </a:r>
        </a:p>
        <a:p>
          <a:r>
            <a:rPr lang="en-US" sz="1400"/>
            <a:t>****Process Optimization Strategy</a:t>
          </a:r>
        </a:p>
        <a:p>
          <a:r>
            <a:rPr lang="en-US" sz="1400"/>
            <a:t>​Strategy : Electricity prices vary according to different time periods throughout the day :</a:t>
          </a:r>
        </a:p>
        <a:p>
          <a:r>
            <a:rPr lang="en-US" sz="1400"/>
            <a:t>Off-peak time (Few users) : 1,037 VND/kWh​</a:t>
          </a:r>
        </a:p>
        <a:p>
          <a:r>
            <a:rPr lang="en-US" sz="1400"/>
            <a:t>Normal time                     : 1,600 VND/kWh​</a:t>
          </a:r>
        </a:p>
        <a:p>
          <a:r>
            <a:rPr lang="en-US" sz="1400"/>
            <a:t>Peak time (many users)     : 2,959 VND/kWh</a:t>
          </a:r>
        </a:p>
        <a:p>
          <a:r>
            <a:rPr lang="en-US" sz="1400"/>
            <a:t> Operate aging furnace in the time with the lowest electricity consumption price (off-peak time and normal time).</a:t>
          </a:r>
        </a:p>
        <a:p>
          <a:endParaRPr lang="en-US" sz="1400"/>
        </a:p>
        <a:p>
          <a:r>
            <a:rPr lang="en-US" sz="1400"/>
            <a:t>****Benefits of Process Optimization</a:t>
          </a:r>
        </a:p>
        <a:p>
          <a:r>
            <a:rPr lang="en-US" sz="1400"/>
            <a:t>We can cost down up to 30% compared to the old method.</a:t>
          </a:r>
        </a:p>
        <a:p>
          <a:endParaRPr lang="en-US" sz="1400"/>
        </a:p>
        <a:p>
          <a:r>
            <a:rPr lang="en-US" sz="1400"/>
            <a:t>**** Implementation Considerations</a:t>
          </a:r>
        </a:p>
        <a:p>
          <a:r>
            <a:rPr lang="en-US" sz="1400"/>
            <a:t>We have 3 issue that need to be solved :​</a:t>
          </a:r>
        </a:p>
        <a:p>
          <a:r>
            <a:rPr lang="en-US" sz="1400"/>
            <a:t>Improve the function of furnace (Timer)​</a:t>
          </a:r>
        </a:p>
        <a:p>
          <a:r>
            <a:rPr lang="en-US" sz="1400"/>
            <a:t>Arrange operating schedules of furnace.​</a:t>
          </a:r>
        </a:p>
        <a:p>
          <a:r>
            <a:rPr lang="en-US" sz="1400"/>
            <a:t>Training for workers</a:t>
          </a:r>
        </a:p>
        <a:p>
          <a:r>
            <a:rPr lang="en-US" sz="1400"/>
            <a:t>**** Conclusion</a:t>
          </a:r>
        </a:p>
        <a:p>
          <a:r>
            <a:rPr lang="en-US" sz="1400"/>
            <a:t>With these calculated data , we can estimate the performance of the improvement.</a:t>
          </a:r>
        </a:p>
        <a:p>
          <a:r>
            <a:rPr lang="en-US" sz="1400"/>
            <a:t>In the end of this year , we will install another heat treatment furnace, so i will also apply this method.</a:t>
          </a:r>
        </a:p>
        <a:p>
          <a:r>
            <a:rPr lang="en-US" sz="1400"/>
            <a:t>In addition, we will also check the update the data monthly and yearly.</a:t>
          </a:r>
        </a:p>
        <a:p>
          <a:r>
            <a:rPr lang="en-US" sz="1400"/>
            <a:t>****Q&amp;A</a:t>
          </a:r>
        </a:p>
        <a:p>
          <a:r>
            <a:rPr lang="en-US" sz="1400"/>
            <a:t>Finally,  If you have any questions or advice, please discuss with me.</a:t>
          </a:r>
        </a:p>
        <a:p>
          <a:endParaRPr lang="en-US" sz="14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2379;&#12365;&#12397;\e\&#22577;&#21578;&#36039;&#26009;\&#35069;&#36896;&#26412;&#37096;\&#27231;&#33021;&#20154;&#21729;1&#37096;99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ma086\shareddocs\Documents%20and%20Settings\&#65331;&#65325;&#65315;\Local%20Settings\Temporary%20Internet%20Files\Content.IE5\OHUZ41YR\2012&#21512;&#29702;&#21270;&#22577;&#2157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MC-DANG-NGUYEN/Downloads/&#25913;&#21892;&#12363;&#12435;&#12400;&#12435;(&#20181;&#25499;&#21697;&#24037;&#31243;&#21066;&#28187;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連絡"/>
      <sheetName val="要領"/>
      <sheetName val="１課"/>
      <sheetName val="電磁弁"/>
      <sheetName val="全体"/>
      <sheetName val="991001"/>
      <sheetName val="人員表"/>
      <sheetName val="配布"/>
      <sheetName val="稟議"/>
      <sheetName val="補足資料"/>
      <sheetName val="コスト計算書 (2)"/>
      <sheetName val="コスト計算書（参考）"/>
      <sheetName val="設備投資効果確認表"/>
      <sheetName val="賃率情報"/>
      <sheetName val="工具費 (CJ2)"/>
      <sheetName val="工具費"/>
      <sheetName val="設備価格・電力"/>
      <sheetName val="稼働率"/>
      <sheetName val="計画マスタ"/>
      <sheetName val="機種別生産数111125-1"/>
      <sheetName val="③基準【新】"/>
      <sheetName val="第3工場報告書"/>
      <sheetName val="4班VQＺ1"/>
      <sheetName val="ﾌﾟﾗﾏｸﾞ部品取引価格"/>
      <sheetName val="VM92 Transfer list"/>
      <sheetName val="Area new (2)"/>
      <sheetName val="Sheet2"/>
      <sheetName val="NOP_Attdn (2)"/>
      <sheetName val="コスト計算書_(2)"/>
      <sheetName val="工具費_(CJ2)"/>
      <sheetName val="Long 1"/>
      <sheetName val="CORD(参照用)"/>
      <sheetName val="Shanghai"/>
      <sheetName val="入力"/>
      <sheetName val="コスト計算書_(2)1"/>
      <sheetName val="工具費_(CJ2)1"/>
      <sheetName val="VM92_Transfer_list"/>
      <sheetName val="Area_new_(2)"/>
      <sheetName val="NOP_Attdn_(2)"/>
      <sheetName val="Long_1"/>
      <sheetName val="クエリー1"/>
      <sheetName val="コスト計算書_(2)2"/>
      <sheetName val="工具費_(CJ2)2"/>
      <sheetName val="VM92_Transfer_list1"/>
      <sheetName val="Area_new_(2)1"/>
      <sheetName val="NOP_Attdn_(2)1"/>
      <sheetName val="Long_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メニュー"/>
      <sheetName val="計画マスタ"/>
      <sheetName val="実績記入用紙"/>
      <sheetName val="計画実績集計"/>
      <sheetName val="人員削減計画実績集計"/>
      <sheetName val="詳細計画実績集計"/>
      <sheetName val="区分別合理化状況(直接人件費)"/>
      <sheetName val="合理化手法一覧"/>
      <sheetName val="項目区分"/>
      <sheetName val="機能区分"/>
      <sheetName val="賃率情報"/>
      <sheetName val="ﾌｧｲﾙ取扱いについて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改善かんばん"/>
      <sheetName val="詳細手法"/>
      <sheetName val="別表　19年度賃率"/>
      <sheetName val="別表　合理化チーム一覧"/>
      <sheetName val="CDフォーマット"/>
      <sheetName val="Sheet2"/>
      <sheetName val="Sheet1"/>
      <sheetName val="別表　組立‐開発部署"/>
    </sheetNames>
    <sheetDataSet>
      <sheetData sheetId="0"/>
      <sheetData sheetId="1"/>
      <sheetData sheetId="2">
        <row r="2">
          <cell r="B2" t="str">
            <v>賃率一覧</v>
          </cell>
        </row>
        <row r="4">
          <cell r="B4" t="str">
            <v>記号</v>
          </cell>
          <cell r="F4" t="str">
            <v>賃率(広義)</v>
          </cell>
        </row>
        <row r="5">
          <cell r="B5">
            <v>1</v>
          </cell>
          <cell r="F5">
            <v>3660</v>
          </cell>
        </row>
        <row r="6">
          <cell r="B6">
            <v>2</v>
          </cell>
          <cell r="F6">
            <v>2480</v>
          </cell>
        </row>
        <row r="7">
          <cell r="B7">
            <v>3</v>
          </cell>
          <cell r="F7">
            <v>3160</v>
          </cell>
        </row>
        <row r="8">
          <cell r="B8">
            <v>4</v>
          </cell>
          <cell r="F8">
            <v>0</v>
          </cell>
        </row>
        <row r="9">
          <cell r="B9">
            <v>5</v>
          </cell>
          <cell r="F9">
            <v>1560</v>
          </cell>
        </row>
        <row r="10">
          <cell r="B10">
            <v>6</v>
          </cell>
          <cell r="F10">
            <v>1560</v>
          </cell>
        </row>
        <row r="11">
          <cell r="B11">
            <v>7</v>
          </cell>
          <cell r="F11">
            <v>1670</v>
          </cell>
        </row>
        <row r="12">
          <cell r="B12">
            <v>8</v>
          </cell>
          <cell r="F12">
            <v>1520</v>
          </cell>
        </row>
        <row r="13">
          <cell r="B13">
            <v>9</v>
          </cell>
          <cell r="F13">
            <v>1540</v>
          </cell>
        </row>
        <row r="14">
          <cell r="B14">
            <v>10</v>
          </cell>
          <cell r="F14">
            <v>2950</v>
          </cell>
        </row>
        <row r="15">
          <cell r="B15">
            <v>11</v>
          </cell>
          <cell r="F15">
            <v>1830</v>
          </cell>
        </row>
        <row r="16">
          <cell r="B16">
            <v>12</v>
          </cell>
          <cell r="F16">
            <v>2320</v>
          </cell>
        </row>
        <row r="17">
          <cell r="B17">
            <v>13</v>
          </cell>
          <cell r="F17">
            <v>3730</v>
          </cell>
        </row>
        <row r="18">
          <cell r="B18">
            <v>14</v>
          </cell>
          <cell r="F18">
            <v>2450</v>
          </cell>
        </row>
        <row r="19">
          <cell r="B19">
            <v>15</v>
          </cell>
          <cell r="F19">
            <v>3580</v>
          </cell>
        </row>
        <row r="20">
          <cell r="B20">
            <v>16</v>
          </cell>
          <cell r="F20">
            <v>0</v>
          </cell>
        </row>
        <row r="21">
          <cell r="B21">
            <v>17</v>
          </cell>
          <cell r="F21">
            <v>1610</v>
          </cell>
        </row>
        <row r="22">
          <cell r="B22">
            <v>18</v>
          </cell>
          <cell r="F22">
            <v>1610</v>
          </cell>
        </row>
        <row r="23">
          <cell r="B23">
            <v>19</v>
          </cell>
          <cell r="F23">
            <v>1700</v>
          </cell>
        </row>
        <row r="24">
          <cell r="B24">
            <v>20</v>
          </cell>
          <cell r="F24">
            <v>1510</v>
          </cell>
        </row>
        <row r="25">
          <cell r="B25">
            <v>21</v>
          </cell>
          <cell r="F25">
            <v>1630</v>
          </cell>
        </row>
        <row r="26">
          <cell r="B26">
            <v>22</v>
          </cell>
          <cell r="F26">
            <v>3140</v>
          </cell>
        </row>
        <row r="27">
          <cell r="B27">
            <v>23</v>
          </cell>
          <cell r="F27">
            <v>1860</v>
          </cell>
        </row>
        <row r="28">
          <cell r="B28">
            <v>24</v>
          </cell>
          <cell r="F28">
            <v>2860</v>
          </cell>
        </row>
        <row r="29">
          <cell r="B29">
            <v>25</v>
          </cell>
          <cell r="F29">
            <v>4450</v>
          </cell>
        </row>
        <row r="30">
          <cell r="B30">
            <v>26</v>
          </cell>
          <cell r="F30">
            <v>2640</v>
          </cell>
        </row>
        <row r="31">
          <cell r="B31">
            <v>27</v>
          </cell>
          <cell r="F31">
            <v>4000</v>
          </cell>
        </row>
        <row r="32">
          <cell r="B32">
            <v>28</v>
          </cell>
          <cell r="F32">
            <v>0</v>
          </cell>
        </row>
        <row r="33">
          <cell r="B33">
            <v>29</v>
          </cell>
          <cell r="F33">
            <v>0</v>
          </cell>
        </row>
        <row r="34">
          <cell r="B34">
            <v>30</v>
          </cell>
          <cell r="F34">
            <v>0</v>
          </cell>
        </row>
        <row r="35">
          <cell r="B35">
            <v>31</v>
          </cell>
          <cell r="F35">
            <v>1870</v>
          </cell>
        </row>
        <row r="36">
          <cell r="B36">
            <v>32</v>
          </cell>
          <cell r="F36">
            <v>1560</v>
          </cell>
        </row>
        <row r="37">
          <cell r="B37">
            <v>33</v>
          </cell>
          <cell r="F37">
            <v>1680</v>
          </cell>
        </row>
        <row r="38">
          <cell r="B38">
            <v>34</v>
          </cell>
          <cell r="F38">
            <v>4390</v>
          </cell>
        </row>
        <row r="39">
          <cell r="B39">
            <v>35</v>
          </cell>
          <cell r="F39">
            <v>2530</v>
          </cell>
        </row>
        <row r="40">
          <cell r="B40">
            <v>36</v>
          </cell>
          <cell r="F40">
            <v>3890</v>
          </cell>
        </row>
        <row r="41">
          <cell r="B41"/>
          <cell r="F41"/>
        </row>
        <row r="42">
          <cell r="B42"/>
          <cell r="F42"/>
        </row>
        <row r="43">
          <cell r="B43"/>
          <cell r="F43"/>
        </row>
        <row r="44">
          <cell r="B44"/>
          <cell r="F44"/>
        </row>
        <row r="45">
          <cell r="B45"/>
          <cell r="F45"/>
        </row>
        <row r="46">
          <cell r="B46"/>
          <cell r="F46"/>
        </row>
        <row r="47">
          <cell r="B47"/>
          <cell r="F47"/>
        </row>
        <row r="48">
          <cell r="B48"/>
          <cell r="F48"/>
        </row>
        <row r="49">
          <cell r="B49"/>
          <cell r="F49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FFE74-D3CB-4D1A-9F67-A051FCF72AA6}">
  <sheetPr>
    <tabColor theme="5" tint="-0.249977111117893"/>
    <pageSetUpPr fitToPage="1"/>
  </sheetPr>
  <dimension ref="A1:AI69"/>
  <sheetViews>
    <sheetView showGridLines="0" zoomScaleNormal="100" zoomScaleSheetLayoutView="75" workbookViewId="0">
      <selection activeCell="H59" sqref="H59:R59"/>
    </sheetView>
  </sheetViews>
  <sheetFormatPr defaultColWidth="10.26953125" defaultRowHeight="13"/>
  <cols>
    <col min="1" max="1" width="1" style="71" customWidth="1"/>
    <col min="2" max="2" width="13.7265625" style="71" customWidth="1"/>
    <col min="3" max="3" width="1.08984375" style="71" customWidth="1"/>
    <col min="4" max="4" width="3" style="71" customWidth="1"/>
    <col min="5" max="5" width="5.26953125" style="71" customWidth="1"/>
    <col min="6" max="6" width="10.36328125" style="71" customWidth="1"/>
    <col min="7" max="7" width="6.26953125" style="71" customWidth="1"/>
    <col min="8" max="10" width="8.08984375" style="71" customWidth="1"/>
    <col min="11" max="11" width="8.36328125" style="71" customWidth="1"/>
    <col min="12" max="18" width="8.08984375" style="71" customWidth="1"/>
    <col min="19" max="19" width="1" style="71" customWidth="1"/>
    <col min="20" max="20" width="2.6328125" style="71" customWidth="1"/>
    <col min="21" max="21" width="12.08984375" style="71" customWidth="1"/>
    <col min="22" max="22" width="8.08984375" style="71" customWidth="1"/>
    <col min="23" max="24" width="13.26953125" style="71" customWidth="1"/>
    <col min="25" max="25" width="7.6328125" style="71" customWidth="1"/>
    <col min="26" max="27" width="13.26953125" style="71" customWidth="1"/>
    <col min="28" max="32" width="10.26953125" style="71" hidden="1" customWidth="1"/>
    <col min="33" max="35" width="21.6328125" style="71" hidden="1" customWidth="1"/>
    <col min="36" max="36" width="0" style="71" hidden="1" customWidth="1"/>
    <col min="37" max="16384" width="10.26953125" style="71"/>
  </cols>
  <sheetData>
    <row r="1" spans="2:33" ht="17.25" customHeight="1">
      <c r="B1" s="67" t="s">
        <v>528</v>
      </c>
      <c r="C1" s="68" t="s">
        <v>529</v>
      </c>
      <c r="D1" s="68"/>
      <c r="E1" s="68"/>
      <c r="F1" s="69" t="s">
        <v>530</v>
      </c>
      <c r="G1" s="70"/>
      <c r="W1" s="72"/>
      <c r="X1" s="73" t="s">
        <v>531</v>
      </c>
      <c r="Y1" s="74"/>
      <c r="Z1" s="73" t="s">
        <v>532</v>
      </c>
      <c r="AA1" s="75" t="s">
        <v>533</v>
      </c>
    </row>
    <row r="2" spans="2:33" ht="33" customHeight="1">
      <c r="B2" s="76" t="s">
        <v>534</v>
      </c>
      <c r="C2" s="706"/>
      <c r="D2" s="706"/>
      <c r="E2" s="706"/>
      <c r="F2" s="77"/>
      <c r="W2" s="72"/>
      <c r="X2" s="78"/>
      <c r="Y2" s="74"/>
      <c r="Z2" s="78"/>
      <c r="AA2" s="79"/>
    </row>
    <row r="3" spans="2:33" ht="32.25" customHeight="1">
      <c r="B3" s="80"/>
      <c r="C3" s="81"/>
      <c r="D3" s="81"/>
      <c r="E3" s="81"/>
      <c r="F3" s="82">
        <f>F2</f>
        <v>0</v>
      </c>
      <c r="W3" s="83"/>
      <c r="X3" s="84"/>
      <c r="Y3" s="74"/>
      <c r="Z3" s="84"/>
      <c r="AA3" s="85"/>
    </row>
    <row r="4" spans="2:33" ht="32.25" customHeight="1" thickBot="1">
      <c r="B4" s="86"/>
      <c r="C4" s="707"/>
      <c r="D4" s="707"/>
      <c r="E4" s="707"/>
      <c r="F4" s="708"/>
      <c r="W4" s="74"/>
      <c r="Y4" s="74"/>
      <c r="Z4" s="74"/>
      <c r="AA4" s="74"/>
    </row>
    <row r="5" spans="2:33" ht="24" customHeight="1" thickBot="1">
      <c r="B5" s="87" t="s">
        <v>535</v>
      </c>
      <c r="C5" s="88"/>
      <c r="D5" s="88"/>
      <c r="E5" s="88"/>
      <c r="F5" s="89"/>
      <c r="G5" s="90"/>
      <c r="H5" s="91"/>
      <c r="I5" s="709" t="s">
        <v>536</v>
      </c>
      <c r="J5" s="710"/>
      <c r="K5" s="711"/>
      <c r="L5" s="712" t="s">
        <v>537</v>
      </c>
      <c r="M5" s="713"/>
      <c r="N5" s="714"/>
      <c r="O5" s="715" t="s">
        <v>538</v>
      </c>
      <c r="P5" s="710"/>
      <c r="Q5" s="710"/>
      <c r="R5" s="716"/>
      <c r="S5" s="92"/>
      <c r="T5" s="92"/>
      <c r="U5" s="93"/>
      <c r="V5" s="92"/>
      <c r="W5" s="94"/>
      <c r="Y5" s="74"/>
      <c r="Z5" s="74"/>
      <c r="AA5" s="74"/>
    </row>
    <row r="6" spans="2:33" ht="23.25" customHeight="1" thickBot="1">
      <c r="B6" s="669"/>
      <c r="C6" s="669"/>
      <c r="D6" s="95"/>
      <c r="E6" s="95"/>
      <c r="F6" s="96" t="s">
        <v>539</v>
      </c>
      <c r="G6" s="97"/>
      <c r="H6" s="98"/>
      <c r="I6" s="670"/>
      <c r="J6" s="671"/>
      <c r="K6" s="672"/>
      <c r="L6" s="673" t="s">
        <v>540</v>
      </c>
      <c r="M6" s="674"/>
      <c r="N6" s="675"/>
      <c r="O6" s="676"/>
      <c r="P6" s="677"/>
      <c r="Q6" s="677"/>
      <c r="R6" s="678"/>
      <c r="S6" s="99"/>
      <c r="T6" s="100"/>
      <c r="V6" s="101"/>
      <c r="W6" s="74"/>
      <c r="Y6" s="74"/>
      <c r="Z6" s="74"/>
      <c r="AA6" s="74"/>
    </row>
    <row r="7" spans="2:33" ht="3" customHeight="1" thickTop="1" thickBot="1">
      <c r="B7" s="102"/>
      <c r="W7" s="74"/>
      <c r="Y7" s="74"/>
      <c r="Z7" s="74"/>
      <c r="AA7" s="74"/>
    </row>
    <row r="8" spans="2:33" ht="21" customHeight="1" thickBot="1">
      <c r="B8" s="679" t="s">
        <v>541</v>
      </c>
      <c r="C8" s="680"/>
      <c r="D8" s="680"/>
      <c r="E8" s="681"/>
      <c r="F8" s="692" t="s">
        <v>542</v>
      </c>
      <c r="G8" s="693"/>
      <c r="H8" s="694"/>
      <c r="I8" s="695" t="s">
        <v>543</v>
      </c>
      <c r="J8" s="680"/>
      <c r="K8" s="680"/>
      <c r="L8" s="680"/>
      <c r="M8" s="680"/>
      <c r="N8" s="680"/>
      <c r="O8" s="680"/>
      <c r="P8" s="680"/>
      <c r="Q8" s="680"/>
      <c r="R8" s="696"/>
      <c r="S8" s="103"/>
      <c r="T8" s="103"/>
      <c r="U8" s="103"/>
      <c r="V8" s="103"/>
      <c r="W8" s="74"/>
      <c r="Y8" s="74"/>
      <c r="Z8" s="74"/>
      <c r="AA8" s="74"/>
      <c r="AB8" s="104" t="s">
        <v>544</v>
      </c>
      <c r="AC8" s="105" t="s">
        <v>545</v>
      </c>
      <c r="AD8" s="71" t="s">
        <v>546</v>
      </c>
    </row>
    <row r="9" spans="2:33" ht="27" customHeight="1" thickBot="1">
      <c r="B9" s="682" t="s">
        <v>547</v>
      </c>
      <c r="C9" s="683"/>
      <c r="D9" s="683"/>
      <c r="E9" s="684"/>
      <c r="F9" s="697" t="s">
        <v>625</v>
      </c>
      <c r="G9" s="698"/>
      <c r="H9" s="699"/>
      <c r="I9" s="106" t="s">
        <v>548</v>
      </c>
      <c r="J9" s="107" t="s">
        <v>549</v>
      </c>
      <c r="K9" s="107" t="s">
        <v>550</v>
      </c>
      <c r="L9" s="108" t="s">
        <v>551</v>
      </c>
      <c r="M9" s="109" t="s">
        <v>552</v>
      </c>
      <c r="N9" s="107" t="s">
        <v>553</v>
      </c>
      <c r="O9" s="107" t="s">
        <v>554</v>
      </c>
      <c r="P9" s="107" t="s">
        <v>555</v>
      </c>
      <c r="Q9" s="110" t="s">
        <v>556</v>
      </c>
      <c r="R9" s="111" t="s">
        <v>557</v>
      </c>
      <c r="S9" s="112"/>
      <c r="T9" s="113" t="s">
        <v>558</v>
      </c>
      <c r="U9" s="113"/>
      <c r="V9" s="113"/>
      <c r="X9" s="114"/>
      <c r="AB9" s="115" t="s">
        <v>559</v>
      </c>
      <c r="AC9" s="116">
        <v>101</v>
      </c>
      <c r="AD9" s="71" t="s">
        <v>560</v>
      </c>
    </row>
    <row r="10" spans="2:33" ht="3" customHeight="1" thickBot="1">
      <c r="B10" s="102"/>
      <c r="F10" s="117"/>
      <c r="G10" s="117"/>
      <c r="H10" s="117"/>
      <c r="I10" s="117"/>
      <c r="J10" s="117"/>
      <c r="K10" s="117"/>
      <c r="L10" s="117"/>
      <c r="M10" s="118" t="s">
        <v>561</v>
      </c>
      <c r="N10" s="118"/>
      <c r="O10" s="118"/>
      <c r="P10" s="118"/>
      <c r="Q10" s="118"/>
      <c r="R10" s="117"/>
      <c r="S10" s="117"/>
      <c r="AB10" s="119" t="s">
        <v>562</v>
      </c>
      <c r="AC10" s="105">
        <v>102</v>
      </c>
      <c r="AD10" s="71" t="s">
        <v>563</v>
      </c>
    </row>
    <row r="11" spans="2:33" ht="24.9" customHeight="1">
      <c r="B11" s="685" t="s">
        <v>564</v>
      </c>
      <c r="C11" s="686"/>
      <c r="D11" s="686"/>
      <c r="E11" s="687"/>
      <c r="F11" s="700" t="s">
        <v>626</v>
      </c>
      <c r="G11" s="701"/>
      <c r="H11" s="701"/>
      <c r="I11" s="701"/>
      <c r="J11" s="701"/>
      <c r="K11" s="701"/>
      <c r="L11" s="701"/>
      <c r="M11" s="701"/>
      <c r="N11" s="701"/>
      <c r="O11" s="701"/>
      <c r="P11" s="701"/>
      <c r="Q11" s="701"/>
      <c r="R11" s="702"/>
      <c r="S11" s="120"/>
      <c r="T11" s="121"/>
      <c r="U11" s="121"/>
      <c r="V11" s="121"/>
      <c r="AB11" s="119" t="s">
        <v>565</v>
      </c>
      <c r="AC11" s="105">
        <v>103</v>
      </c>
      <c r="AD11" s="71" t="s">
        <v>566</v>
      </c>
    </row>
    <row r="12" spans="2:33" ht="33.75" customHeight="1" thickBot="1">
      <c r="B12" s="688" t="s">
        <v>627</v>
      </c>
      <c r="C12" s="689"/>
      <c r="D12" s="689"/>
      <c r="E12" s="690"/>
      <c r="F12" s="703" t="s">
        <v>628</v>
      </c>
      <c r="G12" s="704"/>
      <c r="H12" s="704"/>
      <c r="I12" s="704"/>
      <c r="J12" s="704"/>
      <c r="K12" s="704"/>
      <c r="L12" s="704"/>
      <c r="M12" s="704"/>
      <c r="N12" s="704"/>
      <c r="O12" s="704"/>
      <c r="P12" s="704"/>
      <c r="Q12" s="704"/>
      <c r="R12" s="705"/>
      <c r="S12" s="122"/>
      <c r="T12" s="121"/>
      <c r="U12" s="121"/>
      <c r="V12" s="121"/>
      <c r="AB12" s="119" t="s">
        <v>567</v>
      </c>
      <c r="AC12" s="105">
        <v>104</v>
      </c>
      <c r="AD12" s="71" t="s">
        <v>568</v>
      </c>
    </row>
    <row r="13" spans="2:33" ht="3.75" customHeight="1" thickBot="1">
      <c r="B13" s="123"/>
      <c r="M13" s="124"/>
      <c r="N13" s="124"/>
      <c r="O13" s="124"/>
      <c r="P13" s="124"/>
      <c r="Q13" s="124"/>
      <c r="R13" s="125"/>
      <c r="S13" s="125"/>
      <c r="T13" s="125"/>
      <c r="U13" s="125"/>
      <c r="V13" s="125"/>
      <c r="AB13" s="119" t="s">
        <v>569</v>
      </c>
      <c r="AC13" s="105">
        <v>105</v>
      </c>
      <c r="AD13" s="71" t="s">
        <v>570</v>
      </c>
    </row>
    <row r="14" spans="2:33" ht="6.75" customHeight="1">
      <c r="B14" s="637" t="s">
        <v>675</v>
      </c>
      <c r="C14" s="126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8"/>
      <c r="O14" s="128"/>
      <c r="P14" s="128"/>
      <c r="Q14" s="128"/>
      <c r="R14" s="129"/>
      <c r="S14" s="130"/>
      <c r="T14" s="130"/>
      <c r="U14" s="130"/>
      <c r="V14" s="130"/>
      <c r="W14" s="131"/>
      <c r="Y14" s="132"/>
      <c r="Z14" s="691"/>
      <c r="AB14" s="119" t="s">
        <v>571</v>
      </c>
      <c r="AC14" s="105">
        <v>106</v>
      </c>
      <c r="AD14" s="71" t="s">
        <v>572</v>
      </c>
      <c r="AF14" s="133">
        <v>1</v>
      </c>
      <c r="AG14" s="71" t="s">
        <v>573</v>
      </c>
    </row>
    <row r="15" spans="2:33" ht="15.9" customHeight="1">
      <c r="B15" s="638"/>
      <c r="C15" s="134"/>
      <c r="D15" s="273" t="s">
        <v>670</v>
      </c>
      <c r="E15" s="136"/>
      <c r="F15" s="137"/>
      <c r="G15" s="137"/>
      <c r="H15" s="137"/>
      <c r="I15" s="137"/>
      <c r="J15" s="137"/>
      <c r="K15" s="137"/>
      <c r="L15" s="137"/>
      <c r="M15" s="137"/>
      <c r="N15" s="138"/>
      <c r="O15" s="138"/>
      <c r="P15" s="138"/>
      <c r="Q15" s="138"/>
      <c r="R15" s="139"/>
      <c r="S15" s="138"/>
      <c r="T15" s="124"/>
      <c r="U15" s="124"/>
      <c r="V15" s="124"/>
      <c r="Y15" s="132"/>
      <c r="Z15" s="691"/>
      <c r="AB15" s="119" t="s">
        <v>574</v>
      </c>
      <c r="AC15" s="105">
        <v>107</v>
      </c>
      <c r="AD15" s="71" t="s">
        <v>575</v>
      </c>
      <c r="AF15" s="140">
        <v>2</v>
      </c>
      <c r="AG15" s="71" t="s">
        <v>576</v>
      </c>
    </row>
    <row r="16" spans="2:33" ht="15.9" customHeight="1">
      <c r="B16" s="638"/>
      <c r="C16" s="141"/>
      <c r="D16" s="273" t="s">
        <v>643</v>
      </c>
      <c r="E16" s="136"/>
      <c r="F16" s="142"/>
      <c r="G16" s="142"/>
      <c r="H16" s="142"/>
      <c r="I16" s="142"/>
      <c r="J16" s="142"/>
      <c r="K16" s="142"/>
      <c r="L16" s="142"/>
      <c r="M16" s="142"/>
      <c r="N16" s="138"/>
      <c r="O16" s="138"/>
      <c r="P16" s="138"/>
      <c r="Q16" s="138"/>
      <c r="R16" s="139"/>
      <c r="S16" s="138"/>
      <c r="T16" s="124"/>
      <c r="W16" s="143"/>
      <c r="X16" s="143"/>
      <c r="Y16" s="144"/>
      <c r="Z16" s="145"/>
      <c r="AB16" s="119" t="s">
        <v>577</v>
      </c>
      <c r="AC16" s="105">
        <v>109</v>
      </c>
      <c r="AF16" s="140">
        <v>4</v>
      </c>
      <c r="AG16" s="71" t="s">
        <v>578</v>
      </c>
    </row>
    <row r="17" spans="2:33" ht="15.9" customHeight="1">
      <c r="B17" s="638"/>
      <c r="C17" s="141"/>
      <c r="D17" s="135"/>
      <c r="E17" s="274" t="s">
        <v>658</v>
      </c>
      <c r="F17" s="142"/>
      <c r="G17" s="142"/>
      <c r="H17" s="142"/>
      <c r="I17" s="142"/>
      <c r="J17" s="142"/>
      <c r="K17" s="142"/>
      <c r="L17" s="142"/>
      <c r="M17" s="142"/>
      <c r="N17" s="138"/>
      <c r="O17" s="138"/>
      <c r="P17" s="138"/>
      <c r="Q17" s="138"/>
      <c r="R17" s="139"/>
      <c r="S17" s="138"/>
      <c r="T17" s="124"/>
      <c r="U17" s="146"/>
      <c r="AB17" s="119" t="s">
        <v>579</v>
      </c>
      <c r="AC17" s="105">
        <v>110</v>
      </c>
      <c r="AF17" s="140">
        <v>5</v>
      </c>
      <c r="AG17" s="71" t="s">
        <v>580</v>
      </c>
    </row>
    <row r="18" spans="2:33" ht="15.9" customHeight="1">
      <c r="B18" s="638"/>
      <c r="C18" s="141"/>
      <c r="D18" s="142"/>
      <c r="E18" s="135" t="s">
        <v>648</v>
      </c>
      <c r="F18" s="142"/>
      <c r="G18" s="142"/>
      <c r="H18" s="142"/>
      <c r="I18" s="142"/>
      <c r="J18" s="142"/>
      <c r="K18" s="142"/>
      <c r="L18" s="142"/>
      <c r="M18" s="142"/>
      <c r="N18" s="138"/>
      <c r="O18" s="138"/>
      <c r="P18" s="138"/>
      <c r="Q18" s="138"/>
      <c r="R18" s="147"/>
      <c r="S18" s="148"/>
      <c r="T18" s="149"/>
      <c r="U18" s="150"/>
      <c r="V18" s="143" t="s">
        <v>581</v>
      </c>
      <c r="W18" s="143"/>
      <c r="X18" s="143"/>
      <c r="Y18" s="144"/>
      <c r="Z18" s="145"/>
      <c r="AB18" s="119" t="s">
        <v>582</v>
      </c>
      <c r="AC18" s="105">
        <v>111</v>
      </c>
      <c r="AF18" s="140">
        <v>6</v>
      </c>
      <c r="AG18" s="71" t="s">
        <v>583</v>
      </c>
    </row>
    <row r="19" spans="2:33" ht="15.9" customHeight="1">
      <c r="B19" s="638"/>
      <c r="C19" s="141"/>
      <c r="D19" s="142"/>
      <c r="E19" s="135" t="s">
        <v>649</v>
      </c>
      <c r="F19" s="142"/>
      <c r="G19" s="142"/>
      <c r="H19" s="142"/>
      <c r="I19" s="142"/>
      <c r="J19" s="142"/>
      <c r="K19" s="142"/>
      <c r="L19" s="142"/>
      <c r="M19" s="142"/>
      <c r="N19" s="138"/>
      <c r="O19" s="138"/>
      <c r="P19" s="138"/>
      <c r="Q19" s="138"/>
      <c r="R19" s="147"/>
      <c r="S19" s="148"/>
      <c r="T19" s="149"/>
      <c r="U19" s="150"/>
      <c r="V19" s="143"/>
      <c r="W19" s="143"/>
      <c r="X19" s="143"/>
      <c r="Y19" s="144"/>
      <c r="Z19" s="145"/>
      <c r="AB19" s="119"/>
      <c r="AC19" s="105"/>
      <c r="AF19" s="140"/>
    </row>
    <row r="20" spans="2:33" ht="15.9" customHeight="1">
      <c r="B20" s="638"/>
      <c r="C20" s="141"/>
      <c r="D20" s="274" t="s">
        <v>644</v>
      </c>
      <c r="E20" s="142"/>
      <c r="F20" s="142"/>
      <c r="G20" s="142"/>
      <c r="H20" s="142"/>
      <c r="I20" s="142"/>
      <c r="J20" s="142"/>
      <c r="K20" s="142"/>
      <c r="L20" s="142"/>
      <c r="M20" s="142"/>
      <c r="N20" s="151"/>
      <c r="O20" s="151"/>
      <c r="P20" s="151"/>
      <c r="Q20" s="138"/>
      <c r="R20" s="152"/>
      <c r="S20" s="151"/>
      <c r="T20" s="153"/>
      <c r="U20" s="153"/>
      <c r="V20" s="143" t="s">
        <v>584</v>
      </c>
      <c r="Y20" s="132"/>
      <c r="Z20" s="154"/>
      <c r="AB20" s="119" t="s">
        <v>585</v>
      </c>
      <c r="AC20" s="105">
        <v>201</v>
      </c>
      <c r="AF20" s="140">
        <v>7</v>
      </c>
      <c r="AG20" s="71" t="s">
        <v>586</v>
      </c>
    </row>
    <row r="21" spans="2:33" ht="15.9" customHeight="1">
      <c r="B21" s="638"/>
      <c r="C21" s="155"/>
      <c r="D21" s="136"/>
      <c r="E21" s="136" t="s">
        <v>646</v>
      </c>
      <c r="F21" s="124"/>
      <c r="G21" s="124"/>
      <c r="H21" s="124"/>
      <c r="I21" s="124"/>
      <c r="J21" s="124"/>
      <c r="K21" s="124"/>
      <c r="L21" s="124"/>
      <c r="M21" s="138"/>
      <c r="N21" s="138"/>
      <c r="O21" s="138"/>
      <c r="P21" s="138"/>
      <c r="Q21" s="138"/>
      <c r="R21" s="147"/>
      <c r="S21" s="148"/>
      <c r="T21" s="149"/>
      <c r="U21" s="149"/>
      <c r="V21" s="149"/>
      <c r="Y21" s="132"/>
      <c r="Z21" s="154"/>
      <c r="AB21" s="119" t="s">
        <v>587</v>
      </c>
      <c r="AC21" s="105">
        <v>202</v>
      </c>
      <c r="AF21" s="140">
        <v>8</v>
      </c>
    </row>
    <row r="22" spans="2:33" ht="15.9" customHeight="1">
      <c r="B22" s="638"/>
      <c r="C22" s="156"/>
      <c r="E22" s="136" t="s">
        <v>647</v>
      </c>
      <c r="F22" s="124"/>
      <c r="G22" s="124"/>
      <c r="H22" s="124"/>
      <c r="I22" s="124"/>
      <c r="J22" s="124"/>
      <c r="K22" s="124"/>
      <c r="L22" s="124"/>
      <c r="M22" s="138"/>
      <c r="N22" s="138"/>
      <c r="O22" s="138"/>
      <c r="P22" s="138"/>
      <c r="Q22" s="138"/>
      <c r="R22" s="147"/>
      <c r="S22" s="148"/>
      <c r="T22" s="149"/>
      <c r="U22" s="153"/>
      <c r="V22" s="149"/>
      <c r="Y22" s="132"/>
      <c r="Z22" s="154"/>
      <c r="AB22" s="119" t="s">
        <v>588</v>
      </c>
      <c r="AC22" s="105">
        <v>203</v>
      </c>
      <c r="AF22" s="140">
        <v>9</v>
      </c>
    </row>
    <row r="23" spans="2:33" ht="15.9" customHeight="1" thickBot="1">
      <c r="B23" s="639"/>
      <c r="C23" s="164"/>
      <c r="D23" s="165"/>
      <c r="E23" s="165"/>
      <c r="F23" s="165"/>
      <c r="G23" s="165"/>
      <c r="H23" s="166"/>
      <c r="I23" s="166"/>
      <c r="J23" s="166"/>
      <c r="K23" s="166"/>
      <c r="L23" s="166"/>
      <c r="M23" s="167"/>
      <c r="N23" s="167"/>
      <c r="O23" s="167"/>
      <c r="P23" s="275"/>
      <c r="Q23" s="276"/>
      <c r="R23" s="168"/>
      <c r="S23" s="162"/>
      <c r="T23" s="124"/>
      <c r="U23" s="124"/>
      <c r="V23" s="124"/>
      <c r="AB23" s="119" t="s">
        <v>589</v>
      </c>
      <c r="AC23" s="105">
        <v>304</v>
      </c>
      <c r="AF23" s="133">
        <v>41</v>
      </c>
    </row>
    <row r="24" spans="2:33" ht="5.25" customHeight="1">
      <c r="B24" s="637" t="s">
        <v>676</v>
      </c>
      <c r="C24" s="169"/>
      <c r="D24" s="318"/>
      <c r="E24" s="31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70"/>
      <c r="Q24" s="170"/>
      <c r="R24" s="171"/>
      <c r="S24" s="172"/>
      <c r="T24" s="124"/>
      <c r="U24" s="172"/>
      <c r="V24" s="172"/>
      <c r="AB24" s="119" t="s">
        <v>590</v>
      </c>
      <c r="AC24" s="105">
        <v>305</v>
      </c>
      <c r="AF24" s="140">
        <v>42</v>
      </c>
    </row>
    <row r="25" spans="2:33" ht="15.9" customHeight="1">
      <c r="B25" s="638"/>
      <c r="C25" s="173"/>
      <c r="D25" s="273" t="s">
        <v>671</v>
      </c>
      <c r="E25" s="136"/>
      <c r="F25" s="137"/>
      <c r="G25" s="124"/>
      <c r="H25" s="124"/>
      <c r="I25" s="124"/>
      <c r="J25" s="124"/>
      <c r="K25" s="124"/>
      <c r="L25" s="124"/>
      <c r="M25" s="138"/>
      <c r="N25" s="138"/>
      <c r="O25" s="138"/>
      <c r="P25" s="174"/>
      <c r="Q25" s="174"/>
      <c r="R25" s="175"/>
      <c r="S25" s="174"/>
      <c r="T25" s="124"/>
      <c r="U25" s="124"/>
      <c r="V25" s="124"/>
      <c r="AB25" s="119" t="s">
        <v>591</v>
      </c>
      <c r="AC25" s="105">
        <v>501</v>
      </c>
      <c r="AF25" s="163">
        <v>43</v>
      </c>
    </row>
    <row r="26" spans="2:33" ht="15.9" customHeight="1">
      <c r="B26" s="638"/>
      <c r="C26" s="155"/>
      <c r="D26" s="273" t="s">
        <v>643</v>
      </c>
      <c r="E26" s="136"/>
      <c r="F26" s="142"/>
      <c r="G26" s="124"/>
      <c r="H26" s="124"/>
      <c r="I26" s="124"/>
      <c r="J26" s="124"/>
      <c r="K26" s="124"/>
      <c r="M26" s="176"/>
      <c r="N26" s="138"/>
      <c r="O26" s="138"/>
      <c r="P26" s="174"/>
      <c r="Q26" s="174"/>
      <c r="R26" s="175"/>
      <c r="S26" s="174"/>
      <c r="T26" s="124"/>
      <c r="U26" s="124"/>
      <c r="V26" s="124"/>
      <c r="AB26" s="119" t="s">
        <v>592</v>
      </c>
      <c r="AC26" s="105">
        <v>504</v>
      </c>
      <c r="AF26" s="140">
        <v>62</v>
      </c>
    </row>
    <row r="27" spans="2:33" ht="15.9" customHeight="1">
      <c r="B27" s="638"/>
      <c r="C27" s="177"/>
      <c r="D27" s="135"/>
      <c r="E27" s="274" t="s">
        <v>659</v>
      </c>
      <c r="F27" s="142"/>
      <c r="G27" s="178"/>
      <c r="H27" s="178"/>
      <c r="I27" s="178"/>
      <c r="J27" s="178"/>
      <c r="K27" s="178"/>
      <c r="L27" s="178"/>
      <c r="M27" s="178"/>
      <c r="N27" s="151"/>
      <c r="O27" s="151"/>
      <c r="P27" s="151"/>
      <c r="Q27" s="151"/>
      <c r="R27" s="175"/>
      <c r="S27" s="174"/>
      <c r="T27" s="124"/>
      <c r="U27" s="124"/>
      <c r="V27" s="124"/>
      <c r="AB27" s="119" t="s">
        <v>593</v>
      </c>
      <c r="AC27" s="105">
        <v>505</v>
      </c>
      <c r="AF27" s="140">
        <v>63</v>
      </c>
    </row>
    <row r="28" spans="2:33" ht="15.9" customHeight="1">
      <c r="B28" s="638"/>
      <c r="C28" s="177"/>
      <c r="D28" s="142"/>
      <c r="E28" s="135" t="s">
        <v>669</v>
      </c>
      <c r="F28" s="142"/>
      <c r="G28" s="178"/>
      <c r="H28" s="178"/>
      <c r="I28" s="178"/>
      <c r="J28" s="178"/>
      <c r="K28" s="178"/>
      <c r="L28" s="178"/>
      <c r="M28" s="178"/>
      <c r="N28" s="176"/>
      <c r="O28" s="138"/>
      <c r="P28" s="174"/>
      <c r="Q28" s="174"/>
      <c r="R28" s="175"/>
      <c r="S28" s="174"/>
      <c r="T28" s="124"/>
      <c r="U28" s="124"/>
      <c r="V28" s="124"/>
      <c r="AB28" s="119" t="s">
        <v>594</v>
      </c>
      <c r="AC28" s="105">
        <v>507</v>
      </c>
      <c r="AF28" s="140">
        <v>65</v>
      </c>
    </row>
    <row r="29" spans="2:33" ht="15.9" customHeight="1">
      <c r="B29" s="638"/>
      <c r="D29" s="274" t="s">
        <v>644</v>
      </c>
      <c r="E29" s="142"/>
      <c r="F29" s="142"/>
      <c r="G29" s="124"/>
      <c r="H29" s="124"/>
      <c r="I29" s="124"/>
      <c r="J29" s="124"/>
      <c r="K29" s="124"/>
      <c r="L29" s="124"/>
      <c r="M29" s="124"/>
      <c r="N29" s="124"/>
      <c r="O29" s="124"/>
      <c r="P29" s="180"/>
      <c r="Q29" s="180"/>
      <c r="R29" s="179"/>
      <c r="S29" s="180"/>
      <c r="T29" s="124"/>
      <c r="U29" s="124"/>
      <c r="V29" s="124"/>
      <c r="AF29" s="140">
        <v>67</v>
      </c>
    </row>
    <row r="30" spans="2:33" ht="15.9" customHeight="1">
      <c r="B30" s="638"/>
      <c r="D30" s="136"/>
      <c r="E30" s="136" t="s">
        <v>650</v>
      </c>
      <c r="F30" s="124"/>
      <c r="G30" s="124"/>
      <c r="H30" s="124"/>
      <c r="I30" s="124"/>
      <c r="J30" s="124"/>
      <c r="K30" s="124"/>
      <c r="L30" s="124"/>
      <c r="M30" s="138"/>
      <c r="N30" s="181"/>
      <c r="O30" s="124"/>
      <c r="P30" s="180"/>
      <c r="Q30" s="180"/>
      <c r="R30" s="179"/>
      <c r="S30" s="180"/>
      <c r="T30" s="124"/>
      <c r="U30" s="124"/>
      <c r="V30" s="124"/>
      <c r="AF30" s="140">
        <v>68</v>
      </c>
    </row>
    <row r="31" spans="2:33" ht="15.9" customHeight="1">
      <c r="B31" s="638"/>
      <c r="E31" s="136" t="s">
        <v>651</v>
      </c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80"/>
      <c r="Q31" s="180"/>
      <c r="R31" s="179"/>
      <c r="S31" s="180"/>
      <c r="T31" s="124"/>
      <c r="U31" s="124"/>
      <c r="V31" s="124"/>
      <c r="AF31" s="140">
        <v>69</v>
      </c>
    </row>
    <row r="32" spans="2:33" ht="15.9" customHeight="1">
      <c r="B32" s="638"/>
      <c r="E32" s="136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80"/>
      <c r="Q32" s="180"/>
      <c r="R32" s="179"/>
      <c r="S32" s="180"/>
      <c r="T32" s="124"/>
      <c r="U32" s="124"/>
      <c r="V32" s="124"/>
      <c r="AF32" s="140"/>
    </row>
    <row r="33" spans="2:32" ht="15.9" customHeight="1" thickBot="1">
      <c r="B33" s="639"/>
      <c r="C33" s="319"/>
      <c r="D33" s="319"/>
      <c r="E33" s="319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320"/>
      <c r="Q33" s="320"/>
      <c r="R33" s="321"/>
      <c r="S33" s="180"/>
      <c r="T33" s="124"/>
      <c r="U33" s="124"/>
      <c r="V33" s="124"/>
      <c r="AF33" s="140">
        <v>70</v>
      </c>
    </row>
    <row r="34" spans="2:32" ht="7.5" customHeight="1">
      <c r="B34" s="637" t="s">
        <v>679</v>
      </c>
      <c r="C34" s="326"/>
      <c r="D34" s="327"/>
      <c r="E34" s="327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70"/>
      <c r="Q34" s="170"/>
      <c r="R34" s="328"/>
      <c r="S34" s="180"/>
      <c r="T34" s="124"/>
      <c r="U34" s="124"/>
      <c r="V34" s="124"/>
      <c r="AF34" s="184"/>
    </row>
    <row r="35" spans="2:32" ht="15.9" customHeight="1">
      <c r="B35" s="638"/>
      <c r="C35" s="182"/>
      <c r="D35" s="273" t="s">
        <v>678</v>
      </c>
      <c r="E35" s="183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80"/>
      <c r="Q35" s="180"/>
      <c r="R35" s="179"/>
      <c r="S35" s="180"/>
      <c r="T35" s="124"/>
      <c r="U35" s="124"/>
      <c r="V35" s="124"/>
      <c r="AF35" s="184"/>
    </row>
    <row r="36" spans="2:32" ht="15.9" customHeight="1">
      <c r="B36" s="638"/>
      <c r="C36" s="182"/>
      <c r="D36" s="183"/>
      <c r="E36" s="183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80"/>
      <c r="Q36" s="180"/>
      <c r="R36" s="179"/>
      <c r="S36" s="180"/>
      <c r="T36" s="124"/>
      <c r="U36" s="124"/>
      <c r="V36" s="124"/>
      <c r="AF36" s="184"/>
    </row>
    <row r="37" spans="2:32" ht="15.9" customHeight="1">
      <c r="B37" s="638"/>
      <c r="C37" s="182"/>
      <c r="D37" s="183"/>
      <c r="E37" s="183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80"/>
      <c r="Q37" s="180"/>
      <c r="R37" s="179"/>
      <c r="S37" s="180"/>
      <c r="T37" s="124"/>
      <c r="U37" s="124"/>
      <c r="V37" s="124"/>
      <c r="AF37" s="184"/>
    </row>
    <row r="38" spans="2:32" ht="15.9" customHeight="1">
      <c r="B38" s="638"/>
      <c r="C38" s="182"/>
      <c r="D38" s="183"/>
      <c r="E38" s="183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80"/>
      <c r="Q38" s="180"/>
      <c r="R38" s="179"/>
      <c r="S38" s="180"/>
      <c r="T38" s="124"/>
      <c r="U38" s="124"/>
      <c r="V38" s="124"/>
      <c r="AF38" s="184"/>
    </row>
    <row r="39" spans="2:32" ht="15.9" customHeight="1">
      <c r="B39" s="638"/>
      <c r="C39" s="182"/>
      <c r="D39" s="183"/>
      <c r="E39" s="183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80"/>
      <c r="Q39" s="180"/>
      <c r="R39" s="179"/>
      <c r="S39" s="180"/>
      <c r="T39" s="124"/>
      <c r="U39" s="124"/>
      <c r="V39" s="124"/>
      <c r="AF39" s="184"/>
    </row>
    <row r="40" spans="2:32" ht="15.9" customHeight="1">
      <c r="B40" s="638"/>
      <c r="C40" s="182"/>
      <c r="D40" s="183"/>
      <c r="E40" s="183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80"/>
      <c r="Q40" s="180"/>
      <c r="R40" s="179"/>
      <c r="S40" s="180"/>
      <c r="T40" s="124"/>
      <c r="U40" s="124"/>
      <c r="V40" s="124"/>
      <c r="AF40" s="184"/>
    </row>
    <row r="41" spans="2:32" ht="15.9" customHeight="1">
      <c r="B41" s="638"/>
      <c r="C41" s="182"/>
      <c r="D41" s="183"/>
      <c r="E41" s="183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80"/>
      <c r="Q41" s="180"/>
      <c r="R41" s="179"/>
      <c r="S41" s="180"/>
      <c r="T41" s="124"/>
      <c r="U41" s="124"/>
      <c r="V41" s="124"/>
      <c r="AF41" s="184"/>
    </row>
    <row r="42" spans="2:32" ht="15.9" customHeight="1">
      <c r="B42" s="638"/>
      <c r="C42" s="156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80"/>
      <c r="Q42" s="180"/>
      <c r="R42" s="179"/>
      <c r="S42" s="180"/>
      <c r="T42" s="124"/>
      <c r="U42" s="124"/>
      <c r="V42" s="124"/>
      <c r="AF42" s="163">
        <v>71</v>
      </c>
    </row>
    <row r="43" spans="2:32" ht="15.9" customHeight="1">
      <c r="B43" s="638"/>
      <c r="C43" s="156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85"/>
      <c r="Q43" s="185"/>
      <c r="R43" s="179"/>
      <c r="S43" s="180"/>
      <c r="T43" s="124"/>
      <c r="U43" s="124"/>
      <c r="V43" s="124"/>
      <c r="AF43" s="186">
        <v>81</v>
      </c>
    </row>
    <row r="44" spans="2:32" ht="15.9" customHeight="1">
      <c r="B44" s="638"/>
      <c r="C44" s="156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85"/>
      <c r="Q44" s="185"/>
      <c r="R44" s="179"/>
      <c r="S44" s="180"/>
      <c r="T44" s="124"/>
      <c r="U44" s="124"/>
      <c r="V44" s="124"/>
      <c r="AF44" s="158"/>
    </row>
    <row r="45" spans="2:32" ht="9.75" customHeight="1" thickBot="1">
      <c r="B45" s="639"/>
      <c r="C45" s="329"/>
      <c r="D45" s="319"/>
      <c r="E45" s="319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330"/>
      <c r="Q45" s="330"/>
      <c r="R45" s="321"/>
      <c r="S45" s="180"/>
      <c r="T45" s="124"/>
      <c r="U45" s="124"/>
      <c r="V45" s="124"/>
      <c r="AF45" s="158"/>
    </row>
    <row r="46" spans="2:32" ht="2.25" customHeight="1">
      <c r="B46" s="637" t="s">
        <v>677</v>
      </c>
      <c r="C46" s="156"/>
      <c r="D46" s="273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85"/>
      <c r="Q46" s="185"/>
      <c r="R46" s="179"/>
      <c r="S46" s="180"/>
      <c r="T46" s="124"/>
      <c r="U46" s="124"/>
      <c r="V46" s="124"/>
      <c r="AF46" s="158"/>
    </row>
    <row r="47" spans="2:32" ht="15.9" customHeight="1">
      <c r="B47" s="638"/>
      <c r="C47" s="160"/>
      <c r="D47" s="124"/>
      <c r="E47" s="274" t="s">
        <v>672</v>
      </c>
      <c r="F47" s="161"/>
      <c r="G47" s="124"/>
      <c r="H47" s="124"/>
      <c r="I47" s="124"/>
      <c r="J47" s="124"/>
      <c r="K47" s="124"/>
      <c r="L47" s="124"/>
      <c r="M47" s="124"/>
      <c r="N47" s="124"/>
      <c r="O47" s="124"/>
      <c r="P47" s="185"/>
      <c r="Q47" s="180"/>
      <c r="R47" s="179"/>
      <c r="S47" s="180"/>
      <c r="T47" s="124"/>
      <c r="U47" s="124"/>
      <c r="V47" s="124"/>
      <c r="AF47" s="163">
        <v>82</v>
      </c>
    </row>
    <row r="48" spans="2:32" ht="15.9" customHeight="1">
      <c r="B48" s="638"/>
      <c r="C48" s="160"/>
      <c r="D48" s="124"/>
      <c r="E48" s="274" t="s">
        <v>673</v>
      </c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87"/>
      <c r="Q48" s="188"/>
      <c r="R48" s="179"/>
      <c r="S48" s="180"/>
      <c r="T48" s="124"/>
      <c r="U48" s="124"/>
      <c r="V48" s="124"/>
      <c r="AF48" s="186">
        <v>91</v>
      </c>
    </row>
    <row r="49" spans="2:32" ht="15.9" customHeight="1">
      <c r="B49" s="638"/>
      <c r="C49" s="189"/>
      <c r="D49" s="161"/>
      <c r="E49" s="274" t="s">
        <v>674</v>
      </c>
      <c r="F49" s="161"/>
      <c r="G49" s="124"/>
      <c r="H49" s="124"/>
      <c r="I49" s="124"/>
      <c r="J49" s="124"/>
      <c r="K49" s="124"/>
      <c r="L49" s="124"/>
      <c r="M49" s="81"/>
      <c r="N49" s="81"/>
      <c r="O49" s="81"/>
      <c r="P49" s="322"/>
      <c r="Q49" s="324"/>
      <c r="R49" s="179"/>
      <c r="S49" s="162"/>
      <c r="T49" s="124"/>
      <c r="U49" s="124"/>
      <c r="V49" s="124"/>
      <c r="AF49" s="140">
        <v>92</v>
      </c>
    </row>
    <row r="50" spans="2:32" ht="15.9" customHeight="1" thickBot="1">
      <c r="B50" s="639"/>
      <c r="C50" s="190"/>
      <c r="D50" s="191"/>
      <c r="E50" s="191"/>
      <c r="F50" s="166"/>
      <c r="G50" s="166"/>
      <c r="H50" s="166"/>
      <c r="I50" s="166"/>
      <c r="J50" s="166"/>
      <c r="K50" s="166"/>
      <c r="L50" s="166"/>
      <c r="M50" s="167"/>
      <c r="N50" s="167"/>
      <c r="O50" s="167"/>
      <c r="P50" s="323"/>
      <c r="Q50" s="325"/>
      <c r="R50" s="321"/>
      <c r="S50" s="162"/>
      <c r="T50" s="124"/>
      <c r="U50" s="124"/>
      <c r="V50" s="124"/>
      <c r="AF50" s="140">
        <v>93</v>
      </c>
    </row>
    <row r="51" spans="2:32" ht="15.9" customHeight="1" thickTop="1">
      <c r="B51" s="647" t="s">
        <v>595</v>
      </c>
      <c r="C51" s="192" t="s">
        <v>596</v>
      </c>
      <c r="D51" s="193"/>
      <c r="E51" s="193"/>
      <c r="F51" s="193"/>
      <c r="G51" s="650" t="s">
        <v>597</v>
      </c>
      <c r="H51" s="653" t="s">
        <v>598</v>
      </c>
      <c r="I51" s="654"/>
      <c r="J51" s="655" t="s">
        <v>599</v>
      </c>
      <c r="K51" s="656"/>
      <c r="L51" s="657"/>
      <c r="M51" s="658" t="s">
        <v>600</v>
      </c>
      <c r="N51" s="659"/>
      <c r="O51" s="659"/>
      <c r="P51" s="659"/>
      <c r="Q51" s="659"/>
      <c r="R51" s="660"/>
      <c r="S51" s="194"/>
      <c r="T51" s="194"/>
      <c r="U51" s="194"/>
      <c r="V51" s="194"/>
      <c r="AF51" s="195">
        <v>101</v>
      </c>
    </row>
    <row r="52" spans="2:32" ht="15.9" customHeight="1">
      <c r="B52" s="648"/>
      <c r="C52" s="615" t="s">
        <v>601</v>
      </c>
      <c r="D52" s="616"/>
      <c r="E52" s="616"/>
      <c r="F52" s="617"/>
      <c r="G52" s="651"/>
      <c r="H52" s="196" t="s">
        <v>602</v>
      </c>
      <c r="I52" s="197" t="s">
        <v>603</v>
      </c>
      <c r="J52" s="620">
        <v>100000</v>
      </c>
      <c r="K52" s="621"/>
      <c r="L52" s="198" t="s">
        <v>604</v>
      </c>
      <c r="M52" s="199"/>
      <c r="N52" s="200"/>
      <c r="O52" s="199"/>
      <c r="P52" s="665">
        <v>100000</v>
      </c>
      <c r="Q52" s="666"/>
      <c r="R52" s="201" t="s">
        <v>604</v>
      </c>
      <c r="S52" s="202"/>
      <c r="T52" s="203"/>
      <c r="U52" s="203"/>
      <c r="V52" s="203"/>
      <c r="AF52" s="140">
        <v>102</v>
      </c>
    </row>
    <row r="53" spans="2:32" ht="15.9" customHeight="1">
      <c r="B53" s="648"/>
      <c r="C53" s="615" t="s">
        <v>605</v>
      </c>
      <c r="D53" s="616"/>
      <c r="E53" s="616"/>
      <c r="F53" s="617"/>
      <c r="G53" s="651"/>
      <c r="H53" s="204" t="s">
        <v>606</v>
      </c>
      <c r="I53" s="205"/>
      <c r="J53" s="667">
        <v>0</v>
      </c>
      <c r="K53" s="668"/>
      <c r="L53" s="206" t="s">
        <v>607</v>
      </c>
      <c r="M53" s="207"/>
      <c r="N53" s="207"/>
      <c r="O53" s="207"/>
      <c r="P53" s="665">
        <v>0</v>
      </c>
      <c r="Q53" s="666"/>
      <c r="R53" s="208" t="s">
        <v>607</v>
      </c>
      <c r="S53" s="209"/>
      <c r="T53" s="172"/>
      <c r="U53" s="172"/>
      <c r="V53" s="172"/>
      <c r="AF53" s="163">
        <v>103</v>
      </c>
    </row>
    <row r="54" spans="2:32" ht="15.9" customHeight="1" thickBot="1">
      <c r="B54" s="648"/>
      <c r="C54" s="615"/>
      <c r="D54" s="616"/>
      <c r="E54" s="616"/>
      <c r="F54" s="617"/>
      <c r="G54" s="651"/>
      <c r="H54" s="204" t="s">
        <v>608</v>
      </c>
      <c r="I54" s="205"/>
      <c r="J54" s="618" t="e">
        <f>P54</f>
        <v>#REF!</v>
      </c>
      <c r="K54" s="619"/>
      <c r="L54" s="206" t="s">
        <v>609</v>
      </c>
      <c r="M54" s="210" t="e">
        <f>P52*#REF!/3600</f>
        <v>#REF!</v>
      </c>
      <c r="N54" s="211" t="s">
        <v>610</v>
      </c>
      <c r="O54" s="210">
        <f>P52*Q49/3600</f>
        <v>0</v>
      </c>
      <c r="P54" s="643" t="e">
        <f>M54-O54</f>
        <v>#REF!</v>
      </c>
      <c r="Q54" s="644"/>
      <c r="R54" s="208" t="s">
        <v>609</v>
      </c>
      <c r="S54" s="209"/>
      <c r="T54" s="172"/>
      <c r="U54" s="172"/>
      <c r="V54" s="172"/>
      <c r="AF54" s="158">
        <v>111</v>
      </c>
    </row>
    <row r="55" spans="2:32" ht="15.9" customHeight="1" thickBot="1">
      <c r="B55" s="648"/>
      <c r="C55" s="212"/>
      <c r="D55" s="213"/>
      <c r="E55" s="213"/>
      <c r="F55" s="214"/>
      <c r="G55" s="651"/>
      <c r="H55" s="215"/>
      <c r="I55" s="216"/>
      <c r="J55" s="613"/>
      <c r="K55" s="614"/>
      <c r="L55" s="217"/>
      <c r="M55" s="218"/>
      <c r="N55" s="211"/>
      <c r="O55" s="218"/>
      <c r="P55" s="645"/>
      <c r="Q55" s="646"/>
      <c r="R55" s="208"/>
      <c r="S55" s="209"/>
      <c r="T55" s="172"/>
      <c r="U55" s="172"/>
      <c r="V55" s="172"/>
      <c r="AF55" s="219">
        <v>121</v>
      </c>
    </row>
    <row r="56" spans="2:32" ht="15.9" customHeight="1">
      <c r="B56" s="648"/>
      <c r="C56" s="212"/>
      <c r="D56" s="213"/>
      <c r="E56" s="213"/>
      <c r="F56" s="214"/>
      <c r="G56" s="651"/>
      <c r="H56" s="220"/>
      <c r="I56" s="221"/>
      <c r="J56" s="222"/>
      <c r="K56" s="223"/>
      <c r="L56" s="224"/>
      <c r="M56" s="225"/>
      <c r="N56" s="226"/>
      <c r="O56" s="227"/>
      <c r="P56" s="643"/>
      <c r="Q56" s="644"/>
      <c r="R56" s="208"/>
      <c r="S56" s="209"/>
      <c r="T56" s="172"/>
      <c r="U56" s="172"/>
      <c r="V56" s="172"/>
      <c r="AF56" s="228">
        <v>131</v>
      </c>
    </row>
    <row r="57" spans="2:32" ht="15.9" customHeight="1">
      <c r="B57" s="648"/>
      <c r="C57" s="229"/>
      <c r="D57" s="230"/>
      <c r="E57" s="230"/>
      <c r="F57" s="231"/>
      <c r="G57" s="651"/>
      <c r="H57" s="232"/>
      <c r="I57" s="233"/>
      <c r="J57" s="664"/>
      <c r="K57" s="664"/>
      <c r="L57" s="234"/>
      <c r="M57" s="207"/>
      <c r="N57" s="235"/>
      <c r="O57" s="236"/>
      <c r="P57" s="643"/>
      <c r="Q57" s="644"/>
      <c r="R57" s="208"/>
      <c r="S57" s="209"/>
      <c r="T57" s="172"/>
      <c r="U57" s="172"/>
      <c r="V57" s="172"/>
      <c r="AF57" s="237">
        <v>132</v>
      </c>
    </row>
    <row r="58" spans="2:32" ht="15.9" customHeight="1" thickBot="1">
      <c r="B58" s="649"/>
      <c r="C58" s="238"/>
      <c r="D58" s="239"/>
      <c r="E58" s="239"/>
      <c r="F58" s="239"/>
      <c r="G58" s="652"/>
      <c r="H58" s="240"/>
      <c r="I58" s="241"/>
      <c r="J58" s="661"/>
      <c r="K58" s="661"/>
      <c r="L58" s="242"/>
      <c r="M58" s="243"/>
      <c r="N58" s="244"/>
      <c r="O58" s="245"/>
      <c r="P58" s="662"/>
      <c r="Q58" s="663"/>
      <c r="R58" s="246"/>
      <c r="S58" s="209"/>
      <c r="T58" s="172"/>
      <c r="U58" s="172"/>
      <c r="V58" s="172"/>
      <c r="AF58" s="247">
        <v>133</v>
      </c>
    </row>
    <row r="59" spans="2:32" ht="20.25" customHeight="1" thickBot="1">
      <c r="B59" s="248" t="s">
        <v>611</v>
      </c>
      <c r="C59" s="624" t="s">
        <v>612</v>
      </c>
      <c r="D59" s="625"/>
      <c r="E59" s="625"/>
      <c r="F59" s="625"/>
      <c r="G59" s="626"/>
      <c r="H59" s="627" t="s">
        <v>613</v>
      </c>
      <c r="I59" s="628"/>
      <c r="J59" s="629" t="s">
        <v>614</v>
      </c>
      <c r="K59" s="630"/>
      <c r="L59" s="631"/>
      <c r="M59" s="632" t="s">
        <v>615</v>
      </c>
      <c r="N59" s="633"/>
      <c r="O59" s="640">
        <v>44621</v>
      </c>
      <c r="P59" s="641"/>
      <c r="Q59" s="641"/>
      <c r="R59" s="642"/>
      <c r="S59" s="249"/>
      <c r="T59" s="124"/>
      <c r="U59" s="124"/>
      <c r="V59" s="124"/>
    </row>
    <row r="60" spans="2:32" ht="4.5" customHeight="1" thickBot="1">
      <c r="B60" s="250"/>
      <c r="C60" s="251"/>
      <c r="D60" s="251"/>
      <c r="E60" s="251"/>
      <c r="F60" s="251"/>
      <c r="G60" s="251"/>
      <c r="H60" s="252"/>
      <c r="I60" s="252"/>
      <c r="J60" s="149"/>
      <c r="K60" s="252"/>
      <c r="L60" s="252"/>
      <c r="M60" s="124"/>
      <c r="N60" s="124"/>
      <c r="O60" s="124"/>
      <c r="P60" s="124"/>
      <c r="Q60" s="124"/>
      <c r="R60" s="124"/>
      <c r="S60" s="124"/>
      <c r="T60" s="124"/>
      <c r="U60" s="124"/>
      <c r="V60" s="124"/>
    </row>
    <row r="61" spans="2:32" ht="18" customHeight="1">
      <c r="B61" s="253" t="s">
        <v>616</v>
      </c>
      <c r="C61" s="254"/>
      <c r="D61" s="254"/>
      <c r="E61" s="254"/>
      <c r="F61" s="622" t="s">
        <v>617</v>
      </c>
      <c r="G61" s="622"/>
      <c r="H61" s="622"/>
      <c r="I61" s="622"/>
      <c r="J61" s="622"/>
      <c r="K61" s="255" t="s">
        <v>618</v>
      </c>
      <c r="L61" s="255"/>
      <c r="M61" s="622"/>
      <c r="N61" s="622"/>
      <c r="O61" s="255"/>
      <c r="P61" s="255"/>
      <c r="Q61" s="256"/>
      <c r="R61" s="257" t="s">
        <v>619</v>
      </c>
      <c r="S61" s="149"/>
      <c r="T61" s="149"/>
      <c r="U61" s="149"/>
      <c r="V61" s="149"/>
    </row>
    <row r="62" spans="2:32" ht="18" customHeight="1">
      <c r="B62" s="258" t="s">
        <v>620</v>
      </c>
      <c r="C62" s="124"/>
      <c r="D62" s="124"/>
      <c r="E62" s="124"/>
      <c r="F62" s="623"/>
      <c r="G62" s="623"/>
      <c r="H62" s="623"/>
      <c r="I62" s="623"/>
      <c r="J62" s="623"/>
      <c r="K62" s="259" t="s">
        <v>621</v>
      </c>
      <c r="L62" s="124"/>
      <c r="M62" s="124"/>
      <c r="N62" s="124"/>
      <c r="O62" s="260"/>
      <c r="P62" s="260"/>
      <c r="Q62" s="159"/>
      <c r="R62" s="634"/>
      <c r="S62" s="92"/>
      <c r="T62" s="124"/>
      <c r="U62" s="124"/>
      <c r="V62" s="124"/>
    </row>
    <row r="63" spans="2:32" ht="18" customHeight="1" thickBot="1">
      <c r="B63" s="261"/>
      <c r="C63" s="262"/>
      <c r="D63" s="262"/>
      <c r="E63" s="262"/>
      <c r="F63" s="636"/>
      <c r="G63" s="636"/>
      <c r="H63" s="636"/>
      <c r="I63" s="636"/>
      <c r="J63" s="636"/>
      <c r="K63" s="263"/>
      <c r="L63" s="262"/>
      <c r="M63" s="262"/>
      <c r="N63" s="262"/>
      <c r="O63" s="262"/>
      <c r="P63" s="262"/>
      <c r="Q63" s="264"/>
      <c r="R63" s="635"/>
      <c r="S63" s="92"/>
      <c r="T63" s="124"/>
      <c r="U63" s="124"/>
      <c r="V63" s="124"/>
    </row>
    <row r="64" spans="2:32" ht="12" customHeight="1"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57"/>
      <c r="S64" s="157"/>
      <c r="T64" s="157"/>
      <c r="U64" s="157"/>
      <c r="V64" s="157"/>
    </row>
    <row r="65" spans="1:22" ht="18" customHeight="1">
      <c r="B65" s="124" t="s">
        <v>622</v>
      </c>
      <c r="C65" s="265">
        <v>12</v>
      </c>
      <c r="D65" s="266"/>
      <c r="E65" s="266"/>
      <c r="F65" s="267" t="s">
        <v>623</v>
      </c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</row>
    <row r="66" spans="1:22" ht="18" customHeight="1">
      <c r="B66" s="124" t="s">
        <v>624</v>
      </c>
      <c r="C66" s="268" t="e">
        <f>SUMIF('[3]別表　19年度賃率'!B:B,C65,'[3]別表　19年度賃率'!F:F)</f>
        <v>#VALUE!</v>
      </c>
      <c r="D66" s="269"/>
      <c r="E66" s="269"/>
      <c r="F66" s="267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</row>
    <row r="67" spans="1:22" ht="18" customHeight="1"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</row>
    <row r="68" spans="1:22" s="185" customFormat="1">
      <c r="A68" s="270"/>
      <c r="B68" s="270"/>
      <c r="C68" s="270"/>
      <c r="D68" s="270"/>
      <c r="E68" s="270"/>
    </row>
    <row r="69" spans="1:22" s="185" customFormat="1">
      <c r="A69" s="270"/>
      <c r="B69" s="270"/>
      <c r="C69" s="271"/>
      <c r="D69" s="271"/>
      <c r="E69" s="271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</row>
  </sheetData>
  <mergeCells count="54">
    <mergeCell ref="C2:E2"/>
    <mergeCell ref="C4:F4"/>
    <mergeCell ref="I5:K5"/>
    <mergeCell ref="L5:N5"/>
    <mergeCell ref="O5:R5"/>
    <mergeCell ref="Z14:Z15"/>
    <mergeCell ref="F8:H8"/>
    <mergeCell ref="I8:R8"/>
    <mergeCell ref="F9:H9"/>
    <mergeCell ref="F11:R11"/>
    <mergeCell ref="F12:R12"/>
    <mergeCell ref="P52:Q52"/>
    <mergeCell ref="C53:F53"/>
    <mergeCell ref="J53:K53"/>
    <mergeCell ref="P53:Q53"/>
    <mergeCell ref="B6:C6"/>
    <mergeCell ref="I6:K6"/>
    <mergeCell ref="L6:N6"/>
    <mergeCell ref="O6:R6"/>
    <mergeCell ref="B8:E8"/>
    <mergeCell ref="B9:E9"/>
    <mergeCell ref="B11:E11"/>
    <mergeCell ref="B12:E12"/>
    <mergeCell ref="B14:B23"/>
    <mergeCell ref="B24:B33"/>
    <mergeCell ref="B46:B50"/>
    <mergeCell ref="R62:R63"/>
    <mergeCell ref="F63:J63"/>
    <mergeCell ref="B34:B45"/>
    <mergeCell ref="O59:R59"/>
    <mergeCell ref="P54:Q54"/>
    <mergeCell ref="P55:Q55"/>
    <mergeCell ref="B51:B58"/>
    <mergeCell ref="G51:G58"/>
    <mergeCell ref="H51:I51"/>
    <mergeCell ref="J51:L51"/>
    <mergeCell ref="M51:R51"/>
    <mergeCell ref="P57:Q57"/>
    <mergeCell ref="J58:K58"/>
    <mergeCell ref="P58:Q58"/>
    <mergeCell ref="J57:K57"/>
    <mergeCell ref="P56:Q56"/>
    <mergeCell ref="F61:J61"/>
    <mergeCell ref="M61:N61"/>
    <mergeCell ref="F62:J62"/>
    <mergeCell ref="C59:G59"/>
    <mergeCell ref="H59:I59"/>
    <mergeCell ref="J59:L59"/>
    <mergeCell ref="M59:N59"/>
    <mergeCell ref="J55:K55"/>
    <mergeCell ref="C54:F54"/>
    <mergeCell ref="J54:K54"/>
    <mergeCell ref="C52:F52"/>
    <mergeCell ref="J52:K52"/>
  </mergeCells>
  <dataValidations disablePrompts="1" count="2">
    <dataValidation type="list" allowBlank="1" showInputMessage="1" showErrorMessage="1" sqref="F61:J61" xr:uid="{0042D749-B3F9-4DFD-97B4-15B850B8D873}">
      <formula1>$AB$9:$AB$28</formula1>
    </dataValidation>
    <dataValidation type="list" allowBlank="1" showInputMessage="1" showErrorMessage="1" sqref="M61:N61" xr:uid="{603C2638-5E55-461B-BF86-DB635723A522}">
      <formula1>$AF$14:$AF$58</formula1>
    </dataValidation>
  </dataValidations>
  <printOptions horizontalCentered="1" verticalCentered="1"/>
  <pageMargins left="0.31496062992125984" right="0.31496062992125984" top="0.39370078740157483" bottom="0.19685039370078741" header="0.51181102362204722" footer="0.51181102362204722"/>
  <pageSetup paperSize="9" scale="75" orientation="portrait" horizontalDpi="300" verticalDpi="300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1CADD-FBAF-4A26-BBF4-8FEB7C2A1607}">
  <dimension ref="A1:G22"/>
  <sheetViews>
    <sheetView topLeftCell="B1" zoomScale="80" zoomScaleNormal="80" workbookViewId="0">
      <pane xSplit="3" ySplit="2" topLeftCell="E6" activePane="bottomRight" state="frozen"/>
      <selection activeCell="B1" sqref="B1"/>
      <selection pane="topRight" activeCell="E1" sqref="E1"/>
      <selection pane="bottomLeft" activeCell="B3" sqref="B3"/>
      <selection pane="bottomRight" activeCell="H11" sqref="H11"/>
    </sheetView>
  </sheetViews>
  <sheetFormatPr defaultColWidth="9.08984375" defaultRowHeight="15.5"/>
  <cols>
    <col min="1" max="1" width="5.36328125" style="1" customWidth="1"/>
    <col min="2" max="2" width="22.26953125" style="1" customWidth="1"/>
    <col min="3" max="3" width="16.26953125" style="1" customWidth="1"/>
    <col min="4" max="4" width="10.6328125" style="1" customWidth="1"/>
    <col min="5" max="5" width="1.08984375" style="1" customWidth="1"/>
    <col min="6" max="6" width="14.7265625" style="1" customWidth="1"/>
    <col min="7" max="16384" width="9.08984375" style="1"/>
  </cols>
  <sheetData>
    <row r="1" spans="1:7" ht="30.75" customHeight="1" thickBot="1">
      <c r="B1" s="717" t="s">
        <v>0</v>
      </c>
      <c r="C1" s="718"/>
      <c r="D1" s="719"/>
    </row>
    <row r="2" spans="1:7" ht="38.25" customHeight="1" thickBot="1">
      <c r="B2" s="2" t="s">
        <v>1</v>
      </c>
      <c r="C2" s="3" t="s">
        <v>2</v>
      </c>
      <c r="D2" s="4" t="s">
        <v>3</v>
      </c>
      <c r="F2" s="35" t="s">
        <v>2</v>
      </c>
      <c r="G2" s="35" t="s">
        <v>3</v>
      </c>
    </row>
    <row r="3" spans="1:7" ht="27" customHeight="1">
      <c r="A3" s="5">
        <v>1</v>
      </c>
      <c r="B3" s="32" t="s">
        <v>508</v>
      </c>
      <c r="C3" s="6">
        <v>18000</v>
      </c>
      <c r="D3" s="6" t="s">
        <v>6</v>
      </c>
      <c r="F3" s="6">
        <v>2000000</v>
      </c>
      <c r="G3" s="6" t="s">
        <v>4</v>
      </c>
    </row>
    <row r="4" spans="1:7" ht="27" customHeight="1">
      <c r="A4" s="5">
        <v>2</v>
      </c>
      <c r="B4" s="32" t="s">
        <v>5</v>
      </c>
      <c r="C4" s="6">
        <v>10000</v>
      </c>
      <c r="D4" s="6" t="s">
        <v>6</v>
      </c>
      <c r="F4" s="6">
        <v>2887000</v>
      </c>
      <c r="G4" s="6" t="s">
        <v>4</v>
      </c>
    </row>
    <row r="5" spans="1:7" ht="27" customHeight="1">
      <c r="A5" s="5">
        <v>3</v>
      </c>
      <c r="B5" s="32" t="s">
        <v>509</v>
      </c>
      <c r="C5" s="6">
        <v>8000</v>
      </c>
      <c r="D5" s="6" t="s">
        <v>6</v>
      </c>
      <c r="F5" s="6">
        <v>1150000</v>
      </c>
      <c r="G5" s="6" t="s">
        <v>4</v>
      </c>
    </row>
    <row r="6" spans="1:7" ht="27" customHeight="1">
      <c r="A6" s="5">
        <v>4</v>
      </c>
      <c r="B6" s="32" t="s">
        <v>510</v>
      </c>
      <c r="C6" s="6">
        <v>1500</v>
      </c>
      <c r="D6" s="7" t="s">
        <v>6</v>
      </c>
    </row>
    <row r="7" spans="1:7" ht="27" customHeight="1">
      <c r="A7" s="5">
        <v>5</v>
      </c>
      <c r="B7" s="32" t="s">
        <v>511</v>
      </c>
      <c r="C7" s="6">
        <v>2500</v>
      </c>
      <c r="D7" s="7" t="s">
        <v>6</v>
      </c>
    </row>
    <row r="8" spans="1:7" ht="27" customHeight="1">
      <c r="A8" s="5">
        <v>6</v>
      </c>
      <c r="B8" s="32" t="s">
        <v>512</v>
      </c>
      <c r="C8" s="6">
        <v>10000</v>
      </c>
      <c r="D8" s="7" t="s">
        <v>6</v>
      </c>
    </row>
    <row r="9" spans="1:7" ht="27" customHeight="1">
      <c r="A9" s="5">
        <v>7</v>
      </c>
      <c r="B9" s="32" t="s">
        <v>513</v>
      </c>
      <c r="C9" s="8">
        <v>795000</v>
      </c>
      <c r="D9" s="9" t="s">
        <v>6</v>
      </c>
    </row>
    <row r="10" spans="1:7" ht="27" customHeight="1">
      <c r="A10" s="5">
        <v>8</v>
      </c>
      <c r="B10" s="32" t="s">
        <v>514</v>
      </c>
      <c r="C10" s="8">
        <v>245000</v>
      </c>
      <c r="D10" s="9" t="s">
        <v>6</v>
      </c>
    </row>
    <row r="11" spans="1:7" ht="27" customHeight="1">
      <c r="A11" s="5">
        <v>9</v>
      </c>
      <c r="B11" s="32" t="s">
        <v>515</v>
      </c>
      <c r="C11" s="8">
        <v>860000</v>
      </c>
      <c r="D11" s="9" t="s">
        <v>6</v>
      </c>
    </row>
    <row r="12" spans="1:7" ht="27" customHeight="1">
      <c r="A12" s="5">
        <v>10</v>
      </c>
      <c r="B12" s="32" t="s">
        <v>516</v>
      </c>
      <c r="C12" s="8">
        <v>276000</v>
      </c>
      <c r="D12" s="9" t="s">
        <v>6</v>
      </c>
    </row>
    <row r="13" spans="1:7" ht="27" customHeight="1">
      <c r="A13" s="5">
        <v>11</v>
      </c>
      <c r="B13" s="32" t="s">
        <v>517</v>
      </c>
      <c r="C13" s="8">
        <v>1200000</v>
      </c>
      <c r="D13" s="9" t="s">
        <v>6</v>
      </c>
    </row>
    <row r="14" spans="1:7" ht="27" customHeight="1">
      <c r="A14" s="5">
        <v>12</v>
      </c>
      <c r="B14" s="32" t="s">
        <v>518</v>
      </c>
      <c r="C14" s="6">
        <v>350000</v>
      </c>
      <c r="D14" s="7" t="s">
        <v>6</v>
      </c>
    </row>
    <row r="15" spans="1:7" ht="27" customHeight="1">
      <c r="A15" s="5">
        <v>14</v>
      </c>
      <c r="B15" s="32" t="s">
        <v>521</v>
      </c>
      <c r="C15" s="6">
        <v>22000</v>
      </c>
      <c r="D15" s="7" t="s">
        <v>6</v>
      </c>
    </row>
    <row r="16" spans="1:7" ht="27" customHeight="1">
      <c r="A16" s="5">
        <v>15</v>
      </c>
      <c r="B16" s="32" t="s">
        <v>522</v>
      </c>
      <c r="C16" s="6">
        <v>55000</v>
      </c>
      <c r="D16" s="7" t="s">
        <v>6</v>
      </c>
    </row>
    <row r="17" spans="1:4" ht="27" customHeight="1">
      <c r="A17" s="5">
        <v>16</v>
      </c>
      <c r="B17" s="32" t="s">
        <v>523</v>
      </c>
      <c r="C17" s="6">
        <v>62500</v>
      </c>
      <c r="D17" s="7" t="s">
        <v>6</v>
      </c>
    </row>
    <row r="18" spans="1:4" ht="27" customHeight="1">
      <c r="A18" s="5">
        <v>17</v>
      </c>
      <c r="B18" s="32" t="s">
        <v>524</v>
      </c>
      <c r="C18" s="6">
        <v>72000</v>
      </c>
      <c r="D18" s="7" t="s">
        <v>6</v>
      </c>
    </row>
    <row r="19" spans="1:4" ht="27" customHeight="1" thickBot="1">
      <c r="A19" s="5">
        <v>18</v>
      </c>
      <c r="B19" s="32" t="s">
        <v>519</v>
      </c>
      <c r="C19" s="10">
        <v>0</v>
      </c>
      <c r="D19" s="11" t="s">
        <v>6</v>
      </c>
    </row>
    <row r="20" spans="1:4" ht="27" customHeight="1" thickBot="1">
      <c r="B20" s="717" t="s">
        <v>7</v>
      </c>
      <c r="C20" s="718"/>
      <c r="D20" s="719"/>
    </row>
    <row r="21" spans="1:4" ht="27" customHeight="1" thickBot="1">
      <c r="B21" s="717" t="s">
        <v>8</v>
      </c>
      <c r="C21" s="718"/>
      <c r="D21" s="719"/>
    </row>
    <row r="22" spans="1:4" ht="27" customHeight="1" thickBot="1">
      <c r="B22" s="720" t="s">
        <v>9</v>
      </c>
      <c r="C22" s="721"/>
      <c r="D22" s="722"/>
    </row>
  </sheetData>
  <mergeCells count="4">
    <mergeCell ref="B1:D1"/>
    <mergeCell ref="B20:D20"/>
    <mergeCell ref="B21:D21"/>
    <mergeCell ref="B22:D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235F-25B3-4322-8F84-2BD4AA26B130}">
  <sheetPr>
    <tabColor theme="5" tint="-0.249977111117893"/>
    <pageSetUpPr fitToPage="1"/>
  </sheetPr>
  <dimension ref="A1:AI97"/>
  <sheetViews>
    <sheetView showGridLines="0" topLeftCell="A69" zoomScaleNormal="100" zoomScaleSheetLayoutView="75" workbookViewId="0">
      <selection activeCell="O76" sqref="O76"/>
    </sheetView>
  </sheetViews>
  <sheetFormatPr defaultColWidth="10.26953125" defaultRowHeight="14"/>
  <cols>
    <col min="1" max="1" width="1" style="433" customWidth="1"/>
    <col min="2" max="2" width="19.08984375" style="433" customWidth="1"/>
    <col min="3" max="3" width="1.08984375" style="433" customWidth="1"/>
    <col min="4" max="4" width="3" style="433" customWidth="1"/>
    <col min="5" max="5" width="7.08984375" style="433" customWidth="1"/>
    <col min="6" max="6" width="16" style="433" customWidth="1"/>
    <col min="7" max="7" width="6.26953125" style="433" customWidth="1"/>
    <col min="8" max="8" width="10.453125" style="433" customWidth="1"/>
    <col min="9" max="18" width="8.6328125" style="433" customWidth="1"/>
    <col min="19" max="19" width="1" style="433" customWidth="1"/>
    <col min="20" max="20" width="2.6328125" style="433" customWidth="1"/>
    <col min="21" max="21" width="12.08984375" style="433" customWidth="1"/>
    <col min="22" max="22" width="8.08984375" style="433" customWidth="1"/>
    <col min="23" max="24" width="13.26953125" style="433" customWidth="1"/>
    <col min="25" max="25" width="7.6328125" style="433" customWidth="1"/>
    <col min="26" max="27" width="13.26953125" style="433" customWidth="1"/>
    <col min="28" max="32" width="10.26953125" style="433" hidden="1" customWidth="1"/>
    <col min="33" max="35" width="21.6328125" style="433" hidden="1" customWidth="1"/>
    <col min="36" max="36" width="0" style="433" hidden="1" customWidth="1"/>
    <col min="37" max="16384" width="10.26953125" style="433"/>
  </cols>
  <sheetData>
    <row r="1" spans="2:30" ht="17.25" customHeight="1" thickBot="1">
      <c r="B1" s="431"/>
      <c r="C1" s="796" t="s">
        <v>683</v>
      </c>
      <c r="D1" s="796"/>
      <c r="E1" s="796"/>
      <c r="F1" s="333" t="s">
        <v>693</v>
      </c>
      <c r="G1" s="432"/>
      <c r="W1" s="434"/>
      <c r="X1" s="435" t="s">
        <v>697</v>
      </c>
      <c r="Y1" s="436"/>
      <c r="Z1" s="435" t="s">
        <v>682</v>
      </c>
      <c r="AA1" s="437" t="s">
        <v>720</v>
      </c>
    </row>
    <row r="2" spans="2:30" ht="33" customHeight="1" thickBot="1">
      <c r="B2" s="334" t="s">
        <v>694</v>
      </c>
      <c r="C2" s="723" t="s">
        <v>802</v>
      </c>
      <c r="D2" s="724"/>
      <c r="E2" s="725"/>
      <c r="F2" s="332" t="s">
        <v>806</v>
      </c>
      <c r="W2" s="434"/>
      <c r="X2" s="438"/>
      <c r="Y2" s="436"/>
      <c r="Z2" s="438"/>
      <c r="AA2" s="439"/>
    </row>
    <row r="3" spans="2:30" ht="32.25" customHeight="1">
      <c r="B3" s="440"/>
      <c r="C3" s="441"/>
      <c r="D3" s="441"/>
      <c r="E3" s="441"/>
      <c r="F3" s="442" t="str">
        <f>F2</f>
        <v>N08</v>
      </c>
      <c r="W3" s="443"/>
      <c r="X3" s="444"/>
      <c r="Y3" s="436"/>
      <c r="Z3" s="444"/>
      <c r="AA3" s="445"/>
    </row>
    <row r="4" spans="2:30" ht="32.25" customHeight="1" thickBot="1">
      <c r="B4" s="446"/>
      <c r="C4" s="726"/>
      <c r="D4" s="726"/>
      <c r="E4" s="726"/>
      <c r="F4" s="727"/>
      <c r="W4" s="436"/>
      <c r="Y4" s="436"/>
      <c r="Z4" s="436"/>
      <c r="AA4" s="436"/>
    </row>
    <row r="5" spans="2:30" ht="24" customHeight="1" thickBot="1">
      <c r="B5" s="331" t="s">
        <v>692</v>
      </c>
      <c r="C5" s="447"/>
      <c r="D5" s="447"/>
      <c r="E5" s="447"/>
      <c r="F5" s="448"/>
      <c r="G5" s="449"/>
      <c r="H5" s="450"/>
      <c r="I5" s="728" t="s">
        <v>683</v>
      </c>
      <c r="J5" s="729"/>
      <c r="K5" s="730"/>
      <c r="L5" s="731" t="s">
        <v>695</v>
      </c>
      <c r="M5" s="732"/>
      <c r="N5" s="733"/>
      <c r="O5" s="734" t="s">
        <v>686</v>
      </c>
      <c r="P5" s="729"/>
      <c r="Q5" s="729"/>
      <c r="R5" s="735"/>
      <c r="S5" s="451"/>
      <c r="T5" s="451"/>
      <c r="U5" s="452"/>
      <c r="V5" s="451"/>
      <c r="W5" s="453"/>
      <c r="Y5" s="436"/>
      <c r="Z5" s="436"/>
      <c r="AA5" s="436"/>
    </row>
    <row r="6" spans="2:30" ht="37.5" customHeight="1" thickBot="1">
      <c r="B6" s="736"/>
      <c r="C6" s="736"/>
      <c r="D6" s="454"/>
      <c r="E6" s="454"/>
      <c r="F6" s="335" t="s">
        <v>696</v>
      </c>
      <c r="G6" s="455"/>
      <c r="H6" s="456"/>
      <c r="I6" s="737" t="s">
        <v>684</v>
      </c>
      <c r="J6" s="738"/>
      <c r="K6" s="739"/>
      <c r="L6" s="740" t="s">
        <v>685</v>
      </c>
      <c r="M6" s="741"/>
      <c r="N6" s="742"/>
      <c r="O6" s="743"/>
      <c r="P6" s="744"/>
      <c r="Q6" s="744"/>
      <c r="R6" s="745"/>
      <c r="S6" s="457"/>
      <c r="T6" s="458"/>
      <c r="V6" s="459"/>
      <c r="W6" s="436"/>
      <c r="Y6" s="436"/>
      <c r="Z6" s="436"/>
      <c r="AA6" s="436"/>
    </row>
    <row r="7" spans="2:30" ht="3" customHeight="1" thickTop="1" thickBot="1">
      <c r="B7" s="460"/>
      <c r="W7" s="436"/>
      <c r="Y7" s="436"/>
      <c r="Z7" s="436"/>
      <c r="AA7" s="436"/>
    </row>
    <row r="8" spans="2:30" ht="21" customHeight="1" thickBot="1">
      <c r="B8" s="746" t="s">
        <v>687</v>
      </c>
      <c r="C8" s="747"/>
      <c r="D8" s="747"/>
      <c r="E8" s="748"/>
      <c r="F8" s="749" t="s">
        <v>688</v>
      </c>
      <c r="G8" s="750"/>
      <c r="H8" s="751"/>
      <c r="I8" s="752" t="s">
        <v>689</v>
      </c>
      <c r="J8" s="747"/>
      <c r="K8" s="747"/>
      <c r="L8" s="747"/>
      <c r="M8" s="747"/>
      <c r="N8" s="747"/>
      <c r="O8" s="747"/>
      <c r="P8" s="747"/>
      <c r="Q8" s="747"/>
      <c r="R8" s="753"/>
      <c r="S8" s="461"/>
      <c r="T8" s="461"/>
      <c r="U8" s="461"/>
      <c r="V8" s="461"/>
      <c r="W8" s="436"/>
      <c r="Y8" s="436"/>
      <c r="Z8" s="436"/>
      <c r="AA8" s="436"/>
      <c r="AB8" s="462" t="s">
        <v>544</v>
      </c>
      <c r="AC8" s="463" t="s">
        <v>545</v>
      </c>
      <c r="AD8" s="433" t="s">
        <v>546</v>
      </c>
    </row>
    <row r="9" spans="2:30" ht="27" customHeight="1" thickBot="1">
      <c r="B9" s="754"/>
      <c r="C9" s="755"/>
      <c r="D9" s="755"/>
      <c r="E9" s="756"/>
      <c r="F9" s="757" t="s">
        <v>625</v>
      </c>
      <c r="G9" s="758"/>
      <c r="H9" s="759"/>
      <c r="I9" s="464" t="s">
        <v>698</v>
      </c>
      <c r="J9" s="465" t="s">
        <v>699</v>
      </c>
      <c r="K9" s="465" t="s">
        <v>700</v>
      </c>
      <c r="L9" s="466" t="s">
        <v>707</v>
      </c>
      <c r="M9" s="467" t="s">
        <v>701</v>
      </c>
      <c r="N9" s="465" t="s">
        <v>702</v>
      </c>
      <c r="O9" s="465" t="s">
        <v>703</v>
      </c>
      <c r="P9" s="467" t="s">
        <v>704</v>
      </c>
      <c r="Q9" s="468" t="s">
        <v>705</v>
      </c>
      <c r="R9" s="469" t="s">
        <v>706</v>
      </c>
      <c r="S9" s="470"/>
      <c r="T9" s="471" t="s">
        <v>558</v>
      </c>
      <c r="U9" s="471"/>
      <c r="V9" s="471"/>
      <c r="X9" s="472"/>
      <c r="AB9" s="473" t="s">
        <v>559</v>
      </c>
      <c r="AC9" s="474">
        <v>101</v>
      </c>
      <c r="AD9" s="433" t="s">
        <v>560</v>
      </c>
    </row>
    <row r="10" spans="2:30" ht="3" customHeight="1" thickBot="1">
      <c r="B10" s="460"/>
      <c r="F10" s="475"/>
      <c r="G10" s="475"/>
      <c r="H10" s="475"/>
      <c r="I10" s="475"/>
      <c r="J10" s="475"/>
      <c r="K10" s="475"/>
      <c r="L10" s="475"/>
      <c r="M10" s="476"/>
      <c r="N10" s="476"/>
      <c r="O10" s="476"/>
      <c r="P10" s="476"/>
      <c r="Q10" s="476"/>
      <c r="R10" s="475"/>
      <c r="S10" s="475"/>
      <c r="AB10" s="477" t="s">
        <v>562</v>
      </c>
      <c r="AC10" s="463">
        <v>102</v>
      </c>
      <c r="AD10" s="433" t="s">
        <v>563</v>
      </c>
    </row>
    <row r="11" spans="2:30" ht="24.9" customHeight="1">
      <c r="B11" s="764" t="s">
        <v>690</v>
      </c>
      <c r="C11" s="765"/>
      <c r="D11" s="765"/>
      <c r="E11" s="766"/>
      <c r="F11" s="767" t="s">
        <v>807</v>
      </c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9"/>
      <c r="S11" s="478"/>
      <c r="T11" s="479"/>
      <c r="U11" s="479"/>
      <c r="V11" s="479"/>
      <c r="AB11" s="477" t="s">
        <v>565</v>
      </c>
      <c r="AC11" s="463">
        <v>103</v>
      </c>
      <c r="AD11" s="433" t="s">
        <v>566</v>
      </c>
    </row>
    <row r="12" spans="2:30" ht="53.5" customHeight="1" thickBot="1">
      <c r="B12" s="816" t="s">
        <v>691</v>
      </c>
      <c r="C12" s="817"/>
      <c r="D12" s="817"/>
      <c r="E12" s="818"/>
      <c r="F12" s="760" t="s">
        <v>808</v>
      </c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2"/>
      <c r="S12" s="480"/>
      <c r="T12" s="479"/>
      <c r="U12" s="479"/>
      <c r="V12" s="479"/>
      <c r="AB12" s="477" t="s">
        <v>567</v>
      </c>
      <c r="AC12" s="463">
        <v>104</v>
      </c>
      <c r="AD12" s="433" t="s">
        <v>568</v>
      </c>
    </row>
    <row r="13" spans="2:30" ht="3.75" customHeight="1" thickBot="1">
      <c r="B13" s="481"/>
      <c r="M13" s="482"/>
      <c r="N13" s="482"/>
      <c r="O13" s="482"/>
      <c r="P13" s="482"/>
      <c r="Q13" s="482"/>
      <c r="R13" s="483"/>
      <c r="S13" s="483"/>
      <c r="T13" s="483"/>
      <c r="U13" s="483"/>
      <c r="V13" s="483"/>
      <c r="AB13" s="477" t="s">
        <v>569</v>
      </c>
      <c r="AC13" s="463">
        <v>105</v>
      </c>
      <c r="AD13" s="433" t="s">
        <v>570</v>
      </c>
    </row>
    <row r="14" spans="2:30" ht="16" customHeight="1">
      <c r="B14" s="637" t="s">
        <v>790</v>
      </c>
      <c r="C14" s="126"/>
      <c r="D14" s="343"/>
      <c r="E14" s="127"/>
      <c r="F14" s="127"/>
      <c r="G14" s="127"/>
      <c r="H14" s="127"/>
      <c r="I14" s="127"/>
      <c r="J14" s="127"/>
      <c r="K14" s="127"/>
      <c r="L14" s="127"/>
      <c r="M14" s="127"/>
      <c r="N14" s="484"/>
      <c r="O14" s="484"/>
      <c r="P14" s="484"/>
      <c r="Q14" s="484"/>
      <c r="R14" s="485"/>
      <c r="S14" s="483"/>
      <c r="T14" s="483"/>
      <c r="U14" s="483"/>
      <c r="V14" s="483"/>
      <c r="AB14" s="477"/>
      <c r="AC14" s="463"/>
    </row>
    <row r="15" spans="2:30" ht="16" customHeight="1">
      <c r="B15" s="638"/>
      <c r="C15" s="134"/>
      <c r="D15" s="136" t="s">
        <v>793</v>
      </c>
      <c r="E15" s="137"/>
      <c r="F15" s="137"/>
      <c r="G15" s="137"/>
      <c r="H15" s="137"/>
      <c r="I15" s="137"/>
      <c r="J15" s="137"/>
      <c r="K15" s="137"/>
      <c r="L15" s="137"/>
      <c r="M15" s="137"/>
      <c r="R15" s="486"/>
      <c r="S15" s="483"/>
      <c r="T15" s="483"/>
      <c r="U15" s="483"/>
      <c r="V15" s="483"/>
      <c r="AB15" s="477"/>
      <c r="AC15" s="463"/>
    </row>
    <row r="16" spans="2:30" ht="16" customHeight="1">
      <c r="B16" s="638"/>
      <c r="C16" s="134"/>
      <c r="D16" s="433" t="s">
        <v>792</v>
      </c>
      <c r="F16" s="137"/>
      <c r="G16" s="137"/>
      <c r="H16" s="137"/>
      <c r="I16" s="137"/>
      <c r="J16" s="137"/>
      <c r="K16" s="137"/>
      <c r="L16" s="137"/>
      <c r="M16" s="137"/>
      <c r="R16" s="486"/>
      <c r="S16" s="483"/>
      <c r="T16" s="483"/>
      <c r="U16" s="483"/>
      <c r="V16" s="483"/>
      <c r="AB16" s="477"/>
      <c r="AC16" s="463"/>
    </row>
    <row r="17" spans="2:33" ht="16" customHeight="1">
      <c r="B17" s="638"/>
      <c r="C17" s="134"/>
      <c r="D17" s="136" t="s">
        <v>795</v>
      </c>
      <c r="E17" s="137"/>
      <c r="F17" s="137"/>
      <c r="G17" s="137"/>
      <c r="H17" s="137"/>
      <c r="I17" s="137"/>
      <c r="J17" s="137"/>
      <c r="K17" s="137"/>
      <c r="L17" s="137"/>
      <c r="M17" s="137"/>
      <c r="R17" s="486"/>
      <c r="S17" s="483"/>
      <c r="T17" s="483"/>
      <c r="U17" s="483"/>
      <c r="V17" s="483"/>
      <c r="AB17" s="477"/>
      <c r="AC17" s="463"/>
    </row>
    <row r="18" spans="2:33" ht="16" customHeight="1">
      <c r="B18" s="638"/>
      <c r="C18" s="134"/>
      <c r="D18" s="136" t="s">
        <v>791</v>
      </c>
      <c r="E18" s="137"/>
      <c r="F18" s="137"/>
      <c r="G18" s="137"/>
      <c r="H18" s="137"/>
      <c r="I18" s="137"/>
      <c r="J18" s="137"/>
      <c r="K18" s="137"/>
      <c r="L18" s="137"/>
      <c r="M18" s="137"/>
      <c r="R18" s="487"/>
      <c r="S18" s="483"/>
      <c r="T18" s="483"/>
      <c r="U18" s="483"/>
      <c r="V18" s="483"/>
      <c r="AB18" s="477"/>
      <c r="AC18" s="463"/>
    </row>
    <row r="19" spans="2:33" ht="16" customHeight="1">
      <c r="B19" s="638"/>
      <c r="C19" s="134"/>
      <c r="D19" s="136" t="s">
        <v>788</v>
      </c>
      <c r="E19" s="137"/>
      <c r="F19" s="137"/>
      <c r="G19" s="137"/>
      <c r="H19" s="137"/>
      <c r="I19" s="137"/>
      <c r="J19" s="137"/>
      <c r="K19" s="137"/>
      <c r="L19" s="137"/>
      <c r="M19" s="137"/>
      <c r="R19" s="487"/>
      <c r="S19" s="483"/>
      <c r="T19" s="483"/>
      <c r="U19" s="483"/>
      <c r="V19" s="483"/>
      <c r="AB19" s="477"/>
      <c r="AC19" s="463"/>
    </row>
    <row r="20" spans="2:33" ht="16" customHeight="1">
      <c r="B20" s="638"/>
      <c r="C20" s="134"/>
      <c r="E20" s="135"/>
      <c r="F20" s="137"/>
      <c r="G20" s="137"/>
      <c r="H20" s="137"/>
      <c r="I20" s="137"/>
      <c r="J20" s="137"/>
      <c r="K20" s="137"/>
      <c r="L20" s="137"/>
      <c r="M20" s="137"/>
      <c r="N20" s="479"/>
      <c r="O20" s="479"/>
      <c r="P20" s="479"/>
      <c r="R20" s="488"/>
      <c r="S20" s="483"/>
      <c r="T20" s="483"/>
      <c r="U20" s="483"/>
      <c r="V20" s="483"/>
      <c r="AB20" s="477"/>
      <c r="AC20" s="463"/>
    </row>
    <row r="21" spans="2:33" ht="16" customHeight="1">
      <c r="B21" s="638"/>
      <c r="C21" s="134"/>
      <c r="D21" s="274" t="s">
        <v>794</v>
      </c>
      <c r="E21" s="137"/>
      <c r="F21" s="137"/>
      <c r="G21" s="137"/>
      <c r="H21" s="137"/>
      <c r="I21" s="137"/>
      <c r="J21" s="137"/>
      <c r="K21" s="137"/>
      <c r="L21" s="137"/>
      <c r="M21" s="137"/>
      <c r="N21" s="479"/>
      <c r="O21" s="479"/>
      <c r="P21" s="479"/>
      <c r="R21" s="488"/>
      <c r="S21" s="483"/>
      <c r="T21" s="483"/>
      <c r="U21" s="483"/>
      <c r="V21" s="483"/>
      <c r="AB21" s="477"/>
      <c r="AC21" s="463"/>
    </row>
    <row r="22" spans="2:33" ht="16" customHeight="1" thickBot="1">
      <c r="B22" s="639"/>
      <c r="C22" s="602"/>
      <c r="D22" s="515"/>
      <c r="E22" s="515"/>
      <c r="F22" s="603"/>
      <c r="G22" s="603"/>
      <c r="H22" s="603"/>
      <c r="I22" s="603"/>
      <c r="J22" s="603"/>
      <c r="K22" s="603"/>
      <c r="L22" s="603"/>
      <c r="M22" s="603"/>
      <c r="N22" s="604"/>
      <c r="O22" s="604"/>
      <c r="P22" s="604"/>
      <c r="Q22" s="515"/>
      <c r="R22" s="605"/>
      <c r="S22" s="483"/>
      <c r="T22" s="483"/>
      <c r="U22" s="483"/>
      <c r="V22" s="483"/>
      <c r="AB22" s="477"/>
      <c r="AC22" s="463"/>
    </row>
    <row r="23" spans="2:33" ht="16" customHeight="1">
      <c r="B23" s="637" t="s">
        <v>681</v>
      </c>
      <c r="C23" s="134"/>
      <c r="F23" s="137"/>
      <c r="G23" s="137"/>
      <c r="H23" s="137"/>
      <c r="I23" s="137"/>
      <c r="J23" s="137"/>
      <c r="K23" s="137"/>
      <c r="L23" s="137"/>
      <c r="M23" s="137"/>
      <c r="N23" s="479"/>
      <c r="O23" s="479"/>
      <c r="P23" s="479"/>
      <c r="R23" s="488"/>
      <c r="S23" s="483"/>
      <c r="T23" s="483"/>
      <c r="U23" s="483"/>
      <c r="V23" s="483"/>
      <c r="AB23" s="477"/>
      <c r="AC23" s="463"/>
    </row>
    <row r="24" spans="2:33" ht="16" customHeight="1">
      <c r="B24" s="638"/>
      <c r="C24" s="134"/>
      <c r="F24" s="137"/>
      <c r="G24" s="137"/>
      <c r="H24" s="137"/>
      <c r="I24" s="137"/>
      <c r="J24" s="137"/>
      <c r="K24" s="137"/>
      <c r="L24" s="137"/>
      <c r="M24" s="137"/>
      <c r="N24" s="479"/>
      <c r="O24" s="479"/>
      <c r="P24" s="479"/>
      <c r="R24" s="488"/>
      <c r="S24" s="483"/>
      <c r="T24" s="483"/>
      <c r="U24" s="483"/>
      <c r="V24" s="483"/>
      <c r="AB24" s="477"/>
      <c r="AC24" s="463"/>
    </row>
    <row r="25" spans="2:33" ht="16" customHeight="1">
      <c r="B25" s="638"/>
      <c r="C25" s="134"/>
      <c r="F25" s="137"/>
      <c r="G25" s="137"/>
      <c r="H25" s="137"/>
      <c r="I25" s="137"/>
      <c r="J25" s="137"/>
      <c r="K25" s="137"/>
      <c r="L25" s="137"/>
      <c r="N25" s="479"/>
      <c r="O25" s="479"/>
      <c r="P25" s="479"/>
      <c r="R25" s="488"/>
      <c r="S25" s="483"/>
      <c r="T25" s="483"/>
      <c r="U25" s="483"/>
      <c r="V25" s="483"/>
      <c r="AB25" s="477"/>
      <c r="AC25" s="463"/>
    </row>
    <row r="26" spans="2:33" ht="16" customHeight="1">
      <c r="B26" s="638"/>
      <c r="C26" s="134"/>
      <c r="D26" s="136"/>
      <c r="E26" s="137"/>
      <c r="F26" s="137"/>
      <c r="G26" s="137"/>
      <c r="H26" s="137"/>
      <c r="I26" s="137"/>
      <c r="J26" s="137"/>
      <c r="K26" s="137"/>
      <c r="L26" s="137"/>
      <c r="M26" s="137"/>
      <c r="N26" s="479"/>
      <c r="O26" s="479"/>
      <c r="P26" s="479"/>
      <c r="R26" s="488"/>
      <c r="S26" s="483"/>
      <c r="T26" s="483"/>
      <c r="U26" s="483"/>
      <c r="V26" s="483"/>
      <c r="AB26" s="477"/>
      <c r="AC26" s="463"/>
    </row>
    <row r="27" spans="2:33" ht="16" customHeight="1">
      <c r="B27" s="638"/>
      <c r="C27" s="134"/>
      <c r="D27" s="136"/>
      <c r="E27" s="137"/>
      <c r="F27" s="137"/>
      <c r="G27" s="137"/>
      <c r="H27" s="137"/>
      <c r="I27" s="137"/>
      <c r="J27" s="137"/>
      <c r="K27" s="137"/>
      <c r="L27" s="137"/>
      <c r="M27" s="137"/>
      <c r="N27" s="479"/>
      <c r="O27" s="479"/>
      <c r="P27" s="479"/>
      <c r="R27" s="488"/>
      <c r="S27" s="483"/>
      <c r="T27" s="483"/>
      <c r="U27" s="483"/>
      <c r="V27" s="483"/>
      <c r="AB27" s="477"/>
      <c r="AC27" s="463"/>
    </row>
    <row r="28" spans="2:33" ht="16" customHeight="1">
      <c r="B28" s="638"/>
      <c r="C28" s="134"/>
      <c r="F28" s="137"/>
      <c r="G28" s="137"/>
      <c r="H28" s="137"/>
      <c r="I28" s="137"/>
      <c r="J28" s="137"/>
      <c r="K28" s="137"/>
      <c r="L28" s="137"/>
      <c r="M28" s="137"/>
      <c r="N28" s="479"/>
      <c r="O28" s="479"/>
      <c r="P28" s="479"/>
      <c r="R28" s="488"/>
      <c r="S28" s="483"/>
      <c r="T28" s="483"/>
      <c r="U28" s="483"/>
      <c r="V28" s="483"/>
      <c r="AB28" s="477"/>
      <c r="AC28" s="463"/>
    </row>
    <row r="29" spans="2:33" ht="14" customHeight="1">
      <c r="B29" s="638"/>
      <c r="C29" s="134"/>
      <c r="D29" s="136" t="s">
        <v>800</v>
      </c>
      <c r="E29" s="137"/>
      <c r="F29" s="137"/>
      <c r="G29" s="137"/>
      <c r="H29" s="137"/>
      <c r="I29" s="137"/>
      <c r="J29" s="137"/>
      <c r="K29" s="137"/>
      <c r="L29" s="137"/>
      <c r="M29" s="137"/>
      <c r="N29" s="482"/>
      <c r="O29" s="482"/>
      <c r="P29" s="482"/>
      <c r="Q29" s="482"/>
      <c r="R29" s="491"/>
      <c r="S29" s="492"/>
      <c r="T29" s="492"/>
      <c r="U29" s="492"/>
      <c r="V29" s="492"/>
      <c r="W29" s="493"/>
      <c r="Y29" s="494"/>
      <c r="Z29" s="763"/>
      <c r="AB29" s="477" t="s">
        <v>571</v>
      </c>
      <c r="AC29" s="463">
        <v>106</v>
      </c>
      <c r="AD29" s="433" t="s">
        <v>572</v>
      </c>
      <c r="AF29" s="495">
        <v>1</v>
      </c>
      <c r="AG29" s="433" t="s">
        <v>573</v>
      </c>
    </row>
    <row r="30" spans="2:33" ht="15.9" customHeight="1">
      <c r="B30" s="638"/>
      <c r="C30" s="134"/>
      <c r="D30" s="135" t="s">
        <v>787</v>
      </c>
      <c r="E30" s="490"/>
      <c r="F30" s="137"/>
      <c r="G30" s="137"/>
      <c r="H30" s="137"/>
      <c r="I30" s="137"/>
      <c r="J30" s="137"/>
      <c r="K30" s="137"/>
      <c r="L30" s="137"/>
      <c r="M30" s="137"/>
      <c r="R30" s="486"/>
      <c r="T30" s="482"/>
      <c r="U30" s="482"/>
      <c r="V30" s="482"/>
      <c r="Y30" s="494"/>
      <c r="Z30" s="763"/>
      <c r="AB30" s="477" t="s">
        <v>574</v>
      </c>
      <c r="AC30" s="463">
        <v>107</v>
      </c>
      <c r="AD30" s="433" t="s">
        <v>575</v>
      </c>
      <c r="AF30" s="496">
        <v>2</v>
      </c>
      <c r="AG30" s="433" t="s">
        <v>576</v>
      </c>
    </row>
    <row r="31" spans="2:33" ht="15.9" customHeight="1">
      <c r="B31" s="638"/>
      <c r="C31" s="134"/>
      <c r="D31" s="136" t="s">
        <v>789</v>
      </c>
      <c r="E31" s="137"/>
      <c r="F31" s="136"/>
      <c r="G31" s="137"/>
      <c r="H31" s="137"/>
      <c r="I31" s="137"/>
      <c r="J31" s="137"/>
      <c r="K31" s="137"/>
      <c r="L31" s="137"/>
      <c r="M31" s="137"/>
      <c r="R31" s="486"/>
      <c r="T31" s="482"/>
      <c r="W31" s="497"/>
      <c r="X31" s="497"/>
      <c r="Y31" s="498"/>
      <c r="Z31" s="499"/>
      <c r="AB31" s="477" t="s">
        <v>577</v>
      </c>
      <c r="AC31" s="463">
        <v>109</v>
      </c>
      <c r="AF31" s="496">
        <v>4</v>
      </c>
      <c r="AG31" s="433" t="s">
        <v>578</v>
      </c>
    </row>
    <row r="32" spans="2:33" ht="15.9" customHeight="1">
      <c r="B32" s="638"/>
      <c r="C32" s="134"/>
      <c r="D32" s="433" t="s">
        <v>796</v>
      </c>
      <c r="F32" s="136"/>
      <c r="G32" s="137"/>
      <c r="H32" s="137"/>
      <c r="I32" s="137"/>
      <c r="J32" s="137"/>
      <c r="K32" s="137"/>
      <c r="L32" s="137"/>
      <c r="M32" s="137"/>
      <c r="R32" s="486"/>
      <c r="T32" s="482"/>
      <c r="W32" s="497"/>
      <c r="X32" s="497"/>
      <c r="Y32" s="498"/>
      <c r="Z32" s="499"/>
      <c r="AB32" s="477"/>
      <c r="AC32" s="463"/>
      <c r="AF32" s="496"/>
    </row>
    <row r="33" spans="2:33" ht="15.9" customHeight="1">
      <c r="B33" s="638"/>
      <c r="C33" s="134"/>
      <c r="F33" s="136"/>
      <c r="G33" s="137"/>
      <c r="H33" s="137"/>
      <c r="I33" s="137"/>
      <c r="J33" s="137"/>
      <c r="K33" s="137"/>
      <c r="L33" s="137"/>
      <c r="M33" s="137"/>
      <c r="R33" s="486"/>
      <c r="T33" s="482"/>
      <c r="W33" s="497"/>
      <c r="X33" s="497"/>
      <c r="Y33" s="498"/>
      <c r="Z33" s="499"/>
      <c r="AB33" s="477"/>
      <c r="AC33" s="463"/>
      <c r="AF33" s="496"/>
    </row>
    <row r="34" spans="2:33" ht="15.9" customHeight="1">
      <c r="B34" s="638"/>
      <c r="C34" s="134"/>
      <c r="F34" s="136"/>
      <c r="G34" s="137"/>
      <c r="H34" s="137"/>
      <c r="I34" s="137"/>
      <c r="J34" s="137"/>
      <c r="K34" s="137"/>
      <c r="L34" s="137"/>
      <c r="M34" s="137"/>
      <c r="R34" s="486"/>
      <c r="T34" s="482"/>
      <c r="U34" s="500"/>
      <c r="AB34" s="477" t="s">
        <v>579</v>
      </c>
      <c r="AC34" s="463">
        <v>110</v>
      </c>
      <c r="AF34" s="496">
        <v>5</v>
      </c>
      <c r="AG34" s="433" t="s">
        <v>580</v>
      </c>
    </row>
    <row r="35" spans="2:33" ht="15.9" customHeight="1">
      <c r="B35" s="638"/>
      <c r="C35" s="134"/>
      <c r="F35" s="137"/>
      <c r="G35" s="137"/>
      <c r="H35" s="137"/>
      <c r="I35" s="137"/>
      <c r="J35" s="137"/>
      <c r="K35" s="137"/>
      <c r="L35" s="137"/>
      <c r="M35" s="137"/>
      <c r="R35" s="487"/>
      <c r="S35" s="494"/>
      <c r="T35" s="501"/>
      <c r="U35" s="500"/>
      <c r="V35" s="497"/>
      <c r="W35" s="497"/>
      <c r="X35" s="497"/>
      <c r="Y35" s="498"/>
      <c r="Z35" s="499"/>
      <c r="AB35" s="477" t="s">
        <v>582</v>
      </c>
      <c r="AC35" s="463">
        <v>111</v>
      </c>
      <c r="AF35" s="496">
        <v>6</v>
      </c>
      <c r="AG35" s="433" t="s">
        <v>583</v>
      </c>
    </row>
    <row r="36" spans="2:33" ht="15.9" customHeight="1">
      <c r="B36" s="638"/>
      <c r="C36" s="134"/>
      <c r="D36" s="274"/>
      <c r="E36" s="274"/>
      <c r="F36" s="137"/>
      <c r="G36" s="137"/>
      <c r="H36" s="137"/>
      <c r="I36" s="137"/>
      <c r="J36" s="137"/>
      <c r="K36" s="137"/>
      <c r="L36" s="137"/>
      <c r="M36" s="137"/>
      <c r="R36" s="487"/>
      <c r="S36" s="494"/>
      <c r="T36" s="501"/>
      <c r="U36" s="500"/>
      <c r="V36" s="497"/>
      <c r="W36" s="497"/>
      <c r="X36" s="497"/>
      <c r="Y36" s="498"/>
      <c r="Z36" s="499"/>
      <c r="AB36" s="477"/>
      <c r="AC36" s="463"/>
      <c r="AF36" s="496"/>
    </row>
    <row r="37" spans="2:33" ht="15.9" customHeight="1">
      <c r="B37" s="638"/>
      <c r="C37" s="134"/>
      <c r="D37" s="274"/>
      <c r="E37" s="274"/>
      <c r="F37" s="137"/>
      <c r="G37" s="137"/>
      <c r="H37" s="137"/>
      <c r="I37" s="137"/>
      <c r="J37" s="137"/>
      <c r="K37" s="137"/>
      <c r="L37" s="137"/>
      <c r="M37" s="137"/>
      <c r="R37" s="487"/>
      <c r="S37" s="494"/>
      <c r="T37" s="501"/>
      <c r="U37" s="500"/>
      <c r="V37" s="497"/>
      <c r="W37" s="497"/>
      <c r="X37" s="497"/>
      <c r="Y37" s="498"/>
      <c r="Z37" s="499"/>
      <c r="AB37" s="477"/>
      <c r="AC37" s="463"/>
      <c r="AF37" s="496"/>
    </row>
    <row r="38" spans="2:33" ht="15.9" customHeight="1">
      <c r="B38" s="638"/>
      <c r="C38" s="134"/>
      <c r="D38" s="274"/>
      <c r="E38" s="274"/>
      <c r="F38" s="137"/>
      <c r="G38" s="137"/>
      <c r="H38" s="137"/>
      <c r="I38" s="137"/>
      <c r="J38" s="137"/>
      <c r="K38" s="137"/>
      <c r="L38" s="137"/>
      <c r="M38" s="137"/>
      <c r="R38" s="487"/>
      <c r="S38" s="494"/>
      <c r="T38" s="501"/>
      <c r="U38" s="500"/>
      <c r="V38" s="497"/>
      <c r="W38" s="497"/>
      <c r="X38" s="497"/>
      <c r="Y38" s="498"/>
      <c r="Z38" s="499"/>
      <c r="AB38" s="477"/>
      <c r="AC38" s="463"/>
      <c r="AF38" s="496"/>
    </row>
    <row r="39" spans="2:33" ht="15.9" customHeight="1">
      <c r="B39" s="638"/>
      <c r="C39" s="134"/>
      <c r="D39" s="274"/>
      <c r="E39" s="274"/>
      <c r="F39" s="137"/>
      <c r="G39" s="137"/>
      <c r="H39" s="137"/>
      <c r="I39" s="137"/>
      <c r="J39" s="137"/>
      <c r="K39" s="137"/>
      <c r="L39" s="137"/>
      <c r="M39" s="137"/>
      <c r="R39" s="487"/>
      <c r="S39" s="494"/>
      <c r="T39" s="501"/>
      <c r="U39" s="500"/>
      <c r="V39" s="497"/>
      <c r="W39" s="497"/>
      <c r="X39" s="497"/>
      <c r="Y39" s="498"/>
      <c r="Z39" s="499"/>
      <c r="AB39" s="477"/>
      <c r="AC39" s="463"/>
      <c r="AF39" s="496"/>
    </row>
    <row r="40" spans="2:33" ht="15.9" customHeight="1">
      <c r="B40" s="638"/>
      <c r="C40" s="134"/>
      <c r="D40" s="274"/>
      <c r="E40" s="274"/>
      <c r="F40" s="137"/>
      <c r="G40" s="137"/>
      <c r="H40" s="137"/>
      <c r="I40" s="137"/>
      <c r="J40" s="137"/>
      <c r="K40" s="137"/>
      <c r="L40" s="137"/>
      <c r="M40" s="137"/>
      <c r="R40" s="487"/>
      <c r="S40" s="494"/>
      <c r="T40" s="501"/>
      <c r="U40" s="500"/>
      <c r="V40" s="497"/>
      <c r="W40" s="497"/>
      <c r="X40" s="497"/>
      <c r="Y40" s="498"/>
      <c r="Z40" s="499"/>
      <c r="AB40" s="477"/>
      <c r="AC40" s="463"/>
      <c r="AF40" s="496"/>
    </row>
    <row r="41" spans="2:33" ht="13" customHeight="1" thickBot="1">
      <c r="B41" s="639"/>
      <c r="C41" s="134"/>
      <c r="D41" s="274"/>
      <c r="E41" s="274"/>
      <c r="F41" s="137"/>
      <c r="G41" s="137"/>
      <c r="H41" s="137"/>
      <c r="I41" s="137"/>
      <c r="J41" s="137"/>
      <c r="K41" s="137"/>
      <c r="L41" s="137"/>
      <c r="M41" s="137"/>
      <c r="R41" s="487"/>
      <c r="S41" s="494"/>
      <c r="T41" s="501"/>
      <c r="U41" s="500"/>
      <c r="V41" s="497"/>
      <c r="W41" s="497"/>
      <c r="X41" s="497"/>
      <c r="Y41" s="498"/>
      <c r="Z41" s="499"/>
      <c r="AB41" s="477"/>
      <c r="AC41" s="463"/>
      <c r="AF41" s="496"/>
    </row>
    <row r="42" spans="2:33" ht="5.25" customHeight="1">
      <c r="B42" s="637" t="s">
        <v>680</v>
      </c>
      <c r="C42" s="169"/>
      <c r="D42" s="489"/>
      <c r="E42" s="489"/>
      <c r="F42" s="484"/>
      <c r="G42" s="484"/>
      <c r="H42" s="484"/>
      <c r="I42" s="484"/>
      <c r="J42" s="484"/>
      <c r="K42" s="484"/>
      <c r="L42" s="484"/>
      <c r="M42" s="484"/>
      <c r="N42" s="484"/>
      <c r="O42" s="484"/>
      <c r="P42" s="502"/>
      <c r="Q42" s="502"/>
      <c r="R42" s="503"/>
      <c r="S42" s="504"/>
      <c r="T42" s="482"/>
      <c r="U42" s="504"/>
      <c r="V42" s="504"/>
      <c r="AB42" s="477" t="s">
        <v>590</v>
      </c>
      <c r="AC42" s="463">
        <v>305</v>
      </c>
      <c r="AF42" s="496">
        <v>42</v>
      </c>
    </row>
    <row r="43" spans="2:33" ht="15.9" customHeight="1">
      <c r="B43" s="638"/>
      <c r="C43" s="155"/>
      <c r="D43" s="273"/>
      <c r="E43" s="136"/>
      <c r="F43" s="137"/>
      <c r="G43" s="482"/>
      <c r="H43" s="482"/>
      <c r="I43" s="482"/>
      <c r="J43" s="482"/>
      <c r="K43" s="482"/>
      <c r="L43" s="482"/>
      <c r="P43" s="505"/>
      <c r="Q43" s="505"/>
      <c r="R43" s="506"/>
      <c r="S43" s="505"/>
      <c r="T43" s="482"/>
      <c r="U43" s="482"/>
      <c r="V43" s="482"/>
      <c r="AB43" s="477" t="s">
        <v>591</v>
      </c>
      <c r="AC43" s="463">
        <v>501</v>
      </c>
      <c r="AF43" s="507">
        <v>43</v>
      </c>
    </row>
    <row r="44" spans="2:33" ht="15.9" customHeight="1">
      <c r="B44" s="638"/>
      <c r="C44" s="155"/>
      <c r="F44" s="136"/>
      <c r="G44" s="482"/>
      <c r="H44" s="482"/>
      <c r="I44" s="482"/>
      <c r="J44" s="482"/>
      <c r="K44" s="482"/>
      <c r="M44" s="611"/>
      <c r="P44" s="505"/>
      <c r="Q44" s="505"/>
      <c r="R44" s="506"/>
      <c r="S44" s="505"/>
      <c r="T44" s="482"/>
      <c r="U44" s="482"/>
      <c r="V44" s="482"/>
      <c r="AB44" s="477" t="s">
        <v>592</v>
      </c>
      <c r="AC44" s="463">
        <v>504</v>
      </c>
      <c r="AF44" s="496">
        <v>62</v>
      </c>
    </row>
    <row r="45" spans="2:33" ht="15.9" customHeight="1">
      <c r="B45" s="638"/>
      <c r="C45" s="134"/>
      <c r="F45" s="136"/>
      <c r="G45" s="137"/>
      <c r="H45" s="137"/>
      <c r="I45" s="137"/>
      <c r="J45" s="137"/>
      <c r="K45" s="137"/>
      <c r="L45" s="137"/>
      <c r="M45" s="137"/>
      <c r="N45" s="479"/>
      <c r="O45" s="479"/>
      <c r="P45" s="479"/>
      <c r="Q45" s="479"/>
      <c r="R45" s="506"/>
      <c r="S45" s="505"/>
      <c r="T45" s="482"/>
      <c r="U45" s="482"/>
      <c r="V45" s="482"/>
      <c r="AB45" s="477" t="s">
        <v>593</v>
      </c>
      <c r="AC45" s="463">
        <v>505</v>
      </c>
      <c r="AF45" s="496">
        <v>63</v>
      </c>
    </row>
    <row r="46" spans="2:33" ht="15.9" customHeight="1">
      <c r="B46" s="638"/>
      <c r="C46" s="134"/>
      <c r="F46" s="136"/>
      <c r="G46" s="137"/>
      <c r="H46" s="137"/>
      <c r="I46" s="137"/>
      <c r="J46" s="137"/>
      <c r="K46" s="137"/>
      <c r="L46" s="137"/>
      <c r="M46" s="137"/>
      <c r="N46" s="479"/>
      <c r="O46" s="479"/>
      <c r="P46" s="479"/>
      <c r="Q46" s="479"/>
      <c r="R46" s="506"/>
      <c r="S46" s="505"/>
      <c r="T46" s="482"/>
      <c r="U46" s="482"/>
      <c r="V46" s="482"/>
      <c r="AB46" s="477"/>
      <c r="AC46" s="463"/>
      <c r="AF46" s="496"/>
    </row>
    <row r="47" spans="2:33" ht="15.9" customHeight="1">
      <c r="B47" s="638"/>
      <c r="C47" s="134"/>
      <c r="D47" s="274"/>
      <c r="F47" s="136"/>
      <c r="G47" s="137"/>
      <c r="H47" s="137"/>
      <c r="I47" s="137"/>
      <c r="J47" s="137"/>
      <c r="K47" s="137"/>
      <c r="L47" s="137"/>
      <c r="M47" s="137"/>
      <c r="N47" s="611"/>
      <c r="P47" s="505"/>
      <c r="Q47" s="505"/>
      <c r="R47" s="506"/>
      <c r="S47" s="505"/>
      <c r="T47" s="482"/>
      <c r="U47" s="482"/>
      <c r="V47" s="482"/>
      <c r="AB47" s="477" t="s">
        <v>594</v>
      </c>
      <c r="AC47" s="463">
        <v>507</v>
      </c>
      <c r="AF47" s="496">
        <v>65</v>
      </c>
    </row>
    <row r="48" spans="2:33" ht="15.9" customHeight="1">
      <c r="B48" s="638"/>
      <c r="D48" s="274"/>
      <c r="F48" s="136"/>
      <c r="G48" s="482"/>
      <c r="H48" s="482"/>
      <c r="I48" s="482"/>
      <c r="J48" s="482"/>
      <c r="K48" s="482"/>
      <c r="L48" s="482"/>
      <c r="N48" s="482"/>
      <c r="O48" s="482"/>
      <c r="P48" s="508"/>
      <c r="Q48" s="508"/>
      <c r="R48" s="509"/>
      <c r="S48" s="508"/>
      <c r="T48" s="482"/>
      <c r="U48" s="482"/>
      <c r="V48" s="482"/>
      <c r="AF48" s="496">
        <v>67</v>
      </c>
    </row>
    <row r="49" spans="2:32" ht="15.9" customHeight="1">
      <c r="B49" s="638"/>
      <c r="D49" s="135" t="s">
        <v>797</v>
      </c>
      <c r="E49" s="136"/>
      <c r="F49" s="137"/>
      <c r="G49" s="482"/>
      <c r="H49" s="482"/>
      <c r="I49" s="482"/>
      <c r="J49" s="482"/>
      <c r="K49" s="482"/>
      <c r="L49" s="482"/>
      <c r="N49" s="482"/>
      <c r="O49" s="482"/>
      <c r="P49" s="508"/>
      <c r="Q49" s="508"/>
      <c r="R49" s="509"/>
      <c r="S49" s="508"/>
      <c r="T49" s="482"/>
      <c r="U49" s="482"/>
      <c r="V49" s="482"/>
      <c r="AF49" s="496"/>
    </row>
    <row r="50" spans="2:32" ht="15.9" customHeight="1">
      <c r="B50" s="638"/>
      <c r="D50" s="136" t="s">
        <v>798</v>
      </c>
      <c r="E50" s="274"/>
      <c r="F50" s="137"/>
      <c r="G50" s="482"/>
      <c r="H50" s="482"/>
      <c r="I50" s="482"/>
      <c r="J50" s="482"/>
      <c r="K50" s="482"/>
      <c r="L50" s="482"/>
      <c r="N50" s="482"/>
      <c r="O50" s="482"/>
      <c r="P50" s="508"/>
      <c r="Q50" s="508"/>
      <c r="R50" s="509"/>
      <c r="S50" s="508"/>
      <c r="T50" s="482"/>
      <c r="U50" s="482"/>
      <c r="V50" s="482"/>
      <c r="AF50" s="496"/>
    </row>
    <row r="51" spans="2:32" ht="15.9" customHeight="1">
      <c r="B51" s="638"/>
      <c r="D51" s="136" t="s">
        <v>796</v>
      </c>
      <c r="E51" s="274"/>
      <c r="F51" s="137"/>
      <c r="G51" s="482"/>
      <c r="H51" s="482"/>
      <c r="I51" s="482"/>
      <c r="J51" s="482"/>
      <c r="K51" s="482"/>
      <c r="L51" s="482"/>
      <c r="N51" s="482"/>
      <c r="O51" s="482"/>
      <c r="P51" s="508"/>
      <c r="Q51" s="508"/>
      <c r="R51" s="509"/>
      <c r="S51" s="508"/>
      <c r="T51" s="482"/>
      <c r="U51" s="482"/>
      <c r="V51" s="482"/>
      <c r="AF51" s="496"/>
    </row>
    <row r="52" spans="2:32" ht="15.9" customHeight="1">
      <c r="B52" s="638"/>
      <c r="D52" s="274"/>
      <c r="E52" s="274"/>
      <c r="F52" s="137"/>
      <c r="G52" s="482"/>
      <c r="H52" s="482"/>
      <c r="I52" s="482"/>
      <c r="J52" s="482"/>
      <c r="K52" s="482"/>
      <c r="L52" s="482"/>
      <c r="N52" s="482"/>
      <c r="O52" s="482"/>
      <c r="P52" s="508"/>
      <c r="Q52" s="508"/>
      <c r="R52" s="509"/>
      <c r="S52" s="508"/>
      <c r="T52" s="482"/>
      <c r="U52" s="482"/>
      <c r="V52" s="482"/>
      <c r="AF52" s="496"/>
    </row>
    <row r="53" spans="2:32" ht="21" customHeight="1">
      <c r="B53" s="638"/>
      <c r="D53" s="274"/>
      <c r="E53" s="274"/>
      <c r="F53" s="137"/>
      <c r="G53" s="482"/>
      <c r="H53" s="482"/>
      <c r="I53" s="482"/>
      <c r="J53" s="482"/>
      <c r="K53" s="482"/>
      <c r="L53" s="482"/>
      <c r="N53" s="482"/>
      <c r="O53" s="482"/>
      <c r="P53" s="508"/>
      <c r="Q53" s="508"/>
      <c r="R53" s="509"/>
      <c r="S53" s="508"/>
      <c r="T53" s="482"/>
      <c r="U53" s="482"/>
      <c r="V53" s="482"/>
      <c r="AF53" s="496"/>
    </row>
    <row r="54" spans="2:32" ht="7.5" customHeight="1">
      <c r="B54" s="638"/>
      <c r="C54" s="511"/>
      <c r="F54" s="482"/>
      <c r="G54" s="482"/>
      <c r="H54" s="482"/>
      <c r="I54" s="482"/>
      <c r="J54" s="482"/>
      <c r="K54" s="482"/>
      <c r="L54" s="482"/>
      <c r="M54" s="482"/>
      <c r="N54" s="482"/>
      <c r="O54" s="482"/>
      <c r="P54" s="508"/>
      <c r="Q54" s="508"/>
      <c r="R54" s="509"/>
      <c r="S54" s="508"/>
      <c r="T54" s="482"/>
      <c r="U54" s="482"/>
      <c r="V54" s="482"/>
      <c r="AF54" s="510"/>
    </row>
    <row r="55" spans="2:32" ht="15.9" customHeight="1">
      <c r="B55" s="638"/>
      <c r="C55" s="511"/>
      <c r="D55" s="273"/>
      <c r="F55" s="482"/>
      <c r="G55" s="482"/>
      <c r="H55" s="482"/>
      <c r="I55" s="482"/>
      <c r="J55" s="482"/>
      <c r="K55" s="482"/>
      <c r="L55" s="482"/>
      <c r="M55" s="482"/>
      <c r="N55" s="482"/>
      <c r="O55" s="482"/>
      <c r="P55" s="508"/>
      <c r="Q55" s="508"/>
      <c r="R55" s="509"/>
      <c r="S55" s="508"/>
      <c r="T55" s="482"/>
      <c r="U55" s="482"/>
      <c r="V55" s="482"/>
      <c r="AF55" s="510"/>
    </row>
    <row r="56" spans="2:32" ht="15.9" customHeight="1">
      <c r="B56" s="638"/>
      <c r="C56" s="511"/>
      <c r="F56" s="482"/>
      <c r="G56" s="482"/>
      <c r="H56" s="482"/>
      <c r="I56" s="482"/>
      <c r="J56" s="482"/>
      <c r="K56" s="482"/>
      <c r="L56" s="482"/>
      <c r="M56" s="482"/>
      <c r="N56" s="482"/>
      <c r="O56" s="482"/>
      <c r="P56" s="508"/>
      <c r="Q56" s="508"/>
      <c r="R56" s="509"/>
      <c r="S56" s="508"/>
      <c r="T56" s="482"/>
      <c r="U56" s="482"/>
      <c r="V56" s="482"/>
      <c r="AF56" s="510"/>
    </row>
    <row r="57" spans="2:32" ht="15.9" customHeight="1">
      <c r="B57" s="638"/>
      <c r="C57" s="511"/>
      <c r="F57" s="482"/>
      <c r="G57" s="482"/>
      <c r="H57" s="482"/>
      <c r="I57" s="482"/>
      <c r="J57" s="482"/>
      <c r="K57" s="482"/>
      <c r="L57" s="482"/>
      <c r="M57" s="482"/>
      <c r="N57" s="482"/>
      <c r="O57" s="482"/>
      <c r="P57" s="508"/>
      <c r="Q57" s="508"/>
      <c r="R57" s="509"/>
      <c r="S57" s="508"/>
      <c r="T57" s="482"/>
      <c r="U57" s="482"/>
      <c r="V57" s="482"/>
      <c r="AF57" s="510"/>
    </row>
    <row r="58" spans="2:32" ht="15.9" customHeight="1">
      <c r="B58" s="638"/>
      <c r="C58" s="511"/>
      <c r="F58" s="482"/>
      <c r="G58" s="482"/>
      <c r="H58" s="482"/>
      <c r="I58" s="482"/>
      <c r="J58" s="482"/>
      <c r="K58" s="482"/>
      <c r="L58" s="482"/>
      <c r="M58" s="482"/>
      <c r="N58" s="482"/>
      <c r="O58" s="482"/>
      <c r="P58" s="508"/>
      <c r="Q58" s="508"/>
      <c r="R58" s="509"/>
      <c r="S58" s="508"/>
      <c r="T58" s="482"/>
      <c r="U58" s="482"/>
      <c r="V58" s="482"/>
      <c r="AF58" s="510"/>
    </row>
    <row r="59" spans="2:32" ht="15.9" customHeight="1">
      <c r="B59" s="638"/>
      <c r="C59" s="511"/>
      <c r="F59" s="482"/>
      <c r="G59" s="482"/>
      <c r="H59" s="482"/>
      <c r="I59" s="482"/>
      <c r="J59" s="482"/>
      <c r="K59" s="482"/>
      <c r="L59" s="482"/>
      <c r="M59" s="482"/>
      <c r="N59" s="482"/>
      <c r="O59" s="482"/>
      <c r="P59" s="508"/>
      <c r="Q59" s="508"/>
      <c r="R59" s="509"/>
      <c r="S59" s="508"/>
      <c r="T59" s="482"/>
      <c r="U59" s="482"/>
      <c r="V59" s="482"/>
      <c r="AF59" s="510"/>
    </row>
    <row r="60" spans="2:32" ht="15.5" customHeight="1">
      <c r="B60" s="638"/>
      <c r="C60" s="511"/>
      <c r="F60" s="482"/>
      <c r="G60" s="482"/>
      <c r="H60" s="482"/>
      <c r="I60" s="482"/>
      <c r="J60" s="482"/>
      <c r="K60" s="482"/>
      <c r="L60" s="482"/>
      <c r="M60" s="482"/>
      <c r="N60" s="482"/>
      <c r="O60" s="482"/>
      <c r="P60" s="508"/>
      <c r="Q60" s="508"/>
      <c r="R60" s="509"/>
      <c r="S60" s="508"/>
      <c r="T60" s="482"/>
      <c r="U60" s="482"/>
      <c r="V60" s="482"/>
      <c r="AF60" s="510"/>
    </row>
    <row r="61" spans="2:32" ht="3" customHeight="1" thickBot="1">
      <c r="B61" s="639"/>
      <c r="C61" s="514"/>
      <c r="D61" s="515"/>
      <c r="E61" s="515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612"/>
      <c r="Q61" s="612"/>
      <c r="R61" s="517"/>
      <c r="S61" s="508"/>
      <c r="T61" s="482"/>
      <c r="U61" s="482"/>
      <c r="V61" s="482"/>
      <c r="AF61" s="510"/>
    </row>
    <row r="62" spans="2:32" ht="20" customHeight="1">
      <c r="B62" s="430"/>
      <c r="C62" s="511"/>
      <c r="F62" s="482"/>
      <c r="G62" s="482"/>
      <c r="H62" s="482"/>
      <c r="I62" s="482"/>
      <c r="J62" s="482"/>
      <c r="K62" s="482"/>
      <c r="L62" s="482"/>
      <c r="M62" s="482"/>
      <c r="N62" s="482"/>
      <c r="O62" s="482"/>
      <c r="P62" s="508"/>
      <c r="Q62" s="508"/>
      <c r="R62" s="509"/>
      <c r="S62" s="508"/>
      <c r="T62" s="482"/>
      <c r="U62" s="482"/>
      <c r="V62" s="482"/>
      <c r="AF62" s="507">
        <v>71</v>
      </c>
    </row>
    <row r="63" spans="2:32" ht="15.9" customHeight="1">
      <c r="B63" s="430"/>
      <c r="C63" s="511"/>
      <c r="F63" s="482"/>
      <c r="G63" s="482"/>
      <c r="H63" s="482"/>
      <c r="I63" s="482"/>
      <c r="J63" s="482"/>
      <c r="K63" s="482"/>
      <c r="L63" s="482"/>
      <c r="M63" s="482"/>
      <c r="N63" s="482"/>
      <c r="O63" s="482"/>
      <c r="P63" s="505"/>
      <c r="Q63" s="505"/>
      <c r="R63" s="509"/>
      <c r="S63" s="508"/>
      <c r="T63" s="482"/>
      <c r="U63" s="482"/>
      <c r="V63" s="482"/>
      <c r="AF63" s="512">
        <v>81</v>
      </c>
    </row>
    <row r="64" spans="2:32" ht="15.9" customHeight="1">
      <c r="B64" s="430"/>
      <c r="C64" s="511"/>
      <c r="F64" s="482"/>
      <c r="G64" s="482"/>
      <c r="H64" s="482"/>
      <c r="I64" s="482"/>
      <c r="J64" s="482"/>
      <c r="K64" s="482"/>
      <c r="L64" s="482"/>
      <c r="M64" s="482"/>
      <c r="N64" s="482"/>
      <c r="O64" s="482"/>
      <c r="P64" s="505"/>
      <c r="Q64" s="505"/>
      <c r="R64" s="509"/>
      <c r="S64" s="508"/>
      <c r="T64" s="482"/>
      <c r="U64" s="482"/>
      <c r="V64" s="482"/>
      <c r="AF64" s="513"/>
    </row>
    <row r="65" spans="2:32" ht="15.9" customHeight="1">
      <c r="B65" s="430"/>
      <c r="C65" s="511"/>
      <c r="F65" s="482"/>
      <c r="G65" s="482"/>
      <c r="H65" s="482"/>
      <c r="I65" s="482"/>
      <c r="J65" s="482"/>
      <c r="K65" s="482"/>
      <c r="L65" s="482"/>
      <c r="M65" s="482"/>
      <c r="N65" s="482"/>
      <c r="O65" s="482"/>
      <c r="P65" s="505"/>
      <c r="Q65" s="505"/>
      <c r="R65" s="509"/>
      <c r="S65" s="508"/>
      <c r="T65" s="482"/>
      <c r="U65" s="482"/>
      <c r="V65" s="482"/>
      <c r="AF65" s="513"/>
    </row>
    <row r="66" spans="2:32" ht="15.9" customHeight="1">
      <c r="B66" s="430"/>
      <c r="C66" s="511"/>
      <c r="F66" s="482"/>
      <c r="G66" s="482"/>
      <c r="H66" s="482"/>
      <c r="I66" s="482"/>
      <c r="J66" s="482"/>
      <c r="K66" s="482"/>
      <c r="L66" s="482"/>
      <c r="M66" s="482"/>
      <c r="N66" s="482"/>
      <c r="O66" s="482"/>
      <c r="P66" s="505"/>
      <c r="Q66" s="505"/>
      <c r="R66" s="509"/>
      <c r="S66" s="508"/>
      <c r="T66" s="482"/>
      <c r="U66" s="482"/>
      <c r="V66" s="482"/>
      <c r="AF66" s="513"/>
    </row>
    <row r="67" spans="2:32" ht="15.9" customHeight="1">
      <c r="B67" s="430"/>
      <c r="C67" s="511"/>
      <c r="F67" s="482"/>
      <c r="G67" s="482"/>
      <c r="H67" s="482"/>
      <c r="I67" s="482"/>
      <c r="J67" s="482"/>
      <c r="K67" s="482"/>
      <c r="L67" s="482"/>
      <c r="M67" s="482"/>
      <c r="N67" s="482"/>
      <c r="O67" s="482"/>
      <c r="P67" s="505"/>
      <c r="Q67" s="505"/>
      <c r="R67" s="509"/>
      <c r="S67" s="508"/>
      <c r="T67" s="482"/>
      <c r="U67" s="482"/>
      <c r="V67" s="482"/>
      <c r="AF67" s="513"/>
    </row>
    <row r="68" spans="2:32" ht="29" customHeight="1">
      <c r="B68" s="430"/>
      <c r="C68" s="511"/>
      <c r="F68" s="482"/>
      <c r="G68" s="482"/>
      <c r="H68" s="482"/>
      <c r="I68" s="482"/>
      <c r="J68" s="482"/>
      <c r="K68" s="482"/>
      <c r="L68" s="482"/>
      <c r="M68" s="482"/>
      <c r="N68" s="482"/>
      <c r="O68" s="482"/>
      <c r="P68" s="505"/>
      <c r="Q68" s="505"/>
      <c r="R68" s="509"/>
      <c r="S68" s="508"/>
      <c r="T68" s="482"/>
      <c r="U68" s="482"/>
      <c r="V68" s="482"/>
      <c r="AF68" s="513"/>
    </row>
    <row r="69" spans="2:32" ht="24" customHeight="1">
      <c r="B69" s="638"/>
      <c r="C69" s="511"/>
      <c r="D69" s="273"/>
      <c r="F69" s="482"/>
      <c r="G69" s="482"/>
      <c r="H69" s="482"/>
      <c r="I69" s="482"/>
      <c r="J69" s="482"/>
      <c r="K69" s="482"/>
      <c r="L69" s="482"/>
      <c r="M69" s="482"/>
      <c r="N69" s="482"/>
      <c r="O69" s="482"/>
      <c r="P69" s="505"/>
      <c r="Q69" s="505"/>
      <c r="R69" s="509"/>
      <c r="S69" s="508"/>
      <c r="T69" s="482"/>
      <c r="U69" s="482"/>
      <c r="V69" s="482"/>
      <c r="AF69" s="513"/>
    </row>
    <row r="70" spans="2:32" ht="28.5" customHeight="1">
      <c r="B70" s="638"/>
      <c r="C70" s="518"/>
      <c r="D70" s="482"/>
      <c r="E70" s="274"/>
      <c r="F70" s="606"/>
      <c r="G70" s="482"/>
      <c r="H70" s="482"/>
      <c r="I70" s="482"/>
      <c r="J70" s="482"/>
      <c r="K70" s="482"/>
      <c r="L70" s="482"/>
      <c r="M70" s="482"/>
      <c r="N70" s="482"/>
      <c r="O70" s="482"/>
      <c r="P70" s="505"/>
      <c r="Q70" s="508"/>
      <c r="R70" s="509"/>
      <c r="S70" s="508"/>
      <c r="T70" s="482"/>
      <c r="U70" s="482"/>
      <c r="V70" s="482"/>
      <c r="AF70" s="507">
        <v>82</v>
      </c>
    </row>
    <row r="71" spans="2:32" ht="28.5" customHeight="1">
      <c r="B71" s="638"/>
      <c r="C71" s="518"/>
      <c r="D71" s="482"/>
      <c r="E71" s="274"/>
      <c r="F71" s="606"/>
      <c r="G71" s="482"/>
      <c r="H71" s="482"/>
      <c r="I71" s="482"/>
      <c r="J71" s="482"/>
      <c r="K71" s="482"/>
      <c r="L71" s="482"/>
      <c r="M71" s="482"/>
      <c r="N71" s="482"/>
      <c r="O71" s="482"/>
      <c r="P71" s="505"/>
      <c r="Q71" s="508"/>
      <c r="R71" s="509"/>
      <c r="S71" s="508"/>
      <c r="T71" s="482"/>
      <c r="U71" s="482"/>
      <c r="V71" s="482"/>
      <c r="AF71" s="513"/>
    </row>
    <row r="72" spans="2:32" ht="28.5" customHeight="1">
      <c r="B72" s="638"/>
      <c r="C72" s="518"/>
      <c r="D72" s="482"/>
      <c r="E72" s="274"/>
      <c r="F72" s="606"/>
      <c r="G72" s="482"/>
      <c r="H72" s="482"/>
      <c r="I72" s="482"/>
      <c r="J72" s="482"/>
      <c r="K72" s="482"/>
      <c r="L72" s="482"/>
      <c r="M72" s="482"/>
      <c r="N72" s="482"/>
      <c r="O72" s="482"/>
      <c r="P72" s="505"/>
      <c r="Q72" s="508"/>
      <c r="R72" s="509"/>
      <c r="S72" s="508"/>
      <c r="T72" s="482"/>
      <c r="U72" s="482"/>
      <c r="V72" s="482"/>
      <c r="AF72" s="513"/>
    </row>
    <row r="73" spans="2:32" ht="28.5" customHeight="1">
      <c r="B73" s="638"/>
      <c r="C73" s="518"/>
      <c r="D73" s="482"/>
      <c r="E73" s="274"/>
      <c r="F73" s="482"/>
      <c r="G73" s="482"/>
      <c r="H73" s="482"/>
      <c r="I73" s="482"/>
      <c r="J73" s="482"/>
      <c r="K73" s="482"/>
      <c r="L73" s="482"/>
      <c r="M73" s="482"/>
      <c r="N73" s="482"/>
      <c r="O73" s="482"/>
      <c r="P73" s="607"/>
      <c r="Q73" s="608"/>
      <c r="R73" s="509"/>
      <c r="S73" s="508"/>
      <c r="T73" s="482"/>
      <c r="U73" s="482"/>
      <c r="V73" s="482"/>
      <c r="AF73" s="512">
        <v>91</v>
      </c>
    </row>
    <row r="74" spans="2:32" ht="24.5" customHeight="1">
      <c r="B74" s="638"/>
      <c r="C74" s="519"/>
      <c r="D74" s="606"/>
      <c r="E74" s="274"/>
      <c r="F74" s="606"/>
      <c r="G74" s="482"/>
      <c r="H74" s="482"/>
      <c r="I74" s="482"/>
      <c r="J74" s="482"/>
      <c r="K74" s="482"/>
      <c r="L74" s="482"/>
      <c r="M74" s="441"/>
      <c r="N74" s="441"/>
      <c r="O74" s="441"/>
      <c r="P74" s="609"/>
      <c r="Q74" s="610"/>
      <c r="R74" s="509"/>
      <c r="S74" s="520"/>
      <c r="T74" s="482"/>
      <c r="U74" s="482"/>
      <c r="V74" s="482"/>
      <c r="AF74" s="496">
        <v>92</v>
      </c>
    </row>
    <row r="75" spans="2:32" ht="24.5" customHeight="1">
      <c r="B75" s="638"/>
      <c r="C75" s="519"/>
      <c r="D75" s="606" t="s">
        <v>821</v>
      </c>
      <c r="E75" s="274"/>
      <c r="F75" s="606"/>
      <c r="G75" s="482"/>
      <c r="H75" s="482"/>
      <c r="I75" s="482"/>
      <c r="J75" s="482"/>
      <c r="K75" s="482"/>
      <c r="L75" s="482"/>
      <c r="M75" s="441"/>
      <c r="N75" s="441"/>
      <c r="O75" s="441"/>
      <c r="P75" s="609"/>
      <c r="Q75" s="610"/>
      <c r="R75" s="509"/>
      <c r="S75" s="520"/>
      <c r="T75" s="482"/>
      <c r="U75" s="482"/>
      <c r="V75" s="482"/>
      <c r="AF75" s="496"/>
    </row>
    <row r="76" spans="2:32" ht="24.5" customHeight="1">
      <c r="B76" s="638"/>
      <c r="C76" s="519"/>
      <c r="D76" s="606" t="s">
        <v>820</v>
      </c>
      <c r="E76" s="274"/>
      <c r="F76" s="606"/>
      <c r="G76" s="482"/>
      <c r="H76" s="482"/>
      <c r="I76" s="482"/>
      <c r="J76" s="482"/>
      <c r="K76" s="482"/>
      <c r="L76" s="482"/>
      <c r="M76" s="441"/>
      <c r="N76" s="441"/>
      <c r="O76" s="441"/>
      <c r="P76" s="609"/>
      <c r="Q76" s="610"/>
      <c r="R76" s="509"/>
      <c r="S76" s="520"/>
      <c r="T76" s="482"/>
      <c r="U76" s="482"/>
      <c r="V76" s="482"/>
      <c r="AF76" s="496"/>
    </row>
    <row r="77" spans="2:32" ht="28" customHeight="1">
      <c r="B77" s="638"/>
      <c r="C77" s="519"/>
      <c r="D77" s="606" t="s">
        <v>822</v>
      </c>
      <c r="E77" s="274"/>
      <c r="F77" s="606"/>
      <c r="G77" s="482"/>
      <c r="H77" s="482"/>
      <c r="I77" s="482"/>
      <c r="J77" s="482"/>
      <c r="K77" s="482"/>
      <c r="L77" s="482"/>
      <c r="M77" s="441"/>
      <c r="N77" s="441"/>
      <c r="O77" s="441"/>
      <c r="P77" s="609"/>
      <c r="Q77" s="610"/>
      <c r="R77" s="509"/>
      <c r="S77" s="520"/>
      <c r="T77" s="482"/>
      <c r="U77" s="482"/>
      <c r="V77" s="482"/>
      <c r="AF77" s="496"/>
    </row>
    <row r="78" spans="2:32" ht="26" customHeight="1" thickBot="1">
      <c r="B78" s="639"/>
      <c r="C78" s="521"/>
      <c r="D78" s="522" t="s">
        <v>819</v>
      </c>
      <c r="E78" s="522"/>
      <c r="F78" s="516"/>
      <c r="G78" s="516"/>
      <c r="H78" s="516"/>
      <c r="I78" s="516"/>
      <c r="J78" s="516"/>
      <c r="K78" s="516"/>
      <c r="L78" s="516"/>
      <c r="M78" s="523"/>
      <c r="N78" s="523"/>
      <c r="O78" s="523"/>
      <c r="P78" s="524"/>
      <c r="Q78" s="525"/>
      <c r="R78" s="517"/>
      <c r="S78" s="520"/>
      <c r="T78" s="482"/>
      <c r="U78" s="482"/>
      <c r="V78" s="482"/>
      <c r="AF78" s="496">
        <v>93</v>
      </c>
    </row>
    <row r="79" spans="2:32" ht="15.9" customHeight="1" thickTop="1">
      <c r="B79" s="770" t="s">
        <v>711</v>
      </c>
      <c r="C79" s="342" t="s">
        <v>708</v>
      </c>
      <c r="D79" s="526"/>
      <c r="E79" s="527"/>
      <c r="F79" s="526"/>
      <c r="G79" s="773" t="s">
        <v>714</v>
      </c>
      <c r="H79" s="776" t="s">
        <v>598</v>
      </c>
      <c r="I79" s="777"/>
      <c r="J79" s="778" t="s">
        <v>709</v>
      </c>
      <c r="K79" s="779"/>
      <c r="L79" s="780"/>
      <c r="M79" s="813" t="s">
        <v>710</v>
      </c>
      <c r="N79" s="814"/>
      <c r="O79" s="814"/>
      <c r="P79" s="814"/>
      <c r="Q79" s="814"/>
      <c r="R79" s="815"/>
      <c r="S79" s="528"/>
      <c r="T79" s="528"/>
      <c r="U79" s="528"/>
      <c r="V79" s="528"/>
      <c r="AF79" s="529">
        <v>101</v>
      </c>
    </row>
    <row r="80" spans="2:32" ht="15.9" customHeight="1">
      <c r="B80" s="771"/>
      <c r="C80" s="615" t="s">
        <v>803</v>
      </c>
      <c r="D80" s="616"/>
      <c r="E80" s="616"/>
      <c r="F80" s="617"/>
      <c r="G80" s="774"/>
      <c r="H80" s="530"/>
      <c r="I80" s="531"/>
      <c r="J80" s="781"/>
      <c r="K80" s="782"/>
      <c r="L80" s="532"/>
      <c r="M80" s="533"/>
      <c r="N80" s="534"/>
      <c r="O80" s="533"/>
      <c r="P80" s="805"/>
      <c r="Q80" s="806"/>
      <c r="R80" s="535"/>
      <c r="S80" s="536"/>
      <c r="T80" s="537"/>
      <c r="U80" s="537"/>
      <c r="V80" s="537"/>
      <c r="AF80" s="496">
        <v>102</v>
      </c>
    </row>
    <row r="81" spans="1:32" ht="15.9" customHeight="1">
      <c r="B81" s="771"/>
      <c r="C81" s="615" t="s">
        <v>804</v>
      </c>
      <c r="D81" s="616"/>
      <c r="E81" s="616"/>
      <c r="F81" s="617"/>
      <c r="G81" s="774"/>
      <c r="H81" s="538"/>
      <c r="I81" s="539"/>
      <c r="J81" s="803"/>
      <c r="K81" s="804"/>
      <c r="L81" s="540"/>
      <c r="M81" s="541"/>
      <c r="N81" s="541"/>
      <c r="O81" s="541"/>
      <c r="P81" s="805"/>
      <c r="Q81" s="806"/>
      <c r="R81" s="542"/>
      <c r="S81" s="543"/>
      <c r="T81" s="504"/>
      <c r="U81" s="504"/>
      <c r="V81" s="504"/>
      <c r="AF81" s="507">
        <v>103</v>
      </c>
    </row>
    <row r="82" spans="1:32" ht="15.9" customHeight="1" thickBot="1">
      <c r="B82" s="771"/>
      <c r="C82" s="615" t="s">
        <v>805</v>
      </c>
      <c r="D82" s="616"/>
      <c r="E82" s="616"/>
      <c r="F82" s="617"/>
      <c r="G82" s="774"/>
      <c r="H82" s="538"/>
      <c r="I82" s="539"/>
      <c r="J82" s="807"/>
      <c r="K82" s="808"/>
      <c r="L82" s="540"/>
      <c r="M82" s="544"/>
      <c r="N82" s="545" t="s">
        <v>610</v>
      </c>
      <c r="O82" s="544"/>
      <c r="P82" s="797"/>
      <c r="Q82" s="798"/>
      <c r="R82" s="542"/>
      <c r="S82" s="543"/>
      <c r="T82" s="504"/>
      <c r="U82" s="504"/>
      <c r="V82" s="504"/>
      <c r="AF82" s="513">
        <v>111</v>
      </c>
    </row>
    <row r="83" spans="1:32" ht="15.9" customHeight="1" thickBot="1">
      <c r="B83" s="771"/>
      <c r="C83" s="339"/>
      <c r="D83" s="340"/>
      <c r="E83" s="340"/>
      <c r="F83" s="341"/>
      <c r="G83" s="774"/>
      <c r="H83" s="546"/>
      <c r="I83" s="547"/>
      <c r="J83" s="809"/>
      <c r="K83" s="810"/>
      <c r="L83" s="548"/>
      <c r="M83" s="549"/>
      <c r="N83" s="545"/>
      <c r="O83" s="549"/>
      <c r="P83" s="811"/>
      <c r="Q83" s="812"/>
      <c r="R83" s="542"/>
      <c r="S83" s="543"/>
      <c r="T83" s="504"/>
      <c r="U83" s="504"/>
      <c r="V83" s="504"/>
      <c r="AF83" s="550">
        <v>121</v>
      </c>
    </row>
    <row r="84" spans="1:32" ht="15.9" customHeight="1">
      <c r="B84" s="771"/>
      <c r="C84" s="339"/>
      <c r="D84" s="340"/>
      <c r="E84" s="340"/>
      <c r="F84" s="341"/>
      <c r="G84" s="774"/>
      <c r="H84" s="551"/>
      <c r="I84" s="552"/>
      <c r="J84" s="553"/>
      <c r="K84" s="554"/>
      <c r="L84" s="555"/>
      <c r="M84" s="556"/>
      <c r="N84" s="557"/>
      <c r="O84" s="558"/>
      <c r="P84" s="797"/>
      <c r="Q84" s="798"/>
      <c r="R84" s="542"/>
      <c r="S84" s="543"/>
      <c r="T84" s="504"/>
      <c r="U84" s="504"/>
      <c r="V84" s="504"/>
      <c r="AF84" s="559">
        <v>131</v>
      </c>
    </row>
    <row r="85" spans="1:32" ht="15.9" customHeight="1">
      <c r="B85" s="771"/>
      <c r="C85" s="560"/>
      <c r="D85" s="561"/>
      <c r="E85" s="561"/>
      <c r="F85" s="562"/>
      <c r="G85" s="774"/>
      <c r="H85" s="563"/>
      <c r="I85" s="564"/>
      <c r="J85" s="799"/>
      <c r="K85" s="799"/>
      <c r="L85" s="565"/>
      <c r="M85" s="541"/>
      <c r="N85" s="566"/>
      <c r="O85" s="567"/>
      <c r="P85" s="797"/>
      <c r="Q85" s="798"/>
      <c r="R85" s="542"/>
      <c r="S85" s="543"/>
      <c r="T85" s="504"/>
      <c r="U85" s="504"/>
      <c r="V85" s="504"/>
      <c r="AF85" s="568">
        <v>132</v>
      </c>
    </row>
    <row r="86" spans="1:32" ht="15.9" customHeight="1" thickBot="1">
      <c r="B86" s="772"/>
      <c r="C86" s="569"/>
      <c r="D86" s="570"/>
      <c r="E86" s="570"/>
      <c r="F86" s="570"/>
      <c r="G86" s="775"/>
      <c r="H86" s="571"/>
      <c r="I86" s="572"/>
      <c r="J86" s="800"/>
      <c r="K86" s="800"/>
      <c r="L86" s="573"/>
      <c r="M86" s="574"/>
      <c r="N86" s="575"/>
      <c r="O86" s="576"/>
      <c r="P86" s="801"/>
      <c r="Q86" s="802"/>
      <c r="R86" s="577"/>
      <c r="S86" s="543"/>
      <c r="T86" s="504"/>
      <c r="U86" s="504"/>
      <c r="V86" s="504"/>
      <c r="AF86" s="578">
        <v>133</v>
      </c>
    </row>
    <row r="87" spans="1:32" ht="20.25" customHeight="1" thickBot="1">
      <c r="B87" s="336" t="s">
        <v>712</v>
      </c>
      <c r="C87" s="783" t="s">
        <v>713</v>
      </c>
      <c r="D87" s="784"/>
      <c r="E87" s="784"/>
      <c r="F87" s="784"/>
      <c r="G87" s="785"/>
      <c r="H87" s="786" t="s">
        <v>715</v>
      </c>
      <c r="I87" s="787"/>
      <c r="J87" s="788" t="s">
        <v>716</v>
      </c>
      <c r="K87" s="789"/>
      <c r="L87" s="790"/>
      <c r="M87" s="791" t="s">
        <v>717</v>
      </c>
      <c r="N87" s="792"/>
      <c r="O87" s="793" t="s">
        <v>801</v>
      </c>
      <c r="P87" s="794"/>
      <c r="Q87" s="794"/>
      <c r="R87" s="795"/>
      <c r="S87" s="579"/>
      <c r="T87" s="482"/>
      <c r="U87" s="482"/>
      <c r="V87" s="482"/>
    </row>
    <row r="88" spans="1:32" ht="4.5" customHeight="1" thickBot="1">
      <c r="B88" s="580"/>
      <c r="C88" s="581"/>
      <c r="D88" s="581"/>
      <c r="E88" s="581"/>
      <c r="F88" s="581"/>
      <c r="G88" s="581"/>
      <c r="H88" s="136"/>
      <c r="I88" s="136"/>
      <c r="J88" s="501"/>
      <c r="K88" s="136"/>
      <c r="L88" s="136"/>
      <c r="M88" s="482"/>
      <c r="N88" s="482"/>
      <c r="O88" s="482"/>
      <c r="P88" s="482"/>
      <c r="Q88" s="482"/>
      <c r="R88" s="482"/>
      <c r="S88" s="482"/>
      <c r="T88" s="482"/>
      <c r="U88" s="482"/>
      <c r="V88" s="482"/>
    </row>
    <row r="89" spans="1:32" ht="18" customHeight="1">
      <c r="B89" s="337" t="s">
        <v>718</v>
      </c>
      <c r="C89" s="582"/>
      <c r="D89" s="582"/>
      <c r="E89" s="582"/>
      <c r="F89" s="819" t="s">
        <v>617</v>
      </c>
      <c r="G89" s="819"/>
      <c r="H89" s="819"/>
      <c r="I89" s="819"/>
      <c r="J89" s="819"/>
      <c r="K89" s="583" t="s">
        <v>618</v>
      </c>
      <c r="L89" s="583"/>
      <c r="M89" s="819"/>
      <c r="N89" s="819"/>
      <c r="O89" s="583"/>
      <c r="P89" s="583"/>
      <c r="Q89" s="584"/>
      <c r="R89" s="585" t="s">
        <v>619</v>
      </c>
      <c r="S89" s="501"/>
      <c r="T89" s="501"/>
      <c r="U89" s="501"/>
      <c r="V89" s="501"/>
    </row>
    <row r="90" spans="1:32" ht="18" customHeight="1">
      <c r="B90" s="338" t="s">
        <v>719</v>
      </c>
      <c r="C90" s="482"/>
      <c r="D90" s="482"/>
      <c r="E90" s="482"/>
      <c r="F90" s="820"/>
      <c r="G90" s="820"/>
      <c r="H90" s="820"/>
      <c r="I90" s="820"/>
      <c r="J90" s="820"/>
      <c r="K90" s="586" t="s">
        <v>621</v>
      </c>
      <c r="L90" s="482"/>
      <c r="M90" s="482"/>
      <c r="N90" s="482"/>
      <c r="O90" s="587"/>
      <c r="P90" s="587"/>
      <c r="Q90" s="588"/>
      <c r="R90" s="821"/>
      <c r="S90" s="451"/>
      <c r="T90" s="482"/>
      <c r="U90" s="482"/>
      <c r="V90" s="482"/>
    </row>
    <row r="91" spans="1:32" ht="18" customHeight="1" thickBot="1">
      <c r="B91" s="589"/>
      <c r="C91" s="590"/>
      <c r="D91" s="590"/>
      <c r="E91" s="590"/>
      <c r="F91" s="823"/>
      <c r="G91" s="823"/>
      <c r="H91" s="823"/>
      <c r="I91" s="823"/>
      <c r="J91" s="823"/>
      <c r="K91" s="591"/>
      <c r="L91" s="590"/>
      <c r="M91" s="590"/>
      <c r="N91" s="590"/>
      <c r="O91" s="590"/>
      <c r="P91" s="590"/>
      <c r="Q91" s="592"/>
      <c r="R91" s="822"/>
      <c r="S91" s="451"/>
      <c r="T91" s="482"/>
      <c r="U91" s="482"/>
      <c r="V91" s="482"/>
    </row>
    <row r="92" spans="1:32" ht="12" customHeight="1">
      <c r="B92" s="482"/>
      <c r="C92" s="482"/>
      <c r="D92" s="482"/>
      <c r="E92" s="482"/>
      <c r="F92" s="482"/>
      <c r="G92" s="482"/>
      <c r="H92" s="482"/>
      <c r="I92" s="482"/>
      <c r="J92" s="482"/>
      <c r="K92" s="482"/>
      <c r="L92" s="482"/>
      <c r="M92" s="482"/>
      <c r="N92" s="482"/>
      <c r="O92" s="482"/>
      <c r="P92" s="482"/>
      <c r="Q92" s="482"/>
      <c r="R92" s="593"/>
      <c r="S92" s="593"/>
      <c r="T92" s="593"/>
      <c r="U92" s="593"/>
      <c r="V92" s="593"/>
    </row>
    <row r="93" spans="1:32" ht="18" customHeight="1">
      <c r="B93" s="482" t="s">
        <v>622</v>
      </c>
      <c r="C93" s="594">
        <v>12</v>
      </c>
      <c r="D93" s="595"/>
      <c r="E93" s="595"/>
      <c r="F93" s="596" t="s">
        <v>623</v>
      </c>
      <c r="G93" s="482"/>
      <c r="H93" s="482"/>
      <c r="I93" s="482"/>
      <c r="J93" s="482"/>
      <c r="K93" s="482"/>
      <c r="L93" s="482"/>
      <c r="M93" s="482"/>
      <c r="N93" s="482"/>
      <c r="O93" s="482"/>
      <c r="P93" s="482"/>
      <c r="Q93" s="482"/>
      <c r="R93" s="482"/>
      <c r="S93" s="482"/>
      <c r="T93" s="482"/>
      <c r="U93" s="482"/>
      <c r="V93" s="482"/>
    </row>
    <row r="94" spans="1:32" ht="18" customHeight="1">
      <c r="B94" s="482" t="s">
        <v>624</v>
      </c>
      <c r="C94" s="597" t="e">
        <f>SUMIF('[3]別表　19年度賃率'!B:B,C93,'[3]別表　19年度賃率'!F:F)</f>
        <v>#VALUE!</v>
      </c>
      <c r="D94" s="598"/>
      <c r="E94" s="598"/>
      <c r="F94" s="596"/>
      <c r="G94" s="482"/>
      <c r="H94" s="482"/>
      <c r="I94" s="482"/>
      <c r="J94" s="482"/>
      <c r="K94" s="482"/>
      <c r="L94" s="482"/>
      <c r="M94" s="482"/>
      <c r="N94" s="482"/>
      <c r="O94" s="482"/>
      <c r="P94" s="482"/>
      <c r="Q94" s="482"/>
      <c r="R94" s="482"/>
      <c r="S94" s="482"/>
      <c r="T94" s="482"/>
      <c r="U94" s="482"/>
      <c r="V94" s="482"/>
    </row>
    <row r="95" spans="1:32" ht="18" customHeight="1">
      <c r="B95" s="482"/>
      <c r="C95" s="482"/>
      <c r="D95" s="482"/>
      <c r="E95" s="482"/>
      <c r="F95" s="482"/>
      <c r="G95" s="482"/>
      <c r="H95" s="482"/>
      <c r="I95" s="482"/>
      <c r="J95" s="482"/>
      <c r="K95" s="482"/>
      <c r="L95" s="482"/>
      <c r="M95" s="482"/>
      <c r="N95" s="482"/>
      <c r="O95" s="482"/>
      <c r="P95" s="482"/>
      <c r="Q95" s="482"/>
      <c r="R95" s="482"/>
      <c r="S95" s="482"/>
      <c r="T95" s="482"/>
      <c r="U95" s="482"/>
      <c r="V95" s="482"/>
    </row>
    <row r="96" spans="1:32" s="505" customFormat="1">
      <c r="A96" s="599"/>
      <c r="B96" s="599"/>
      <c r="C96" s="599"/>
      <c r="D96" s="599"/>
      <c r="E96" s="599"/>
    </row>
    <row r="97" spans="1:21" s="505" customFormat="1">
      <c r="A97" s="599"/>
      <c r="B97" s="599"/>
      <c r="C97" s="600"/>
      <c r="D97" s="600"/>
      <c r="E97" s="600"/>
      <c r="F97" s="601"/>
      <c r="G97" s="601"/>
      <c r="H97" s="601"/>
      <c r="I97" s="601"/>
      <c r="J97" s="601"/>
      <c r="K97" s="601"/>
      <c r="L97" s="601"/>
      <c r="M97" s="601"/>
      <c r="N97" s="601"/>
      <c r="O97" s="601"/>
      <c r="P97" s="601"/>
      <c r="Q97" s="601"/>
      <c r="R97" s="601"/>
      <c r="S97" s="601"/>
      <c r="T97" s="601"/>
      <c r="U97" s="601"/>
    </row>
  </sheetData>
  <mergeCells count="55">
    <mergeCell ref="F89:J89"/>
    <mergeCell ref="M89:N89"/>
    <mergeCell ref="F90:J90"/>
    <mergeCell ref="R90:R91"/>
    <mergeCell ref="F91:J91"/>
    <mergeCell ref="C1:E1"/>
    <mergeCell ref="P84:Q84"/>
    <mergeCell ref="J85:K85"/>
    <mergeCell ref="P85:Q85"/>
    <mergeCell ref="J86:K86"/>
    <mergeCell ref="P86:Q86"/>
    <mergeCell ref="J81:K81"/>
    <mergeCell ref="P81:Q81"/>
    <mergeCell ref="C82:F82"/>
    <mergeCell ref="J82:K82"/>
    <mergeCell ref="P82:Q82"/>
    <mergeCell ref="J83:K83"/>
    <mergeCell ref="P83:Q83"/>
    <mergeCell ref="M79:R79"/>
    <mergeCell ref="P80:Q80"/>
    <mergeCell ref="B12:E12"/>
    <mergeCell ref="C87:G87"/>
    <mergeCell ref="H87:I87"/>
    <mergeCell ref="J87:L87"/>
    <mergeCell ref="M87:N87"/>
    <mergeCell ref="O87:R87"/>
    <mergeCell ref="B79:B86"/>
    <mergeCell ref="G79:G86"/>
    <mergeCell ref="H79:I79"/>
    <mergeCell ref="J79:L79"/>
    <mergeCell ref="C80:F80"/>
    <mergeCell ref="J80:K80"/>
    <mergeCell ref="C81:F81"/>
    <mergeCell ref="B9:E9"/>
    <mergeCell ref="F9:H9"/>
    <mergeCell ref="F12:R12"/>
    <mergeCell ref="Z29:Z30"/>
    <mergeCell ref="B69:B78"/>
    <mergeCell ref="B23:B41"/>
    <mergeCell ref="B42:B61"/>
    <mergeCell ref="B14:B22"/>
    <mergeCell ref="B11:E11"/>
    <mergeCell ref="F11:R11"/>
    <mergeCell ref="B6:C6"/>
    <mergeCell ref="I6:K6"/>
    <mergeCell ref="L6:N6"/>
    <mergeCell ref="O6:R6"/>
    <mergeCell ref="B8:E8"/>
    <mergeCell ref="F8:H8"/>
    <mergeCell ref="I8:R8"/>
    <mergeCell ref="C2:E2"/>
    <mergeCell ref="C4:F4"/>
    <mergeCell ref="I5:K5"/>
    <mergeCell ref="L5:N5"/>
    <mergeCell ref="O5:R5"/>
  </mergeCells>
  <phoneticPr fontId="80" type="noConversion"/>
  <dataValidations disablePrompts="1" count="2">
    <dataValidation type="list" allowBlank="1" showInputMessage="1" showErrorMessage="1" sqref="M89:N89" xr:uid="{A6562426-9F30-456B-85FD-14D518830EDC}">
      <formula1>$AF$29:$AF$86</formula1>
    </dataValidation>
    <dataValidation type="list" allowBlank="1" showInputMessage="1" showErrorMessage="1" sqref="F89:J89" xr:uid="{C4F5547B-622F-4252-8D3A-BE2DFB3E317E}">
      <formula1>$AB$9:$AB$47</formula1>
    </dataValidation>
  </dataValidations>
  <printOptions horizontalCentered="1" verticalCentered="1"/>
  <pageMargins left="0" right="0" top="0" bottom="0" header="0" footer="0"/>
  <pageSetup paperSize="8" scale="71" orientation="portrait" horizontalDpi="300" verticalDpi="3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7E925-50CC-48B0-967A-D2708D74E651}">
  <dimension ref="B2:M15"/>
  <sheetViews>
    <sheetView zoomScale="85" zoomScaleNormal="85" workbookViewId="0">
      <selection activeCell="Q2" sqref="Q2:AB14"/>
    </sheetView>
  </sheetViews>
  <sheetFormatPr defaultRowHeight="14.5"/>
  <cols>
    <col min="1" max="16384" width="8.7265625" style="312"/>
  </cols>
  <sheetData>
    <row r="2" spans="2:13">
      <c r="B2" s="423">
        <v>0</v>
      </c>
      <c r="C2" s="312">
        <v>1037</v>
      </c>
    </row>
    <row r="3" spans="2:13">
      <c r="B3" s="423">
        <v>0.16666666666666666</v>
      </c>
      <c r="C3" s="312">
        <v>1037</v>
      </c>
    </row>
    <row r="4" spans="2:13">
      <c r="B4" s="423">
        <v>0.16666666666666666</v>
      </c>
      <c r="C4" s="312">
        <v>1600</v>
      </c>
    </row>
    <row r="5" spans="2:13">
      <c r="B5" s="423">
        <v>0.39583333333333331</v>
      </c>
      <c r="C5" s="312">
        <v>1600</v>
      </c>
    </row>
    <row r="6" spans="2:13">
      <c r="B6" s="423">
        <v>0.39583333333333331</v>
      </c>
      <c r="C6" s="312">
        <v>2959</v>
      </c>
      <c r="M6" s="424" t="s">
        <v>745</v>
      </c>
    </row>
    <row r="7" spans="2:13">
      <c r="B7" s="423">
        <v>0.47916666666666669</v>
      </c>
      <c r="C7" s="312">
        <v>2959</v>
      </c>
    </row>
    <row r="8" spans="2:13">
      <c r="B8" s="423">
        <v>0.47916666666666669</v>
      </c>
      <c r="C8" s="312">
        <v>1600</v>
      </c>
    </row>
    <row r="9" spans="2:13">
      <c r="B9" s="423">
        <v>0.70833333333333337</v>
      </c>
      <c r="C9" s="312">
        <v>1600</v>
      </c>
    </row>
    <row r="10" spans="2:13">
      <c r="B10" s="423">
        <v>0.70833333333333337</v>
      </c>
      <c r="C10" s="312">
        <v>2959</v>
      </c>
    </row>
    <row r="11" spans="2:13">
      <c r="B11" s="423">
        <v>0.83333333333333337</v>
      </c>
      <c r="C11" s="312">
        <v>2959</v>
      </c>
    </row>
    <row r="12" spans="2:13">
      <c r="B12" s="423">
        <v>0.83333333333333337</v>
      </c>
      <c r="C12" s="312">
        <v>1600</v>
      </c>
    </row>
    <row r="13" spans="2:13">
      <c r="B13" s="423">
        <v>0.91666666666666663</v>
      </c>
      <c r="C13" s="312">
        <v>1600</v>
      </c>
    </row>
    <row r="14" spans="2:13">
      <c r="B14" s="423">
        <v>0.91666666666666663</v>
      </c>
      <c r="C14" s="312">
        <v>1037</v>
      </c>
    </row>
    <row r="15" spans="2:13">
      <c r="B15" s="423">
        <v>1</v>
      </c>
      <c r="C15" s="312">
        <v>1037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CFFDB-B10A-4CFF-B7E7-E17C2579E253}">
  <dimension ref="A1:BB17"/>
  <sheetViews>
    <sheetView zoomScale="55" zoomScaleNormal="55" workbookViewId="0">
      <selection activeCell="AL22" sqref="AL22"/>
    </sheetView>
  </sheetViews>
  <sheetFormatPr defaultColWidth="9.1796875" defaultRowHeight="15.5"/>
  <cols>
    <col min="1" max="2" width="9.1796875" style="312"/>
    <col min="3" max="4" width="3.26953125" style="345" customWidth="1"/>
    <col min="5" max="30" width="3.26953125" style="371" customWidth="1"/>
    <col min="31" max="54" width="3.26953125" style="312" customWidth="1"/>
    <col min="55" max="16384" width="9.1796875" style="312"/>
  </cols>
  <sheetData>
    <row r="1" spans="1:54">
      <c r="A1" s="852" t="s">
        <v>746</v>
      </c>
      <c r="B1" s="853"/>
      <c r="D1" s="856" t="s">
        <v>747</v>
      </c>
      <c r="E1" s="857"/>
      <c r="F1" s="857"/>
      <c r="G1" s="857"/>
      <c r="H1" s="858" t="s">
        <v>748</v>
      </c>
      <c r="I1" s="859"/>
      <c r="J1" s="859"/>
      <c r="K1" s="859"/>
      <c r="L1" s="859"/>
      <c r="M1" s="859"/>
      <c r="N1" s="859"/>
      <c r="O1" s="859"/>
      <c r="P1" s="859"/>
      <c r="Q1" s="859"/>
      <c r="R1" s="859"/>
      <c r="S1" s="859"/>
      <c r="T1" s="859"/>
      <c r="U1" s="859"/>
      <c r="V1" s="859"/>
      <c r="W1" s="859"/>
      <c r="X1" s="860"/>
      <c r="Y1" s="859" t="s">
        <v>749</v>
      </c>
      <c r="Z1" s="859"/>
      <c r="AA1" s="859"/>
      <c r="AB1" s="861"/>
      <c r="AC1" s="862" t="s">
        <v>750</v>
      </c>
      <c r="AD1" s="859"/>
      <c r="AE1" s="859"/>
      <c r="AF1" s="859"/>
      <c r="AG1" s="859"/>
      <c r="AH1" s="859"/>
      <c r="AI1" s="859"/>
      <c r="AJ1" s="859"/>
      <c r="AK1" s="859"/>
      <c r="AL1" s="859"/>
      <c r="AM1" s="859"/>
      <c r="AN1" s="859"/>
      <c r="AO1" s="859"/>
      <c r="AP1" s="859"/>
      <c r="AQ1" s="859"/>
      <c r="AR1" s="859"/>
      <c r="AS1" s="859"/>
      <c r="AT1" s="859"/>
      <c r="AU1" s="859"/>
      <c r="AV1" s="859"/>
      <c r="AW1" s="859"/>
      <c r="AX1" s="859"/>
      <c r="AY1" s="861"/>
      <c r="AZ1" s="349"/>
      <c r="BA1" s="351"/>
      <c r="BB1" s="352"/>
    </row>
    <row r="2" spans="1:54" ht="19.5" customHeight="1">
      <c r="A2" s="854"/>
      <c r="B2" s="855"/>
      <c r="C2" s="849">
        <v>0.25</v>
      </c>
      <c r="D2" s="849"/>
      <c r="E2" s="849">
        <v>0.29166666666666702</v>
      </c>
      <c r="F2" s="849"/>
      <c r="G2" s="849">
        <v>0.33333333333333298</v>
      </c>
      <c r="H2" s="849"/>
      <c r="I2" s="849">
        <v>0.375</v>
      </c>
      <c r="J2" s="849"/>
      <c r="K2" s="849">
        <v>0.41666666666666702</v>
      </c>
      <c r="L2" s="849"/>
      <c r="M2" s="849">
        <v>0.45833333333333298</v>
      </c>
      <c r="N2" s="849"/>
      <c r="O2" s="849">
        <v>0.5</v>
      </c>
      <c r="P2" s="849"/>
      <c r="Q2" s="849">
        <v>0.54166666666666696</v>
      </c>
      <c r="R2" s="849"/>
      <c r="S2" s="849">
        <v>0.58333333333333304</v>
      </c>
      <c r="T2" s="849"/>
      <c r="U2" s="849">
        <v>0.625</v>
      </c>
      <c r="V2" s="849"/>
      <c r="W2" s="849">
        <v>0.66666666666666696</v>
      </c>
      <c r="X2" s="849"/>
      <c r="Y2" s="361"/>
      <c r="Z2" s="362"/>
      <c r="AA2" s="849">
        <v>0.75</v>
      </c>
      <c r="AB2" s="849"/>
      <c r="AC2" s="849">
        <v>0.79166666666666696</v>
      </c>
      <c r="AD2" s="849"/>
      <c r="AE2" s="362"/>
      <c r="AF2" s="362"/>
      <c r="AG2" s="849">
        <v>0.875</v>
      </c>
      <c r="AH2" s="849"/>
      <c r="AI2" s="849">
        <v>0.91666666666666696</v>
      </c>
      <c r="AJ2" s="849"/>
      <c r="AK2" s="849">
        <v>0.95833333333333404</v>
      </c>
      <c r="AL2" s="849"/>
      <c r="AM2" s="849">
        <v>1</v>
      </c>
      <c r="AN2" s="849"/>
      <c r="AO2" s="849">
        <v>1.0416666666666701</v>
      </c>
      <c r="AP2" s="849"/>
      <c r="AQ2" s="849">
        <v>1.0833333333333299</v>
      </c>
      <c r="AR2" s="849"/>
      <c r="AS2" s="849">
        <v>1.125</v>
      </c>
      <c r="AT2" s="849"/>
      <c r="AU2" s="849">
        <v>1.1666666666666701</v>
      </c>
      <c r="AV2" s="849"/>
      <c r="AW2" s="849">
        <v>1.2083333333333299</v>
      </c>
      <c r="AX2" s="849"/>
      <c r="AY2" s="849">
        <v>1.25</v>
      </c>
      <c r="AZ2" s="849"/>
      <c r="BA2" s="849">
        <v>1.2916666666666701</v>
      </c>
      <c r="BB2" s="850"/>
    </row>
    <row r="3" spans="1:54" ht="3.75" customHeight="1">
      <c r="C3" s="363"/>
      <c r="D3" s="364"/>
      <c r="E3" s="363"/>
      <c r="F3" s="364"/>
      <c r="G3" s="363"/>
      <c r="H3" s="364"/>
      <c r="I3" s="363"/>
      <c r="J3" s="364"/>
      <c r="K3" s="363"/>
      <c r="L3" s="364"/>
      <c r="M3" s="363"/>
      <c r="N3" s="364"/>
      <c r="O3" s="363"/>
      <c r="P3" s="364"/>
      <c r="Q3" s="363"/>
      <c r="R3" s="364"/>
      <c r="S3" s="363"/>
      <c r="T3" s="364"/>
      <c r="U3" s="363"/>
      <c r="V3" s="364"/>
      <c r="W3" s="363"/>
      <c r="X3" s="364"/>
      <c r="Y3" s="363"/>
      <c r="Z3" s="364"/>
      <c r="AA3" s="363"/>
      <c r="AB3" s="364"/>
      <c r="AC3" s="363"/>
      <c r="AD3" s="364"/>
      <c r="AE3" s="363"/>
      <c r="AF3" s="364"/>
      <c r="AG3" s="363"/>
      <c r="AH3" s="364"/>
      <c r="AI3" s="363"/>
      <c r="AJ3" s="364"/>
      <c r="AK3" s="363"/>
      <c r="AL3" s="364"/>
      <c r="AM3" s="363"/>
      <c r="AN3" s="364"/>
      <c r="AO3" s="363"/>
      <c r="AP3" s="364"/>
      <c r="AQ3" s="363"/>
      <c r="AR3" s="364"/>
      <c r="AS3" s="363"/>
      <c r="AT3" s="364"/>
      <c r="AU3" s="363"/>
      <c r="AV3" s="364"/>
      <c r="AW3" s="363"/>
      <c r="AX3" s="364"/>
      <c r="AY3" s="363"/>
      <c r="AZ3" s="364"/>
      <c r="BA3" s="363"/>
      <c r="BB3" s="365"/>
    </row>
    <row r="4" spans="1:54" ht="20.149999999999999" customHeight="1">
      <c r="A4" s="851" t="s">
        <v>657</v>
      </c>
      <c r="B4" s="360" t="s">
        <v>740</v>
      </c>
      <c r="C4" s="366"/>
      <c r="D4" s="366"/>
      <c r="E4" s="366"/>
      <c r="F4" s="366"/>
      <c r="G4" s="366"/>
      <c r="H4" s="367"/>
      <c r="I4" s="366"/>
      <c r="J4" s="366"/>
      <c r="K4" s="368"/>
      <c r="L4" s="368"/>
      <c r="M4" s="368"/>
      <c r="N4" s="368"/>
      <c r="O4" s="366"/>
      <c r="P4" s="366"/>
      <c r="Q4" s="366"/>
      <c r="R4" s="366"/>
      <c r="S4" s="366"/>
      <c r="T4" s="366"/>
      <c r="U4" s="366"/>
      <c r="V4" s="366"/>
      <c r="W4" s="366"/>
      <c r="X4" s="369"/>
      <c r="Y4" s="350"/>
      <c r="Z4" s="368"/>
      <c r="AA4" s="368"/>
      <c r="AB4" s="368"/>
      <c r="AC4" s="368"/>
      <c r="AD4" s="368"/>
      <c r="AE4" s="368"/>
      <c r="AF4" s="366"/>
      <c r="AG4" s="366"/>
      <c r="AH4" s="366"/>
      <c r="AI4" s="366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66"/>
      <c r="AW4" s="366"/>
      <c r="AX4" s="366"/>
      <c r="AY4" s="366"/>
      <c r="AZ4" s="366"/>
      <c r="BA4" s="366"/>
      <c r="BB4" s="344"/>
    </row>
    <row r="5" spans="1:54" ht="20.149999999999999" customHeight="1">
      <c r="A5" s="851"/>
      <c r="B5" s="360" t="s">
        <v>741</v>
      </c>
      <c r="C5" s="366"/>
      <c r="D5" s="366"/>
      <c r="E5" s="366"/>
      <c r="F5" s="366"/>
      <c r="G5" s="366"/>
      <c r="H5" s="367"/>
      <c r="I5" s="366"/>
      <c r="J5" s="366"/>
      <c r="K5" s="368"/>
      <c r="L5" s="368"/>
      <c r="M5" s="368"/>
      <c r="N5" s="368"/>
      <c r="O5" s="366"/>
      <c r="P5" s="366"/>
      <c r="Q5" s="366"/>
      <c r="R5" s="366"/>
      <c r="S5" s="366"/>
      <c r="T5" s="366"/>
      <c r="U5" s="366"/>
      <c r="V5" s="366"/>
      <c r="W5" s="366"/>
      <c r="X5" s="369"/>
      <c r="Y5" s="350"/>
      <c r="Z5" s="368"/>
      <c r="AA5" s="368"/>
      <c r="AB5" s="368"/>
      <c r="AC5" s="368"/>
      <c r="AD5" s="368"/>
      <c r="AE5" s="368"/>
      <c r="AF5" s="366"/>
      <c r="AG5" s="366"/>
      <c r="AH5" s="366"/>
      <c r="AI5" s="366"/>
      <c r="AJ5" s="370"/>
      <c r="AK5" s="370"/>
      <c r="AL5" s="370"/>
      <c r="AM5" s="370"/>
      <c r="AN5" s="370"/>
      <c r="AO5" s="370"/>
      <c r="AP5" s="370"/>
      <c r="AQ5" s="370"/>
      <c r="AR5" s="370"/>
      <c r="AS5" s="370"/>
      <c r="AT5" s="370"/>
      <c r="AU5" s="370"/>
      <c r="AV5" s="366"/>
      <c r="AW5" s="366"/>
      <c r="AX5" s="366"/>
      <c r="AY5" s="366"/>
      <c r="AZ5" s="366"/>
      <c r="BA5" s="366"/>
      <c r="BB5" s="344"/>
    </row>
    <row r="6" spans="1:54" ht="20.149999999999999" customHeight="1">
      <c r="A6" s="851"/>
      <c r="B6" s="360" t="s">
        <v>742</v>
      </c>
      <c r="C6" s="366"/>
      <c r="D6" s="366"/>
      <c r="E6" s="366"/>
      <c r="F6" s="366"/>
      <c r="G6" s="366"/>
      <c r="H6" s="367"/>
      <c r="I6" s="366"/>
      <c r="J6" s="366"/>
      <c r="K6" s="368"/>
      <c r="L6" s="368"/>
      <c r="M6" s="368"/>
      <c r="N6" s="368"/>
      <c r="O6" s="366"/>
      <c r="P6" s="366"/>
      <c r="Q6" s="366"/>
      <c r="R6" s="366"/>
      <c r="S6" s="366"/>
      <c r="T6" s="366"/>
      <c r="U6" s="366"/>
      <c r="V6" s="366"/>
      <c r="W6" s="366"/>
      <c r="X6" s="369"/>
      <c r="Y6" s="350"/>
      <c r="Z6" s="368"/>
      <c r="AA6" s="368"/>
      <c r="AB6" s="368"/>
      <c r="AC6" s="368"/>
      <c r="AD6" s="368"/>
      <c r="AE6" s="368"/>
      <c r="AF6" s="366"/>
      <c r="AG6" s="366"/>
      <c r="AH6" s="366"/>
      <c r="AI6" s="366"/>
      <c r="AJ6" s="370"/>
      <c r="AK6" s="370"/>
      <c r="AL6" s="370"/>
      <c r="AM6" s="370"/>
      <c r="AN6" s="370"/>
      <c r="AO6" s="370"/>
      <c r="AP6" s="370"/>
      <c r="AQ6" s="370"/>
      <c r="AR6" s="370"/>
      <c r="AS6" s="370"/>
      <c r="AT6" s="370"/>
      <c r="AU6" s="370"/>
      <c r="AV6" s="366"/>
      <c r="AW6" s="366"/>
      <c r="AX6" s="366"/>
      <c r="AY6" s="366"/>
      <c r="AZ6" s="366"/>
      <c r="BA6" s="366"/>
      <c r="BB6" s="344"/>
    </row>
    <row r="7" spans="1:54" ht="20.149999999999999" customHeight="1">
      <c r="A7" s="851"/>
      <c r="B7" s="360" t="s">
        <v>743</v>
      </c>
      <c r="C7" s="366"/>
      <c r="D7" s="366"/>
      <c r="E7" s="366"/>
      <c r="F7" s="366"/>
      <c r="G7" s="366"/>
      <c r="H7" s="367"/>
      <c r="I7" s="366"/>
      <c r="J7" s="366"/>
      <c r="K7" s="368"/>
      <c r="L7" s="368"/>
      <c r="M7" s="368"/>
      <c r="N7" s="368"/>
      <c r="O7" s="366"/>
      <c r="P7" s="366"/>
      <c r="Q7" s="366"/>
      <c r="R7" s="366"/>
      <c r="S7" s="366"/>
      <c r="T7" s="366"/>
      <c r="U7" s="366"/>
      <c r="V7" s="366"/>
      <c r="W7" s="366"/>
      <c r="X7" s="369"/>
      <c r="Y7" s="350"/>
      <c r="Z7" s="368"/>
      <c r="AA7" s="368"/>
      <c r="AB7" s="368"/>
      <c r="AC7" s="368"/>
      <c r="AD7" s="368"/>
      <c r="AE7" s="368"/>
      <c r="AF7" s="366"/>
      <c r="AG7" s="366"/>
      <c r="AH7" s="366"/>
      <c r="AI7" s="366"/>
      <c r="AJ7" s="370"/>
      <c r="AK7" s="370"/>
      <c r="AL7" s="370"/>
      <c r="AM7" s="370"/>
      <c r="AN7" s="370"/>
      <c r="AO7" s="370"/>
      <c r="AP7" s="370"/>
      <c r="AQ7" s="370"/>
      <c r="AR7" s="370"/>
      <c r="AS7" s="370"/>
      <c r="AT7" s="370"/>
      <c r="AU7" s="370"/>
      <c r="AV7" s="366"/>
      <c r="AW7" s="366"/>
      <c r="AX7" s="366"/>
      <c r="AY7" s="366"/>
      <c r="AZ7" s="366"/>
      <c r="BA7" s="366"/>
      <c r="BB7" s="344"/>
    </row>
    <row r="8" spans="1:54" ht="20.149999999999999" customHeight="1">
      <c r="A8" s="851"/>
      <c r="B8" s="360" t="s">
        <v>744</v>
      </c>
      <c r="C8" s="366"/>
      <c r="D8" s="366"/>
      <c r="E8" s="366"/>
      <c r="F8" s="366"/>
      <c r="G8" s="366"/>
      <c r="H8" s="367"/>
      <c r="I8" s="366"/>
      <c r="J8" s="366"/>
      <c r="K8" s="368"/>
      <c r="L8" s="368"/>
      <c r="M8" s="368"/>
      <c r="N8" s="368"/>
      <c r="O8" s="366"/>
      <c r="P8" s="366"/>
      <c r="Q8" s="366"/>
      <c r="R8" s="366"/>
      <c r="S8" s="366"/>
      <c r="T8" s="366"/>
      <c r="U8" s="366"/>
      <c r="V8" s="366"/>
      <c r="W8" s="366"/>
      <c r="X8" s="369"/>
      <c r="Y8" s="350"/>
      <c r="Z8" s="368"/>
      <c r="AA8" s="368"/>
      <c r="AB8" s="368"/>
      <c r="AC8" s="368"/>
      <c r="AD8" s="368"/>
      <c r="AE8" s="368"/>
      <c r="AF8" s="366"/>
      <c r="AG8" s="366"/>
      <c r="AH8" s="366"/>
      <c r="AI8" s="366"/>
      <c r="AJ8" s="370"/>
      <c r="AK8" s="370"/>
      <c r="AL8" s="370"/>
      <c r="AM8" s="370"/>
      <c r="AN8" s="370"/>
      <c r="AO8" s="370"/>
      <c r="AP8" s="370"/>
      <c r="AQ8" s="370"/>
      <c r="AR8" s="370"/>
      <c r="AS8" s="370"/>
      <c r="AT8" s="370"/>
      <c r="AU8" s="370"/>
      <c r="AV8" s="366"/>
      <c r="AW8" s="366"/>
      <c r="AX8" s="366"/>
      <c r="AY8" s="366"/>
      <c r="AZ8" s="366"/>
      <c r="BA8" s="366"/>
      <c r="BB8" s="344"/>
    </row>
    <row r="9" spans="1:54" ht="10.5" customHeight="1">
      <c r="H9" s="372"/>
      <c r="K9" s="373"/>
      <c r="L9" s="373"/>
      <c r="M9" s="373"/>
      <c r="N9" s="373"/>
      <c r="X9" s="374"/>
      <c r="Z9" s="373"/>
      <c r="AA9" s="373"/>
      <c r="AB9" s="373"/>
      <c r="AC9" s="373"/>
      <c r="AD9" s="373"/>
      <c r="AE9" s="375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BB9" s="377"/>
    </row>
    <row r="10" spans="1:54" ht="20.149999999999999" customHeight="1">
      <c r="A10" s="851" t="s">
        <v>656</v>
      </c>
      <c r="B10" s="360" t="s">
        <v>740</v>
      </c>
      <c r="C10" s="366"/>
      <c r="D10" s="366"/>
      <c r="E10" s="366"/>
      <c r="F10" s="366"/>
      <c r="G10" s="366"/>
      <c r="H10" s="367"/>
      <c r="I10" s="366"/>
      <c r="J10" s="366"/>
      <c r="K10" s="368"/>
      <c r="L10" s="368"/>
      <c r="M10" s="368"/>
      <c r="N10" s="368"/>
      <c r="O10" s="366"/>
      <c r="P10" s="366"/>
      <c r="Q10" s="366"/>
      <c r="R10" s="366"/>
      <c r="S10" s="366"/>
      <c r="T10" s="366"/>
      <c r="U10" s="366"/>
      <c r="V10" s="366"/>
      <c r="W10" s="366"/>
      <c r="X10" s="369"/>
      <c r="Y10" s="350"/>
      <c r="Z10" s="368"/>
      <c r="AA10" s="368"/>
      <c r="AB10" s="368"/>
      <c r="AC10" s="368"/>
      <c r="AD10" s="368"/>
      <c r="AE10" s="368"/>
      <c r="AF10" s="366"/>
      <c r="AG10" s="366"/>
      <c r="AH10" s="366"/>
      <c r="AI10" s="366"/>
      <c r="AJ10" s="370"/>
      <c r="AK10" s="370"/>
      <c r="AL10" s="370"/>
      <c r="AM10" s="370"/>
      <c r="AN10" s="370"/>
      <c r="AO10" s="370"/>
      <c r="AP10" s="370"/>
      <c r="AQ10" s="370"/>
      <c r="AR10" s="370"/>
      <c r="AS10" s="370"/>
      <c r="AT10" s="370"/>
      <c r="AU10" s="370"/>
      <c r="AV10" s="366"/>
      <c r="AW10" s="366"/>
      <c r="AX10" s="366"/>
      <c r="AY10" s="366"/>
      <c r="AZ10" s="366"/>
      <c r="BA10" s="366"/>
      <c r="BB10" s="344"/>
    </row>
    <row r="11" spans="1:54" ht="20.149999999999999" customHeight="1">
      <c r="A11" s="851"/>
      <c r="B11" s="360" t="s">
        <v>741</v>
      </c>
      <c r="C11" s="366"/>
      <c r="D11" s="366"/>
      <c r="E11" s="366"/>
      <c r="F11" s="366"/>
      <c r="G11" s="366"/>
      <c r="H11" s="367"/>
      <c r="I11" s="366"/>
      <c r="J11" s="366"/>
      <c r="K11" s="368"/>
      <c r="L11" s="368"/>
      <c r="M11" s="368"/>
      <c r="N11" s="368"/>
      <c r="O11" s="366"/>
      <c r="P11" s="366"/>
      <c r="Q11" s="366"/>
      <c r="R11" s="366"/>
      <c r="S11" s="366"/>
      <c r="T11" s="366"/>
      <c r="U11" s="366"/>
      <c r="V11" s="366"/>
      <c r="W11" s="366"/>
      <c r="X11" s="369"/>
      <c r="Y11" s="350"/>
      <c r="Z11" s="368"/>
      <c r="AA11" s="368"/>
      <c r="AB11" s="368"/>
      <c r="AC11" s="368"/>
      <c r="AD11" s="368"/>
      <c r="AE11" s="368"/>
      <c r="AF11" s="366"/>
      <c r="AG11" s="366"/>
      <c r="AH11" s="366"/>
      <c r="AI11" s="366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66"/>
      <c r="AW11" s="366"/>
      <c r="AX11" s="366"/>
      <c r="AY11" s="366"/>
      <c r="AZ11" s="366"/>
      <c r="BA11" s="366"/>
      <c r="BB11" s="344"/>
    </row>
    <row r="12" spans="1:54" ht="20.149999999999999" customHeight="1">
      <c r="A12" s="851"/>
      <c r="B12" s="360" t="s">
        <v>742</v>
      </c>
      <c r="C12" s="366"/>
      <c r="D12" s="366"/>
      <c r="E12" s="366"/>
      <c r="F12" s="366"/>
      <c r="G12" s="366"/>
      <c r="H12" s="367"/>
      <c r="I12" s="366"/>
      <c r="J12" s="366"/>
      <c r="K12" s="368"/>
      <c r="L12" s="368"/>
      <c r="M12" s="368"/>
      <c r="N12" s="368"/>
      <c r="O12" s="366"/>
      <c r="P12" s="366"/>
      <c r="Q12" s="366"/>
      <c r="R12" s="366"/>
      <c r="S12" s="366"/>
      <c r="T12" s="366"/>
      <c r="U12" s="366"/>
      <c r="V12" s="366"/>
      <c r="W12" s="366"/>
      <c r="X12" s="369"/>
      <c r="Y12" s="350"/>
      <c r="Z12" s="368"/>
      <c r="AA12" s="368"/>
      <c r="AB12" s="368"/>
      <c r="AC12" s="368"/>
      <c r="AD12" s="368"/>
      <c r="AE12" s="368"/>
      <c r="AF12" s="366"/>
      <c r="AG12" s="366"/>
      <c r="AH12" s="366"/>
      <c r="AI12" s="366"/>
      <c r="AJ12" s="370"/>
      <c r="AK12" s="370"/>
      <c r="AL12" s="370"/>
      <c r="AM12" s="370"/>
      <c r="AN12" s="370"/>
      <c r="AO12" s="370"/>
      <c r="AP12" s="370"/>
      <c r="AQ12" s="370"/>
      <c r="AR12" s="370"/>
      <c r="AS12" s="370"/>
      <c r="AT12" s="370"/>
      <c r="AU12" s="370"/>
      <c r="AV12" s="366"/>
      <c r="AW12" s="366"/>
      <c r="AX12" s="366"/>
      <c r="AY12" s="366"/>
      <c r="AZ12" s="366"/>
      <c r="BA12" s="366"/>
      <c r="BB12" s="344"/>
    </row>
    <row r="13" spans="1:54" ht="20.149999999999999" customHeight="1">
      <c r="A13" s="851"/>
      <c r="B13" s="360" t="s">
        <v>743</v>
      </c>
      <c r="C13" s="366"/>
      <c r="D13" s="366"/>
      <c r="E13" s="366"/>
      <c r="F13" s="366"/>
      <c r="G13" s="366"/>
      <c r="H13" s="367"/>
      <c r="I13" s="366"/>
      <c r="J13" s="366"/>
      <c r="K13" s="368"/>
      <c r="L13" s="368"/>
      <c r="M13" s="368"/>
      <c r="N13" s="368"/>
      <c r="O13" s="366"/>
      <c r="P13" s="366"/>
      <c r="Q13" s="366"/>
      <c r="R13" s="366"/>
      <c r="S13" s="366"/>
      <c r="T13" s="366"/>
      <c r="U13" s="366"/>
      <c r="V13" s="366"/>
      <c r="W13" s="366"/>
      <c r="X13" s="369"/>
      <c r="Y13" s="350"/>
      <c r="Z13" s="368"/>
      <c r="AA13" s="368"/>
      <c r="AB13" s="368"/>
      <c r="AC13" s="368"/>
      <c r="AD13" s="368"/>
      <c r="AE13" s="368"/>
      <c r="AF13" s="366"/>
      <c r="AG13" s="366"/>
      <c r="AH13" s="366"/>
      <c r="AI13" s="366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66"/>
      <c r="AW13" s="366"/>
      <c r="AX13" s="366"/>
      <c r="AY13" s="366"/>
      <c r="AZ13" s="366"/>
      <c r="BA13" s="366"/>
      <c r="BB13" s="344"/>
    </row>
    <row r="14" spans="1:54" ht="20.149999999999999" customHeight="1">
      <c r="A14" s="851"/>
      <c r="B14" s="360" t="s">
        <v>744</v>
      </c>
      <c r="C14" s="366"/>
      <c r="D14" s="366"/>
      <c r="E14" s="366"/>
      <c r="F14" s="366"/>
      <c r="G14" s="366"/>
      <c r="H14" s="367"/>
      <c r="I14" s="366"/>
      <c r="J14" s="366"/>
      <c r="K14" s="368"/>
      <c r="L14" s="368"/>
      <c r="M14" s="368"/>
      <c r="N14" s="368"/>
      <c r="O14" s="366"/>
      <c r="P14" s="366"/>
      <c r="Q14" s="366"/>
      <c r="R14" s="366"/>
      <c r="S14" s="366"/>
      <c r="T14" s="366"/>
      <c r="U14" s="366"/>
      <c r="V14" s="366"/>
      <c r="W14" s="366"/>
      <c r="X14" s="369"/>
      <c r="Y14" s="350"/>
      <c r="Z14" s="368"/>
      <c r="AA14" s="368"/>
      <c r="AB14" s="368"/>
      <c r="AC14" s="368"/>
      <c r="AD14" s="368"/>
      <c r="AE14" s="368"/>
      <c r="AF14" s="366"/>
      <c r="AG14" s="366"/>
      <c r="AH14" s="366"/>
      <c r="AI14" s="366"/>
      <c r="AJ14" s="370"/>
      <c r="AK14" s="370"/>
      <c r="AL14" s="370"/>
      <c r="AM14" s="370"/>
      <c r="AN14" s="370"/>
      <c r="AO14" s="370"/>
      <c r="AP14" s="370"/>
      <c r="AQ14" s="370"/>
      <c r="AR14" s="370"/>
      <c r="AS14" s="370"/>
      <c r="AT14" s="370"/>
      <c r="AU14" s="370"/>
      <c r="AV14" s="366"/>
      <c r="AW14" s="366"/>
      <c r="AX14" s="366"/>
      <c r="AY14" s="366"/>
      <c r="AZ14" s="366"/>
      <c r="BA14" s="366"/>
      <c r="BB14" s="344"/>
    </row>
    <row r="16" spans="1:54" ht="36" customHeight="1">
      <c r="B16" s="345"/>
      <c r="C16" s="378"/>
    </row>
    <row r="17" spans="2:3" ht="36" customHeight="1">
      <c r="B17" s="345"/>
      <c r="C17" s="378"/>
    </row>
  </sheetData>
  <mergeCells count="31">
    <mergeCell ref="A1:B2"/>
    <mergeCell ref="D1:G1"/>
    <mergeCell ref="H1:X1"/>
    <mergeCell ref="Y1:AB1"/>
    <mergeCell ref="AC1:AY1"/>
    <mergeCell ref="C2:D2"/>
    <mergeCell ref="E2:F2"/>
    <mergeCell ref="G2:H2"/>
    <mergeCell ref="I2:J2"/>
    <mergeCell ref="K2:L2"/>
    <mergeCell ref="O2:P2"/>
    <mergeCell ref="Q2:R2"/>
    <mergeCell ref="S2:T2"/>
    <mergeCell ref="U2:V2"/>
    <mergeCell ref="W2:X2"/>
    <mergeCell ref="BA2:BB2"/>
    <mergeCell ref="A4:A8"/>
    <mergeCell ref="A10:A14"/>
    <mergeCell ref="AO2:AP2"/>
    <mergeCell ref="AQ2:AR2"/>
    <mergeCell ref="AS2:AT2"/>
    <mergeCell ref="AU2:AV2"/>
    <mergeCell ref="AW2:AX2"/>
    <mergeCell ref="AY2:AZ2"/>
    <mergeCell ref="AA2:AB2"/>
    <mergeCell ref="AC2:AD2"/>
    <mergeCell ref="AG2:AH2"/>
    <mergeCell ref="AI2:AJ2"/>
    <mergeCell ref="AK2:AL2"/>
    <mergeCell ref="AM2:AN2"/>
    <mergeCell ref="M2:N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80902-2C8B-42F5-97A1-8CF1109B4A79}">
  <dimension ref="A1:AG63"/>
  <sheetViews>
    <sheetView topLeftCell="F16" zoomScale="55" zoomScaleNormal="55" workbookViewId="0">
      <selection activeCell="AD20" sqref="AD20"/>
    </sheetView>
  </sheetViews>
  <sheetFormatPr defaultColWidth="9.1796875" defaultRowHeight="14.5"/>
  <cols>
    <col min="1" max="1" width="16" style="380" customWidth="1"/>
    <col min="2" max="2" width="9.453125" style="380" customWidth="1"/>
    <col min="3" max="3" width="14" style="380" customWidth="1"/>
    <col min="4" max="4" width="9.6328125" style="380" customWidth="1"/>
    <col min="5" max="5" width="9.7265625" style="380" customWidth="1"/>
    <col min="6" max="6" width="13.81640625" style="380" customWidth="1"/>
    <col min="7" max="7" width="12.7265625" style="380" customWidth="1"/>
    <col min="8" max="8" width="8.453125" style="380" customWidth="1"/>
    <col min="9" max="9" width="13.36328125" style="380" customWidth="1"/>
    <col min="10" max="10" width="12.453125" style="380" customWidth="1"/>
    <col min="11" max="11" width="8.36328125" style="380" customWidth="1"/>
    <col min="12" max="12" width="14.453125" style="380" customWidth="1"/>
    <col min="13" max="13" width="12.7265625" style="380" customWidth="1"/>
    <col min="14" max="14" width="11.36328125" style="380" customWidth="1"/>
    <col min="15" max="15" width="15.26953125" style="380" customWidth="1"/>
    <col min="16" max="16" width="1.90625" style="380" customWidth="1"/>
    <col min="17" max="17" width="23.1796875" style="380" customWidth="1"/>
    <col min="18" max="22" width="6.6328125" style="380" customWidth="1"/>
    <col min="23" max="23" width="14.7265625" style="380" customWidth="1"/>
    <col min="24" max="24" width="11.81640625" style="380" customWidth="1"/>
    <col min="25" max="25" width="17" style="380" customWidth="1"/>
    <col min="26" max="26" width="19.7265625" style="380" customWidth="1"/>
    <col min="27" max="27" width="20" style="380" customWidth="1"/>
    <col min="28" max="28" width="18.453125" style="380" customWidth="1"/>
    <col min="29" max="30" width="9.1796875" style="380"/>
    <col min="31" max="31" width="32.36328125" style="380" customWidth="1"/>
    <col min="32" max="32" width="29.6328125" style="380" customWidth="1"/>
    <col min="33" max="33" width="24.1796875" style="380" customWidth="1"/>
    <col min="34" max="16384" width="9.1796875" style="380"/>
  </cols>
  <sheetData>
    <row r="1" spans="1:31" ht="15" thickBot="1"/>
    <row r="2" spans="1:31" ht="28.5" customHeight="1" thickBot="1">
      <c r="C2" s="829" t="s">
        <v>779</v>
      </c>
      <c r="D2" s="830"/>
      <c r="E2" s="830"/>
      <c r="F2" s="830"/>
      <c r="G2" s="830"/>
      <c r="H2" s="830"/>
      <c r="I2" s="830"/>
      <c r="J2" s="830"/>
      <c r="K2" s="830"/>
      <c r="L2" s="830"/>
      <c r="M2" s="830"/>
      <c r="N2" s="830"/>
      <c r="O2" s="831"/>
    </row>
    <row r="3" spans="1:31" ht="49.5" customHeight="1" thickBot="1">
      <c r="B3" s="381"/>
      <c r="C3" s="382" t="s">
        <v>799</v>
      </c>
      <c r="D3" s="383" t="s">
        <v>751</v>
      </c>
      <c r="E3" s="835" t="s">
        <v>727</v>
      </c>
      <c r="F3" s="836"/>
      <c r="G3" s="837"/>
      <c r="H3" s="836" t="s">
        <v>728</v>
      </c>
      <c r="I3" s="838"/>
      <c r="J3" s="839"/>
      <c r="K3" s="835" t="s">
        <v>729</v>
      </c>
      <c r="L3" s="838"/>
      <c r="M3" s="840"/>
      <c r="N3" s="384" t="s">
        <v>759</v>
      </c>
      <c r="O3" s="841" t="s">
        <v>809</v>
      </c>
      <c r="Q3" s="832" t="s">
        <v>780</v>
      </c>
      <c r="R3" s="833"/>
      <c r="S3" s="833"/>
      <c r="T3" s="833"/>
      <c r="U3" s="833"/>
      <c r="V3" s="833"/>
      <c r="W3" s="833"/>
      <c r="X3" s="833"/>
      <c r="Y3" s="833"/>
      <c r="Z3" s="833"/>
      <c r="AA3" s="833"/>
      <c r="AB3" s="834"/>
      <c r="AE3" s="897"/>
    </row>
    <row r="4" spans="1:31" ht="23.25" hidden="1" customHeight="1" thickBot="1">
      <c r="B4" s="385"/>
      <c r="C4" s="386"/>
      <c r="D4" s="387"/>
      <c r="E4" s="844">
        <v>1037</v>
      </c>
      <c r="F4" s="845"/>
      <c r="G4" s="846"/>
      <c r="H4" s="845">
        <v>1600</v>
      </c>
      <c r="I4" s="847"/>
      <c r="J4" s="848"/>
      <c r="K4" s="844">
        <v>2959</v>
      </c>
      <c r="L4" s="847"/>
      <c r="M4" s="847"/>
      <c r="N4" s="388"/>
      <c r="O4" s="842"/>
      <c r="R4" s="824" t="s">
        <v>730</v>
      </c>
      <c r="S4" s="825"/>
      <c r="T4" s="389" t="s">
        <v>731</v>
      </c>
    </row>
    <row r="5" spans="1:31" ht="47.5" customHeight="1" thickBot="1">
      <c r="C5" s="390" t="s">
        <v>732</v>
      </c>
      <c r="D5" s="391" t="s">
        <v>733</v>
      </c>
      <c r="E5" s="392" t="s">
        <v>734</v>
      </c>
      <c r="F5" s="393" t="s">
        <v>785</v>
      </c>
      <c r="G5" s="394" t="s">
        <v>735</v>
      </c>
      <c r="H5" s="393" t="s">
        <v>736</v>
      </c>
      <c r="I5" s="395" t="s">
        <v>784</v>
      </c>
      <c r="J5" s="396" t="s">
        <v>737</v>
      </c>
      <c r="K5" s="392" t="s">
        <v>738</v>
      </c>
      <c r="L5" s="395" t="s">
        <v>786</v>
      </c>
      <c r="M5" s="395" t="s">
        <v>739</v>
      </c>
      <c r="N5" s="397" t="s">
        <v>781</v>
      </c>
      <c r="O5" s="843"/>
      <c r="Q5" s="425" t="s">
        <v>752</v>
      </c>
      <c r="R5" s="427" t="s">
        <v>754</v>
      </c>
      <c r="S5" s="346" t="s">
        <v>755</v>
      </c>
      <c r="T5" s="346" t="s">
        <v>756</v>
      </c>
      <c r="U5" s="346" t="s">
        <v>757</v>
      </c>
      <c r="V5" s="346" t="s">
        <v>758</v>
      </c>
      <c r="W5" s="406" t="s">
        <v>783</v>
      </c>
      <c r="X5" s="426" t="s">
        <v>771</v>
      </c>
      <c r="Y5" s="405" t="s">
        <v>760</v>
      </c>
      <c r="Z5" s="410" t="s">
        <v>778</v>
      </c>
      <c r="AA5" s="411" t="s">
        <v>777</v>
      </c>
      <c r="AB5" s="412" t="s">
        <v>773</v>
      </c>
    </row>
    <row r="6" spans="1:31" ht="15.5">
      <c r="A6" s="826" t="s">
        <v>761</v>
      </c>
      <c r="B6" s="354" t="s">
        <v>740</v>
      </c>
      <c r="C6" s="354">
        <v>140</v>
      </c>
      <c r="D6" s="355">
        <v>5</v>
      </c>
      <c r="E6" s="875">
        <v>0</v>
      </c>
      <c r="F6" s="876">
        <f>E6*C6</f>
        <v>0</v>
      </c>
      <c r="G6" s="877">
        <f>F6*$E$4</f>
        <v>0</v>
      </c>
      <c r="H6" s="878">
        <v>3</v>
      </c>
      <c r="I6" s="876">
        <f>H6*C6</f>
        <v>420</v>
      </c>
      <c r="J6" s="879">
        <f>I6*$H$4</f>
        <v>672000</v>
      </c>
      <c r="K6" s="875">
        <v>2</v>
      </c>
      <c r="L6" s="876">
        <f>K6*C6</f>
        <v>280</v>
      </c>
      <c r="M6" s="880">
        <f>L6*$K$4</f>
        <v>828520</v>
      </c>
      <c r="N6" s="879">
        <f>F6+I6+L6</f>
        <v>700</v>
      </c>
      <c r="O6" s="398">
        <f>SUM(G6,J6,M6)/1000</f>
        <v>1500.52</v>
      </c>
      <c r="Q6" s="356" t="s">
        <v>772</v>
      </c>
      <c r="R6" s="428">
        <v>10</v>
      </c>
      <c r="S6" s="399">
        <v>10</v>
      </c>
      <c r="T6" s="399">
        <v>0</v>
      </c>
      <c r="U6" s="399">
        <v>0</v>
      </c>
      <c r="V6" s="399">
        <v>0</v>
      </c>
      <c r="W6" s="407">
        <f>SUM(R6:V6)</f>
        <v>20</v>
      </c>
      <c r="X6" s="400">
        <v>1</v>
      </c>
      <c r="Y6" s="399">
        <f>(R6*$N$6+S6*$N$7+$N$8*T6+$N$9*U6+V6*$N$10)*X6</f>
        <v>17000</v>
      </c>
      <c r="Z6" s="891">
        <f>(R6*$O$6+S6*$O$7+$O$8*T6+$O$9*U6+V6*$O$10)*X6</f>
        <v>32830.199999999997</v>
      </c>
      <c r="AA6" s="892">
        <f>Z6-AB6</f>
        <v>21630.199999999997</v>
      </c>
      <c r="AB6" s="893">
        <v>11200</v>
      </c>
    </row>
    <row r="7" spans="1:31" ht="15.5">
      <c r="A7" s="827"/>
      <c r="B7" s="356" t="s">
        <v>741</v>
      </c>
      <c r="C7" s="356">
        <v>100</v>
      </c>
      <c r="D7" s="357">
        <v>10</v>
      </c>
      <c r="E7" s="881">
        <v>4</v>
      </c>
      <c r="F7" s="399">
        <f t="shared" ref="F7:F10" si="0">E7*C7</f>
        <v>400</v>
      </c>
      <c r="G7" s="882">
        <f t="shared" ref="G7:G10" si="1">F7*$E$4</f>
        <v>414800</v>
      </c>
      <c r="H7" s="883">
        <v>3</v>
      </c>
      <c r="I7" s="399">
        <f t="shared" ref="I7:I15" si="2">H7*C7</f>
        <v>300</v>
      </c>
      <c r="J7" s="884">
        <f t="shared" ref="J7:J10" si="3">I7*$H$4</f>
        <v>480000</v>
      </c>
      <c r="K7" s="881">
        <v>3</v>
      </c>
      <c r="L7" s="399">
        <f t="shared" ref="L7:L15" si="4">K7*C7</f>
        <v>300</v>
      </c>
      <c r="M7" s="885">
        <f t="shared" ref="M7:M10" si="5">L7*$K$4</f>
        <v>887700</v>
      </c>
      <c r="N7" s="884">
        <f t="shared" ref="N7:N10" si="6">F7+I7+L7</f>
        <v>1000</v>
      </c>
      <c r="O7" s="401">
        <f t="shared" ref="O7:O15" si="7">SUM(G7,J7,M7)/1000</f>
        <v>1782.5</v>
      </c>
      <c r="Q7" s="356" t="s">
        <v>763</v>
      </c>
      <c r="R7" s="428">
        <v>2</v>
      </c>
      <c r="S7" s="399">
        <v>15</v>
      </c>
      <c r="T7" s="399">
        <v>0</v>
      </c>
      <c r="U7" s="399">
        <v>3</v>
      </c>
      <c r="V7" s="399">
        <v>0</v>
      </c>
      <c r="W7" s="407">
        <f t="shared" ref="W7:W15" si="8">SUM(R7:V7)</f>
        <v>20</v>
      </c>
      <c r="X7" s="400">
        <v>1</v>
      </c>
      <c r="Y7" s="399">
        <f t="shared" ref="Y7:Y10" si="9">(R7*$N$6+S7*$N$7+$N$8*T7+$N$9*U7+V7*$N$10)*X7</f>
        <v>21575</v>
      </c>
      <c r="Z7" s="891">
        <f>(R7*$O$6+S7*$O$7+$O$8*T7+$O$9*U7+V7*$O$10)*X7</f>
        <v>39585.875</v>
      </c>
      <c r="AA7" s="892">
        <f t="shared" ref="AA7:AA15" si="10">Z7-AB7</f>
        <v>26485.875</v>
      </c>
      <c r="AB7" s="893">
        <v>13100</v>
      </c>
    </row>
    <row r="8" spans="1:31" ht="15.5">
      <c r="A8" s="827"/>
      <c r="B8" s="356" t="s">
        <v>742</v>
      </c>
      <c r="C8" s="356">
        <v>140</v>
      </c>
      <c r="D8" s="357">
        <v>10</v>
      </c>
      <c r="E8" s="881">
        <v>0</v>
      </c>
      <c r="F8" s="399">
        <f t="shared" si="0"/>
        <v>0</v>
      </c>
      <c r="G8" s="882">
        <f t="shared" si="1"/>
        <v>0</v>
      </c>
      <c r="H8" s="883">
        <v>5</v>
      </c>
      <c r="I8" s="399">
        <f t="shared" si="2"/>
        <v>700</v>
      </c>
      <c r="J8" s="884">
        <f t="shared" si="3"/>
        <v>1120000</v>
      </c>
      <c r="K8" s="881">
        <v>5</v>
      </c>
      <c r="L8" s="399">
        <f t="shared" si="4"/>
        <v>700</v>
      </c>
      <c r="M8" s="885">
        <f t="shared" si="5"/>
        <v>2071300</v>
      </c>
      <c r="N8" s="884">
        <f t="shared" si="6"/>
        <v>1400</v>
      </c>
      <c r="O8" s="401">
        <f t="shared" si="7"/>
        <v>3191.3</v>
      </c>
      <c r="Q8" s="356" t="s">
        <v>764</v>
      </c>
      <c r="R8" s="428">
        <v>2</v>
      </c>
      <c r="S8" s="399">
        <v>10</v>
      </c>
      <c r="T8" s="399">
        <v>0</v>
      </c>
      <c r="U8" s="399">
        <v>8</v>
      </c>
      <c r="V8" s="399">
        <v>0</v>
      </c>
      <c r="W8" s="407">
        <f t="shared" si="8"/>
        <v>20</v>
      </c>
      <c r="X8" s="400">
        <v>1</v>
      </c>
      <c r="Y8" s="399">
        <f t="shared" si="9"/>
        <v>25200</v>
      </c>
      <c r="Z8" s="891">
        <f>(R8*$O$6+S8*$O$7+$O$8*T8+$O$9*U8+V8*$O$10)*X8</f>
        <v>47085.600000000006</v>
      </c>
      <c r="AA8" s="892">
        <f t="shared" si="10"/>
        <v>32385.600000000006</v>
      </c>
      <c r="AB8" s="893">
        <v>14700</v>
      </c>
    </row>
    <row r="9" spans="1:31" ht="15.5">
      <c r="A9" s="827"/>
      <c r="B9" s="356" t="s">
        <v>743</v>
      </c>
      <c r="C9" s="356">
        <v>115</v>
      </c>
      <c r="D9" s="357">
        <v>15</v>
      </c>
      <c r="E9" s="881">
        <v>4</v>
      </c>
      <c r="F9" s="399">
        <f t="shared" si="0"/>
        <v>460</v>
      </c>
      <c r="G9" s="882">
        <f t="shared" si="1"/>
        <v>477020</v>
      </c>
      <c r="H9" s="883">
        <v>6</v>
      </c>
      <c r="I9" s="399">
        <f t="shared" si="2"/>
        <v>690</v>
      </c>
      <c r="J9" s="884">
        <f t="shared" si="3"/>
        <v>1104000</v>
      </c>
      <c r="K9" s="881">
        <v>5</v>
      </c>
      <c r="L9" s="399">
        <f t="shared" si="4"/>
        <v>575</v>
      </c>
      <c r="M9" s="885">
        <f t="shared" si="5"/>
        <v>1701425</v>
      </c>
      <c r="N9" s="884">
        <f t="shared" si="6"/>
        <v>1725</v>
      </c>
      <c r="O9" s="401">
        <f t="shared" si="7"/>
        <v>3282.4450000000002</v>
      </c>
      <c r="Q9" s="356" t="s">
        <v>753</v>
      </c>
      <c r="R9" s="428">
        <v>2</v>
      </c>
      <c r="S9" s="399">
        <v>8</v>
      </c>
      <c r="T9" s="399">
        <v>0</v>
      </c>
      <c r="U9" s="399">
        <v>10</v>
      </c>
      <c r="V9" s="399">
        <v>0</v>
      </c>
      <c r="W9" s="407">
        <f t="shared" si="8"/>
        <v>20</v>
      </c>
      <c r="X9" s="400">
        <v>1</v>
      </c>
      <c r="Y9" s="399">
        <f t="shared" si="9"/>
        <v>26650</v>
      </c>
      <c r="Z9" s="891">
        <f>(R9*$O$6+S9*$O$7+$O$8*T9+$O$9*U9+V9*$O$10)*X9</f>
        <v>50085.490000000005</v>
      </c>
      <c r="AA9" s="892">
        <f t="shared" si="10"/>
        <v>34385.490000000005</v>
      </c>
      <c r="AB9" s="893">
        <v>15700</v>
      </c>
    </row>
    <row r="10" spans="1:31" ht="16" thickBot="1">
      <c r="A10" s="828"/>
      <c r="B10" s="358" t="s">
        <v>744</v>
      </c>
      <c r="C10" s="358">
        <v>100</v>
      </c>
      <c r="D10" s="359">
        <v>20</v>
      </c>
      <c r="E10" s="886">
        <v>5.5</v>
      </c>
      <c r="F10" s="408">
        <f t="shared" si="0"/>
        <v>550</v>
      </c>
      <c r="G10" s="887">
        <f t="shared" si="1"/>
        <v>570350</v>
      </c>
      <c r="H10" s="888">
        <v>10</v>
      </c>
      <c r="I10" s="408">
        <f t="shared" si="2"/>
        <v>1000</v>
      </c>
      <c r="J10" s="889">
        <f t="shared" si="3"/>
        <v>1600000</v>
      </c>
      <c r="K10" s="886">
        <v>4.5</v>
      </c>
      <c r="L10" s="408">
        <f t="shared" si="4"/>
        <v>450</v>
      </c>
      <c r="M10" s="890">
        <f t="shared" si="5"/>
        <v>1331550</v>
      </c>
      <c r="N10" s="889">
        <f t="shared" si="6"/>
        <v>2000</v>
      </c>
      <c r="O10" s="403">
        <f t="shared" si="7"/>
        <v>3501.9</v>
      </c>
      <c r="Q10" s="356" t="s">
        <v>765</v>
      </c>
      <c r="R10" s="428">
        <v>12</v>
      </c>
      <c r="S10" s="399">
        <v>8</v>
      </c>
      <c r="T10" s="399">
        <v>0</v>
      </c>
      <c r="U10" s="399"/>
      <c r="V10" s="399">
        <v>0</v>
      </c>
      <c r="W10" s="407">
        <f t="shared" si="8"/>
        <v>20</v>
      </c>
      <c r="X10" s="400">
        <v>2</v>
      </c>
      <c r="Y10" s="399">
        <f t="shared" si="9"/>
        <v>32800</v>
      </c>
      <c r="Z10" s="891">
        <f>(R10*$O$6+S10*$O$7+$O$8*T10+$O$9*U10+V10*$O$10)*X10</f>
        <v>64532.479999999996</v>
      </c>
      <c r="AA10" s="892">
        <f t="shared" si="10"/>
        <v>46432.479999999996</v>
      </c>
      <c r="AB10" s="893">
        <v>18100</v>
      </c>
    </row>
    <row r="11" spans="1:31" ht="15.5">
      <c r="A11" s="827" t="s">
        <v>762</v>
      </c>
      <c r="B11" s="354" t="s">
        <v>740</v>
      </c>
      <c r="C11" s="354">
        <v>140</v>
      </c>
      <c r="D11" s="355">
        <f>SUM(E11+H11+K11)</f>
        <v>5</v>
      </c>
      <c r="E11" s="875">
        <v>5</v>
      </c>
      <c r="F11" s="876">
        <f>E11*C11</f>
        <v>700</v>
      </c>
      <c r="G11" s="877">
        <f t="shared" ref="G11:G15" si="11">F11*$E$4</f>
        <v>725900</v>
      </c>
      <c r="H11" s="878">
        <v>0</v>
      </c>
      <c r="I11" s="876">
        <f t="shared" si="2"/>
        <v>0</v>
      </c>
      <c r="J11" s="879">
        <f t="shared" ref="J11:J15" si="12">I11*$H$4</f>
        <v>0</v>
      </c>
      <c r="K11" s="875">
        <v>0</v>
      </c>
      <c r="L11" s="876">
        <f t="shared" si="4"/>
        <v>0</v>
      </c>
      <c r="M11" s="880">
        <f t="shared" ref="M11:M15" si="13">L11*$K$4</f>
        <v>0</v>
      </c>
      <c r="N11" s="879">
        <f>F11+I11+L11</f>
        <v>700</v>
      </c>
      <c r="O11" s="398">
        <f t="shared" si="7"/>
        <v>725.9</v>
      </c>
      <c r="Q11" s="356" t="s">
        <v>766</v>
      </c>
      <c r="R11" s="428">
        <v>8</v>
      </c>
      <c r="S11" s="399">
        <v>10</v>
      </c>
      <c r="T11" s="399">
        <v>0</v>
      </c>
      <c r="U11" s="399">
        <v>2</v>
      </c>
      <c r="V11" s="399">
        <v>0</v>
      </c>
      <c r="W11" s="407">
        <f t="shared" si="8"/>
        <v>20</v>
      </c>
      <c r="X11" s="400">
        <v>2</v>
      </c>
      <c r="Y11" s="399">
        <f>(R11*$N$6+S11*$N$7+$N$8*T11+$N$9*U11+V11*$N$10)*X11</f>
        <v>38100</v>
      </c>
      <c r="Z11" s="891">
        <f>(R11*$O$6+S11*$O$7+$O$8*T11+$O$9*U11+V11*$O$10)*X11</f>
        <v>72788.100000000006</v>
      </c>
      <c r="AA11" s="892">
        <f t="shared" si="10"/>
        <v>51688.100000000006</v>
      </c>
      <c r="AB11" s="893">
        <v>21100</v>
      </c>
    </row>
    <row r="12" spans="1:31" ht="15.5">
      <c r="A12" s="827"/>
      <c r="B12" s="356" t="s">
        <v>741</v>
      </c>
      <c r="C12" s="356">
        <v>100</v>
      </c>
      <c r="D12" s="357">
        <f t="shared" ref="D12:D15" si="14">SUM(E12+H12+K12)</f>
        <v>10</v>
      </c>
      <c r="E12" s="881">
        <v>6</v>
      </c>
      <c r="F12" s="399">
        <f t="shared" ref="F12:F14" si="15">E12*C12</f>
        <v>600</v>
      </c>
      <c r="G12" s="882">
        <f t="shared" si="11"/>
        <v>622200</v>
      </c>
      <c r="H12" s="883">
        <v>4</v>
      </c>
      <c r="I12" s="399">
        <f t="shared" si="2"/>
        <v>400</v>
      </c>
      <c r="J12" s="884">
        <f t="shared" si="12"/>
        <v>640000</v>
      </c>
      <c r="K12" s="881">
        <v>0</v>
      </c>
      <c r="L12" s="399">
        <f t="shared" si="4"/>
        <v>0</v>
      </c>
      <c r="M12" s="885">
        <f t="shared" si="13"/>
        <v>0</v>
      </c>
      <c r="N12" s="884">
        <f>F12+I12+L12</f>
        <v>1000</v>
      </c>
      <c r="O12" s="401">
        <f t="shared" si="7"/>
        <v>1262.2</v>
      </c>
      <c r="Q12" s="356" t="s">
        <v>767</v>
      </c>
      <c r="R12" s="428">
        <v>8</v>
      </c>
      <c r="S12" s="399">
        <v>7</v>
      </c>
      <c r="T12" s="399">
        <v>0</v>
      </c>
      <c r="U12" s="399">
        <v>5</v>
      </c>
      <c r="V12" s="399">
        <v>0</v>
      </c>
      <c r="W12" s="407">
        <f t="shared" si="8"/>
        <v>20</v>
      </c>
      <c r="X12" s="400">
        <v>2</v>
      </c>
      <c r="Y12" s="399">
        <f t="shared" ref="Y12:Y15" si="16">(R12*$N$6+S12*$N$7+$N$8*T12+$N$9*U12+V12*$N$10)*X12</f>
        <v>42450</v>
      </c>
      <c r="Z12" s="891">
        <f>(R12*$O$6+S12*$O$7+$O$8*T12+$O$9*U12+V12*$O$10)*X12</f>
        <v>81787.77</v>
      </c>
      <c r="AA12" s="892">
        <f t="shared" si="10"/>
        <v>58587.770000000004</v>
      </c>
      <c r="AB12" s="893">
        <v>23200</v>
      </c>
    </row>
    <row r="13" spans="1:31" ht="15.5">
      <c r="A13" s="827"/>
      <c r="B13" s="356" t="s">
        <v>742</v>
      </c>
      <c r="C13" s="356">
        <v>140</v>
      </c>
      <c r="D13" s="357">
        <f t="shared" si="14"/>
        <v>10</v>
      </c>
      <c r="E13" s="881">
        <v>5</v>
      </c>
      <c r="F13" s="399">
        <f t="shared" si="15"/>
        <v>700</v>
      </c>
      <c r="G13" s="882">
        <f t="shared" si="11"/>
        <v>725900</v>
      </c>
      <c r="H13" s="883">
        <v>3.5</v>
      </c>
      <c r="I13" s="399">
        <f t="shared" si="2"/>
        <v>490</v>
      </c>
      <c r="J13" s="884">
        <f t="shared" si="12"/>
        <v>784000</v>
      </c>
      <c r="K13" s="881">
        <v>1.5</v>
      </c>
      <c r="L13" s="399">
        <f t="shared" si="4"/>
        <v>210</v>
      </c>
      <c r="M13" s="885">
        <f t="shared" si="13"/>
        <v>621390</v>
      </c>
      <c r="N13" s="884">
        <f>F13+I13+L13</f>
        <v>1400</v>
      </c>
      <c r="O13" s="401">
        <f t="shared" si="7"/>
        <v>2131.29</v>
      </c>
      <c r="Q13" s="356" t="s">
        <v>768</v>
      </c>
      <c r="R13" s="428">
        <v>5</v>
      </c>
      <c r="S13" s="399">
        <v>8</v>
      </c>
      <c r="T13" s="399">
        <v>0</v>
      </c>
      <c r="U13" s="399">
        <v>7</v>
      </c>
      <c r="V13" s="399">
        <v>0</v>
      </c>
      <c r="W13" s="407">
        <f t="shared" si="8"/>
        <v>20</v>
      </c>
      <c r="X13" s="400">
        <v>2</v>
      </c>
      <c r="Y13" s="399">
        <f t="shared" si="16"/>
        <v>47150</v>
      </c>
      <c r="Z13" s="891">
        <f>(R13*$O$6+S13*$O$7+$O$8*T13+$O$9*U13+V13*$O$10)*X13</f>
        <v>89479.43</v>
      </c>
      <c r="AA13" s="892">
        <f t="shared" si="10"/>
        <v>63979.429999999993</v>
      </c>
      <c r="AB13" s="893">
        <v>25500</v>
      </c>
    </row>
    <row r="14" spans="1:31" ht="15.5">
      <c r="A14" s="827"/>
      <c r="B14" s="356" t="s">
        <v>743</v>
      </c>
      <c r="C14" s="356">
        <v>115</v>
      </c>
      <c r="D14" s="357">
        <f t="shared" si="14"/>
        <v>15</v>
      </c>
      <c r="E14" s="881">
        <v>6</v>
      </c>
      <c r="F14" s="399">
        <f t="shared" si="15"/>
        <v>690</v>
      </c>
      <c r="G14" s="882">
        <f t="shared" si="11"/>
        <v>715530</v>
      </c>
      <c r="H14" s="883">
        <v>7.5</v>
      </c>
      <c r="I14" s="399">
        <f t="shared" si="2"/>
        <v>862.5</v>
      </c>
      <c r="J14" s="884">
        <f t="shared" si="12"/>
        <v>1380000</v>
      </c>
      <c r="K14" s="881">
        <v>1.5</v>
      </c>
      <c r="L14" s="399">
        <f t="shared" si="4"/>
        <v>172.5</v>
      </c>
      <c r="M14" s="885">
        <f t="shared" si="13"/>
        <v>510427.5</v>
      </c>
      <c r="N14" s="884">
        <f>F14+I14+L14</f>
        <v>1725</v>
      </c>
      <c r="O14" s="401">
        <f t="shared" si="7"/>
        <v>2605.9575</v>
      </c>
      <c r="Q14" s="356" t="s">
        <v>769</v>
      </c>
      <c r="R14" s="428">
        <v>2</v>
      </c>
      <c r="S14" s="399">
        <v>10</v>
      </c>
      <c r="T14" s="399">
        <v>0</v>
      </c>
      <c r="U14" s="399">
        <v>8</v>
      </c>
      <c r="V14" s="399">
        <v>0</v>
      </c>
      <c r="W14" s="407">
        <f t="shared" si="8"/>
        <v>20</v>
      </c>
      <c r="X14" s="400">
        <v>2</v>
      </c>
      <c r="Y14" s="399">
        <f t="shared" si="16"/>
        <v>50400</v>
      </c>
      <c r="Z14" s="891">
        <f>(R14*$O$6+S14*$O$7+$O$8*T14+$O$9*U14+V14*$O$10)*X14</f>
        <v>94171.200000000012</v>
      </c>
      <c r="AA14" s="892">
        <f t="shared" si="10"/>
        <v>66321.200000000012</v>
      </c>
      <c r="AB14" s="893">
        <v>27850</v>
      </c>
    </row>
    <row r="15" spans="1:31" ht="16" thickBot="1">
      <c r="A15" s="828"/>
      <c r="B15" s="358" t="s">
        <v>744</v>
      </c>
      <c r="C15" s="358">
        <v>100</v>
      </c>
      <c r="D15" s="359">
        <f t="shared" si="14"/>
        <v>20</v>
      </c>
      <c r="E15" s="886">
        <v>6</v>
      </c>
      <c r="F15" s="408">
        <f>E15*C15</f>
        <v>600</v>
      </c>
      <c r="G15" s="887">
        <f t="shared" si="11"/>
        <v>622200</v>
      </c>
      <c r="H15" s="888">
        <v>12</v>
      </c>
      <c r="I15" s="408">
        <f t="shared" si="2"/>
        <v>1200</v>
      </c>
      <c r="J15" s="889">
        <f t="shared" si="12"/>
        <v>1920000</v>
      </c>
      <c r="K15" s="886">
        <v>2</v>
      </c>
      <c r="L15" s="408">
        <f t="shared" si="4"/>
        <v>200</v>
      </c>
      <c r="M15" s="890">
        <f t="shared" si="13"/>
        <v>591800</v>
      </c>
      <c r="N15" s="889">
        <f>F15+I15+L15</f>
        <v>2000</v>
      </c>
      <c r="O15" s="403">
        <f t="shared" si="7"/>
        <v>3134</v>
      </c>
      <c r="Q15" s="358" t="s">
        <v>770</v>
      </c>
      <c r="R15" s="429">
        <v>2</v>
      </c>
      <c r="S15" s="408">
        <v>8</v>
      </c>
      <c r="T15" s="408">
        <v>0</v>
      </c>
      <c r="U15" s="408">
        <v>10</v>
      </c>
      <c r="V15" s="408">
        <v>0</v>
      </c>
      <c r="W15" s="409">
        <f t="shared" si="8"/>
        <v>20</v>
      </c>
      <c r="X15" s="402">
        <v>2</v>
      </c>
      <c r="Y15" s="408">
        <f t="shared" si="16"/>
        <v>53300</v>
      </c>
      <c r="Z15" s="894">
        <f>(R15*$O$6+S15*$O$7+$O$8*T15+$O$9*U15+V15*$O$10)*X15</f>
        <v>100170.98000000001</v>
      </c>
      <c r="AA15" s="895">
        <f t="shared" si="10"/>
        <v>70679.98000000001</v>
      </c>
      <c r="AB15" s="896">
        <v>29491</v>
      </c>
    </row>
    <row r="16" spans="1:31" ht="15.5">
      <c r="Q16" s="379"/>
      <c r="R16" s="404"/>
      <c r="S16" s="404"/>
      <c r="T16" s="404"/>
      <c r="U16" s="404"/>
      <c r="V16" s="404"/>
    </row>
    <row r="61" spans="31:33" ht="52.5" customHeight="1">
      <c r="AE61" s="898" t="s">
        <v>810</v>
      </c>
      <c r="AF61" s="898" t="s">
        <v>813</v>
      </c>
      <c r="AG61" s="898" t="s">
        <v>814</v>
      </c>
    </row>
    <row r="62" spans="31:33" ht="35" customHeight="1">
      <c r="AE62" s="898" t="s">
        <v>811</v>
      </c>
      <c r="AF62" s="898" t="s">
        <v>815</v>
      </c>
      <c r="AG62" s="898" t="s">
        <v>817</v>
      </c>
    </row>
    <row r="63" spans="31:33" ht="35" customHeight="1">
      <c r="AE63" s="898" t="s">
        <v>812</v>
      </c>
      <c r="AF63" s="898" t="s">
        <v>816</v>
      </c>
      <c r="AG63" s="898" t="s">
        <v>818</v>
      </c>
    </row>
  </sheetData>
  <mergeCells count="12">
    <mergeCell ref="R4:S4"/>
    <mergeCell ref="A6:A10"/>
    <mergeCell ref="A11:A15"/>
    <mergeCell ref="C2:O2"/>
    <mergeCell ref="Q3:AB3"/>
    <mergeCell ref="E3:G3"/>
    <mergeCell ref="H3:J3"/>
    <mergeCell ref="K3:M3"/>
    <mergeCell ref="O3:O5"/>
    <mergeCell ref="E4:G4"/>
    <mergeCell ref="H4:J4"/>
    <mergeCell ref="K4:M4"/>
  </mergeCells>
  <phoneticPr fontId="80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C8F5D-2F71-454C-913C-C4958938CA32}">
  <dimension ref="A1:O11"/>
  <sheetViews>
    <sheetView zoomScaleNormal="100" workbookViewId="0">
      <selection activeCell="N8" sqref="N8"/>
    </sheetView>
  </sheetViews>
  <sheetFormatPr defaultColWidth="8.7265625" defaultRowHeight="14.5"/>
  <cols>
    <col min="1" max="1" width="16.36328125" style="312" customWidth="1"/>
    <col min="2" max="2" width="13.1796875" style="312" customWidth="1"/>
    <col min="3" max="3" width="9.7265625" style="345" customWidth="1"/>
    <col min="4" max="14" width="9.6328125" style="345" customWidth="1"/>
    <col min="15" max="15" width="12.1796875" style="312" customWidth="1"/>
    <col min="16" max="16384" width="8.7265625" style="312"/>
  </cols>
  <sheetData>
    <row r="1" spans="1:15" ht="32.4" customHeight="1" thickBot="1">
      <c r="A1" s="863" t="s">
        <v>722</v>
      </c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ht="19.5" customHeight="1">
      <c r="A2" s="413"/>
      <c r="B2" s="414"/>
      <c r="C2" s="415">
        <v>45383</v>
      </c>
      <c r="D2" s="415">
        <v>45413</v>
      </c>
      <c r="E2" s="415">
        <v>45444</v>
      </c>
      <c r="F2" s="415">
        <v>45474</v>
      </c>
      <c r="G2" s="415">
        <v>45505</v>
      </c>
      <c r="H2" s="415">
        <v>45536</v>
      </c>
      <c r="I2" s="415">
        <v>45566</v>
      </c>
      <c r="J2" s="415">
        <v>45597</v>
      </c>
      <c r="K2" s="415">
        <v>45627</v>
      </c>
      <c r="L2" s="415">
        <v>45658</v>
      </c>
      <c r="M2" s="415">
        <v>45689</v>
      </c>
      <c r="N2" s="415">
        <v>45717</v>
      </c>
      <c r="O2" s="416" t="s">
        <v>721</v>
      </c>
    </row>
    <row r="3" spans="1:15" ht="18" customHeight="1">
      <c r="A3" s="417" t="s">
        <v>724</v>
      </c>
      <c r="B3" s="347" t="s">
        <v>725</v>
      </c>
      <c r="C3" s="353">
        <v>132</v>
      </c>
      <c r="D3" s="353">
        <v>153</v>
      </c>
      <c r="E3" s="353">
        <v>139</v>
      </c>
      <c r="F3" s="353">
        <v>179</v>
      </c>
      <c r="G3" s="353">
        <v>171</v>
      </c>
      <c r="H3" s="353">
        <v>148</v>
      </c>
      <c r="I3" s="353">
        <v>197</v>
      </c>
      <c r="J3" s="353">
        <v>180</v>
      </c>
      <c r="K3" s="353">
        <v>189</v>
      </c>
      <c r="L3" s="353">
        <v>143</v>
      </c>
      <c r="M3" s="353">
        <v>181</v>
      </c>
      <c r="N3" s="353">
        <v>200</v>
      </c>
      <c r="O3" s="418">
        <f>SUM(C3:N3)</f>
        <v>2012</v>
      </c>
    </row>
    <row r="4" spans="1:15" ht="18" customHeight="1">
      <c r="A4" s="417"/>
      <c r="B4" s="347" t="s">
        <v>782</v>
      </c>
      <c r="C4" s="353" cm="1">
        <f t="array" ref="C4">_xlfn.IFS(C3&lt;40,Data!$Y$6,AND(C3&gt;40,C3&lt;=60),Data!$Y$7,AND(C3&gt;60,C3&lt;=80),Data!$Y$8,AND(C3&gt;80,C3&lt;=100),Data!$Y$9,AND(C3&gt;100,C3&lt;=120),Data!$Y$10,AND(C3&gt;120,C3&lt;=140),Data!$Y$11,AND(C3&gt;140,C3&lt;160),Data!$Y$12,AND(C3&gt;=160,C3&lt;180),Data!$Y$13,AND(C3&gt;=180,C3&lt;200),Data!$Y$14,AND(C3&gt;=200,C3&lt;220),Data!$Y$15)</f>
        <v>38100</v>
      </c>
      <c r="D4" s="353" cm="1">
        <f t="array" ref="D4">_xlfn.IFS(D3&lt;40,Data!$Y$6,AND(D3&gt;40,D3&lt;=60),Data!$Y$7,AND(D3&gt;60,D3&lt;=80),Data!$Y$8,AND(D3&gt;80,D3&lt;=100),Data!$Y$9,AND(D3&gt;100,D3&lt;=120),Data!$Y$10,AND(D3&gt;120,D3&lt;=140),Data!$Y$11,AND(D3&gt;140,D3&lt;160),Data!$Y$12,AND(D3&gt;=160,D3&lt;180),Data!$Y$13,AND(D3&gt;=180,D3&lt;200),Data!$Y$14,AND(D3&gt;=200,D3&lt;220),Data!$Y$15)</f>
        <v>42450</v>
      </c>
      <c r="E4" s="353" cm="1">
        <f t="array" ref="E4">_xlfn.IFS(E3&lt;40,Data!$Y$6,AND(E3&gt;40,E3&lt;=60),Data!$Y$7,AND(E3&gt;60,E3&lt;=80),Data!$Y$8,AND(E3&gt;80,E3&lt;=100),Data!$Y$9,AND(E3&gt;100,E3&lt;=120),Data!$Y$10,AND(E3&gt;120,E3&lt;=140),Data!$Y$11,AND(E3&gt;140,E3&lt;160),Data!$Y$12,AND(E3&gt;=160,E3&lt;180),Data!$Y$13,AND(E3&gt;=180,E3&lt;200),Data!$Y$14,AND(E3&gt;=200,E3&lt;220),Data!$Y$15)</f>
        <v>38100</v>
      </c>
      <c r="F4" s="353" cm="1">
        <f t="array" ref="F4">_xlfn.IFS(F3&lt;40,Data!$Y$6,AND(F3&gt;40,F3&lt;=60),Data!$Y$7,AND(F3&gt;60,F3&lt;=80),Data!$Y$8,AND(F3&gt;80,F3&lt;=100),Data!$Y$9,AND(F3&gt;100,F3&lt;=120),Data!$Y$10,AND(F3&gt;120,F3&lt;=140),Data!$Y$11,AND(F3&gt;140,F3&lt;160),Data!$Y$12,AND(F3&gt;=160,F3&lt;180),Data!$Y$13,AND(F3&gt;=180,F3&lt;200),Data!$Y$14,AND(F3&gt;=200,F3&lt;220),Data!$Y$15)</f>
        <v>47150</v>
      </c>
      <c r="G4" s="353" cm="1">
        <f t="array" ref="G4">_xlfn.IFS(G3&lt;40,Data!$Y$6,AND(G3&gt;40,G3&lt;=60),Data!$Y$7,AND(G3&gt;60,G3&lt;=80),Data!$Y$8,AND(G3&gt;80,G3&lt;=100),Data!$Y$9,AND(G3&gt;100,G3&lt;=120),Data!$Y$10,AND(G3&gt;120,G3&lt;=140),Data!$Y$11,AND(G3&gt;140,G3&lt;160),Data!$Y$12,AND(G3&gt;=160,G3&lt;180),Data!$Y$13,AND(G3&gt;=180,G3&lt;200),Data!$Y$14,AND(G3&gt;=200,G3&lt;220),Data!$Y$15)</f>
        <v>47150</v>
      </c>
      <c r="H4" s="353" cm="1">
        <f t="array" ref="H4">_xlfn.IFS(H3&lt;40,Data!$Y$6,AND(H3&gt;40,H3&lt;=60),Data!$Y$7,AND(H3&gt;60,H3&lt;=80),Data!$Y$8,AND(H3&gt;80,H3&lt;=100),Data!$Y$9,AND(H3&gt;100,H3&lt;=120),Data!$Y$10,AND(H3&gt;120,H3&lt;=140),Data!$Y$11,AND(H3&gt;140,H3&lt;160),Data!$Y$12,AND(H3&gt;=160,H3&lt;180),Data!$Y$13,AND(H3&gt;=180,H3&lt;200),Data!$Y$14,AND(H3&gt;=200,H3&lt;220),Data!$Y$15)</f>
        <v>42450</v>
      </c>
      <c r="I4" s="353" cm="1">
        <f t="array" ref="I4">_xlfn.IFS(I3&lt;40,Data!$Y$6,AND(I3&gt;40,I3&lt;=60),Data!$Y$7,AND(I3&gt;60,I3&lt;=80),Data!$Y$8,AND(I3&gt;80,I3&lt;=100),Data!$Y$9,AND(I3&gt;100,I3&lt;=120),Data!$Y$10,AND(I3&gt;120,I3&lt;=140),Data!$Y$11,AND(I3&gt;140,I3&lt;160),Data!$Y$12,AND(I3&gt;=160,I3&lt;180),Data!$Y$13,AND(I3&gt;=180,I3&lt;200),Data!$Y$14,AND(I3&gt;=200,I3&lt;220),Data!$Y$15)</f>
        <v>50400</v>
      </c>
      <c r="J4" s="353" cm="1">
        <f t="array" ref="J4">_xlfn.IFS(J3&lt;40,Data!$Y$6,AND(J3&gt;40,J3&lt;=60),Data!$Y$7,AND(J3&gt;60,J3&lt;=80),Data!$Y$8,AND(J3&gt;80,J3&lt;=100),Data!$Y$9,AND(J3&gt;100,J3&lt;=120),Data!$Y$10,AND(J3&gt;120,J3&lt;=140),Data!$Y$11,AND(J3&gt;140,J3&lt;160),Data!$Y$12,AND(J3&gt;=160,J3&lt;180),Data!$Y$13,AND(J3&gt;=180,J3&lt;200),Data!$Y$14,AND(J3&gt;=200,J3&lt;220),Data!$Y$15)</f>
        <v>50400</v>
      </c>
      <c r="K4" s="353" cm="1">
        <f t="array" ref="K4">_xlfn.IFS(K3&lt;40,Data!$Y$6,AND(K3&gt;40,K3&lt;=60),Data!$Y$7,AND(K3&gt;60,K3&lt;=80),Data!$Y$8,AND(K3&gt;80,K3&lt;=100),Data!$Y$9,AND(K3&gt;100,K3&lt;=120),Data!$Y$10,AND(K3&gt;120,K3&lt;=140),Data!$Y$11,AND(K3&gt;140,K3&lt;160),Data!$Y$12,AND(K3&gt;=160,K3&lt;180),Data!$Y$13,AND(K3&gt;=180,K3&lt;200),Data!$Y$14,AND(K3&gt;=200,K3&lt;220),Data!$Y$15)</f>
        <v>50400</v>
      </c>
      <c r="L4" s="353" cm="1">
        <f t="array" ref="L4">_xlfn.IFS(L3&lt;40,Data!$Y$6,AND(L3&gt;40,L3&lt;=60),Data!$Y$7,AND(L3&gt;60,L3&lt;=80),Data!$Y$8,AND(L3&gt;80,L3&lt;=100),Data!$Y$9,AND(L3&gt;100,L3&lt;=120),Data!$Y$10,AND(L3&gt;120,L3&lt;=140),Data!$Y$11,AND(L3&gt;140,L3&lt;160),Data!$Y$12,AND(L3&gt;=160,L3&lt;180),Data!$Y$13,AND(L3&gt;=180,L3&lt;200),Data!$Y$14,AND(L3&gt;=200,L3&lt;220),Data!$Y$15)</f>
        <v>42450</v>
      </c>
      <c r="M4" s="353" cm="1">
        <f t="array" ref="M4">_xlfn.IFS(M3&lt;40,Data!$Y$6,AND(M3&gt;40,M3&lt;=60),Data!$Y$7,AND(M3&gt;60,M3&lt;=80),Data!$Y$8,AND(M3&gt;80,M3&lt;=100),Data!$Y$9,AND(M3&gt;100,M3&lt;=120),Data!$Y$10,AND(M3&gt;120,M3&lt;=140),Data!$Y$11,AND(M3&gt;140,M3&lt;160),Data!$Y$12,AND(M3&gt;=160,M3&lt;180),Data!$Y$13,AND(M3&gt;=180,M3&lt;200),Data!$Y$14,AND(M3&gt;=200,M3&lt;220),Data!$Y$15)</f>
        <v>50400</v>
      </c>
      <c r="N4" s="353" cm="1">
        <f t="array" ref="N4">_xlfn.IFS(N3&lt;40,Data!$Y$6,AND(N3&gt;40,N3&lt;=60),Data!$Y$7,AND(N3&gt;60,N3&lt;=80),Data!$Y$8,AND(N3&gt;80,N3&lt;=100),Data!$Y$9,AND(N3&gt;100,N3&lt;=120),Data!$Y$10,AND(N3&gt;120,N3&lt;=140),Data!$Y$11,AND(N3&gt;140,N3&lt;160),Data!$Y$12,AND(N3&gt;=160,N3&lt;180),Data!$Y$13,AND(N3&gt;=180,N3&lt;200),Data!$Y$14,AND(N3&gt;=200,N3&lt;220),Data!$Y$15)</f>
        <v>53300</v>
      </c>
      <c r="O4" s="418">
        <f t="shared" ref="O4:O7" si="0">SUM(C4:N4)</f>
        <v>552750</v>
      </c>
    </row>
    <row r="5" spans="1:15" ht="18" customHeight="1">
      <c r="A5" s="417" t="s">
        <v>723</v>
      </c>
      <c r="B5" s="347" t="s">
        <v>774</v>
      </c>
      <c r="C5" s="353">
        <f>VLOOKUP(C4,Data!$Y$6:$AB$15,2,0)</f>
        <v>72788.100000000006</v>
      </c>
      <c r="D5" s="353">
        <f>VLOOKUP(D4,Data!$Y$6:$AB$15,2,0)</f>
        <v>81787.77</v>
      </c>
      <c r="E5" s="353">
        <f>VLOOKUP(E4,Data!$Y$6:$AB$15,2,0)</f>
        <v>72788.100000000006</v>
      </c>
      <c r="F5" s="353">
        <f>VLOOKUP(F4,Data!$Y$6:$AB$15,2,0)</f>
        <v>89479.43</v>
      </c>
      <c r="G5" s="353">
        <f>VLOOKUP(G4,Data!$Y$6:$AB$15,2,0)</f>
        <v>89479.43</v>
      </c>
      <c r="H5" s="353">
        <f>VLOOKUP(H4,Data!$Y$6:$AB$15,2,0)</f>
        <v>81787.77</v>
      </c>
      <c r="I5" s="353">
        <f>VLOOKUP(I4,Data!$Y$6:$AB$15,2,0)</f>
        <v>94171.200000000012</v>
      </c>
      <c r="J5" s="353">
        <f>VLOOKUP(J4,Data!$Y$6:$AB$15,2,0)</f>
        <v>94171.200000000012</v>
      </c>
      <c r="K5" s="353">
        <f>VLOOKUP(K4,Data!$Y$6:$AB$15,2,0)</f>
        <v>94171.200000000012</v>
      </c>
      <c r="L5" s="353">
        <f>VLOOKUP(L4,Data!$Y$6:$AB$15,2,0)</f>
        <v>81787.77</v>
      </c>
      <c r="M5" s="353">
        <f>VLOOKUP(M4,Data!$Y$6:$AB$15,2,0)</f>
        <v>94171.200000000012</v>
      </c>
      <c r="N5" s="353">
        <f>VLOOKUP(N4,Data!$Y$6:$AB$15,2,0)</f>
        <v>100170.98000000001</v>
      </c>
      <c r="O5" s="418">
        <f t="shared" si="0"/>
        <v>1046754.1499999999</v>
      </c>
    </row>
    <row r="6" spans="1:15" ht="18" customHeight="1">
      <c r="A6" s="417" t="s">
        <v>776</v>
      </c>
      <c r="B6" s="347" t="s">
        <v>774</v>
      </c>
      <c r="C6" s="353">
        <f>VLOOKUP(C4,Data!$Y$6:$AB$15,3,0)</f>
        <v>51688.100000000006</v>
      </c>
      <c r="D6" s="353">
        <f>VLOOKUP(D4,Data!$Y$6:$AB$15,3,0)</f>
        <v>58587.770000000004</v>
      </c>
      <c r="E6" s="353">
        <f>VLOOKUP(E4,Data!$Y$6:$AB$15,3,0)</f>
        <v>51688.100000000006</v>
      </c>
      <c r="F6" s="353">
        <f>VLOOKUP(F4,Data!$Y$6:$AB$15,3,0)</f>
        <v>63979.429999999993</v>
      </c>
      <c r="G6" s="353">
        <f>VLOOKUP(G4,Data!$Y$6:$AB$15,3,0)</f>
        <v>63979.429999999993</v>
      </c>
      <c r="H6" s="353">
        <f>VLOOKUP(H4,Data!$Y$6:$AB$15,3,0)</f>
        <v>58587.770000000004</v>
      </c>
      <c r="I6" s="353">
        <f>VLOOKUP(I4,Data!$Y$6:$AB$15,3,0)</f>
        <v>66321.200000000012</v>
      </c>
      <c r="J6" s="353">
        <f>VLOOKUP(J4,Data!$Y$6:$AB$15,3,0)</f>
        <v>66321.200000000012</v>
      </c>
      <c r="K6" s="353">
        <f>VLOOKUP(K4,Data!$Y$6:$AB$15,3,0)</f>
        <v>66321.200000000012</v>
      </c>
      <c r="L6" s="353">
        <f>VLOOKUP(L4,Data!$Y$6:$AB$15,3,0)</f>
        <v>58587.770000000004</v>
      </c>
      <c r="M6" s="353">
        <f>VLOOKUP(M4,Data!$Y$6:$AB$15,3,0)</f>
        <v>66321.200000000012</v>
      </c>
      <c r="N6" s="353">
        <f>VLOOKUP(N4,Data!$Y$6:$AB$15,3,0)</f>
        <v>70679.98000000001</v>
      </c>
      <c r="O6" s="418">
        <f t="shared" si="0"/>
        <v>743063.15000000014</v>
      </c>
    </row>
    <row r="7" spans="1:15" ht="18" customHeight="1" thickBot="1">
      <c r="A7" s="419" t="s">
        <v>726</v>
      </c>
      <c r="B7" s="420" t="s">
        <v>775</v>
      </c>
      <c r="C7" s="421">
        <f>C5-C6</f>
        <v>21100</v>
      </c>
      <c r="D7" s="421">
        <f t="shared" ref="D7:N7" si="1">D5-D6</f>
        <v>23200</v>
      </c>
      <c r="E7" s="421">
        <f t="shared" si="1"/>
        <v>21100</v>
      </c>
      <c r="F7" s="421">
        <f t="shared" si="1"/>
        <v>25500</v>
      </c>
      <c r="G7" s="421">
        <f t="shared" si="1"/>
        <v>25500</v>
      </c>
      <c r="H7" s="421">
        <f t="shared" si="1"/>
        <v>23200</v>
      </c>
      <c r="I7" s="421">
        <f t="shared" si="1"/>
        <v>27850</v>
      </c>
      <c r="J7" s="421">
        <f t="shared" si="1"/>
        <v>27850</v>
      </c>
      <c r="K7" s="421">
        <f t="shared" si="1"/>
        <v>27850</v>
      </c>
      <c r="L7" s="421">
        <f t="shared" si="1"/>
        <v>23200</v>
      </c>
      <c r="M7" s="421">
        <f t="shared" si="1"/>
        <v>27850</v>
      </c>
      <c r="N7" s="421">
        <f t="shared" si="1"/>
        <v>29491</v>
      </c>
      <c r="O7" s="422">
        <f t="shared" si="0"/>
        <v>303691</v>
      </c>
    </row>
    <row r="8" spans="1:15"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</row>
    <row r="11" spans="1:15">
      <c r="C11" s="348"/>
      <c r="D11" s="348"/>
      <c r="E11" s="348"/>
      <c r="F11" s="348"/>
      <c r="G11" s="348"/>
      <c r="H11" s="348"/>
      <c r="I11" s="348"/>
      <c r="J11" s="348"/>
      <c r="K11" s="348"/>
      <c r="L11" s="348"/>
      <c r="M11" s="348"/>
      <c r="N11" s="348"/>
      <c r="O11" s="900"/>
    </row>
  </sheetData>
  <mergeCells count="1">
    <mergeCell ref="A1:O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9DCD4-298F-4147-A9C2-E1C83A9DE3F0}">
  <dimension ref="A1:O11"/>
  <sheetViews>
    <sheetView zoomScaleNormal="100" workbookViewId="0">
      <selection activeCell="J12" sqref="J12"/>
    </sheetView>
  </sheetViews>
  <sheetFormatPr defaultColWidth="8.7265625" defaultRowHeight="14.5"/>
  <cols>
    <col min="1" max="1" width="16.36328125" style="312" customWidth="1"/>
    <col min="2" max="2" width="14.26953125" style="312" customWidth="1"/>
    <col min="3" max="3" width="12.81640625" style="345" customWidth="1"/>
    <col min="4" max="14" width="9.6328125" style="345" customWidth="1"/>
    <col min="15" max="15" width="12.1796875" style="312" customWidth="1"/>
    <col min="16" max="16384" width="8.7265625" style="312"/>
  </cols>
  <sheetData>
    <row r="1" spans="1:15" ht="32.4" customHeight="1" thickBot="1">
      <c r="A1" s="863" t="s">
        <v>722</v>
      </c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ht="19.5" customHeight="1">
      <c r="A2" s="413"/>
      <c r="B2" s="414"/>
      <c r="C2" s="415">
        <v>45383</v>
      </c>
      <c r="D2" s="415">
        <v>45413</v>
      </c>
      <c r="E2" s="415">
        <v>45444</v>
      </c>
      <c r="F2" s="415">
        <v>45474</v>
      </c>
      <c r="G2" s="415">
        <v>45505</v>
      </c>
      <c r="H2" s="415">
        <v>45536</v>
      </c>
      <c r="I2" s="415">
        <v>45566</v>
      </c>
      <c r="J2" s="415">
        <v>45597</v>
      </c>
      <c r="K2" s="415">
        <v>45627</v>
      </c>
      <c r="L2" s="415">
        <v>45658</v>
      </c>
      <c r="M2" s="415">
        <v>45689</v>
      </c>
      <c r="N2" s="415">
        <v>45717</v>
      </c>
      <c r="O2" s="416" t="s">
        <v>721</v>
      </c>
    </row>
    <row r="3" spans="1:15" ht="18" customHeight="1">
      <c r="A3" s="417" t="s">
        <v>724</v>
      </c>
      <c r="B3" s="347" t="s">
        <v>725</v>
      </c>
      <c r="C3" s="353">
        <v>132</v>
      </c>
      <c r="D3" s="353">
        <v>153</v>
      </c>
      <c r="E3" s="353">
        <v>139</v>
      </c>
      <c r="F3" s="353">
        <v>179</v>
      </c>
      <c r="G3" s="353">
        <v>171</v>
      </c>
      <c r="H3" s="353">
        <v>148</v>
      </c>
      <c r="I3" s="353">
        <v>197</v>
      </c>
      <c r="J3" s="353">
        <v>180</v>
      </c>
      <c r="K3" s="353">
        <v>189</v>
      </c>
      <c r="L3" s="353">
        <v>143</v>
      </c>
      <c r="M3" s="353">
        <v>181</v>
      </c>
      <c r="N3" s="353">
        <v>200</v>
      </c>
      <c r="O3" s="418">
        <f>SUM(C3:N3)</f>
        <v>2012</v>
      </c>
    </row>
    <row r="4" spans="1:15" ht="18" customHeight="1">
      <c r="A4" s="417"/>
      <c r="B4" s="347" t="s">
        <v>782</v>
      </c>
      <c r="C4" s="353" cm="1">
        <f t="array" ref="C4">_xlfn.IFS(C3&lt;40,Data!$Y$6,AND(C3&gt;40,C3&lt;=60),Data!$Y$7,AND(C3&gt;60,C3&lt;=80),Data!$Y$8,AND(C3&gt;80,C3&lt;=100),Data!$Y$9,AND(C3&gt;100,C3&lt;=120),Data!$Y$10,AND(C3&gt;120,C3&lt;=140),Data!$Y$11,AND(C3&gt;140,C3&lt;160),Data!$Y$12,AND(C3&gt;=160,C3&lt;180),Data!$Y$13,AND(C3&gt;=180,C3&lt;200),Data!$Y$14,AND(C3&gt;=200,C3&lt;220),Data!$Y$15)</f>
        <v>38100</v>
      </c>
      <c r="D4" s="353" cm="1">
        <f t="array" ref="D4">_xlfn.IFS(D3&lt;40,Data!$Y$6,AND(D3&gt;40,D3&lt;=60),Data!$Y$7,AND(D3&gt;60,D3&lt;=80),Data!$Y$8,AND(D3&gt;80,D3&lt;=100),Data!$Y$9,AND(D3&gt;100,D3&lt;=120),Data!$Y$10,AND(D3&gt;120,D3&lt;=140),Data!$Y$11,AND(D3&gt;140,D3&lt;160),Data!$Y$12,AND(D3&gt;=160,D3&lt;180),Data!$Y$13,AND(D3&gt;=180,D3&lt;200),Data!$Y$14,AND(D3&gt;=200,D3&lt;220),Data!$Y$15)</f>
        <v>42450</v>
      </c>
      <c r="E4" s="353" cm="1">
        <f t="array" ref="E4">_xlfn.IFS(E3&lt;40,Data!$Y$6,AND(E3&gt;40,E3&lt;=60),Data!$Y$7,AND(E3&gt;60,E3&lt;=80),Data!$Y$8,AND(E3&gt;80,E3&lt;=100),Data!$Y$9,AND(E3&gt;100,E3&lt;=120),Data!$Y$10,AND(E3&gt;120,E3&lt;=140),Data!$Y$11,AND(E3&gt;140,E3&lt;160),Data!$Y$12,AND(E3&gt;=160,E3&lt;180),Data!$Y$13,AND(E3&gt;=180,E3&lt;200),Data!$Y$14,AND(E3&gt;=200,E3&lt;220),Data!$Y$15)</f>
        <v>38100</v>
      </c>
      <c r="F4" s="353" cm="1">
        <f t="array" ref="F4">_xlfn.IFS(F3&lt;40,Data!$Y$6,AND(F3&gt;40,F3&lt;=60),Data!$Y$7,AND(F3&gt;60,F3&lt;=80),Data!$Y$8,AND(F3&gt;80,F3&lt;=100),Data!$Y$9,AND(F3&gt;100,F3&lt;=120),Data!$Y$10,AND(F3&gt;120,F3&lt;=140),Data!$Y$11,AND(F3&gt;140,F3&lt;160),Data!$Y$12,AND(F3&gt;=160,F3&lt;180),Data!$Y$13,AND(F3&gt;=180,F3&lt;200),Data!$Y$14,AND(F3&gt;=200,F3&lt;220),Data!$Y$15)</f>
        <v>47150</v>
      </c>
      <c r="G4" s="353" cm="1">
        <f t="array" ref="G4">_xlfn.IFS(G3&lt;40,Data!$Y$6,AND(G3&gt;40,G3&lt;=60),Data!$Y$7,AND(G3&gt;60,G3&lt;=80),Data!$Y$8,AND(G3&gt;80,G3&lt;=100),Data!$Y$9,AND(G3&gt;100,G3&lt;=120),Data!$Y$10,AND(G3&gt;120,G3&lt;=140),Data!$Y$11,AND(G3&gt;140,G3&lt;160),Data!$Y$12,AND(G3&gt;=160,G3&lt;180),Data!$Y$13,AND(G3&gt;=180,G3&lt;200),Data!$Y$14,AND(G3&gt;=200,G3&lt;220),Data!$Y$15)</f>
        <v>47150</v>
      </c>
      <c r="H4" s="353" cm="1">
        <f t="array" ref="H4">_xlfn.IFS(H3&lt;40,Data!$Y$6,AND(H3&gt;40,H3&lt;=60),Data!$Y$7,AND(H3&gt;60,H3&lt;=80),Data!$Y$8,AND(H3&gt;80,H3&lt;=100),Data!$Y$9,AND(H3&gt;100,H3&lt;=120),Data!$Y$10,AND(H3&gt;120,H3&lt;=140),Data!$Y$11,AND(H3&gt;140,H3&lt;160),Data!$Y$12,AND(H3&gt;=160,H3&lt;180),Data!$Y$13,AND(H3&gt;=180,H3&lt;200),Data!$Y$14,AND(H3&gt;=200,H3&lt;220),Data!$Y$15)</f>
        <v>42450</v>
      </c>
      <c r="I4" s="353" cm="1">
        <f t="array" ref="I4">_xlfn.IFS(I3&lt;40,Data!$Y$6,AND(I3&gt;40,I3&lt;=60),Data!$Y$7,AND(I3&gt;60,I3&lt;=80),Data!$Y$8,AND(I3&gt;80,I3&lt;=100),Data!$Y$9,AND(I3&gt;100,I3&lt;=120),Data!$Y$10,AND(I3&gt;120,I3&lt;=140),Data!$Y$11,AND(I3&gt;140,I3&lt;160),Data!$Y$12,AND(I3&gt;=160,I3&lt;180),Data!$Y$13,AND(I3&gt;=180,I3&lt;200),Data!$Y$14,AND(I3&gt;=200,I3&lt;220),Data!$Y$15)</f>
        <v>50400</v>
      </c>
      <c r="J4" s="353" cm="1">
        <f t="array" ref="J4">_xlfn.IFS(J3&lt;40,Data!$Y$6,AND(J3&gt;40,J3&lt;=60),Data!$Y$7,AND(J3&gt;60,J3&lt;=80),Data!$Y$8,AND(J3&gt;80,J3&lt;=100),Data!$Y$9,AND(J3&gt;100,J3&lt;=120),Data!$Y$10,AND(J3&gt;120,J3&lt;=140),Data!$Y$11,AND(J3&gt;140,J3&lt;160),Data!$Y$12,AND(J3&gt;=160,J3&lt;180),Data!$Y$13,AND(J3&gt;=180,J3&lt;200),Data!$Y$14,AND(J3&gt;=200,J3&lt;220),Data!$Y$15)</f>
        <v>50400</v>
      </c>
      <c r="K4" s="353" cm="1">
        <f t="array" ref="K4">_xlfn.IFS(K3&lt;40,Data!$Y$6,AND(K3&gt;40,K3&lt;=60),Data!$Y$7,AND(K3&gt;60,K3&lt;=80),Data!$Y$8,AND(K3&gt;80,K3&lt;=100),Data!$Y$9,AND(K3&gt;100,K3&lt;=120),Data!$Y$10,AND(K3&gt;120,K3&lt;=140),Data!$Y$11,AND(K3&gt;140,K3&lt;160),Data!$Y$12,AND(K3&gt;=160,K3&lt;180),Data!$Y$13,AND(K3&gt;=180,K3&lt;200),Data!$Y$14,AND(K3&gt;=200,K3&lt;220),Data!$Y$15)</f>
        <v>50400</v>
      </c>
      <c r="L4" s="353" cm="1">
        <f t="array" ref="L4">_xlfn.IFS(L3&lt;40,Data!$Y$6,AND(L3&gt;40,L3&lt;=60),Data!$Y$7,AND(L3&gt;60,L3&lt;=80),Data!$Y$8,AND(L3&gt;80,L3&lt;=100),Data!$Y$9,AND(L3&gt;100,L3&lt;=120),Data!$Y$10,AND(L3&gt;120,L3&lt;=140),Data!$Y$11,AND(L3&gt;140,L3&lt;160),Data!$Y$12,AND(L3&gt;=160,L3&lt;180),Data!$Y$13,AND(L3&gt;=180,L3&lt;200),Data!$Y$14,AND(L3&gt;=200,L3&lt;220),Data!$Y$15)</f>
        <v>42450</v>
      </c>
      <c r="M4" s="353" cm="1">
        <f t="array" ref="M4">_xlfn.IFS(M3&lt;40,Data!$Y$6,AND(M3&gt;40,M3&lt;=60),Data!$Y$7,AND(M3&gt;60,M3&lt;=80),Data!$Y$8,AND(M3&gt;80,M3&lt;=100),Data!$Y$9,AND(M3&gt;100,M3&lt;=120),Data!$Y$10,AND(M3&gt;120,M3&lt;=140),Data!$Y$11,AND(M3&gt;140,M3&lt;160),Data!$Y$12,AND(M3&gt;=160,M3&lt;180),Data!$Y$13,AND(M3&gt;=180,M3&lt;200),Data!$Y$14,AND(M3&gt;=200,M3&lt;220),Data!$Y$15)</f>
        <v>50400</v>
      </c>
      <c r="N4" s="353" cm="1">
        <f t="array" ref="N4">_xlfn.IFS(N3&lt;40,Data!$Y$6,AND(N3&gt;40,N3&lt;=60),Data!$Y$7,AND(N3&gt;60,N3&lt;=80),Data!$Y$8,AND(N3&gt;80,N3&lt;=100),Data!$Y$9,AND(N3&gt;100,N3&lt;=120),Data!$Y$10,AND(N3&gt;120,N3&lt;=140),Data!$Y$11,AND(N3&gt;140,N3&lt;160),Data!$Y$12,AND(N3&gt;=160,N3&lt;180),Data!$Y$13,AND(N3&gt;=180,N3&lt;200),Data!$Y$14,AND(N3&gt;=200,N3&lt;220),Data!$Y$15)</f>
        <v>53300</v>
      </c>
      <c r="O4" s="418">
        <f t="shared" ref="O4:O7" si="0">SUM(C4:N4)</f>
        <v>552750</v>
      </c>
    </row>
    <row r="5" spans="1:15" ht="18" customHeight="1">
      <c r="A5" s="417" t="s">
        <v>723</v>
      </c>
      <c r="B5" s="347" t="s">
        <v>774</v>
      </c>
      <c r="C5" s="353">
        <f>C3*520.255</f>
        <v>68673.66</v>
      </c>
      <c r="D5" s="353">
        <f t="shared" ref="D5:N5" si="1">D3*520.255</f>
        <v>79599.014999999999</v>
      </c>
      <c r="E5" s="353">
        <f t="shared" si="1"/>
        <v>72315.444999999992</v>
      </c>
      <c r="F5" s="353">
        <f t="shared" si="1"/>
        <v>93125.645000000004</v>
      </c>
      <c r="G5" s="353">
        <f t="shared" si="1"/>
        <v>88963.604999999996</v>
      </c>
      <c r="H5" s="353">
        <f t="shared" si="1"/>
        <v>76997.740000000005</v>
      </c>
      <c r="I5" s="353">
        <f t="shared" si="1"/>
        <v>102490.235</v>
      </c>
      <c r="J5" s="353">
        <f t="shared" si="1"/>
        <v>93645.9</v>
      </c>
      <c r="K5" s="353">
        <f t="shared" si="1"/>
        <v>98328.194999999992</v>
      </c>
      <c r="L5" s="353">
        <f t="shared" si="1"/>
        <v>74396.464999999997</v>
      </c>
      <c r="M5" s="353">
        <f t="shared" si="1"/>
        <v>94166.154999999999</v>
      </c>
      <c r="N5" s="353">
        <f t="shared" si="1"/>
        <v>104051</v>
      </c>
      <c r="O5" s="418">
        <f t="shared" si="0"/>
        <v>1046753.0599999999</v>
      </c>
    </row>
    <row r="6" spans="1:15" ht="18" customHeight="1">
      <c r="A6" s="417" t="s">
        <v>776</v>
      </c>
      <c r="B6" s="347" t="s">
        <v>774</v>
      </c>
      <c r="C6" s="353">
        <f>C3*369.316</f>
        <v>48749.712</v>
      </c>
      <c r="D6" s="353">
        <f t="shared" ref="D6:N6" si="2">D3*369.316</f>
        <v>56505.347999999998</v>
      </c>
      <c r="E6" s="353">
        <f t="shared" si="2"/>
        <v>51334.923999999999</v>
      </c>
      <c r="F6" s="353">
        <f t="shared" si="2"/>
        <v>66107.563999999998</v>
      </c>
      <c r="G6" s="353">
        <f t="shared" si="2"/>
        <v>63153.035999999993</v>
      </c>
      <c r="H6" s="353">
        <f t="shared" si="2"/>
        <v>54658.767999999996</v>
      </c>
      <c r="I6" s="353">
        <f t="shared" si="2"/>
        <v>72755.251999999993</v>
      </c>
      <c r="J6" s="353">
        <f t="shared" si="2"/>
        <v>66476.87999999999</v>
      </c>
      <c r="K6" s="353">
        <f t="shared" si="2"/>
        <v>69800.724000000002</v>
      </c>
      <c r="L6" s="353">
        <f t="shared" si="2"/>
        <v>52812.187999999995</v>
      </c>
      <c r="M6" s="353">
        <f t="shared" si="2"/>
        <v>66846.195999999996</v>
      </c>
      <c r="N6" s="353">
        <f t="shared" si="2"/>
        <v>73863.199999999997</v>
      </c>
      <c r="O6" s="418">
        <f t="shared" si="0"/>
        <v>743063.7919999999</v>
      </c>
    </row>
    <row r="7" spans="1:15" ht="18" customHeight="1" thickBot="1">
      <c r="A7" s="419" t="s">
        <v>726</v>
      </c>
      <c r="B7" s="420" t="s">
        <v>775</v>
      </c>
      <c r="C7" s="421">
        <f>C5-C6</f>
        <v>19923.948000000004</v>
      </c>
      <c r="D7" s="421">
        <f t="shared" ref="D7:N7" si="3">D5-D6</f>
        <v>23093.667000000001</v>
      </c>
      <c r="E7" s="421">
        <f t="shared" si="3"/>
        <v>20980.520999999993</v>
      </c>
      <c r="F7" s="421">
        <f t="shared" si="3"/>
        <v>27018.081000000006</v>
      </c>
      <c r="G7" s="421">
        <f t="shared" si="3"/>
        <v>25810.569000000003</v>
      </c>
      <c r="H7" s="421">
        <f t="shared" si="3"/>
        <v>22338.972000000009</v>
      </c>
      <c r="I7" s="421">
        <f t="shared" si="3"/>
        <v>29734.983000000007</v>
      </c>
      <c r="J7" s="421">
        <f t="shared" si="3"/>
        <v>27169.020000000004</v>
      </c>
      <c r="K7" s="421">
        <f t="shared" si="3"/>
        <v>28527.47099999999</v>
      </c>
      <c r="L7" s="421">
        <f t="shared" si="3"/>
        <v>21584.277000000002</v>
      </c>
      <c r="M7" s="421">
        <f t="shared" si="3"/>
        <v>27319.959000000003</v>
      </c>
      <c r="N7" s="421">
        <f t="shared" si="3"/>
        <v>30187.800000000003</v>
      </c>
      <c r="O7" s="422">
        <f t="shared" si="0"/>
        <v>303689.26800000004</v>
      </c>
    </row>
    <row r="11" spans="1:15">
      <c r="C11" s="348"/>
      <c r="D11" s="348"/>
      <c r="E11" s="348"/>
      <c r="F11" s="348"/>
      <c r="G11" s="348"/>
      <c r="H11" s="348"/>
      <c r="I11" s="348"/>
      <c r="J11" s="348"/>
      <c r="K11" s="348"/>
      <c r="L11" s="348"/>
      <c r="M11" s="348"/>
      <c r="N11" s="348"/>
    </row>
  </sheetData>
  <mergeCells count="1">
    <mergeCell ref="A1:O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228A4-9199-4FCE-9208-C50AA975030A}">
  <sheetPr>
    <pageSetUpPr fitToPage="1"/>
  </sheetPr>
  <dimension ref="A1"/>
  <sheetViews>
    <sheetView tabSelected="1" topLeftCell="A37" workbookViewId="0">
      <selection activeCell="K50" sqref="K50"/>
    </sheetView>
  </sheetViews>
  <sheetFormatPr defaultRowHeight="14.5"/>
  <sheetData/>
  <printOptions horizontalCentered="1"/>
  <pageMargins left="0" right="0" top="0" bottom="0" header="0" footer="0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73D9-132F-49FC-9303-8FDD715E9E8D}">
  <dimension ref="A1:AF235"/>
  <sheetViews>
    <sheetView topLeftCell="A121" workbookViewId="0">
      <selection activeCell="L3" sqref="L3"/>
    </sheetView>
  </sheetViews>
  <sheetFormatPr defaultColWidth="9.08984375" defaultRowHeight="15.5"/>
  <cols>
    <col min="1" max="1" width="10.7265625" style="1" customWidth="1"/>
    <col min="2" max="2" width="23.26953125" style="1" hidden="1" customWidth="1"/>
    <col min="3" max="3" width="23.90625" style="1" customWidth="1"/>
    <col min="4" max="4" width="20.6328125" style="1" customWidth="1"/>
    <col min="5" max="5" width="11.6328125" style="1" hidden="1" customWidth="1"/>
    <col min="6" max="6" width="12.7265625" style="1" customWidth="1"/>
    <col min="7" max="7" width="8.6328125" style="1" hidden="1" customWidth="1"/>
    <col min="8" max="8" width="8.90625" style="1" hidden="1" customWidth="1"/>
    <col min="9" max="9" width="13.90625" style="1" customWidth="1"/>
    <col min="10" max="10" width="11.36328125" style="31" customWidth="1"/>
    <col min="11" max="11" width="13" style="33" customWidth="1"/>
    <col min="12" max="12" width="15.7265625" style="1" customWidth="1"/>
    <col min="13" max="13" width="1.36328125" style="1" customWidth="1"/>
    <col min="14" max="14" width="12.7265625" style="33" hidden="1" customWidth="1"/>
    <col min="15" max="23" width="9.26953125" style="33" hidden="1" customWidth="1"/>
    <col min="24" max="24" width="10.08984375" style="33" hidden="1" customWidth="1"/>
    <col min="25" max="25" width="9.26953125" style="33" hidden="1" customWidth="1"/>
    <col min="26" max="26" width="8.90625" style="33" hidden="1" customWidth="1"/>
    <col min="27" max="27" width="9.6328125" style="33" hidden="1" customWidth="1"/>
    <col min="28" max="28" width="8.90625" style="33" hidden="1" customWidth="1"/>
    <col min="29" max="29" width="9.26953125" style="33" hidden="1" customWidth="1"/>
    <col min="30" max="30" width="9.08984375" style="33" hidden="1" customWidth="1"/>
    <col min="31" max="31" width="15.7265625" style="33" customWidth="1"/>
    <col min="32" max="32" width="13.6328125" style="33" customWidth="1"/>
    <col min="33" max="16384" width="9.08984375" style="1"/>
  </cols>
  <sheetData>
    <row r="1" spans="1:32" ht="20.25" customHeight="1" thickBot="1">
      <c r="L1" s="44"/>
      <c r="M1" s="42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5"/>
    </row>
    <row r="2" spans="1:32" ht="51" customHeight="1" thickBot="1">
      <c r="A2" s="12" t="s">
        <v>526</v>
      </c>
      <c r="B2" s="13" t="s">
        <v>525</v>
      </c>
      <c r="C2" s="13" t="s">
        <v>501</v>
      </c>
      <c r="D2" s="13" t="s">
        <v>502</v>
      </c>
      <c r="E2" s="13" t="s">
        <v>503</v>
      </c>
      <c r="F2" s="13" t="s">
        <v>506</v>
      </c>
      <c r="G2" s="13" t="s">
        <v>505</v>
      </c>
      <c r="H2" s="48" t="s">
        <v>504</v>
      </c>
      <c r="I2" s="55" t="s">
        <v>520</v>
      </c>
      <c r="J2" s="56" t="s">
        <v>507</v>
      </c>
      <c r="K2" s="63" t="s">
        <v>2</v>
      </c>
      <c r="L2" s="62" t="s">
        <v>630</v>
      </c>
      <c r="N2" s="39" t="s">
        <v>508</v>
      </c>
      <c r="O2" s="39" t="s">
        <v>5</v>
      </c>
      <c r="P2" s="39" t="s">
        <v>509</v>
      </c>
      <c r="Q2" s="39" t="s">
        <v>510</v>
      </c>
      <c r="R2" s="39" t="s">
        <v>511</v>
      </c>
      <c r="S2" s="39" t="s">
        <v>512</v>
      </c>
      <c r="T2" s="39" t="s">
        <v>513</v>
      </c>
      <c r="U2" s="39" t="s">
        <v>514</v>
      </c>
      <c r="V2" s="39" t="s">
        <v>515</v>
      </c>
      <c r="W2" s="39" t="s">
        <v>516</v>
      </c>
      <c r="X2" s="39" t="s">
        <v>517</v>
      </c>
      <c r="Y2" s="39" t="s">
        <v>518</v>
      </c>
      <c r="Z2" s="39" t="s">
        <v>521</v>
      </c>
      <c r="AA2" s="39" t="s">
        <v>522</v>
      </c>
      <c r="AB2" s="39" t="s">
        <v>523</v>
      </c>
      <c r="AC2" s="39" t="s">
        <v>524</v>
      </c>
      <c r="AD2" s="40" t="s">
        <v>519</v>
      </c>
      <c r="AE2" s="41" t="s">
        <v>629</v>
      </c>
      <c r="AF2" s="64" t="s">
        <v>527</v>
      </c>
    </row>
    <row r="3" spans="1:32">
      <c r="A3" s="14">
        <v>1</v>
      </c>
      <c r="B3" s="15" t="s">
        <v>10</v>
      </c>
      <c r="C3" s="15" t="s">
        <v>11</v>
      </c>
      <c r="D3" s="15" t="s">
        <v>12</v>
      </c>
      <c r="E3" s="15">
        <v>4.8535000000000004</v>
      </c>
      <c r="F3" s="16">
        <v>2</v>
      </c>
      <c r="G3" s="15">
        <v>7</v>
      </c>
      <c r="H3" s="49">
        <v>10</v>
      </c>
      <c r="I3" s="57">
        <v>70</v>
      </c>
      <c r="J3" s="5">
        <f>IF(F3&lt;=2.06,0.65,IF(AND(F3&gt;2.06,F3&lt;2.5),0.7,IF(F3&gt;=2.5,1,0)))</f>
        <v>0.65</v>
      </c>
      <c r="K3" s="36">
        <v>2800000</v>
      </c>
      <c r="L3" s="37">
        <f>J3*K3</f>
        <v>1820000</v>
      </c>
      <c r="N3" s="34">
        <f>H3*VLOOKUP($N$2,'Unit Price'!$B$3:$C$19,2,0)</f>
        <v>180000</v>
      </c>
      <c r="O3" s="34">
        <f>1*VLOOKUP($O$2,'Unit Price'!$B$3:$C$19,2,0)</f>
        <v>10000</v>
      </c>
      <c r="P3" s="34">
        <f>1*VLOOKUP($P$2,'Unit Price'!$B$3:$C$19,2,0)</f>
        <v>8000</v>
      </c>
      <c r="Q3" s="34">
        <f>G3*2*VLOOKUP($Q$2,'Unit Price'!$B$3:$C$19,2,0)</f>
        <v>21000</v>
      </c>
      <c r="R3" s="34">
        <f>H3*3*VLOOKUP($R$2,'Unit Price'!$B$3:$C$19,2,0)</f>
        <v>75000</v>
      </c>
      <c r="S3" s="34">
        <f>IF(F3&lt;=2.2,3*VLOOKUP($S$2,'Unit Price'!$B$3:$C$19,2,0),5*VLOOKUP($S$2,'Unit Price'!$B$3:$C$19,2,0))</f>
        <v>30000</v>
      </c>
      <c r="T3" s="34">
        <f>IF(F3&lt;=2.06,VLOOKUP($T$2,'Unit Price'!$B$3:$C$19,2,0),0)</f>
        <v>795000</v>
      </c>
      <c r="U3" s="34">
        <f>IF(F3&lt;=2.06,VLOOKUP($U$2,'Unit Price'!$B$3:$C$19,2,0),0)</f>
        <v>245000</v>
      </c>
      <c r="V3" s="34">
        <f>IF(AND(F3&gt;2.06,F3&lt;2.5),VLOOKUP($V$2,'Unit Price'!$B$3:$C$19,2,0),0)</f>
        <v>0</v>
      </c>
      <c r="W3" s="34">
        <f>IF(AND(F3&gt;2.06,F3&lt;2.5),VLOOKUP($W$2,'Unit Price'!$B$3:$C$19,2,0),0)</f>
        <v>0</v>
      </c>
      <c r="X3" s="34">
        <f>IF(F3&gt;2.5,VLOOKUP($X$2,'Unit Price'!$B$3:$C$19,2,0),0)</f>
        <v>0</v>
      </c>
      <c r="Y3" s="34">
        <f>IF(F3&gt;2.5,VLOOKUP($Y$2,'Unit Price'!$B$3:$C$19,2,0),0)</f>
        <v>0</v>
      </c>
      <c r="Z3" s="34">
        <f>IF(F3&lt;2.5,6*VLOOKUP($Z$2,'Unit Price'!$B$3:$C$19,2,0),0)</f>
        <v>132000</v>
      </c>
      <c r="AA3" s="34">
        <f>IF(F3&lt;2.5,3*VLOOKUP($AA$2,'Unit Price'!$B$3:$C$19,2,0),0)</f>
        <v>165000</v>
      </c>
      <c r="AB3" s="34">
        <f>IF(F3&gt;2.5,6*VLOOKUP($AB$2,'Unit Price'!$B$3:$C$19,2,0),0)</f>
        <v>0</v>
      </c>
      <c r="AC3" s="34">
        <f>IF(F3&gt;2.5,3*VLOOKUP($AC$2,'Unit Price'!$B$3:$C$19,2,0),0)</f>
        <v>0</v>
      </c>
      <c r="AD3" s="36"/>
      <c r="AE3" s="46">
        <f>SUM(N3:AD3)</f>
        <v>1661000</v>
      </c>
      <c r="AF3" s="65">
        <f>L3-AE3</f>
        <v>159000</v>
      </c>
    </row>
    <row r="4" spans="1:32">
      <c r="A4" s="17">
        <v>2</v>
      </c>
      <c r="B4" s="5" t="s">
        <v>13</v>
      </c>
      <c r="C4" s="5" t="s">
        <v>14</v>
      </c>
      <c r="D4" s="5" t="s">
        <v>12</v>
      </c>
      <c r="E4" s="5">
        <v>6.6311999999999998</v>
      </c>
      <c r="F4" s="18">
        <v>2</v>
      </c>
      <c r="G4" s="5">
        <v>5</v>
      </c>
      <c r="H4" s="50">
        <v>10</v>
      </c>
      <c r="I4" s="58">
        <v>50</v>
      </c>
      <c r="J4" s="5">
        <f t="shared" ref="J4:J67" si="0">IF(F4&lt;=2.06,0.65,IF(AND(F4&gt;2.06,F4&lt;2.5),0.7,IF(F4&gt;=2.5,1,0)))</f>
        <v>0.65</v>
      </c>
      <c r="K4" s="36">
        <v>2800000</v>
      </c>
      <c r="L4" s="37">
        <f t="shared" ref="L4:L67" si="1">J4*K4</f>
        <v>1820000</v>
      </c>
      <c r="N4" s="34">
        <f>H4*VLOOKUP($N$2,'Unit Price'!$B$3:$C$19,2,0)</f>
        <v>180000</v>
      </c>
      <c r="O4" s="34">
        <f>1*VLOOKUP($O$2,'Unit Price'!$B$3:$C$19,2,0)</f>
        <v>10000</v>
      </c>
      <c r="P4" s="34">
        <f>1*VLOOKUP($P$2,'Unit Price'!$B$3:$C$19,2,0)</f>
        <v>8000</v>
      </c>
      <c r="Q4" s="34">
        <f>G4*2*VLOOKUP($Q$2,'Unit Price'!$B$3:$C$19,2,0)</f>
        <v>15000</v>
      </c>
      <c r="R4" s="34">
        <f>H4*3*VLOOKUP($R$2,'Unit Price'!$B$3:$C$19,2,0)</f>
        <v>75000</v>
      </c>
      <c r="S4" s="34">
        <f>IF(F4&lt;=2.2,3*VLOOKUP($S$2,'Unit Price'!$B$3:$C$19,2,0),5*VLOOKUP($S$2,'Unit Price'!$B$3:$C$19,2,0))</f>
        <v>30000</v>
      </c>
      <c r="T4" s="34">
        <f>IF(F4&lt;=2.06,VLOOKUP($T$2,'Unit Price'!$B$3:$C$19,2,0),0)</f>
        <v>795000</v>
      </c>
      <c r="U4" s="34">
        <f>IF(F4&lt;=2.06,VLOOKUP($U$2,'Unit Price'!$B$3:$C$19,2,0),0)</f>
        <v>245000</v>
      </c>
      <c r="V4" s="34">
        <f>IF(AND(F4&gt;2.06,F4&lt;2.5),VLOOKUP($V$2,'Unit Price'!$B$3:$C$19,2,0),0)</f>
        <v>0</v>
      </c>
      <c r="W4" s="34">
        <f>IF(AND(F4&gt;2.06,F4&lt;2.5),VLOOKUP($W$2,'Unit Price'!$B$3:$C$19,2,0),0)</f>
        <v>0</v>
      </c>
      <c r="X4" s="34">
        <f>IF(F4&gt;2.5,VLOOKUP($X$2,'Unit Price'!$B$3:$C$19,2,0),0)</f>
        <v>0</v>
      </c>
      <c r="Y4" s="34">
        <f>IF(F4&gt;2.5,VLOOKUP($Y$2,'Unit Price'!$B$3:$C$19,2,0),0)</f>
        <v>0</v>
      </c>
      <c r="Z4" s="34">
        <f>IF(F4&lt;2.5,6*VLOOKUP($Z$2,'Unit Price'!$B$3:$C$19,2,0),0)</f>
        <v>132000</v>
      </c>
      <c r="AA4" s="34">
        <f>IF(F4&lt;2.5,3*VLOOKUP($AA$2,'Unit Price'!$B$3:$C$19,2,0),0)</f>
        <v>165000</v>
      </c>
      <c r="AB4" s="34">
        <f>IF(F4&gt;2.5,6*VLOOKUP($AB$2,'Unit Price'!$B$3:$C$19,2,0),0)</f>
        <v>0</v>
      </c>
      <c r="AC4" s="34">
        <f>IF(F4&gt;2.5,3*VLOOKUP($AC$2,'Unit Price'!$B$3:$C$19,2,0),0)</f>
        <v>0</v>
      </c>
      <c r="AD4" s="36"/>
      <c r="AE4" s="46">
        <f t="shared" ref="AE4:AE67" si="2">SUM(N4:AD4)</f>
        <v>1655000</v>
      </c>
      <c r="AF4" s="66">
        <f t="shared" ref="AF4:AF67" si="3">L4-AE4</f>
        <v>165000</v>
      </c>
    </row>
    <row r="5" spans="1:32">
      <c r="A5" s="17">
        <v>3</v>
      </c>
      <c r="B5" s="5" t="s">
        <v>15</v>
      </c>
      <c r="C5" s="5" t="s">
        <v>16</v>
      </c>
      <c r="D5" s="5" t="s">
        <v>12</v>
      </c>
      <c r="E5" s="5">
        <v>3.6909000000000001</v>
      </c>
      <c r="F5" s="18">
        <v>2</v>
      </c>
      <c r="G5" s="5">
        <v>9</v>
      </c>
      <c r="H5" s="50">
        <v>14</v>
      </c>
      <c r="I5" s="58">
        <v>126</v>
      </c>
      <c r="J5" s="5">
        <f t="shared" si="0"/>
        <v>0.65</v>
      </c>
      <c r="K5" s="36">
        <v>2800000</v>
      </c>
      <c r="L5" s="37">
        <f t="shared" si="1"/>
        <v>1820000</v>
      </c>
      <c r="N5" s="34">
        <f>H5*VLOOKUP($N$2,'Unit Price'!$B$3:$C$19,2,0)</f>
        <v>252000</v>
      </c>
      <c r="O5" s="34">
        <f>1*VLOOKUP($O$2,'Unit Price'!$B$3:$C$19,2,0)</f>
        <v>10000</v>
      </c>
      <c r="P5" s="34">
        <f>1*VLOOKUP($P$2,'Unit Price'!$B$3:$C$19,2,0)</f>
        <v>8000</v>
      </c>
      <c r="Q5" s="34">
        <f>G5*2*VLOOKUP($Q$2,'Unit Price'!$B$3:$C$19,2,0)</f>
        <v>27000</v>
      </c>
      <c r="R5" s="34">
        <f>H5*3*VLOOKUP($R$2,'Unit Price'!$B$3:$C$19,2,0)</f>
        <v>105000</v>
      </c>
      <c r="S5" s="34">
        <f>IF(F5&lt;=2.2,3*VLOOKUP($S$2,'Unit Price'!$B$3:$C$19,2,0),5*VLOOKUP($S$2,'Unit Price'!$B$3:$C$19,2,0))</f>
        <v>30000</v>
      </c>
      <c r="T5" s="34">
        <f>IF(F5&lt;=2.06,VLOOKUP($T$2,'Unit Price'!$B$3:$C$19,2,0),0)</f>
        <v>795000</v>
      </c>
      <c r="U5" s="34">
        <f>IF(F5&lt;=2.06,VLOOKUP($U$2,'Unit Price'!$B$3:$C$19,2,0),0)</f>
        <v>245000</v>
      </c>
      <c r="V5" s="34">
        <f>IF(AND(F5&gt;2.06,F5&lt;2.5),VLOOKUP($V$2,'Unit Price'!$B$3:$C$19,2,0),0)</f>
        <v>0</v>
      </c>
      <c r="W5" s="34">
        <f>IF(AND(F5&gt;2.06,F5&lt;2.5),VLOOKUP($W$2,'Unit Price'!$B$3:$C$19,2,0),0)</f>
        <v>0</v>
      </c>
      <c r="X5" s="34">
        <f>IF(F5&gt;2.5,VLOOKUP($X$2,'Unit Price'!$B$3:$C$19,2,0),0)</f>
        <v>0</v>
      </c>
      <c r="Y5" s="34">
        <f>IF(F5&gt;2.5,VLOOKUP($Y$2,'Unit Price'!$B$3:$C$19,2,0),0)</f>
        <v>0</v>
      </c>
      <c r="Z5" s="34">
        <f>IF(F5&lt;2.5,6*VLOOKUP($Z$2,'Unit Price'!$B$3:$C$19,2,0),0)</f>
        <v>132000</v>
      </c>
      <c r="AA5" s="34">
        <f>IF(F5&lt;2.5,3*VLOOKUP($AA$2,'Unit Price'!$B$3:$C$19,2,0),0)</f>
        <v>165000</v>
      </c>
      <c r="AB5" s="34">
        <f>IF(F5&gt;2.5,6*VLOOKUP($AB$2,'Unit Price'!$B$3:$C$19,2,0),0)</f>
        <v>0</v>
      </c>
      <c r="AC5" s="34">
        <f>IF(F5&gt;2.5,3*VLOOKUP($AC$2,'Unit Price'!$B$3:$C$19,2,0),0)</f>
        <v>0</v>
      </c>
      <c r="AD5" s="36"/>
      <c r="AE5" s="46">
        <f t="shared" si="2"/>
        <v>1769000</v>
      </c>
      <c r="AF5" s="66">
        <f t="shared" si="3"/>
        <v>51000</v>
      </c>
    </row>
    <row r="6" spans="1:32">
      <c r="A6" s="17">
        <v>4</v>
      </c>
      <c r="B6" s="5" t="s">
        <v>17</v>
      </c>
      <c r="C6" s="5" t="s">
        <v>18</v>
      </c>
      <c r="D6" s="5" t="s">
        <v>12</v>
      </c>
      <c r="E6" s="5">
        <v>5.1407999999999996</v>
      </c>
      <c r="F6" s="18">
        <v>2</v>
      </c>
      <c r="G6" s="5">
        <v>7</v>
      </c>
      <c r="H6" s="50">
        <v>11</v>
      </c>
      <c r="I6" s="58">
        <v>77</v>
      </c>
      <c r="J6" s="5">
        <f t="shared" si="0"/>
        <v>0.65</v>
      </c>
      <c r="K6" s="36">
        <v>2800000</v>
      </c>
      <c r="L6" s="37">
        <f t="shared" si="1"/>
        <v>1820000</v>
      </c>
      <c r="N6" s="34">
        <f>H6*VLOOKUP($N$2,'Unit Price'!$B$3:$C$19,2,0)</f>
        <v>198000</v>
      </c>
      <c r="O6" s="34">
        <f>1*VLOOKUP($O$2,'Unit Price'!$B$3:$C$19,2,0)</f>
        <v>10000</v>
      </c>
      <c r="P6" s="34">
        <f>1*VLOOKUP($P$2,'Unit Price'!$B$3:$C$19,2,0)</f>
        <v>8000</v>
      </c>
      <c r="Q6" s="34">
        <f>G6*2*VLOOKUP($Q$2,'Unit Price'!$B$3:$C$19,2,0)</f>
        <v>21000</v>
      </c>
      <c r="R6" s="34">
        <f>H6*3*VLOOKUP($R$2,'Unit Price'!$B$3:$C$19,2,0)</f>
        <v>82500</v>
      </c>
      <c r="S6" s="34">
        <f>IF(F6&lt;=2.2,3*VLOOKUP($S$2,'Unit Price'!$B$3:$C$19,2,0),5*VLOOKUP($S$2,'Unit Price'!$B$3:$C$19,2,0))</f>
        <v>30000</v>
      </c>
      <c r="T6" s="34">
        <f>IF(F6&lt;=2.06,VLOOKUP($T$2,'Unit Price'!$B$3:$C$19,2,0),0)</f>
        <v>795000</v>
      </c>
      <c r="U6" s="34">
        <f>IF(F6&lt;=2.06,VLOOKUP($U$2,'Unit Price'!$B$3:$C$19,2,0),0)</f>
        <v>245000</v>
      </c>
      <c r="V6" s="34">
        <f>IF(AND(F6&gt;2.06,F6&lt;2.5),VLOOKUP($V$2,'Unit Price'!$B$3:$C$19,2,0),0)</f>
        <v>0</v>
      </c>
      <c r="W6" s="34">
        <f>IF(AND(F6&gt;2.06,F6&lt;2.5),VLOOKUP($W$2,'Unit Price'!$B$3:$C$19,2,0),0)</f>
        <v>0</v>
      </c>
      <c r="X6" s="34">
        <f>IF(F6&gt;2.5,VLOOKUP($X$2,'Unit Price'!$B$3:$C$19,2,0),0)</f>
        <v>0</v>
      </c>
      <c r="Y6" s="34">
        <f>IF(F6&gt;2.5,VLOOKUP($Y$2,'Unit Price'!$B$3:$C$19,2,0),0)</f>
        <v>0</v>
      </c>
      <c r="Z6" s="34">
        <f>IF(F6&lt;2.5,6*VLOOKUP($Z$2,'Unit Price'!$B$3:$C$19,2,0),0)</f>
        <v>132000</v>
      </c>
      <c r="AA6" s="34">
        <f>IF(F6&lt;2.5,3*VLOOKUP($AA$2,'Unit Price'!$B$3:$C$19,2,0),0)</f>
        <v>165000</v>
      </c>
      <c r="AB6" s="34">
        <f>IF(F6&gt;2.5,6*VLOOKUP($AB$2,'Unit Price'!$B$3:$C$19,2,0),0)</f>
        <v>0</v>
      </c>
      <c r="AC6" s="34">
        <f>IF(F6&gt;2.5,3*VLOOKUP($AC$2,'Unit Price'!$B$3:$C$19,2,0),0)</f>
        <v>0</v>
      </c>
      <c r="AD6" s="36"/>
      <c r="AE6" s="46">
        <f t="shared" si="2"/>
        <v>1686500</v>
      </c>
      <c r="AF6" s="66">
        <f t="shared" si="3"/>
        <v>133500</v>
      </c>
    </row>
    <row r="7" spans="1:32">
      <c r="A7" s="17">
        <v>5</v>
      </c>
      <c r="B7" s="5" t="s">
        <v>19</v>
      </c>
      <c r="C7" s="5" t="s">
        <v>20</v>
      </c>
      <c r="D7" s="5" t="s">
        <v>12</v>
      </c>
      <c r="E7" s="5">
        <v>7.0523999999999996</v>
      </c>
      <c r="F7" s="18">
        <v>2</v>
      </c>
      <c r="G7" s="5">
        <v>10</v>
      </c>
      <c r="H7" s="50">
        <v>8</v>
      </c>
      <c r="I7" s="58">
        <v>80</v>
      </c>
      <c r="J7" s="5">
        <f t="shared" si="0"/>
        <v>0.65</v>
      </c>
      <c r="K7" s="36">
        <v>2800000</v>
      </c>
      <c r="L7" s="37">
        <f t="shared" si="1"/>
        <v>1820000</v>
      </c>
      <c r="N7" s="34">
        <f>H7*VLOOKUP($N$2,'Unit Price'!$B$3:$C$19,2,0)</f>
        <v>144000</v>
      </c>
      <c r="O7" s="34">
        <f>1*VLOOKUP($O$2,'Unit Price'!$B$3:$C$19,2,0)</f>
        <v>10000</v>
      </c>
      <c r="P7" s="34">
        <f>1*VLOOKUP($P$2,'Unit Price'!$B$3:$C$19,2,0)</f>
        <v>8000</v>
      </c>
      <c r="Q7" s="34">
        <f>G7*2*VLOOKUP($Q$2,'Unit Price'!$B$3:$C$19,2,0)</f>
        <v>30000</v>
      </c>
      <c r="R7" s="34">
        <f>H7*3*VLOOKUP($R$2,'Unit Price'!$B$3:$C$19,2,0)</f>
        <v>60000</v>
      </c>
      <c r="S7" s="34">
        <f>IF(F7&lt;=2.2,3*VLOOKUP($S$2,'Unit Price'!$B$3:$C$19,2,0),5*VLOOKUP($S$2,'Unit Price'!$B$3:$C$19,2,0))</f>
        <v>30000</v>
      </c>
      <c r="T7" s="34">
        <f>IF(F7&lt;=2.06,VLOOKUP($T$2,'Unit Price'!$B$3:$C$19,2,0),0)</f>
        <v>795000</v>
      </c>
      <c r="U7" s="34">
        <f>IF(F7&lt;=2.06,VLOOKUP($U$2,'Unit Price'!$B$3:$C$19,2,0),0)</f>
        <v>245000</v>
      </c>
      <c r="V7" s="34">
        <f>IF(AND(F7&gt;2.06,F7&lt;2.5),VLOOKUP($V$2,'Unit Price'!$B$3:$C$19,2,0),0)</f>
        <v>0</v>
      </c>
      <c r="W7" s="34">
        <f>IF(AND(F7&gt;2.06,F7&lt;2.5),VLOOKUP($W$2,'Unit Price'!$B$3:$C$19,2,0),0)</f>
        <v>0</v>
      </c>
      <c r="X7" s="34">
        <f>IF(F7&gt;2.5,VLOOKUP($X$2,'Unit Price'!$B$3:$C$19,2,0),0)</f>
        <v>0</v>
      </c>
      <c r="Y7" s="34">
        <f>IF(F7&gt;2.5,VLOOKUP($Y$2,'Unit Price'!$B$3:$C$19,2,0),0)</f>
        <v>0</v>
      </c>
      <c r="Z7" s="34">
        <f>IF(F7&lt;2.5,6*VLOOKUP($Z$2,'Unit Price'!$B$3:$C$19,2,0),0)</f>
        <v>132000</v>
      </c>
      <c r="AA7" s="34">
        <f>IF(F7&lt;2.5,3*VLOOKUP($AA$2,'Unit Price'!$B$3:$C$19,2,0),0)</f>
        <v>165000</v>
      </c>
      <c r="AB7" s="34">
        <f>IF(F7&gt;2.5,6*VLOOKUP($AB$2,'Unit Price'!$B$3:$C$19,2,0),0)</f>
        <v>0</v>
      </c>
      <c r="AC7" s="34">
        <f>IF(F7&gt;2.5,3*VLOOKUP($AC$2,'Unit Price'!$B$3:$C$19,2,0),0)</f>
        <v>0</v>
      </c>
      <c r="AD7" s="36"/>
      <c r="AE7" s="46">
        <f t="shared" si="2"/>
        <v>1619000</v>
      </c>
      <c r="AF7" s="66">
        <f t="shared" si="3"/>
        <v>201000</v>
      </c>
    </row>
    <row r="8" spans="1:32">
      <c r="A8" s="17">
        <v>6</v>
      </c>
      <c r="B8" s="5" t="s">
        <v>21</v>
      </c>
      <c r="C8" s="5" t="s">
        <v>22</v>
      </c>
      <c r="D8" s="5" t="s">
        <v>12</v>
      </c>
      <c r="E8" s="5">
        <v>6.4151999999999996</v>
      </c>
      <c r="F8" s="18">
        <v>2</v>
      </c>
      <c r="G8" s="5">
        <v>8</v>
      </c>
      <c r="H8" s="50">
        <v>10</v>
      </c>
      <c r="I8" s="58">
        <v>80</v>
      </c>
      <c r="J8" s="5">
        <f t="shared" si="0"/>
        <v>0.65</v>
      </c>
      <c r="K8" s="36">
        <v>2800000</v>
      </c>
      <c r="L8" s="37">
        <f t="shared" si="1"/>
        <v>1820000</v>
      </c>
      <c r="N8" s="34">
        <f>H8*VLOOKUP($N$2,'Unit Price'!$B$3:$C$19,2,0)</f>
        <v>180000</v>
      </c>
      <c r="O8" s="34">
        <f>1*VLOOKUP($O$2,'Unit Price'!$B$3:$C$19,2,0)</f>
        <v>10000</v>
      </c>
      <c r="P8" s="34">
        <f>1*VLOOKUP($P$2,'Unit Price'!$B$3:$C$19,2,0)</f>
        <v>8000</v>
      </c>
      <c r="Q8" s="34">
        <f>G8*2*VLOOKUP($Q$2,'Unit Price'!$B$3:$C$19,2,0)</f>
        <v>24000</v>
      </c>
      <c r="R8" s="34">
        <f>H8*3*VLOOKUP($R$2,'Unit Price'!$B$3:$C$19,2,0)</f>
        <v>75000</v>
      </c>
      <c r="S8" s="34">
        <f>IF(F8&lt;=2.2,3*VLOOKUP($S$2,'Unit Price'!$B$3:$C$19,2,0),5*VLOOKUP($S$2,'Unit Price'!$B$3:$C$19,2,0))</f>
        <v>30000</v>
      </c>
      <c r="T8" s="34">
        <f>IF(F8&lt;=2.06,VLOOKUP($T$2,'Unit Price'!$B$3:$C$19,2,0),0)</f>
        <v>795000</v>
      </c>
      <c r="U8" s="34">
        <f>IF(F8&lt;=2.06,VLOOKUP($U$2,'Unit Price'!$B$3:$C$19,2,0),0)</f>
        <v>245000</v>
      </c>
      <c r="V8" s="34">
        <f>IF(AND(F8&gt;2.06,F8&lt;2.5),VLOOKUP($V$2,'Unit Price'!$B$3:$C$19,2,0),0)</f>
        <v>0</v>
      </c>
      <c r="W8" s="34">
        <f>IF(AND(F8&gt;2.06,F8&lt;2.5),VLOOKUP($W$2,'Unit Price'!$B$3:$C$19,2,0),0)</f>
        <v>0</v>
      </c>
      <c r="X8" s="34">
        <f>IF(F8&gt;2.5,VLOOKUP($X$2,'Unit Price'!$B$3:$C$19,2,0),0)</f>
        <v>0</v>
      </c>
      <c r="Y8" s="34">
        <f>IF(F8&gt;2.5,VLOOKUP($Y$2,'Unit Price'!$B$3:$C$19,2,0),0)</f>
        <v>0</v>
      </c>
      <c r="Z8" s="34">
        <f>IF(F8&lt;2.5,6*VLOOKUP($Z$2,'Unit Price'!$B$3:$C$19,2,0),0)</f>
        <v>132000</v>
      </c>
      <c r="AA8" s="34">
        <f>IF(F8&lt;2.5,3*VLOOKUP($AA$2,'Unit Price'!$B$3:$C$19,2,0),0)</f>
        <v>165000</v>
      </c>
      <c r="AB8" s="34">
        <f>IF(F8&gt;2.5,6*VLOOKUP($AB$2,'Unit Price'!$B$3:$C$19,2,0),0)</f>
        <v>0</v>
      </c>
      <c r="AC8" s="34">
        <f>IF(F8&gt;2.5,3*VLOOKUP($AC$2,'Unit Price'!$B$3:$C$19,2,0),0)</f>
        <v>0</v>
      </c>
      <c r="AD8" s="36"/>
      <c r="AE8" s="46">
        <f t="shared" si="2"/>
        <v>1664000</v>
      </c>
      <c r="AF8" s="66">
        <f t="shared" si="3"/>
        <v>156000</v>
      </c>
    </row>
    <row r="9" spans="1:32">
      <c r="A9" s="17">
        <v>7</v>
      </c>
      <c r="B9" s="5" t="s">
        <v>23</v>
      </c>
      <c r="C9" s="5" t="s">
        <v>24</v>
      </c>
      <c r="D9" s="5" t="s">
        <v>12</v>
      </c>
      <c r="E9" s="5">
        <v>8.8452000000000002</v>
      </c>
      <c r="F9" s="18">
        <v>2</v>
      </c>
      <c r="G9" s="5">
        <v>6</v>
      </c>
      <c r="H9" s="50">
        <v>9</v>
      </c>
      <c r="I9" s="58">
        <v>54</v>
      </c>
      <c r="J9" s="5">
        <f t="shared" si="0"/>
        <v>0.65</v>
      </c>
      <c r="K9" s="36">
        <v>2800000</v>
      </c>
      <c r="L9" s="37">
        <f t="shared" si="1"/>
        <v>1820000</v>
      </c>
      <c r="N9" s="34">
        <f>H9*VLOOKUP($N$2,'Unit Price'!$B$3:$C$19,2,0)</f>
        <v>162000</v>
      </c>
      <c r="O9" s="34">
        <f>1*VLOOKUP($O$2,'Unit Price'!$B$3:$C$19,2,0)</f>
        <v>10000</v>
      </c>
      <c r="P9" s="34">
        <f>1*VLOOKUP($P$2,'Unit Price'!$B$3:$C$19,2,0)</f>
        <v>8000</v>
      </c>
      <c r="Q9" s="34">
        <f>G9*2*VLOOKUP($Q$2,'Unit Price'!$B$3:$C$19,2,0)</f>
        <v>18000</v>
      </c>
      <c r="R9" s="34">
        <f>H9*3*VLOOKUP($R$2,'Unit Price'!$B$3:$C$19,2,0)</f>
        <v>67500</v>
      </c>
      <c r="S9" s="34">
        <f>IF(F9&lt;=2.2,3*VLOOKUP($S$2,'Unit Price'!$B$3:$C$19,2,0),5*VLOOKUP($S$2,'Unit Price'!$B$3:$C$19,2,0))</f>
        <v>30000</v>
      </c>
      <c r="T9" s="34">
        <f>IF(F9&lt;=2.06,VLOOKUP($T$2,'Unit Price'!$B$3:$C$19,2,0),0)</f>
        <v>795000</v>
      </c>
      <c r="U9" s="34">
        <f>IF(F9&lt;=2.06,VLOOKUP($U$2,'Unit Price'!$B$3:$C$19,2,0),0)</f>
        <v>245000</v>
      </c>
      <c r="V9" s="34">
        <f>IF(AND(F9&gt;2.06,F9&lt;2.5),VLOOKUP($V$2,'Unit Price'!$B$3:$C$19,2,0),0)</f>
        <v>0</v>
      </c>
      <c r="W9" s="34">
        <f>IF(AND(F9&gt;2.06,F9&lt;2.5),VLOOKUP($W$2,'Unit Price'!$B$3:$C$19,2,0),0)</f>
        <v>0</v>
      </c>
      <c r="X9" s="34">
        <f>IF(F9&gt;2.5,VLOOKUP($X$2,'Unit Price'!$B$3:$C$19,2,0),0)</f>
        <v>0</v>
      </c>
      <c r="Y9" s="34">
        <f>IF(F9&gt;2.5,VLOOKUP($Y$2,'Unit Price'!$B$3:$C$19,2,0),0)</f>
        <v>0</v>
      </c>
      <c r="Z9" s="34">
        <f>IF(F9&lt;2.5,6*VLOOKUP($Z$2,'Unit Price'!$B$3:$C$19,2,0),0)</f>
        <v>132000</v>
      </c>
      <c r="AA9" s="34">
        <f>IF(F9&lt;2.5,3*VLOOKUP($AA$2,'Unit Price'!$B$3:$C$19,2,0),0)</f>
        <v>165000</v>
      </c>
      <c r="AB9" s="34">
        <f>IF(F9&gt;2.5,6*VLOOKUP($AB$2,'Unit Price'!$B$3:$C$19,2,0),0)</f>
        <v>0</v>
      </c>
      <c r="AC9" s="34">
        <f>IF(F9&gt;2.5,3*VLOOKUP($AC$2,'Unit Price'!$B$3:$C$19,2,0),0)</f>
        <v>0</v>
      </c>
      <c r="AD9" s="36"/>
      <c r="AE9" s="46">
        <f t="shared" si="2"/>
        <v>1632500</v>
      </c>
      <c r="AF9" s="66">
        <f t="shared" si="3"/>
        <v>187500</v>
      </c>
    </row>
    <row r="10" spans="1:32">
      <c r="A10" s="17">
        <v>8</v>
      </c>
      <c r="B10" s="5" t="s">
        <v>25</v>
      </c>
      <c r="C10" s="5" t="s">
        <v>26</v>
      </c>
      <c r="D10" s="5" t="s">
        <v>12</v>
      </c>
      <c r="E10" s="5">
        <v>12.446999999999999</v>
      </c>
      <c r="F10" s="18">
        <v>2</v>
      </c>
      <c r="G10" s="5">
        <v>6</v>
      </c>
      <c r="H10" s="50">
        <v>7</v>
      </c>
      <c r="I10" s="58">
        <v>42</v>
      </c>
      <c r="J10" s="5">
        <f t="shared" si="0"/>
        <v>0.65</v>
      </c>
      <c r="K10" s="36">
        <v>2800000</v>
      </c>
      <c r="L10" s="37">
        <f t="shared" si="1"/>
        <v>1820000</v>
      </c>
      <c r="N10" s="34">
        <f>H10*VLOOKUP($N$2,'Unit Price'!$B$3:$C$19,2,0)</f>
        <v>126000</v>
      </c>
      <c r="O10" s="34">
        <f>1*VLOOKUP($O$2,'Unit Price'!$B$3:$C$19,2,0)</f>
        <v>10000</v>
      </c>
      <c r="P10" s="34">
        <f>1*VLOOKUP($P$2,'Unit Price'!$B$3:$C$19,2,0)</f>
        <v>8000</v>
      </c>
      <c r="Q10" s="34">
        <f>G10*2*VLOOKUP($Q$2,'Unit Price'!$B$3:$C$19,2,0)</f>
        <v>18000</v>
      </c>
      <c r="R10" s="34">
        <f>H10*3*VLOOKUP($R$2,'Unit Price'!$B$3:$C$19,2,0)</f>
        <v>52500</v>
      </c>
      <c r="S10" s="34">
        <f>IF(F10&lt;=2.2,3*VLOOKUP($S$2,'Unit Price'!$B$3:$C$19,2,0),5*VLOOKUP($S$2,'Unit Price'!$B$3:$C$19,2,0))</f>
        <v>30000</v>
      </c>
      <c r="T10" s="34">
        <f>IF(F10&lt;=2.06,VLOOKUP($T$2,'Unit Price'!$B$3:$C$19,2,0),0)</f>
        <v>795000</v>
      </c>
      <c r="U10" s="34">
        <f>IF(F10&lt;=2.06,VLOOKUP($U$2,'Unit Price'!$B$3:$C$19,2,0),0)</f>
        <v>245000</v>
      </c>
      <c r="V10" s="34">
        <f>IF(AND(F10&gt;2.06,F10&lt;2.5),VLOOKUP($V$2,'Unit Price'!$B$3:$C$19,2,0),0)</f>
        <v>0</v>
      </c>
      <c r="W10" s="34">
        <f>IF(AND(F10&gt;2.06,F10&lt;2.5),VLOOKUP($W$2,'Unit Price'!$B$3:$C$19,2,0),0)</f>
        <v>0</v>
      </c>
      <c r="X10" s="34">
        <f>IF(F10&gt;2.5,VLOOKUP($X$2,'Unit Price'!$B$3:$C$19,2,0),0)</f>
        <v>0</v>
      </c>
      <c r="Y10" s="34">
        <f>IF(F10&gt;2.5,VLOOKUP($Y$2,'Unit Price'!$B$3:$C$19,2,0),0)</f>
        <v>0</v>
      </c>
      <c r="Z10" s="34">
        <f>IF(F10&lt;2.5,6*VLOOKUP($Z$2,'Unit Price'!$B$3:$C$19,2,0),0)</f>
        <v>132000</v>
      </c>
      <c r="AA10" s="34">
        <f>IF(F10&lt;2.5,3*VLOOKUP($AA$2,'Unit Price'!$B$3:$C$19,2,0),0)</f>
        <v>165000</v>
      </c>
      <c r="AB10" s="34">
        <f>IF(F10&gt;2.5,6*VLOOKUP($AB$2,'Unit Price'!$B$3:$C$19,2,0),0)</f>
        <v>0</v>
      </c>
      <c r="AC10" s="34">
        <f>IF(F10&gt;2.5,3*VLOOKUP($AC$2,'Unit Price'!$B$3:$C$19,2,0),0)</f>
        <v>0</v>
      </c>
      <c r="AD10" s="36"/>
      <c r="AE10" s="46">
        <f t="shared" si="2"/>
        <v>1581500</v>
      </c>
      <c r="AF10" s="66">
        <f t="shared" si="3"/>
        <v>238500</v>
      </c>
    </row>
    <row r="11" spans="1:32">
      <c r="A11" s="17">
        <v>9</v>
      </c>
      <c r="B11" s="5" t="s">
        <v>27</v>
      </c>
      <c r="C11" s="5" t="s">
        <v>28</v>
      </c>
      <c r="D11" s="5" t="s">
        <v>12</v>
      </c>
      <c r="E11" s="5">
        <v>8.4326000000000008</v>
      </c>
      <c r="F11" s="18">
        <v>2</v>
      </c>
      <c r="G11" s="5">
        <v>7</v>
      </c>
      <c r="H11" s="50">
        <v>9</v>
      </c>
      <c r="I11" s="58">
        <v>63</v>
      </c>
      <c r="J11" s="5">
        <f t="shared" si="0"/>
        <v>0.65</v>
      </c>
      <c r="K11" s="36">
        <v>2800000</v>
      </c>
      <c r="L11" s="37">
        <f t="shared" si="1"/>
        <v>1820000</v>
      </c>
      <c r="N11" s="34">
        <f>H11*VLOOKUP($N$2,'Unit Price'!$B$3:$C$19,2,0)</f>
        <v>162000</v>
      </c>
      <c r="O11" s="34">
        <f>1*VLOOKUP($O$2,'Unit Price'!$B$3:$C$19,2,0)</f>
        <v>10000</v>
      </c>
      <c r="P11" s="34">
        <f>1*VLOOKUP($P$2,'Unit Price'!$B$3:$C$19,2,0)</f>
        <v>8000</v>
      </c>
      <c r="Q11" s="34">
        <f>G11*2*VLOOKUP($Q$2,'Unit Price'!$B$3:$C$19,2,0)</f>
        <v>21000</v>
      </c>
      <c r="R11" s="34">
        <f>H11*3*VLOOKUP($R$2,'Unit Price'!$B$3:$C$19,2,0)</f>
        <v>67500</v>
      </c>
      <c r="S11" s="34">
        <f>IF(F11&lt;=2.2,3*VLOOKUP($S$2,'Unit Price'!$B$3:$C$19,2,0),5*VLOOKUP($S$2,'Unit Price'!$B$3:$C$19,2,0))</f>
        <v>30000</v>
      </c>
      <c r="T11" s="34">
        <f>IF(F11&lt;=2.06,VLOOKUP($T$2,'Unit Price'!$B$3:$C$19,2,0),0)</f>
        <v>795000</v>
      </c>
      <c r="U11" s="34">
        <f>IF(F11&lt;=2.06,VLOOKUP($U$2,'Unit Price'!$B$3:$C$19,2,0),0)</f>
        <v>245000</v>
      </c>
      <c r="V11" s="34">
        <f>IF(AND(F11&gt;2.06,F11&lt;2.5),VLOOKUP($V$2,'Unit Price'!$B$3:$C$19,2,0),0)</f>
        <v>0</v>
      </c>
      <c r="W11" s="34">
        <f>IF(AND(F11&gt;2.06,F11&lt;2.5),VLOOKUP($W$2,'Unit Price'!$B$3:$C$19,2,0),0)</f>
        <v>0</v>
      </c>
      <c r="X11" s="34">
        <f>IF(F11&gt;2.5,VLOOKUP($X$2,'Unit Price'!$B$3:$C$19,2,0),0)</f>
        <v>0</v>
      </c>
      <c r="Y11" s="34">
        <f>IF(F11&gt;2.5,VLOOKUP($Y$2,'Unit Price'!$B$3:$C$19,2,0),0)</f>
        <v>0</v>
      </c>
      <c r="Z11" s="34">
        <f>IF(F11&lt;2.5,6*VLOOKUP($Z$2,'Unit Price'!$B$3:$C$19,2,0),0)</f>
        <v>132000</v>
      </c>
      <c r="AA11" s="34">
        <f>IF(F11&lt;2.5,3*VLOOKUP($AA$2,'Unit Price'!$B$3:$C$19,2,0),0)</f>
        <v>165000</v>
      </c>
      <c r="AB11" s="34">
        <f>IF(F11&gt;2.5,6*VLOOKUP($AB$2,'Unit Price'!$B$3:$C$19,2,0),0)</f>
        <v>0</v>
      </c>
      <c r="AC11" s="34">
        <f>IF(F11&gt;2.5,3*VLOOKUP($AC$2,'Unit Price'!$B$3:$C$19,2,0),0)</f>
        <v>0</v>
      </c>
      <c r="AD11" s="36"/>
      <c r="AE11" s="46">
        <f t="shared" si="2"/>
        <v>1635500</v>
      </c>
      <c r="AF11" s="66">
        <f t="shared" si="3"/>
        <v>184500</v>
      </c>
    </row>
    <row r="12" spans="1:32">
      <c r="A12" s="17">
        <v>10</v>
      </c>
      <c r="B12" s="5" t="s">
        <v>29</v>
      </c>
      <c r="C12" s="5" t="s">
        <v>30</v>
      </c>
      <c r="D12" s="5" t="s">
        <v>12</v>
      </c>
      <c r="E12" s="5">
        <v>13.469200000000001</v>
      </c>
      <c r="F12" s="18">
        <v>2</v>
      </c>
      <c r="G12" s="5">
        <v>5</v>
      </c>
      <c r="H12" s="50">
        <v>8</v>
      </c>
      <c r="I12" s="58">
        <v>40</v>
      </c>
      <c r="J12" s="5">
        <f t="shared" si="0"/>
        <v>0.65</v>
      </c>
      <c r="K12" s="36">
        <v>2800000</v>
      </c>
      <c r="L12" s="37">
        <f t="shared" si="1"/>
        <v>1820000</v>
      </c>
      <c r="N12" s="34">
        <f>H12*VLOOKUP($N$2,'Unit Price'!$B$3:$C$19,2,0)</f>
        <v>144000</v>
      </c>
      <c r="O12" s="34">
        <f>1*VLOOKUP($O$2,'Unit Price'!$B$3:$C$19,2,0)</f>
        <v>10000</v>
      </c>
      <c r="P12" s="34">
        <f>1*VLOOKUP($P$2,'Unit Price'!$B$3:$C$19,2,0)</f>
        <v>8000</v>
      </c>
      <c r="Q12" s="34">
        <f>G12*2*VLOOKUP($Q$2,'Unit Price'!$B$3:$C$19,2,0)</f>
        <v>15000</v>
      </c>
      <c r="R12" s="34">
        <f>H12*3*VLOOKUP($R$2,'Unit Price'!$B$3:$C$19,2,0)</f>
        <v>60000</v>
      </c>
      <c r="S12" s="34">
        <f>IF(F12&lt;=2.2,3*VLOOKUP($S$2,'Unit Price'!$B$3:$C$19,2,0),5*VLOOKUP($S$2,'Unit Price'!$B$3:$C$19,2,0))</f>
        <v>30000</v>
      </c>
      <c r="T12" s="34">
        <f>IF(F12&lt;=2.06,VLOOKUP($T$2,'Unit Price'!$B$3:$C$19,2,0),0)</f>
        <v>795000</v>
      </c>
      <c r="U12" s="34">
        <f>IF(F12&lt;=2.06,VLOOKUP($U$2,'Unit Price'!$B$3:$C$19,2,0),0)</f>
        <v>245000</v>
      </c>
      <c r="V12" s="34">
        <f>IF(AND(F12&gt;2.06,F12&lt;2.5),VLOOKUP($V$2,'Unit Price'!$B$3:$C$19,2,0),0)</f>
        <v>0</v>
      </c>
      <c r="W12" s="34">
        <f>IF(AND(F12&gt;2.06,F12&lt;2.5),VLOOKUP($W$2,'Unit Price'!$B$3:$C$19,2,0),0)</f>
        <v>0</v>
      </c>
      <c r="X12" s="34">
        <f>IF(F12&gt;2.5,VLOOKUP($X$2,'Unit Price'!$B$3:$C$19,2,0),0)</f>
        <v>0</v>
      </c>
      <c r="Y12" s="34">
        <f>IF(F12&gt;2.5,VLOOKUP($Y$2,'Unit Price'!$B$3:$C$19,2,0),0)</f>
        <v>0</v>
      </c>
      <c r="Z12" s="34">
        <f>IF(F12&lt;2.5,6*VLOOKUP($Z$2,'Unit Price'!$B$3:$C$19,2,0),0)</f>
        <v>132000</v>
      </c>
      <c r="AA12" s="34">
        <f>IF(F12&lt;2.5,3*VLOOKUP($AA$2,'Unit Price'!$B$3:$C$19,2,0),0)</f>
        <v>165000</v>
      </c>
      <c r="AB12" s="34">
        <f>IF(F12&gt;2.5,6*VLOOKUP($AB$2,'Unit Price'!$B$3:$C$19,2,0),0)</f>
        <v>0</v>
      </c>
      <c r="AC12" s="34">
        <f>IF(F12&gt;2.5,3*VLOOKUP($AC$2,'Unit Price'!$B$3:$C$19,2,0),0)</f>
        <v>0</v>
      </c>
      <c r="AD12" s="36"/>
      <c r="AE12" s="46">
        <f t="shared" si="2"/>
        <v>1604000</v>
      </c>
      <c r="AF12" s="66">
        <f t="shared" si="3"/>
        <v>216000</v>
      </c>
    </row>
    <row r="13" spans="1:32">
      <c r="A13" s="17">
        <v>11</v>
      </c>
      <c r="B13" s="5" t="s">
        <v>31</v>
      </c>
      <c r="C13" s="5" t="s">
        <v>32</v>
      </c>
      <c r="D13" s="5" t="s">
        <v>12</v>
      </c>
      <c r="E13" s="5">
        <v>1.3181</v>
      </c>
      <c r="F13" s="18">
        <v>2</v>
      </c>
      <c r="G13" s="5">
        <v>16</v>
      </c>
      <c r="H13" s="50">
        <v>19</v>
      </c>
      <c r="I13" s="58">
        <v>304</v>
      </c>
      <c r="J13" s="5">
        <f t="shared" si="0"/>
        <v>0.65</v>
      </c>
      <c r="K13" s="36">
        <v>2800000</v>
      </c>
      <c r="L13" s="37">
        <f t="shared" si="1"/>
        <v>1820000</v>
      </c>
      <c r="N13" s="34">
        <f>H13*VLOOKUP($N$2,'Unit Price'!$B$3:$C$19,2,0)</f>
        <v>342000</v>
      </c>
      <c r="O13" s="34">
        <f>1*VLOOKUP($O$2,'Unit Price'!$B$3:$C$19,2,0)</f>
        <v>10000</v>
      </c>
      <c r="P13" s="34">
        <f>1*VLOOKUP($P$2,'Unit Price'!$B$3:$C$19,2,0)</f>
        <v>8000</v>
      </c>
      <c r="Q13" s="34">
        <f>G13*2*VLOOKUP($Q$2,'Unit Price'!$B$3:$C$19,2,0)</f>
        <v>48000</v>
      </c>
      <c r="R13" s="34">
        <f>H13*3*VLOOKUP($R$2,'Unit Price'!$B$3:$C$19,2,0)</f>
        <v>142500</v>
      </c>
      <c r="S13" s="34">
        <f>IF(F13&lt;=2.2,3*VLOOKUP($S$2,'Unit Price'!$B$3:$C$19,2,0),5*VLOOKUP($S$2,'Unit Price'!$B$3:$C$19,2,0))</f>
        <v>30000</v>
      </c>
      <c r="T13" s="34">
        <f>IF(F13&lt;=2.06,VLOOKUP($T$2,'Unit Price'!$B$3:$C$19,2,0),0)</f>
        <v>795000</v>
      </c>
      <c r="U13" s="34">
        <f>IF(F13&lt;=2.06,VLOOKUP($U$2,'Unit Price'!$B$3:$C$19,2,0),0)</f>
        <v>245000</v>
      </c>
      <c r="V13" s="34">
        <f>IF(AND(F13&gt;2.06,F13&lt;2.5),VLOOKUP($V$2,'Unit Price'!$B$3:$C$19,2,0),0)</f>
        <v>0</v>
      </c>
      <c r="W13" s="34">
        <f>IF(AND(F13&gt;2.06,F13&lt;2.5),VLOOKUP($W$2,'Unit Price'!$B$3:$C$19,2,0),0)</f>
        <v>0</v>
      </c>
      <c r="X13" s="34">
        <f>IF(F13&gt;2.5,VLOOKUP($X$2,'Unit Price'!$B$3:$C$19,2,0),0)</f>
        <v>0</v>
      </c>
      <c r="Y13" s="34">
        <f>IF(F13&gt;2.5,VLOOKUP($Y$2,'Unit Price'!$B$3:$C$19,2,0),0)</f>
        <v>0</v>
      </c>
      <c r="Z13" s="34">
        <f>IF(F13&lt;2.5,6*VLOOKUP($Z$2,'Unit Price'!$B$3:$C$19,2,0),0)</f>
        <v>132000</v>
      </c>
      <c r="AA13" s="34">
        <f>IF(F13&lt;2.5,3*VLOOKUP($AA$2,'Unit Price'!$B$3:$C$19,2,0),0)</f>
        <v>165000</v>
      </c>
      <c r="AB13" s="34">
        <f>IF(F13&gt;2.5,6*VLOOKUP($AB$2,'Unit Price'!$B$3:$C$19,2,0),0)</f>
        <v>0</v>
      </c>
      <c r="AC13" s="34">
        <f>IF(F13&gt;2.5,3*VLOOKUP($AC$2,'Unit Price'!$B$3:$C$19,2,0),0)</f>
        <v>0</v>
      </c>
      <c r="AD13" s="36"/>
      <c r="AE13" s="46">
        <f t="shared" si="2"/>
        <v>1917500</v>
      </c>
      <c r="AF13" s="66">
        <f t="shared" si="3"/>
        <v>-97500</v>
      </c>
    </row>
    <row r="14" spans="1:32">
      <c r="A14" s="17">
        <v>12</v>
      </c>
      <c r="B14" s="5" t="s">
        <v>33</v>
      </c>
      <c r="C14" s="5" t="s">
        <v>34</v>
      </c>
      <c r="D14" s="5" t="s">
        <v>12</v>
      </c>
      <c r="E14" s="5">
        <v>3.5851000000000002</v>
      </c>
      <c r="F14" s="18">
        <v>2</v>
      </c>
      <c r="G14" s="5">
        <v>11</v>
      </c>
      <c r="H14" s="50">
        <v>14</v>
      </c>
      <c r="I14" s="58">
        <v>154</v>
      </c>
      <c r="J14" s="5">
        <f t="shared" si="0"/>
        <v>0.65</v>
      </c>
      <c r="K14" s="36">
        <v>2800000</v>
      </c>
      <c r="L14" s="37">
        <f t="shared" si="1"/>
        <v>1820000</v>
      </c>
      <c r="N14" s="34">
        <f>H14*VLOOKUP($N$2,'Unit Price'!$B$3:$C$19,2,0)</f>
        <v>252000</v>
      </c>
      <c r="O14" s="34">
        <f>1*VLOOKUP($O$2,'Unit Price'!$B$3:$C$19,2,0)</f>
        <v>10000</v>
      </c>
      <c r="P14" s="34">
        <f>1*VLOOKUP($P$2,'Unit Price'!$B$3:$C$19,2,0)</f>
        <v>8000</v>
      </c>
      <c r="Q14" s="34">
        <f>G14*2*VLOOKUP($Q$2,'Unit Price'!$B$3:$C$19,2,0)</f>
        <v>33000</v>
      </c>
      <c r="R14" s="34">
        <f>H14*3*VLOOKUP($R$2,'Unit Price'!$B$3:$C$19,2,0)</f>
        <v>105000</v>
      </c>
      <c r="S14" s="34">
        <f>IF(F14&lt;=2.2,3*VLOOKUP($S$2,'Unit Price'!$B$3:$C$19,2,0),5*VLOOKUP($S$2,'Unit Price'!$B$3:$C$19,2,0))</f>
        <v>30000</v>
      </c>
      <c r="T14" s="34">
        <f>IF(F14&lt;=2.06,VLOOKUP($T$2,'Unit Price'!$B$3:$C$19,2,0),0)</f>
        <v>795000</v>
      </c>
      <c r="U14" s="34">
        <f>IF(F14&lt;=2.06,VLOOKUP($U$2,'Unit Price'!$B$3:$C$19,2,0),0)</f>
        <v>245000</v>
      </c>
      <c r="V14" s="34">
        <f>IF(AND(F14&gt;2.06,F14&lt;2.5),VLOOKUP($V$2,'Unit Price'!$B$3:$C$19,2,0),0)</f>
        <v>0</v>
      </c>
      <c r="W14" s="34">
        <f>IF(AND(F14&gt;2.06,F14&lt;2.5),VLOOKUP($W$2,'Unit Price'!$B$3:$C$19,2,0),0)</f>
        <v>0</v>
      </c>
      <c r="X14" s="34">
        <f>IF(F14&gt;2.5,VLOOKUP($X$2,'Unit Price'!$B$3:$C$19,2,0),0)</f>
        <v>0</v>
      </c>
      <c r="Y14" s="34">
        <f>IF(F14&gt;2.5,VLOOKUP($Y$2,'Unit Price'!$B$3:$C$19,2,0),0)</f>
        <v>0</v>
      </c>
      <c r="Z14" s="34">
        <f>IF(F14&lt;2.5,6*VLOOKUP($Z$2,'Unit Price'!$B$3:$C$19,2,0),0)</f>
        <v>132000</v>
      </c>
      <c r="AA14" s="34">
        <f>IF(F14&lt;2.5,3*VLOOKUP($AA$2,'Unit Price'!$B$3:$C$19,2,0),0)</f>
        <v>165000</v>
      </c>
      <c r="AB14" s="34">
        <f>IF(F14&gt;2.5,6*VLOOKUP($AB$2,'Unit Price'!$B$3:$C$19,2,0),0)</f>
        <v>0</v>
      </c>
      <c r="AC14" s="34">
        <f>IF(F14&gt;2.5,3*VLOOKUP($AC$2,'Unit Price'!$B$3:$C$19,2,0),0)</f>
        <v>0</v>
      </c>
      <c r="AD14" s="36"/>
      <c r="AE14" s="46">
        <f t="shared" si="2"/>
        <v>1775000</v>
      </c>
      <c r="AF14" s="66">
        <f t="shared" si="3"/>
        <v>45000</v>
      </c>
    </row>
    <row r="15" spans="1:32">
      <c r="A15" s="17">
        <v>13</v>
      </c>
      <c r="B15" s="5" t="s">
        <v>35</v>
      </c>
      <c r="C15" s="5" t="s">
        <v>36</v>
      </c>
      <c r="D15" s="5" t="s">
        <v>37</v>
      </c>
      <c r="E15" s="5">
        <v>9.7037999999999993</v>
      </c>
      <c r="F15" s="18">
        <v>2</v>
      </c>
      <c r="G15" s="5">
        <v>7</v>
      </c>
      <c r="H15" s="50">
        <v>8</v>
      </c>
      <c r="I15" s="58">
        <v>55</v>
      </c>
      <c r="J15" s="5">
        <f t="shared" si="0"/>
        <v>0.65</v>
      </c>
      <c r="K15" s="36">
        <v>2800000</v>
      </c>
      <c r="L15" s="37">
        <f t="shared" si="1"/>
        <v>1820000</v>
      </c>
      <c r="N15" s="34">
        <f>H15*VLOOKUP($N$2,'Unit Price'!$B$3:$C$19,2,0)</f>
        <v>144000</v>
      </c>
      <c r="O15" s="34">
        <f>1*VLOOKUP($O$2,'Unit Price'!$B$3:$C$19,2,0)</f>
        <v>10000</v>
      </c>
      <c r="P15" s="34">
        <f>1*VLOOKUP($P$2,'Unit Price'!$B$3:$C$19,2,0)</f>
        <v>8000</v>
      </c>
      <c r="Q15" s="34">
        <f>G15*2*VLOOKUP($Q$2,'Unit Price'!$B$3:$C$19,2,0)</f>
        <v>21000</v>
      </c>
      <c r="R15" s="34">
        <f>H15*3*VLOOKUP($R$2,'Unit Price'!$B$3:$C$19,2,0)</f>
        <v>60000</v>
      </c>
      <c r="S15" s="34">
        <f>IF(F15&lt;=2.2,3*VLOOKUP($S$2,'Unit Price'!$B$3:$C$19,2,0),5*VLOOKUP($S$2,'Unit Price'!$B$3:$C$19,2,0))</f>
        <v>30000</v>
      </c>
      <c r="T15" s="34">
        <f>IF(F15&lt;=2.06,VLOOKUP($T$2,'Unit Price'!$B$3:$C$19,2,0),0)</f>
        <v>795000</v>
      </c>
      <c r="U15" s="34">
        <f>IF(F15&lt;=2.06,VLOOKUP($U$2,'Unit Price'!$B$3:$C$19,2,0),0)</f>
        <v>245000</v>
      </c>
      <c r="V15" s="34">
        <f>IF(AND(F15&gt;2.06,F15&lt;2.5),VLOOKUP($V$2,'Unit Price'!$B$3:$C$19,2,0),0)</f>
        <v>0</v>
      </c>
      <c r="W15" s="34">
        <f>IF(AND(F15&gt;2.06,F15&lt;2.5),VLOOKUP($W$2,'Unit Price'!$B$3:$C$19,2,0),0)</f>
        <v>0</v>
      </c>
      <c r="X15" s="34">
        <f>IF(F15&gt;2.5,VLOOKUP($X$2,'Unit Price'!$B$3:$C$19,2,0),0)</f>
        <v>0</v>
      </c>
      <c r="Y15" s="34">
        <f>IF(F15&gt;2.5,VLOOKUP($Y$2,'Unit Price'!$B$3:$C$19,2,0),0)</f>
        <v>0</v>
      </c>
      <c r="Z15" s="34">
        <f>IF(F15&lt;2.5,6*VLOOKUP($Z$2,'Unit Price'!$B$3:$C$19,2,0),0)</f>
        <v>132000</v>
      </c>
      <c r="AA15" s="34">
        <f>IF(F15&lt;2.5,3*VLOOKUP($AA$2,'Unit Price'!$B$3:$C$19,2,0),0)</f>
        <v>165000</v>
      </c>
      <c r="AB15" s="34">
        <f>IF(F15&gt;2.5,6*VLOOKUP($AB$2,'Unit Price'!$B$3:$C$19,2,0),0)</f>
        <v>0</v>
      </c>
      <c r="AC15" s="34">
        <f>IF(F15&gt;2.5,3*VLOOKUP($AC$2,'Unit Price'!$B$3:$C$19,2,0),0)</f>
        <v>0</v>
      </c>
      <c r="AD15" s="36"/>
      <c r="AE15" s="46">
        <f t="shared" si="2"/>
        <v>1610000</v>
      </c>
      <c r="AF15" s="66">
        <f t="shared" si="3"/>
        <v>210000</v>
      </c>
    </row>
    <row r="16" spans="1:32">
      <c r="A16" s="17">
        <v>14</v>
      </c>
      <c r="B16" s="5" t="s">
        <v>38</v>
      </c>
      <c r="C16" s="5" t="s">
        <v>39</v>
      </c>
      <c r="D16" s="5" t="s">
        <v>37</v>
      </c>
      <c r="E16" s="5">
        <v>14.553000000000001</v>
      </c>
      <c r="F16" s="18">
        <v>2</v>
      </c>
      <c r="G16" s="5">
        <v>6</v>
      </c>
      <c r="H16" s="50">
        <v>6</v>
      </c>
      <c r="I16" s="58">
        <v>36</v>
      </c>
      <c r="J16" s="5">
        <f t="shared" si="0"/>
        <v>0.65</v>
      </c>
      <c r="K16" s="36">
        <v>2800000</v>
      </c>
      <c r="L16" s="37">
        <f t="shared" si="1"/>
        <v>1820000</v>
      </c>
      <c r="N16" s="34">
        <f>H16*VLOOKUP($N$2,'Unit Price'!$B$3:$C$19,2,0)</f>
        <v>108000</v>
      </c>
      <c r="O16" s="34">
        <f>1*VLOOKUP($O$2,'Unit Price'!$B$3:$C$19,2,0)</f>
        <v>10000</v>
      </c>
      <c r="P16" s="34">
        <f>1*VLOOKUP($P$2,'Unit Price'!$B$3:$C$19,2,0)</f>
        <v>8000</v>
      </c>
      <c r="Q16" s="34">
        <f>G16*2*VLOOKUP($Q$2,'Unit Price'!$B$3:$C$19,2,0)</f>
        <v>18000</v>
      </c>
      <c r="R16" s="34">
        <f>H16*3*VLOOKUP($R$2,'Unit Price'!$B$3:$C$19,2,0)</f>
        <v>45000</v>
      </c>
      <c r="S16" s="34">
        <f>IF(F16&lt;=2.2,3*VLOOKUP($S$2,'Unit Price'!$B$3:$C$19,2,0),5*VLOOKUP($S$2,'Unit Price'!$B$3:$C$19,2,0))</f>
        <v>30000</v>
      </c>
      <c r="T16" s="34">
        <f>IF(F16&lt;=2.06,VLOOKUP($T$2,'Unit Price'!$B$3:$C$19,2,0),0)</f>
        <v>795000</v>
      </c>
      <c r="U16" s="34">
        <f>IF(F16&lt;=2.06,VLOOKUP($U$2,'Unit Price'!$B$3:$C$19,2,0),0)</f>
        <v>245000</v>
      </c>
      <c r="V16" s="34">
        <f>IF(AND(F16&gt;2.06,F16&lt;2.5),VLOOKUP($V$2,'Unit Price'!$B$3:$C$19,2,0),0)</f>
        <v>0</v>
      </c>
      <c r="W16" s="34">
        <f>IF(AND(F16&gt;2.06,F16&lt;2.5),VLOOKUP($W$2,'Unit Price'!$B$3:$C$19,2,0),0)</f>
        <v>0</v>
      </c>
      <c r="X16" s="34">
        <f>IF(F16&gt;2.5,VLOOKUP($X$2,'Unit Price'!$B$3:$C$19,2,0),0)</f>
        <v>0</v>
      </c>
      <c r="Y16" s="34">
        <f>IF(F16&gt;2.5,VLOOKUP($Y$2,'Unit Price'!$B$3:$C$19,2,0),0)</f>
        <v>0</v>
      </c>
      <c r="Z16" s="34">
        <f>IF(F16&lt;2.5,6*VLOOKUP($Z$2,'Unit Price'!$B$3:$C$19,2,0),0)</f>
        <v>132000</v>
      </c>
      <c r="AA16" s="34">
        <f>IF(F16&lt;2.5,3*VLOOKUP($AA$2,'Unit Price'!$B$3:$C$19,2,0),0)</f>
        <v>165000</v>
      </c>
      <c r="AB16" s="34">
        <f>IF(F16&gt;2.5,6*VLOOKUP($AB$2,'Unit Price'!$B$3:$C$19,2,0),0)</f>
        <v>0</v>
      </c>
      <c r="AC16" s="34">
        <f>IF(F16&gt;2.5,3*VLOOKUP($AC$2,'Unit Price'!$B$3:$C$19,2,0),0)</f>
        <v>0</v>
      </c>
      <c r="AD16" s="36"/>
      <c r="AE16" s="46">
        <f t="shared" si="2"/>
        <v>1556000</v>
      </c>
      <c r="AF16" s="66">
        <f t="shared" si="3"/>
        <v>264000</v>
      </c>
    </row>
    <row r="17" spans="1:32">
      <c r="A17" s="17">
        <v>15</v>
      </c>
      <c r="B17" s="5" t="s">
        <v>40</v>
      </c>
      <c r="C17" s="5" t="s">
        <v>41</v>
      </c>
      <c r="D17" s="5" t="s">
        <v>37</v>
      </c>
      <c r="E17" s="5">
        <v>25.115400000000001</v>
      </c>
      <c r="F17" s="18">
        <v>2.0350000000000001</v>
      </c>
      <c r="G17" s="5">
        <v>4</v>
      </c>
      <c r="H17" s="50">
        <v>5</v>
      </c>
      <c r="I17" s="58">
        <v>20</v>
      </c>
      <c r="J17" s="5">
        <f t="shared" si="0"/>
        <v>0.65</v>
      </c>
      <c r="K17" s="36">
        <v>2800000</v>
      </c>
      <c r="L17" s="37">
        <f t="shared" si="1"/>
        <v>1820000</v>
      </c>
      <c r="N17" s="34">
        <f>H17*VLOOKUP($N$2,'Unit Price'!$B$3:$C$19,2,0)</f>
        <v>90000</v>
      </c>
      <c r="O17" s="34">
        <f>1*VLOOKUP($O$2,'Unit Price'!$B$3:$C$19,2,0)</f>
        <v>10000</v>
      </c>
      <c r="P17" s="34">
        <f>1*VLOOKUP($P$2,'Unit Price'!$B$3:$C$19,2,0)</f>
        <v>8000</v>
      </c>
      <c r="Q17" s="34">
        <f>G17*2*VLOOKUP($Q$2,'Unit Price'!$B$3:$C$19,2,0)</f>
        <v>12000</v>
      </c>
      <c r="R17" s="34">
        <f>H17*3*VLOOKUP($R$2,'Unit Price'!$B$3:$C$19,2,0)</f>
        <v>37500</v>
      </c>
      <c r="S17" s="34">
        <f>IF(F17&lt;=2.2,3*VLOOKUP($S$2,'Unit Price'!$B$3:$C$19,2,0),5*VLOOKUP($S$2,'Unit Price'!$B$3:$C$19,2,0))</f>
        <v>30000</v>
      </c>
      <c r="T17" s="34">
        <f>IF(F17&lt;=2.06,VLOOKUP($T$2,'Unit Price'!$B$3:$C$19,2,0),0)</f>
        <v>795000</v>
      </c>
      <c r="U17" s="34">
        <f>IF(F17&lt;=2.06,VLOOKUP($U$2,'Unit Price'!$B$3:$C$19,2,0),0)</f>
        <v>245000</v>
      </c>
      <c r="V17" s="34">
        <f>IF(AND(F17&gt;2.06,F17&lt;2.5),VLOOKUP($V$2,'Unit Price'!$B$3:$C$19,2,0),0)</f>
        <v>0</v>
      </c>
      <c r="W17" s="34">
        <f>IF(AND(F17&gt;2.06,F17&lt;2.5),VLOOKUP($W$2,'Unit Price'!$B$3:$C$19,2,0),0)</f>
        <v>0</v>
      </c>
      <c r="X17" s="34">
        <f>IF(F17&gt;2.5,VLOOKUP($X$2,'Unit Price'!$B$3:$C$19,2,0),0)</f>
        <v>0</v>
      </c>
      <c r="Y17" s="34">
        <f>IF(F17&gt;2.5,VLOOKUP($Y$2,'Unit Price'!$B$3:$C$19,2,0),0)</f>
        <v>0</v>
      </c>
      <c r="Z17" s="34">
        <f>IF(F17&lt;2.5,6*VLOOKUP($Z$2,'Unit Price'!$B$3:$C$19,2,0),0)</f>
        <v>132000</v>
      </c>
      <c r="AA17" s="34">
        <f>IF(F17&lt;2.5,3*VLOOKUP($AA$2,'Unit Price'!$B$3:$C$19,2,0),0)</f>
        <v>165000</v>
      </c>
      <c r="AB17" s="34">
        <f>IF(F17&gt;2.5,6*VLOOKUP($AB$2,'Unit Price'!$B$3:$C$19,2,0),0)</f>
        <v>0</v>
      </c>
      <c r="AC17" s="34">
        <f>IF(F17&gt;2.5,3*VLOOKUP($AC$2,'Unit Price'!$B$3:$C$19,2,0),0)</f>
        <v>0</v>
      </c>
      <c r="AD17" s="36"/>
      <c r="AE17" s="46">
        <f t="shared" si="2"/>
        <v>1524500</v>
      </c>
      <c r="AF17" s="66">
        <f t="shared" si="3"/>
        <v>295500</v>
      </c>
    </row>
    <row r="18" spans="1:32">
      <c r="A18" s="17">
        <v>16</v>
      </c>
      <c r="B18" s="5" t="s">
        <v>42</v>
      </c>
      <c r="C18" s="5" t="s">
        <v>43</v>
      </c>
      <c r="D18" s="5" t="s">
        <v>44</v>
      </c>
      <c r="E18" s="5">
        <v>7.3505000000000003</v>
      </c>
      <c r="F18" s="18">
        <v>2</v>
      </c>
      <c r="G18" s="5">
        <v>11</v>
      </c>
      <c r="H18" s="50">
        <v>7</v>
      </c>
      <c r="I18" s="58">
        <v>77</v>
      </c>
      <c r="J18" s="5">
        <f t="shared" si="0"/>
        <v>0.65</v>
      </c>
      <c r="K18" s="36">
        <v>2800000</v>
      </c>
      <c r="L18" s="37">
        <f t="shared" si="1"/>
        <v>1820000</v>
      </c>
      <c r="N18" s="34">
        <f>H18*VLOOKUP($N$2,'Unit Price'!$B$3:$C$19,2,0)</f>
        <v>126000</v>
      </c>
      <c r="O18" s="34">
        <f>1*VLOOKUP($O$2,'Unit Price'!$B$3:$C$19,2,0)</f>
        <v>10000</v>
      </c>
      <c r="P18" s="34">
        <f>1*VLOOKUP($P$2,'Unit Price'!$B$3:$C$19,2,0)</f>
        <v>8000</v>
      </c>
      <c r="Q18" s="34">
        <f>G18*2*VLOOKUP($Q$2,'Unit Price'!$B$3:$C$19,2,0)</f>
        <v>33000</v>
      </c>
      <c r="R18" s="34">
        <f>H18*3*VLOOKUP($R$2,'Unit Price'!$B$3:$C$19,2,0)</f>
        <v>52500</v>
      </c>
      <c r="S18" s="34">
        <f>IF(F18&lt;=2.2,3*VLOOKUP($S$2,'Unit Price'!$B$3:$C$19,2,0),5*VLOOKUP($S$2,'Unit Price'!$B$3:$C$19,2,0))</f>
        <v>30000</v>
      </c>
      <c r="T18" s="34">
        <f>IF(F18&lt;=2.06,VLOOKUP($T$2,'Unit Price'!$B$3:$C$19,2,0),0)</f>
        <v>795000</v>
      </c>
      <c r="U18" s="34">
        <f>IF(F18&lt;=2.06,VLOOKUP($U$2,'Unit Price'!$B$3:$C$19,2,0),0)</f>
        <v>245000</v>
      </c>
      <c r="V18" s="34">
        <f>IF(AND(F18&gt;2.06,F18&lt;2.5),VLOOKUP($V$2,'Unit Price'!$B$3:$C$19,2,0),0)</f>
        <v>0</v>
      </c>
      <c r="W18" s="34">
        <f>IF(AND(F18&gt;2.06,F18&lt;2.5),VLOOKUP($W$2,'Unit Price'!$B$3:$C$19,2,0),0)</f>
        <v>0</v>
      </c>
      <c r="X18" s="34">
        <f>IF(F18&gt;2.5,VLOOKUP($X$2,'Unit Price'!$B$3:$C$19,2,0),0)</f>
        <v>0</v>
      </c>
      <c r="Y18" s="34">
        <f>IF(F18&gt;2.5,VLOOKUP($Y$2,'Unit Price'!$B$3:$C$19,2,0),0)</f>
        <v>0</v>
      </c>
      <c r="Z18" s="34">
        <f>IF(F18&lt;2.5,6*VLOOKUP($Z$2,'Unit Price'!$B$3:$C$19,2,0),0)</f>
        <v>132000</v>
      </c>
      <c r="AA18" s="34">
        <f>IF(F18&lt;2.5,3*VLOOKUP($AA$2,'Unit Price'!$B$3:$C$19,2,0),0)</f>
        <v>165000</v>
      </c>
      <c r="AB18" s="34">
        <f>IF(F18&gt;2.5,6*VLOOKUP($AB$2,'Unit Price'!$B$3:$C$19,2,0),0)</f>
        <v>0</v>
      </c>
      <c r="AC18" s="34">
        <f>IF(F18&gt;2.5,3*VLOOKUP($AC$2,'Unit Price'!$B$3:$C$19,2,0),0)</f>
        <v>0</v>
      </c>
      <c r="AD18" s="36"/>
      <c r="AE18" s="46">
        <f t="shared" si="2"/>
        <v>1596500</v>
      </c>
      <c r="AF18" s="66">
        <f t="shared" si="3"/>
        <v>223500</v>
      </c>
    </row>
    <row r="19" spans="1:32">
      <c r="A19" s="17">
        <v>17</v>
      </c>
      <c r="B19" s="5" t="s">
        <v>45</v>
      </c>
      <c r="C19" s="5" t="s">
        <v>46</v>
      </c>
      <c r="D19" s="5" t="s">
        <v>44</v>
      </c>
      <c r="E19" s="5">
        <v>11.739599999999999</v>
      </c>
      <c r="F19" s="18">
        <v>2</v>
      </c>
      <c r="G19" s="5">
        <v>9</v>
      </c>
      <c r="H19" s="50">
        <v>6</v>
      </c>
      <c r="I19" s="58">
        <v>54</v>
      </c>
      <c r="J19" s="5">
        <f t="shared" si="0"/>
        <v>0.65</v>
      </c>
      <c r="K19" s="36">
        <v>2800000</v>
      </c>
      <c r="L19" s="37">
        <f t="shared" si="1"/>
        <v>1820000</v>
      </c>
      <c r="N19" s="34">
        <f>H19*VLOOKUP($N$2,'Unit Price'!$B$3:$C$19,2,0)</f>
        <v>108000</v>
      </c>
      <c r="O19" s="34">
        <f>1*VLOOKUP($O$2,'Unit Price'!$B$3:$C$19,2,0)</f>
        <v>10000</v>
      </c>
      <c r="P19" s="34">
        <f>1*VLOOKUP($P$2,'Unit Price'!$B$3:$C$19,2,0)</f>
        <v>8000</v>
      </c>
      <c r="Q19" s="34">
        <f>G19*2*VLOOKUP($Q$2,'Unit Price'!$B$3:$C$19,2,0)</f>
        <v>27000</v>
      </c>
      <c r="R19" s="34">
        <f>H19*3*VLOOKUP($R$2,'Unit Price'!$B$3:$C$19,2,0)</f>
        <v>45000</v>
      </c>
      <c r="S19" s="34">
        <f>IF(F19&lt;=2.2,3*VLOOKUP($S$2,'Unit Price'!$B$3:$C$19,2,0),5*VLOOKUP($S$2,'Unit Price'!$B$3:$C$19,2,0))</f>
        <v>30000</v>
      </c>
      <c r="T19" s="34">
        <f>IF(F19&lt;=2.06,VLOOKUP($T$2,'Unit Price'!$B$3:$C$19,2,0),0)</f>
        <v>795000</v>
      </c>
      <c r="U19" s="34">
        <f>IF(F19&lt;=2.06,VLOOKUP($U$2,'Unit Price'!$B$3:$C$19,2,0),0)</f>
        <v>245000</v>
      </c>
      <c r="V19" s="34">
        <f>IF(AND(F19&gt;2.06,F19&lt;2.5),VLOOKUP($V$2,'Unit Price'!$B$3:$C$19,2,0),0)</f>
        <v>0</v>
      </c>
      <c r="W19" s="34">
        <f>IF(AND(F19&gt;2.06,F19&lt;2.5),VLOOKUP($W$2,'Unit Price'!$B$3:$C$19,2,0),0)</f>
        <v>0</v>
      </c>
      <c r="X19" s="34">
        <f>IF(F19&gt;2.5,VLOOKUP($X$2,'Unit Price'!$B$3:$C$19,2,0),0)</f>
        <v>0</v>
      </c>
      <c r="Y19" s="34">
        <f>IF(F19&gt;2.5,VLOOKUP($Y$2,'Unit Price'!$B$3:$C$19,2,0),0)</f>
        <v>0</v>
      </c>
      <c r="Z19" s="34">
        <f>IF(F19&lt;2.5,6*VLOOKUP($Z$2,'Unit Price'!$B$3:$C$19,2,0),0)</f>
        <v>132000</v>
      </c>
      <c r="AA19" s="34">
        <f>IF(F19&lt;2.5,3*VLOOKUP($AA$2,'Unit Price'!$B$3:$C$19,2,0),0)</f>
        <v>165000</v>
      </c>
      <c r="AB19" s="34">
        <f>IF(F19&gt;2.5,6*VLOOKUP($AB$2,'Unit Price'!$B$3:$C$19,2,0),0)</f>
        <v>0</v>
      </c>
      <c r="AC19" s="34">
        <f>IF(F19&gt;2.5,3*VLOOKUP($AC$2,'Unit Price'!$B$3:$C$19,2,0),0)</f>
        <v>0</v>
      </c>
      <c r="AD19" s="36"/>
      <c r="AE19" s="46">
        <f t="shared" si="2"/>
        <v>1565000</v>
      </c>
      <c r="AF19" s="66">
        <f t="shared" si="3"/>
        <v>255000</v>
      </c>
    </row>
    <row r="20" spans="1:32">
      <c r="A20" s="17">
        <v>18</v>
      </c>
      <c r="B20" s="5" t="s">
        <v>47</v>
      </c>
      <c r="C20" s="5" t="s">
        <v>48</v>
      </c>
      <c r="D20" s="5" t="s">
        <v>49</v>
      </c>
      <c r="E20" s="5">
        <v>5.117</v>
      </c>
      <c r="F20" s="18">
        <v>2</v>
      </c>
      <c r="G20" s="5">
        <v>10</v>
      </c>
      <c r="H20" s="50">
        <v>6</v>
      </c>
      <c r="I20" s="58">
        <v>60</v>
      </c>
      <c r="J20" s="5">
        <f t="shared" si="0"/>
        <v>0.65</v>
      </c>
      <c r="K20" s="36">
        <v>2800000</v>
      </c>
      <c r="L20" s="37">
        <f t="shared" si="1"/>
        <v>1820000</v>
      </c>
      <c r="N20" s="34">
        <f>H20*VLOOKUP($N$2,'Unit Price'!$B$3:$C$19,2,0)</f>
        <v>108000</v>
      </c>
      <c r="O20" s="34">
        <f>1*VLOOKUP($O$2,'Unit Price'!$B$3:$C$19,2,0)</f>
        <v>10000</v>
      </c>
      <c r="P20" s="34">
        <f>1*VLOOKUP($P$2,'Unit Price'!$B$3:$C$19,2,0)</f>
        <v>8000</v>
      </c>
      <c r="Q20" s="34">
        <f>G20*2*VLOOKUP($Q$2,'Unit Price'!$B$3:$C$19,2,0)</f>
        <v>30000</v>
      </c>
      <c r="R20" s="34">
        <f>H20*3*VLOOKUP($R$2,'Unit Price'!$B$3:$C$19,2,0)</f>
        <v>45000</v>
      </c>
      <c r="S20" s="34">
        <f>IF(F20&lt;=2.2,3*VLOOKUP($S$2,'Unit Price'!$B$3:$C$19,2,0),5*VLOOKUP($S$2,'Unit Price'!$B$3:$C$19,2,0))</f>
        <v>30000</v>
      </c>
      <c r="T20" s="34">
        <f>IF(F20&lt;=2.06,VLOOKUP($T$2,'Unit Price'!$B$3:$C$19,2,0),0)</f>
        <v>795000</v>
      </c>
      <c r="U20" s="34">
        <f>IF(F20&lt;=2.06,VLOOKUP($U$2,'Unit Price'!$B$3:$C$19,2,0),0)</f>
        <v>245000</v>
      </c>
      <c r="V20" s="34">
        <f>IF(AND(F20&gt;2.06,F20&lt;2.5),VLOOKUP($V$2,'Unit Price'!$B$3:$C$19,2,0),0)</f>
        <v>0</v>
      </c>
      <c r="W20" s="34">
        <f>IF(AND(F20&gt;2.06,F20&lt;2.5),VLOOKUP($W$2,'Unit Price'!$B$3:$C$19,2,0),0)</f>
        <v>0</v>
      </c>
      <c r="X20" s="34">
        <f>IF(F20&gt;2.5,VLOOKUP($X$2,'Unit Price'!$B$3:$C$19,2,0),0)</f>
        <v>0</v>
      </c>
      <c r="Y20" s="34">
        <f>IF(F20&gt;2.5,VLOOKUP($Y$2,'Unit Price'!$B$3:$C$19,2,0),0)</f>
        <v>0</v>
      </c>
      <c r="Z20" s="34">
        <f>IF(F20&lt;2.5,6*VLOOKUP($Z$2,'Unit Price'!$B$3:$C$19,2,0),0)</f>
        <v>132000</v>
      </c>
      <c r="AA20" s="34">
        <f>IF(F20&lt;2.5,3*VLOOKUP($AA$2,'Unit Price'!$B$3:$C$19,2,0),0)</f>
        <v>165000</v>
      </c>
      <c r="AB20" s="34">
        <f>IF(F20&gt;2.5,6*VLOOKUP($AB$2,'Unit Price'!$B$3:$C$19,2,0),0)</f>
        <v>0</v>
      </c>
      <c r="AC20" s="34">
        <f>IF(F20&gt;2.5,3*VLOOKUP($AC$2,'Unit Price'!$B$3:$C$19,2,0),0)</f>
        <v>0</v>
      </c>
      <c r="AD20" s="36"/>
      <c r="AE20" s="46">
        <f t="shared" si="2"/>
        <v>1568000</v>
      </c>
      <c r="AF20" s="66">
        <f t="shared" si="3"/>
        <v>252000</v>
      </c>
    </row>
    <row r="21" spans="1:32">
      <c r="A21" s="17">
        <v>19</v>
      </c>
      <c r="B21" s="5" t="s">
        <v>50</v>
      </c>
      <c r="C21" s="5" t="s">
        <v>51</v>
      </c>
      <c r="D21" s="5" t="s">
        <v>49</v>
      </c>
      <c r="E21" s="5">
        <v>6.1646000000000001</v>
      </c>
      <c r="F21" s="18">
        <v>2</v>
      </c>
      <c r="G21" s="5">
        <v>8</v>
      </c>
      <c r="H21" s="50">
        <v>5</v>
      </c>
      <c r="I21" s="58">
        <v>40</v>
      </c>
      <c r="J21" s="5">
        <f t="shared" si="0"/>
        <v>0.65</v>
      </c>
      <c r="K21" s="36">
        <v>2800000</v>
      </c>
      <c r="L21" s="37">
        <f t="shared" si="1"/>
        <v>1820000</v>
      </c>
      <c r="N21" s="34">
        <f>H21*VLOOKUP($N$2,'Unit Price'!$B$3:$C$19,2,0)</f>
        <v>90000</v>
      </c>
      <c r="O21" s="34">
        <f>1*VLOOKUP($O$2,'Unit Price'!$B$3:$C$19,2,0)</f>
        <v>10000</v>
      </c>
      <c r="P21" s="34">
        <f>1*VLOOKUP($P$2,'Unit Price'!$B$3:$C$19,2,0)</f>
        <v>8000</v>
      </c>
      <c r="Q21" s="34">
        <f>G21*2*VLOOKUP($Q$2,'Unit Price'!$B$3:$C$19,2,0)</f>
        <v>24000</v>
      </c>
      <c r="R21" s="34">
        <f>H21*3*VLOOKUP($R$2,'Unit Price'!$B$3:$C$19,2,0)</f>
        <v>37500</v>
      </c>
      <c r="S21" s="34">
        <f>IF(F21&lt;=2.2,3*VLOOKUP($S$2,'Unit Price'!$B$3:$C$19,2,0),5*VLOOKUP($S$2,'Unit Price'!$B$3:$C$19,2,0))</f>
        <v>30000</v>
      </c>
      <c r="T21" s="34">
        <f>IF(F21&lt;=2.06,VLOOKUP($T$2,'Unit Price'!$B$3:$C$19,2,0),0)</f>
        <v>795000</v>
      </c>
      <c r="U21" s="34">
        <f>IF(F21&lt;=2.06,VLOOKUP($U$2,'Unit Price'!$B$3:$C$19,2,0),0)</f>
        <v>245000</v>
      </c>
      <c r="V21" s="34">
        <f>IF(AND(F21&gt;2.06,F21&lt;2.5),VLOOKUP($V$2,'Unit Price'!$B$3:$C$19,2,0),0)</f>
        <v>0</v>
      </c>
      <c r="W21" s="34">
        <f>IF(AND(F21&gt;2.06,F21&lt;2.5),VLOOKUP($W$2,'Unit Price'!$B$3:$C$19,2,0),0)</f>
        <v>0</v>
      </c>
      <c r="X21" s="34">
        <f>IF(F21&gt;2.5,VLOOKUP($X$2,'Unit Price'!$B$3:$C$19,2,0),0)</f>
        <v>0</v>
      </c>
      <c r="Y21" s="34">
        <f>IF(F21&gt;2.5,VLOOKUP($Y$2,'Unit Price'!$B$3:$C$19,2,0),0)</f>
        <v>0</v>
      </c>
      <c r="Z21" s="34">
        <f>IF(F21&lt;2.5,6*VLOOKUP($Z$2,'Unit Price'!$B$3:$C$19,2,0),0)</f>
        <v>132000</v>
      </c>
      <c r="AA21" s="34">
        <f>IF(F21&lt;2.5,3*VLOOKUP($AA$2,'Unit Price'!$B$3:$C$19,2,0),0)</f>
        <v>165000</v>
      </c>
      <c r="AB21" s="34">
        <f>IF(F21&gt;2.5,6*VLOOKUP($AB$2,'Unit Price'!$B$3:$C$19,2,0),0)</f>
        <v>0</v>
      </c>
      <c r="AC21" s="34">
        <f>IF(F21&gt;2.5,3*VLOOKUP($AC$2,'Unit Price'!$B$3:$C$19,2,0),0)</f>
        <v>0</v>
      </c>
      <c r="AD21" s="36"/>
      <c r="AE21" s="46">
        <f t="shared" si="2"/>
        <v>1536500</v>
      </c>
      <c r="AF21" s="66">
        <f t="shared" si="3"/>
        <v>283500</v>
      </c>
    </row>
    <row r="22" spans="1:32">
      <c r="A22" s="17">
        <v>20</v>
      </c>
      <c r="B22" s="5" t="s">
        <v>52</v>
      </c>
      <c r="C22" s="5" t="s">
        <v>53</v>
      </c>
      <c r="D22" s="5" t="s">
        <v>49</v>
      </c>
      <c r="E22" s="5">
        <v>9.4878</v>
      </c>
      <c r="F22" s="18">
        <v>2</v>
      </c>
      <c r="G22" s="5">
        <v>7</v>
      </c>
      <c r="H22" s="50">
        <v>4</v>
      </c>
      <c r="I22" s="58">
        <v>28</v>
      </c>
      <c r="J22" s="5">
        <f t="shared" si="0"/>
        <v>0.65</v>
      </c>
      <c r="K22" s="36">
        <v>2800000</v>
      </c>
      <c r="L22" s="37">
        <f t="shared" si="1"/>
        <v>1820000</v>
      </c>
      <c r="N22" s="34">
        <f>H22*VLOOKUP($N$2,'Unit Price'!$B$3:$C$19,2,0)</f>
        <v>72000</v>
      </c>
      <c r="O22" s="34">
        <f>1*VLOOKUP($O$2,'Unit Price'!$B$3:$C$19,2,0)</f>
        <v>10000</v>
      </c>
      <c r="P22" s="34">
        <f>1*VLOOKUP($P$2,'Unit Price'!$B$3:$C$19,2,0)</f>
        <v>8000</v>
      </c>
      <c r="Q22" s="34">
        <f>G22*2*VLOOKUP($Q$2,'Unit Price'!$B$3:$C$19,2,0)</f>
        <v>21000</v>
      </c>
      <c r="R22" s="34">
        <f>H22*3*VLOOKUP($R$2,'Unit Price'!$B$3:$C$19,2,0)</f>
        <v>30000</v>
      </c>
      <c r="S22" s="34">
        <f>IF(F22&lt;=2.2,3*VLOOKUP($S$2,'Unit Price'!$B$3:$C$19,2,0),5*VLOOKUP($S$2,'Unit Price'!$B$3:$C$19,2,0))</f>
        <v>30000</v>
      </c>
      <c r="T22" s="34">
        <f>IF(F22&lt;=2.06,VLOOKUP($T$2,'Unit Price'!$B$3:$C$19,2,0),0)</f>
        <v>795000</v>
      </c>
      <c r="U22" s="34">
        <f>IF(F22&lt;=2.06,VLOOKUP($U$2,'Unit Price'!$B$3:$C$19,2,0),0)</f>
        <v>245000</v>
      </c>
      <c r="V22" s="34">
        <f>IF(AND(F22&gt;2.06,F22&lt;2.5),VLOOKUP($V$2,'Unit Price'!$B$3:$C$19,2,0),0)</f>
        <v>0</v>
      </c>
      <c r="W22" s="34">
        <f>IF(AND(F22&gt;2.06,F22&lt;2.5),VLOOKUP($W$2,'Unit Price'!$B$3:$C$19,2,0),0)</f>
        <v>0</v>
      </c>
      <c r="X22" s="34">
        <f>IF(F22&gt;2.5,VLOOKUP($X$2,'Unit Price'!$B$3:$C$19,2,0),0)</f>
        <v>0</v>
      </c>
      <c r="Y22" s="34">
        <f>IF(F22&gt;2.5,VLOOKUP($Y$2,'Unit Price'!$B$3:$C$19,2,0),0)</f>
        <v>0</v>
      </c>
      <c r="Z22" s="34">
        <f>IF(F22&lt;2.5,6*VLOOKUP($Z$2,'Unit Price'!$B$3:$C$19,2,0),0)</f>
        <v>132000</v>
      </c>
      <c r="AA22" s="34">
        <f>IF(F22&lt;2.5,3*VLOOKUP($AA$2,'Unit Price'!$B$3:$C$19,2,0),0)</f>
        <v>165000</v>
      </c>
      <c r="AB22" s="34">
        <f>IF(F22&gt;2.5,6*VLOOKUP($AB$2,'Unit Price'!$B$3:$C$19,2,0),0)</f>
        <v>0</v>
      </c>
      <c r="AC22" s="34">
        <f>IF(F22&gt;2.5,3*VLOOKUP($AC$2,'Unit Price'!$B$3:$C$19,2,0),0)</f>
        <v>0</v>
      </c>
      <c r="AD22" s="36"/>
      <c r="AE22" s="46">
        <f t="shared" si="2"/>
        <v>1508000</v>
      </c>
      <c r="AF22" s="66">
        <f t="shared" si="3"/>
        <v>312000</v>
      </c>
    </row>
    <row r="23" spans="1:32">
      <c r="A23" s="17">
        <v>21</v>
      </c>
      <c r="B23" s="5" t="s">
        <v>54</v>
      </c>
      <c r="C23" s="5" t="s">
        <v>55</v>
      </c>
      <c r="D23" s="5" t="s">
        <v>49</v>
      </c>
      <c r="E23" s="5">
        <v>10.935</v>
      </c>
      <c r="F23" s="18">
        <v>2</v>
      </c>
      <c r="G23" s="5">
        <v>6</v>
      </c>
      <c r="H23" s="50">
        <v>3</v>
      </c>
      <c r="I23" s="58">
        <v>18</v>
      </c>
      <c r="J23" s="5">
        <f t="shared" si="0"/>
        <v>0.65</v>
      </c>
      <c r="K23" s="36">
        <v>2800000</v>
      </c>
      <c r="L23" s="37">
        <f t="shared" si="1"/>
        <v>1820000</v>
      </c>
      <c r="N23" s="34">
        <f>H23*VLOOKUP($N$2,'Unit Price'!$B$3:$C$19,2,0)</f>
        <v>54000</v>
      </c>
      <c r="O23" s="34">
        <f>1*VLOOKUP($O$2,'Unit Price'!$B$3:$C$19,2,0)</f>
        <v>10000</v>
      </c>
      <c r="P23" s="34">
        <f>1*VLOOKUP($P$2,'Unit Price'!$B$3:$C$19,2,0)</f>
        <v>8000</v>
      </c>
      <c r="Q23" s="34">
        <f>G23*2*VLOOKUP($Q$2,'Unit Price'!$B$3:$C$19,2,0)</f>
        <v>18000</v>
      </c>
      <c r="R23" s="34">
        <f>H23*3*VLOOKUP($R$2,'Unit Price'!$B$3:$C$19,2,0)</f>
        <v>22500</v>
      </c>
      <c r="S23" s="34">
        <f>IF(F23&lt;=2.2,3*VLOOKUP($S$2,'Unit Price'!$B$3:$C$19,2,0),5*VLOOKUP($S$2,'Unit Price'!$B$3:$C$19,2,0))</f>
        <v>30000</v>
      </c>
      <c r="T23" s="34">
        <f>IF(F23&lt;=2.06,VLOOKUP($T$2,'Unit Price'!$B$3:$C$19,2,0),0)</f>
        <v>795000</v>
      </c>
      <c r="U23" s="34">
        <f>IF(F23&lt;=2.06,VLOOKUP($U$2,'Unit Price'!$B$3:$C$19,2,0),0)</f>
        <v>245000</v>
      </c>
      <c r="V23" s="34">
        <f>IF(AND(F23&gt;2.06,F23&lt;2.5),VLOOKUP($V$2,'Unit Price'!$B$3:$C$19,2,0),0)</f>
        <v>0</v>
      </c>
      <c r="W23" s="34">
        <f>IF(AND(F23&gt;2.06,F23&lt;2.5),VLOOKUP($W$2,'Unit Price'!$B$3:$C$19,2,0),0)</f>
        <v>0</v>
      </c>
      <c r="X23" s="34">
        <f>IF(F23&gt;2.5,VLOOKUP($X$2,'Unit Price'!$B$3:$C$19,2,0),0)</f>
        <v>0</v>
      </c>
      <c r="Y23" s="34">
        <f>IF(F23&gt;2.5,VLOOKUP($Y$2,'Unit Price'!$B$3:$C$19,2,0),0)</f>
        <v>0</v>
      </c>
      <c r="Z23" s="34">
        <f>IF(F23&lt;2.5,6*VLOOKUP($Z$2,'Unit Price'!$B$3:$C$19,2,0),0)</f>
        <v>132000</v>
      </c>
      <c r="AA23" s="34">
        <f>IF(F23&lt;2.5,3*VLOOKUP($AA$2,'Unit Price'!$B$3:$C$19,2,0),0)</f>
        <v>165000</v>
      </c>
      <c r="AB23" s="34">
        <f>IF(F23&gt;2.5,6*VLOOKUP($AB$2,'Unit Price'!$B$3:$C$19,2,0),0)</f>
        <v>0</v>
      </c>
      <c r="AC23" s="34">
        <f>IF(F23&gt;2.5,3*VLOOKUP($AC$2,'Unit Price'!$B$3:$C$19,2,0),0)</f>
        <v>0</v>
      </c>
      <c r="AD23" s="36"/>
      <c r="AE23" s="46">
        <f t="shared" si="2"/>
        <v>1479500</v>
      </c>
      <c r="AF23" s="66">
        <f t="shared" si="3"/>
        <v>340500</v>
      </c>
    </row>
    <row r="24" spans="1:32">
      <c r="A24" s="17">
        <v>22</v>
      </c>
      <c r="B24" s="5" t="s">
        <v>56</v>
      </c>
      <c r="C24" s="5" t="s">
        <v>57</v>
      </c>
      <c r="D24" s="5" t="s">
        <v>58</v>
      </c>
      <c r="E24" s="5">
        <v>2.1373000000000002</v>
      </c>
      <c r="F24" s="18">
        <v>2</v>
      </c>
      <c r="G24" s="5">
        <v>15</v>
      </c>
      <c r="H24" s="50">
        <v>15</v>
      </c>
      <c r="I24" s="58">
        <v>225</v>
      </c>
      <c r="J24" s="5">
        <f t="shared" si="0"/>
        <v>0.65</v>
      </c>
      <c r="K24" s="36">
        <v>2800000</v>
      </c>
      <c r="L24" s="37">
        <f t="shared" si="1"/>
        <v>1820000</v>
      </c>
      <c r="N24" s="34">
        <f>H24*VLOOKUP($N$2,'Unit Price'!$B$3:$C$19,2,0)</f>
        <v>270000</v>
      </c>
      <c r="O24" s="34">
        <f>1*VLOOKUP($O$2,'Unit Price'!$B$3:$C$19,2,0)</f>
        <v>10000</v>
      </c>
      <c r="P24" s="34">
        <f>1*VLOOKUP($P$2,'Unit Price'!$B$3:$C$19,2,0)</f>
        <v>8000</v>
      </c>
      <c r="Q24" s="34">
        <f>G24*2*VLOOKUP($Q$2,'Unit Price'!$B$3:$C$19,2,0)</f>
        <v>45000</v>
      </c>
      <c r="R24" s="34">
        <f>H24*3*VLOOKUP($R$2,'Unit Price'!$B$3:$C$19,2,0)</f>
        <v>112500</v>
      </c>
      <c r="S24" s="34">
        <f>IF(F24&lt;=2.2,3*VLOOKUP($S$2,'Unit Price'!$B$3:$C$19,2,0),5*VLOOKUP($S$2,'Unit Price'!$B$3:$C$19,2,0))</f>
        <v>30000</v>
      </c>
      <c r="T24" s="34">
        <f>IF(F24&lt;=2.06,VLOOKUP($T$2,'Unit Price'!$B$3:$C$19,2,0),0)</f>
        <v>795000</v>
      </c>
      <c r="U24" s="34">
        <f>IF(F24&lt;=2.06,VLOOKUP($U$2,'Unit Price'!$B$3:$C$19,2,0),0)</f>
        <v>245000</v>
      </c>
      <c r="V24" s="34">
        <f>IF(AND(F24&gt;2.06,F24&lt;2.5),VLOOKUP($V$2,'Unit Price'!$B$3:$C$19,2,0),0)</f>
        <v>0</v>
      </c>
      <c r="W24" s="34">
        <f>IF(AND(F24&gt;2.06,F24&lt;2.5),VLOOKUP($W$2,'Unit Price'!$B$3:$C$19,2,0),0)</f>
        <v>0</v>
      </c>
      <c r="X24" s="34">
        <f>IF(F24&gt;2.5,VLOOKUP($X$2,'Unit Price'!$B$3:$C$19,2,0),0)</f>
        <v>0</v>
      </c>
      <c r="Y24" s="34">
        <f>IF(F24&gt;2.5,VLOOKUP($Y$2,'Unit Price'!$B$3:$C$19,2,0),0)</f>
        <v>0</v>
      </c>
      <c r="Z24" s="34">
        <f>IF(F24&lt;2.5,6*VLOOKUP($Z$2,'Unit Price'!$B$3:$C$19,2,0),0)</f>
        <v>132000</v>
      </c>
      <c r="AA24" s="34">
        <f>IF(F24&lt;2.5,3*VLOOKUP($AA$2,'Unit Price'!$B$3:$C$19,2,0),0)</f>
        <v>165000</v>
      </c>
      <c r="AB24" s="34">
        <f>IF(F24&gt;2.5,6*VLOOKUP($AB$2,'Unit Price'!$B$3:$C$19,2,0),0)</f>
        <v>0</v>
      </c>
      <c r="AC24" s="34">
        <f>IF(F24&gt;2.5,3*VLOOKUP($AC$2,'Unit Price'!$B$3:$C$19,2,0),0)</f>
        <v>0</v>
      </c>
      <c r="AD24" s="36"/>
      <c r="AE24" s="46">
        <f t="shared" si="2"/>
        <v>1812500</v>
      </c>
      <c r="AF24" s="66">
        <f t="shared" si="3"/>
        <v>7500</v>
      </c>
    </row>
    <row r="25" spans="1:32">
      <c r="A25" s="17">
        <v>23</v>
      </c>
      <c r="B25" s="5" t="s">
        <v>59</v>
      </c>
      <c r="C25" s="5" t="s">
        <v>60</v>
      </c>
      <c r="D25" s="5" t="s">
        <v>37</v>
      </c>
      <c r="E25" s="5">
        <v>3.0390999999999999</v>
      </c>
      <c r="F25" s="18">
        <v>2</v>
      </c>
      <c r="G25" s="5">
        <v>14</v>
      </c>
      <c r="H25" s="50">
        <v>13</v>
      </c>
      <c r="I25" s="58">
        <v>182</v>
      </c>
      <c r="J25" s="5">
        <f t="shared" si="0"/>
        <v>0.65</v>
      </c>
      <c r="K25" s="36">
        <v>2800000</v>
      </c>
      <c r="L25" s="37">
        <f t="shared" si="1"/>
        <v>1820000</v>
      </c>
      <c r="N25" s="34">
        <f>H25*VLOOKUP($N$2,'Unit Price'!$B$3:$C$19,2,0)</f>
        <v>234000</v>
      </c>
      <c r="O25" s="34">
        <f>1*VLOOKUP($O$2,'Unit Price'!$B$3:$C$19,2,0)</f>
        <v>10000</v>
      </c>
      <c r="P25" s="34">
        <f>1*VLOOKUP($P$2,'Unit Price'!$B$3:$C$19,2,0)</f>
        <v>8000</v>
      </c>
      <c r="Q25" s="34">
        <f>G25*2*VLOOKUP($Q$2,'Unit Price'!$B$3:$C$19,2,0)</f>
        <v>42000</v>
      </c>
      <c r="R25" s="34">
        <f>H25*3*VLOOKUP($R$2,'Unit Price'!$B$3:$C$19,2,0)</f>
        <v>97500</v>
      </c>
      <c r="S25" s="34">
        <f>IF(F25&lt;=2.2,3*VLOOKUP($S$2,'Unit Price'!$B$3:$C$19,2,0),5*VLOOKUP($S$2,'Unit Price'!$B$3:$C$19,2,0))</f>
        <v>30000</v>
      </c>
      <c r="T25" s="34">
        <f>IF(F25&lt;=2.06,VLOOKUP($T$2,'Unit Price'!$B$3:$C$19,2,0),0)</f>
        <v>795000</v>
      </c>
      <c r="U25" s="34">
        <f>IF(F25&lt;=2.06,VLOOKUP($U$2,'Unit Price'!$B$3:$C$19,2,0),0)</f>
        <v>245000</v>
      </c>
      <c r="V25" s="34">
        <f>IF(AND(F25&gt;2.06,F25&lt;2.5),VLOOKUP($V$2,'Unit Price'!$B$3:$C$19,2,0),0)</f>
        <v>0</v>
      </c>
      <c r="W25" s="34">
        <f>IF(AND(F25&gt;2.06,F25&lt;2.5),VLOOKUP($W$2,'Unit Price'!$B$3:$C$19,2,0),0)</f>
        <v>0</v>
      </c>
      <c r="X25" s="34">
        <f>IF(F25&gt;2.5,VLOOKUP($X$2,'Unit Price'!$B$3:$C$19,2,0),0)</f>
        <v>0</v>
      </c>
      <c r="Y25" s="34">
        <f>IF(F25&gt;2.5,VLOOKUP($Y$2,'Unit Price'!$B$3:$C$19,2,0),0)</f>
        <v>0</v>
      </c>
      <c r="Z25" s="34">
        <f>IF(F25&lt;2.5,6*VLOOKUP($Z$2,'Unit Price'!$B$3:$C$19,2,0),0)</f>
        <v>132000</v>
      </c>
      <c r="AA25" s="34">
        <f>IF(F25&lt;2.5,3*VLOOKUP($AA$2,'Unit Price'!$B$3:$C$19,2,0),0)</f>
        <v>165000</v>
      </c>
      <c r="AB25" s="34">
        <f>IF(F25&gt;2.5,6*VLOOKUP($AB$2,'Unit Price'!$B$3:$C$19,2,0),0)</f>
        <v>0</v>
      </c>
      <c r="AC25" s="34">
        <f>IF(F25&gt;2.5,3*VLOOKUP($AC$2,'Unit Price'!$B$3:$C$19,2,0),0)</f>
        <v>0</v>
      </c>
      <c r="AD25" s="36"/>
      <c r="AE25" s="46">
        <f t="shared" si="2"/>
        <v>1758500</v>
      </c>
      <c r="AF25" s="66">
        <f t="shared" si="3"/>
        <v>61500</v>
      </c>
    </row>
    <row r="26" spans="1:32">
      <c r="A26" s="17">
        <v>24</v>
      </c>
      <c r="B26" s="5" t="s">
        <v>61</v>
      </c>
      <c r="C26" s="5" t="s">
        <v>62</v>
      </c>
      <c r="D26" s="5" t="s">
        <v>37</v>
      </c>
      <c r="E26" s="5">
        <v>4.4469000000000003</v>
      </c>
      <c r="F26" s="18">
        <v>2</v>
      </c>
      <c r="G26" s="5">
        <v>12</v>
      </c>
      <c r="H26" s="50">
        <v>11</v>
      </c>
      <c r="I26" s="58">
        <v>132</v>
      </c>
      <c r="J26" s="5">
        <f t="shared" si="0"/>
        <v>0.65</v>
      </c>
      <c r="K26" s="36">
        <v>2800000</v>
      </c>
      <c r="L26" s="37">
        <f t="shared" si="1"/>
        <v>1820000</v>
      </c>
      <c r="N26" s="34">
        <f>H26*VLOOKUP($N$2,'Unit Price'!$B$3:$C$19,2,0)</f>
        <v>198000</v>
      </c>
      <c r="O26" s="34">
        <f>1*VLOOKUP($O$2,'Unit Price'!$B$3:$C$19,2,0)</f>
        <v>10000</v>
      </c>
      <c r="P26" s="34">
        <f>1*VLOOKUP($P$2,'Unit Price'!$B$3:$C$19,2,0)</f>
        <v>8000</v>
      </c>
      <c r="Q26" s="34">
        <f>G26*2*VLOOKUP($Q$2,'Unit Price'!$B$3:$C$19,2,0)</f>
        <v>36000</v>
      </c>
      <c r="R26" s="34">
        <f>H26*3*VLOOKUP($R$2,'Unit Price'!$B$3:$C$19,2,0)</f>
        <v>82500</v>
      </c>
      <c r="S26" s="34">
        <f>IF(F26&lt;=2.2,3*VLOOKUP($S$2,'Unit Price'!$B$3:$C$19,2,0),5*VLOOKUP($S$2,'Unit Price'!$B$3:$C$19,2,0))</f>
        <v>30000</v>
      </c>
      <c r="T26" s="34">
        <f>IF(F26&lt;=2.06,VLOOKUP($T$2,'Unit Price'!$B$3:$C$19,2,0),0)</f>
        <v>795000</v>
      </c>
      <c r="U26" s="34">
        <f>IF(F26&lt;=2.06,VLOOKUP($U$2,'Unit Price'!$B$3:$C$19,2,0),0)</f>
        <v>245000</v>
      </c>
      <c r="V26" s="34">
        <f>IF(AND(F26&gt;2.06,F26&lt;2.5),VLOOKUP($V$2,'Unit Price'!$B$3:$C$19,2,0),0)</f>
        <v>0</v>
      </c>
      <c r="W26" s="34">
        <f>IF(AND(F26&gt;2.06,F26&lt;2.5),VLOOKUP($W$2,'Unit Price'!$B$3:$C$19,2,0),0)</f>
        <v>0</v>
      </c>
      <c r="X26" s="34">
        <f>IF(F26&gt;2.5,VLOOKUP($X$2,'Unit Price'!$B$3:$C$19,2,0),0)</f>
        <v>0</v>
      </c>
      <c r="Y26" s="34">
        <f>IF(F26&gt;2.5,VLOOKUP($Y$2,'Unit Price'!$B$3:$C$19,2,0),0)</f>
        <v>0</v>
      </c>
      <c r="Z26" s="34">
        <f>IF(F26&lt;2.5,6*VLOOKUP($Z$2,'Unit Price'!$B$3:$C$19,2,0),0)</f>
        <v>132000</v>
      </c>
      <c r="AA26" s="34">
        <f>IF(F26&lt;2.5,3*VLOOKUP($AA$2,'Unit Price'!$B$3:$C$19,2,0),0)</f>
        <v>165000</v>
      </c>
      <c r="AB26" s="34">
        <f>IF(F26&gt;2.5,6*VLOOKUP($AB$2,'Unit Price'!$B$3:$C$19,2,0),0)</f>
        <v>0</v>
      </c>
      <c r="AC26" s="34">
        <f>IF(F26&gt;2.5,3*VLOOKUP($AC$2,'Unit Price'!$B$3:$C$19,2,0),0)</f>
        <v>0</v>
      </c>
      <c r="AD26" s="36"/>
      <c r="AE26" s="46">
        <f t="shared" si="2"/>
        <v>1701500</v>
      </c>
      <c r="AF26" s="66">
        <f t="shared" si="3"/>
        <v>118500</v>
      </c>
    </row>
    <row r="27" spans="1:32">
      <c r="A27" s="17">
        <v>25</v>
      </c>
      <c r="B27" s="5" t="s">
        <v>63</v>
      </c>
      <c r="C27" s="5" t="s">
        <v>64</v>
      </c>
      <c r="D27" s="5" t="s">
        <v>65</v>
      </c>
      <c r="E27" s="5">
        <v>5.9560000000000004</v>
      </c>
      <c r="F27" s="18">
        <v>2</v>
      </c>
      <c r="G27" s="5">
        <v>11</v>
      </c>
      <c r="H27" s="50">
        <v>8</v>
      </c>
      <c r="I27" s="58">
        <v>88</v>
      </c>
      <c r="J27" s="5">
        <f t="shared" si="0"/>
        <v>0.65</v>
      </c>
      <c r="K27" s="36">
        <v>2800000</v>
      </c>
      <c r="L27" s="37">
        <f t="shared" si="1"/>
        <v>1820000</v>
      </c>
      <c r="N27" s="34">
        <f>H27*VLOOKUP($N$2,'Unit Price'!$B$3:$C$19,2,0)</f>
        <v>144000</v>
      </c>
      <c r="O27" s="34">
        <f>1*VLOOKUP($O$2,'Unit Price'!$B$3:$C$19,2,0)</f>
        <v>10000</v>
      </c>
      <c r="P27" s="34">
        <f>1*VLOOKUP($P$2,'Unit Price'!$B$3:$C$19,2,0)</f>
        <v>8000</v>
      </c>
      <c r="Q27" s="34">
        <f>G27*2*VLOOKUP($Q$2,'Unit Price'!$B$3:$C$19,2,0)</f>
        <v>33000</v>
      </c>
      <c r="R27" s="34">
        <f>H27*3*VLOOKUP($R$2,'Unit Price'!$B$3:$C$19,2,0)</f>
        <v>60000</v>
      </c>
      <c r="S27" s="34">
        <f>IF(F27&lt;=2.2,3*VLOOKUP($S$2,'Unit Price'!$B$3:$C$19,2,0),5*VLOOKUP($S$2,'Unit Price'!$B$3:$C$19,2,0))</f>
        <v>30000</v>
      </c>
      <c r="T27" s="34">
        <f>IF(F27&lt;=2.06,VLOOKUP($T$2,'Unit Price'!$B$3:$C$19,2,0),0)</f>
        <v>795000</v>
      </c>
      <c r="U27" s="34">
        <f>IF(F27&lt;=2.06,VLOOKUP($U$2,'Unit Price'!$B$3:$C$19,2,0),0)</f>
        <v>245000</v>
      </c>
      <c r="V27" s="34">
        <f>IF(AND(F27&gt;2.06,F27&lt;2.5),VLOOKUP($V$2,'Unit Price'!$B$3:$C$19,2,0),0)</f>
        <v>0</v>
      </c>
      <c r="W27" s="34">
        <f>IF(AND(F27&gt;2.06,F27&lt;2.5),VLOOKUP($W$2,'Unit Price'!$B$3:$C$19,2,0),0)</f>
        <v>0</v>
      </c>
      <c r="X27" s="34">
        <f>IF(F27&gt;2.5,VLOOKUP($X$2,'Unit Price'!$B$3:$C$19,2,0),0)</f>
        <v>0</v>
      </c>
      <c r="Y27" s="34">
        <f>IF(F27&gt;2.5,VLOOKUP($Y$2,'Unit Price'!$B$3:$C$19,2,0),0)</f>
        <v>0</v>
      </c>
      <c r="Z27" s="34">
        <f>IF(F27&lt;2.5,6*VLOOKUP($Z$2,'Unit Price'!$B$3:$C$19,2,0),0)</f>
        <v>132000</v>
      </c>
      <c r="AA27" s="34">
        <f>IF(F27&lt;2.5,3*VLOOKUP($AA$2,'Unit Price'!$B$3:$C$19,2,0),0)</f>
        <v>165000</v>
      </c>
      <c r="AB27" s="34">
        <f>IF(F27&gt;2.5,6*VLOOKUP($AB$2,'Unit Price'!$B$3:$C$19,2,0),0)</f>
        <v>0</v>
      </c>
      <c r="AC27" s="34">
        <f>IF(F27&gt;2.5,3*VLOOKUP($AC$2,'Unit Price'!$B$3:$C$19,2,0),0)</f>
        <v>0</v>
      </c>
      <c r="AD27" s="36"/>
      <c r="AE27" s="46">
        <f t="shared" si="2"/>
        <v>1622000</v>
      </c>
      <c r="AF27" s="66">
        <f t="shared" si="3"/>
        <v>198000</v>
      </c>
    </row>
    <row r="28" spans="1:32">
      <c r="A28" s="17">
        <v>26</v>
      </c>
      <c r="B28" s="5" t="s">
        <v>66</v>
      </c>
      <c r="C28" s="5" t="s">
        <v>67</v>
      </c>
      <c r="D28" s="5" t="s">
        <v>65</v>
      </c>
      <c r="E28" s="5">
        <v>8.8884000000000007</v>
      </c>
      <c r="F28" s="18">
        <v>2</v>
      </c>
      <c r="G28" s="5">
        <v>10</v>
      </c>
      <c r="H28" s="50">
        <v>7</v>
      </c>
      <c r="I28" s="58">
        <v>70</v>
      </c>
      <c r="J28" s="5">
        <f t="shared" si="0"/>
        <v>0.65</v>
      </c>
      <c r="K28" s="36">
        <v>2800000</v>
      </c>
      <c r="L28" s="37">
        <f t="shared" si="1"/>
        <v>1820000</v>
      </c>
      <c r="N28" s="34">
        <f>H28*VLOOKUP($N$2,'Unit Price'!$B$3:$C$19,2,0)</f>
        <v>126000</v>
      </c>
      <c r="O28" s="34">
        <f>1*VLOOKUP($O$2,'Unit Price'!$B$3:$C$19,2,0)</f>
        <v>10000</v>
      </c>
      <c r="P28" s="34">
        <f>1*VLOOKUP($P$2,'Unit Price'!$B$3:$C$19,2,0)</f>
        <v>8000</v>
      </c>
      <c r="Q28" s="34">
        <f>G28*2*VLOOKUP($Q$2,'Unit Price'!$B$3:$C$19,2,0)</f>
        <v>30000</v>
      </c>
      <c r="R28" s="34">
        <f>H28*3*VLOOKUP($R$2,'Unit Price'!$B$3:$C$19,2,0)</f>
        <v>52500</v>
      </c>
      <c r="S28" s="34">
        <f>IF(F28&lt;=2.2,3*VLOOKUP($S$2,'Unit Price'!$B$3:$C$19,2,0),5*VLOOKUP($S$2,'Unit Price'!$B$3:$C$19,2,0))</f>
        <v>30000</v>
      </c>
      <c r="T28" s="34">
        <f>IF(F28&lt;=2.06,VLOOKUP($T$2,'Unit Price'!$B$3:$C$19,2,0),0)</f>
        <v>795000</v>
      </c>
      <c r="U28" s="34">
        <f>IF(F28&lt;=2.06,VLOOKUP($U$2,'Unit Price'!$B$3:$C$19,2,0),0)</f>
        <v>245000</v>
      </c>
      <c r="V28" s="34">
        <f>IF(AND(F28&gt;2.06,F28&lt;2.5),VLOOKUP($V$2,'Unit Price'!$B$3:$C$19,2,0),0)</f>
        <v>0</v>
      </c>
      <c r="W28" s="34">
        <f>IF(AND(F28&gt;2.06,F28&lt;2.5),VLOOKUP($W$2,'Unit Price'!$B$3:$C$19,2,0),0)</f>
        <v>0</v>
      </c>
      <c r="X28" s="34">
        <f>IF(F28&gt;2.5,VLOOKUP($X$2,'Unit Price'!$B$3:$C$19,2,0),0)</f>
        <v>0</v>
      </c>
      <c r="Y28" s="34">
        <f>IF(F28&gt;2.5,VLOOKUP($Y$2,'Unit Price'!$B$3:$C$19,2,0),0)</f>
        <v>0</v>
      </c>
      <c r="Z28" s="34">
        <f>IF(F28&lt;2.5,6*VLOOKUP($Z$2,'Unit Price'!$B$3:$C$19,2,0),0)</f>
        <v>132000</v>
      </c>
      <c r="AA28" s="34">
        <f>IF(F28&lt;2.5,3*VLOOKUP($AA$2,'Unit Price'!$B$3:$C$19,2,0),0)</f>
        <v>165000</v>
      </c>
      <c r="AB28" s="34">
        <f>IF(F28&gt;2.5,6*VLOOKUP($AB$2,'Unit Price'!$B$3:$C$19,2,0),0)</f>
        <v>0</v>
      </c>
      <c r="AC28" s="34">
        <f>IF(F28&gt;2.5,3*VLOOKUP($AC$2,'Unit Price'!$B$3:$C$19,2,0),0)</f>
        <v>0</v>
      </c>
      <c r="AD28" s="36"/>
      <c r="AE28" s="46">
        <f t="shared" si="2"/>
        <v>1593500</v>
      </c>
      <c r="AF28" s="66">
        <f t="shared" si="3"/>
        <v>226500</v>
      </c>
    </row>
    <row r="29" spans="1:32">
      <c r="A29" s="17">
        <v>27</v>
      </c>
      <c r="B29" s="5" t="s">
        <v>68</v>
      </c>
      <c r="C29" s="5" t="s">
        <v>69</v>
      </c>
      <c r="D29" s="5" t="s">
        <v>70</v>
      </c>
      <c r="E29" s="5">
        <v>12.93</v>
      </c>
      <c r="F29" s="18">
        <v>3</v>
      </c>
      <c r="G29" s="5">
        <v>11</v>
      </c>
      <c r="H29" s="50">
        <v>7</v>
      </c>
      <c r="I29" s="58">
        <v>77</v>
      </c>
      <c r="J29" s="5">
        <f t="shared" si="0"/>
        <v>1</v>
      </c>
      <c r="K29" s="36">
        <v>2800000</v>
      </c>
      <c r="L29" s="37">
        <f t="shared" si="1"/>
        <v>2800000</v>
      </c>
      <c r="N29" s="34">
        <f>H29*VLOOKUP($N$2,'Unit Price'!$B$3:$C$19,2,0)</f>
        <v>126000</v>
      </c>
      <c r="O29" s="34">
        <f>1*VLOOKUP($O$2,'Unit Price'!$B$3:$C$19,2,0)</f>
        <v>10000</v>
      </c>
      <c r="P29" s="34">
        <f>1*VLOOKUP($P$2,'Unit Price'!$B$3:$C$19,2,0)</f>
        <v>8000</v>
      </c>
      <c r="Q29" s="34">
        <f>G29*2*VLOOKUP($Q$2,'Unit Price'!$B$3:$C$19,2,0)</f>
        <v>33000</v>
      </c>
      <c r="R29" s="34">
        <f>H29*3*VLOOKUP($R$2,'Unit Price'!$B$3:$C$19,2,0)</f>
        <v>52500</v>
      </c>
      <c r="S29" s="34">
        <f>IF(F29&lt;=2.2,3*VLOOKUP($S$2,'Unit Price'!$B$3:$C$19,2,0),5*VLOOKUP($S$2,'Unit Price'!$B$3:$C$19,2,0))</f>
        <v>50000</v>
      </c>
      <c r="T29" s="34">
        <f>IF(F29&lt;=2.06,VLOOKUP($T$2,'Unit Price'!$B$3:$C$19,2,0),0)</f>
        <v>0</v>
      </c>
      <c r="U29" s="34">
        <f>IF(F29&lt;=2.06,VLOOKUP($U$2,'Unit Price'!$B$3:$C$19,2,0),0)</f>
        <v>0</v>
      </c>
      <c r="V29" s="34">
        <f>IF(AND(F29&gt;2.06,F29&lt;2.5),VLOOKUP($V$2,'Unit Price'!$B$3:$C$19,2,0),0)</f>
        <v>0</v>
      </c>
      <c r="W29" s="34">
        <f>IF(AND(F29&gt;2.06,F29&lt;2.5),VLOOKUP($W$2,'Unit Price'!$B$3:$C$19,2,0),0)</f>
        <v>0</v>
      </c>
      <c r="X29" s="34">
        <f>IF(F29&gt;2.5,VLOOKUP($X$2,'Unit Price'!$B$3:$C$19,2,0),0)</f>
        <v>1200000</v>
      </c>
      <c r="Y29" s="34">
        <f>IF(F29&gt;2.5,VLOOKUP($Y$2,'Unit Price'!$B$3:$C$19,2,0),0)</f>
        <v>350000</v>
      </c>
      <c r="Z29" s="34">
        <f>IF(F29&lt;2.5,6*VLOOKUP($Z$2,'Unit Price'!$B$3:$C$19,2,0),0)</f>
        <v>0</v>
      </c>
      <c r="AA29" s="34">
        <f>IF(F29&lt;2.5,3*VLOOKUP($AA$2,'Unit Price'!$B$3:$C$19,2,0),0)</f>
        <v>0</v>
      </c>
      <c r="AB29" s="34">
        <f>IF(F29&gt;2.5,6*VLOOKUP($AB$2,'Unit Price'!$B$3:$C$19,2,0),0)</f>
        <v>375000</v>
      </c>
      <c r="AC29" s="34">
        <f>IF(F29&gt;2.5,3*VLOOKUP($AC$2,'Unit Price'!$B$3:$C$19,2,0),0)</f>
        <v>216000</v>
      </c>
      <c r="AD29" s="36"/>
      <c r="AE29" s="46">
        <f t="shared" si="2"/>
        <v>2420500</v>
      </c>
      <c r="AF29" s="66">
        <f t="shared" si="3"/>
        <v>379500</v>
      </c>
    </row>
    <row r="30" spans="1:32">
      <c r="A30" s="17">
        <v>28</v>
      </c>
      <c r="B30" s="5" t="s">
        <v>71</v>
      </c>
      <c r="C30" s="5" t="s">
        <v>72</v>
      </c>
      <c r="D30" s="5" t="s">
        <v>73</v>
      </c>
      <c r="E30" s="5">
        <v>9.1861999999999995</v>
      </c>
      <c r="F30" s="18">
        <v>3</v>
      </c>
      <c r="G30" s="5">
        <v>14</v>
      </c>
      <c r="H30" s="50">
        <v>9</v>
      </c>
      <c r="I30" s="58">
        <v>126</v>
      </c>
      <c r="J30" s="5">
        <f t="shared" si="0"/>
        <v>1</v>
      </c>
      <c r="K30" s="36">
        <v>2800000</v>
      </c>
      <c r="L30" s="37">
        <f t="shared" si="1"/>
        <v>2800000</v>
      </c>
      <c r="N30" s="34">
        <f>H30*VLOOKUP($N$2,'Unit Price'!$B$3:$C$19,2,0)</f>
        <v>162000</v>
      </c>
      <c r="O30" s="34">
        <f>1*VLOOKUP($O$2,'Unit Price'!$B$3:$C$19,2,0)</f>
        <v>10000</v>
      </c>
      <c r="P30" s="34">
        <f>1*VLOOKUP($P$2,'Unit Price'!$B$3:$C$19,2,0)</f>
        <v>8000</v>
      </c>
      <c r="Q30" s="34">
        <f>G30*2*VLOOKUP($Q$2,'Unit Price'!$B$3:$C$19,2,0)</f>
        <v>42000</v>
      </c>
      <c r="R30" s="34">
        <f>H30*3*VLOOKUP($R$2,'Unit Price'!$B$3:$C$19,2,0)</f>
        <v>67500</v>
      </c>
      <c r="S30" s="34">
        <f>IF(F30&lt;=2.2,3*VLOOKUP($S$2,'Unit Price'!$B$3:$C$19,2,0),5*VLOOKUP($S$2,'Unit Price'!$B$3:$C$19,2,0))</f>
        <v>50000</v>
      </c>
      <c r="T30" s="34">
        <f>IF(F30&lt;=2.06,VLOOKUP($T$2,'Unit Price'!$B$3:$C$19,2,0),0)</f>
        <v>0</v>
      </c>
      <c r="U30" s="34">
        <f>IF(F30&lt;=2.06,VLOOKUP($U$2,'Unit Price'!$B$3:$C$19,2,0),0)</f>
        <v>0</v>
      </c>
      <c r="V30" s="34">
        <f>IF(AND(F30&gt;2.06,F30&lt;2.5),VLOOKUP($V$2,'Unit Price'!$B$3:$C$19,2,0),0)</f>
        <v>0</v>
      </c>
      <c r="W30" s="34">
        <f>IF(AND(F30&gt;2.06,F30&lt;2.5),VLOOKUP($W$2,'Unit Price'!$B$3:$C$19,2,0),0)</f>
        <v>0</v>
      </c>
      <c r="X30" s="34">
        <f>IF(F30&gt;2.5,VLOOKUP($X$2,'Unit Price'!$B$3:$C$19,2,0),0)</f>
        <v>1200000</v>
      </c>
      <c r="Y30" s="34">
        <f>IF(F30&gt;2.5,VLOOKUP($Y$2,'Unit Price'!$B$3:$C$19,2,0),0)</f>
        <v>350000</v>
      </c>
      <c r="Z30" s="34">
        <f>IF(F30&lt;2.5,6*VLOOKUP($Z$2,'Unit Price'!$B$3:$C$19,2,0),0)</f>
        <v>0</v>
      </c>
      <c r="AA30" s="34">
        <f>IF(F30&lt;2.5,3*VLOOKUP($AA$2,'Unit Price'!$B$3:$C$19,2,0),0)</f>
        <v>0</v>
      </c>
      <c r="AB30" s="34">
        <f>IF(F30&gt;2.5,6*VLOOKUP($AB$2,'Unit Price'!$B$3:$C$19,2,0),0)</f>
        <v>375000</v>
      </c>
      <c r="AC30" s="34">
        <f>IF(F30&gt;2.5,3*VLOOKUP($AC$2,'Unit Price'!$B$3:$C$19,2,0),0)</f>
        <v>216000</v>
      </c>
      <c r="AD30" s="36"/>
      <c r="AE30" s="46">
        <f t="shared" si="2"/>
        <v>2480500</v>
      </c>
      <c r="AF30" s="66">
        <f t="shared" si="3"/>
        <v>319500</v>
      </c>
    </row>
    <row r="31" spans="1:32">
      <c r="A31" s="17">
        <v>29</v>
      </c>
      <c r="B31" s="5" t="s">
        <v>74</v>
      </c>
      <c r="C31" s="5" t="s">
        <v>75</v>
      </c>
      <c r="D31" s="5" t="s">
        <v>37</v>
      </c>
      <c r="E31" s="5">
        <v>4.3837000000000002</v>
      </c>
      <c r="F31" s="18">
        <v>2.2000000000000002</v>
      </c>
      <c r="G31" s="5">
        <v>8</v>
      </c>
      <c r="H31" s="50">
        <v>13</v>
      </c>
      <c r="I31" s="58">
        <v>104</v>
      </c>
      <c r="J31" s="5">
        <f t="shared" si="0"/>
        <v>0.7</v>
      </c>
      <c r="K31" s="36">
        <v>2800000</v>
      </c>
      <c r="L31" s="37">
        <f t="shared" si="1"/>
        <v>1959999.9999999998</v>
      </c>
      <c r="N31" s="34">
        <f>H31*VLOOKUP($N$2,'Unit Price'!$B$3:$C$19,2,0)</f>
        <v>234000</v>
      </c>
      <c r="O31" s="34">
        <f>1*VLOOKUP($O$2,'Unit Price'!$B$3:$C$19,2,0)</f>
        <v>10000</v>
      </c>
      <c r="P31" s="34">
        <f>1*VLOOKUP($P$2,'Unit Price'!$B$3:$C$19,2,0)</f>
        <v>8000</v>
      </c>
      <c r="Q31" s="34">
        <f>G31*2*VLOOKUP($Q$2,'Unit Price'!$B$3:$C$19,2,0)</f>
        <v>24000</v>
      </c>
      <c r="R31" s="34">
        <f>H31*3*VLOOKUP($R$2,'Unit Price'!$B$3:$C$19,2,0)</f>
        <v>97500</v>
      </c>
      <c r="S31" s="34">
        <f>IF(F31&lt;=2.2,3*VLOOKUP($S$2,'Unit Price'!$B$3:$C$19,2,0),5*VLOOKUP($S$2,'Unit Price'!$B$3:$C$19,2,0))</f>
        <v>30000</v>
      </c>
      <c r="T31" s="34">
        <f>IF(F31&lt;=2.06,VLOOKUP($T$2,'Unit Price'!$B$3:$C$19,2,0),0)</f>
        <v>0</v>
      </c>
      <c r="U31" s="34">
        <f>IF(F31&lt;=2.06,VLOOKUP($U$2,'Unit Price'!$B$3:$C$19,2,0),0)</f>
        <v>0</v>
      </c>
      <c r="V31" s="34">
        <f>IF(AND(F31&gt;2.06,F31&lt;2.5),VLOOKUP($V$2,'Unit Price'!$B$3:$C$19,2,0),0)</f>
        <v>860000</v>
      </c>
      <c r="W31" s="34">
        <f>IF(AND(F31&gt;2.06,F31&lt;2.5),VLOOKUP($W$2,'Unit Price'!$B$3:$C$19,2,0),0)</f>
        <v>276000</v>
      </c>
      <c r="X31" s="34">
        <f>IF(F31&gt;2.5,VLOOKUP($X$2,'Unit Price'!$B$3:$C$19,2,0),0)</f>
        <v>0</v>
      </c>
      <c r="Y31" s="34">
        <f>IF(F31&gt;2.5,VLOOKUP($Y$2,'Unit Price'!$B$3:$C$19,2,0),0)</f>
        <v>0</v>
      </c>
      <c r="Z31" s="34">
        <f>IF(F31&lt;2.5,6*VLOOKUP($Z$2,'Unit Price'!$B$3:$C$19,2,0),0)</f>
        <v>132000</v>
      </c>
      <c r="AA31" s="34">
        <f>IF(F31&lt;2.5,3*VLOOKUP($AA$2,'Unit Price'!$B$3:$C$19,2,0),0)</f>
        <v>165000</v>
      </c>
      <c r="AB31" s="34">
        <f>IF(F31&gt;2.5,6*VLOOKUP($AB$2,'Unit Price'!$B$3:$C$19,2,0),0)</f>
        <v>0</v>
      </c>
      <c r="AC31" s="34">
        <f>IF(F31&gt;2.5,3*VLOOKUP($AC$2,'Unit Price'!$B$3:$C$19,2,0),0)</f>
        <v>0</v>
      </c>
      <c r="AD31" s="36"/>
      <c r="AE31" s="46">
        <f t="shared" si="2"/>
        <v>1836500</v>
      </c>
      <c r="AF31" s="66">
        <f t="shared" si="3"/>
        <v>123499.99999999977</v>
      </c>
    </row>
    <row r="32" spans="1:32">
      <c r="A32" s="17">
        <v>30</v>
      </c>
      <c r="B32" s="5" t="s">
        <v>76</v>
      </c>
      <c r="C32" s="5" t="s">
        <v>77</v>
      </c>
      <c r="D32" s="5" t="s">
        <v>37</v>
      </c>
      <c r="E32" s="5">
        <v>6.9630000000000001</v>
      </c>
      <c r="F32" s="18">
        <v>2.0499999999999998</v>
      </c>
      <c r="G32" s="5">
        <v>7</v>
      </c>
      <c r="H32" s="50">
        <v>9</v>
      </c>
      <c r="I32" s="58">
        <v>63</v>
      </c>
      <c r="J32" s="5">
        <f t="shared" si="0"/>
        <v>0.65</v>
      </c>
      <c r="K32" s="36">
        <v>2800000</v>
      </c>
      <c r="L32" s="37">
        <f t="shared" si="1"/>
        <v>1820000</v>
      </c>
      <c r="N32" s="34">
        <f>H32*VLOOKUP($N$2,'Unit Price'!$B$3:$C$19,2,0)</f>
        <v>162000</v>
      </c>
      <c r="O32" s="34">
        <f>1*VLOOKUP($O$2,'Unit Price'!$B$3:$C$19,2,0)</f>
        <v>10000</v>
      </c>
      <c r="P32" s="34">
        <f>1*VLOOKUP($P$2,'Unit Price'!$B$3:$C$19,2,0)</f>
        <v>8000</v>
      </c>
      <c r="Q32" s="34">
        <f>G32*2*VLOOKUP($Q$2,'Unit Price'!$B$3:$C$19,2,0)</f>
        <v>21000</v>
      </c>
      <c r="R32" s="34">
        <f>H32*3*VLOOKUP($R$2,'Unit Price'!$B$3:$C$19,2,0)</f>
        <v>67500</v>
      </c>
      <c r="S32" s="34">
        <f>IF(F32&lt;=2.2,3*VLOOKUP($S$2,'Unit Price'!$B$3:$C$19,2,0),5*VLOOKUP($S$2,'Unit Price'!$B$3:$C$19,2,0))</f>
        <v>30000</v>
      </c>
      <c r="T32" s="34">
        <f>IF(F32&lt;=2.06,VLOOKUP($T$2,'Unit Price'!$B$3:$C$19,2,0),0)</f>
        <v>795000</v>
      </c>
      <c r="U32" s="34">
        <f>IF(F32&lt;=2.06,VLOOKUP($U$2,'Unit Price'!$B$3:$C$19,2,0),0)</f>
        <v>245000</v>
      </c>
      <c r="V32" s="34">
        <f>IF(AND(F32&gt;2.06,F32&lt;2.5),VLOOKUP($V$2,'Unit Price'!$B$3:$C$19,2,0),0)</f>
        <v>0</v>
      </c>
      <c r="W32" s="34">
        <f>IF(AND(F32&gt;2.06,F32&lt;2.5),VLOOKUP($W$2,'Unit Price'!$B$3:$C$19,2,0),0)</f>
        <v>0</v>
      </c>
      <c r="X32" s="34">
        <f>IF(F32&gt;2.5,VLOOKUP($X$2,'Unit Price'!$B$3:$C$19,2,0),0)</f>
        <v>0</v>
      </c>
      <c r="Y32" s="34">
        <f>IF(F32&gt;2.5,VLOOKUP($Y$2,'Unit Price'!$B$3:$C$19,2,0),0)</f>
        <v>0</v>
      </c>
      <c r="Z32" s="34">
        <f>IF(F32&lt;2.5,6*VLOOKUP($Z$2,'Unit Price'!$B$3:$C$19,2,0),0)</f>
        <v>132000</v>
      </c>
      <c r="AA32" s="34">
        <f>IF(F32&lt;2.5,3*VLOOKUP($AA$2,'Unit Price'!$B$3:$C$19,2,0),0)</f>
        <v>165000</v>
      </c>
      <c r="AB32" s="34">
        <f>IF(F32&gt;2.5,6*VLOOKUP($AB$2,'Unit Price'!$B$3:$C$19,2,0),0)</f>
        <v>0</v>
      </c>
      <c r="AC32" s="34">
        <f>IF(F32&gt;2.5,3*VLOOKUP($AC$2,'Unit Price'!$B$3:$C$19,2,0),0)</f>
        <v>0</v>
      </c>
      <c r="AD32" s="36"/>
      <c r="AE32" s="46">
        <f t="shared" si="2"/>
        <v>1635500</v>
      </c>
      <c r="AF32" s="66">
        <f t="shared" si="3"/>
        <v>184500</v>
      </c>
    </row>
    <row r="33" spans="1:32">
      <c r="A33" s="17">
        <v>31</v>
      </c>
      <c r="B33" s="5" t="s">
        <v>78</v>
      </c>
      <c r="C33" s="5" t="s">
        <v>79</v>
      </c>
      <c r="D33" s="5" t="s">
        <v>37</v>
      </c>
      <c r="E33" s="5">
        <v>8.2674000000000003</v>
      </c>
      <c r="F33" s="18">
        <v>2</v>
      </c>
      <c r="G33" s="5">
        <v>6</v>
      </c>
      <c r="H33" s="50">
        <v>8</v>
      </c>
      <c r="I33" s="58">
        <v>48</v>
      </c>
      <c r="J33" s="5">
        <f t="shared" si="0"/>
        <v>0.65</v>
      </c>
      <c r="K33" s="36">
        <v>2800000</v>
      </c>
      <c r="L33" s="37">
        <f t="shared" si="1"/>
        <v>1820000</v>
      </c>
      <c r="N33" s="34">
        <f>H33*VLOOKUP($N$2,'Unit Price'!$B$3:$C$19,2,0)</f>
        <v>144000</v>
      </c>
      <c r="O33" s="34">
        <f>1*VLOOKUP($O$2,'Unit Price'!$B$3:$C$19,2,0)</f>
        <v>10000</v>
      </c>
      <c r="P33" s="34">
        <f>1*VLOOKUP($P$2,'Unit Price'!$B$3:$C$19,2,0)</f>
        <v>8000</v>
      </c>
      <c r="Q33" s="34">
        <f>G33*2*VLOOKUP($Q$2,'Unit Price'!$B$3:$C$19,2,0)</f>
        <v>18000</v>
      </c>
      <c r="R33" s="34">
        <f>H33*3*VLOOKUP($R$2,'Unit Price'!$B$3:$C$19,2,0)</f>
        <v>60000</v>
      </c>
      <c r="S33" s="34">
        <f>IF(F33&lt;=2.2,3*VLOOKUP($S$2,'Unit Price'!$B$3:$C$19,2,0),5*VLOOKUP($S$2,'Unit Price'!$B$3:$C$19,2,0))</f>
        <v>30000</v>
      </c>
      <c r="T33" s="34">
        <f>IF(F33&lt;=2.06,VLOOKUP($T$2,'Unit Price'!$B$3:$C$19,2,0),0)</f>
        <v>795000</v>
      </c>
      <c r="U33" s="34">
        <f>IF(F33&lt;=2.06,VLOOKUP($U$2,'Unit Price'!$B$3:$C$19,2,0),0)</f>
        <v>245000</v>
      </c>
      <c r="V33" s="34">
        <f>IF(AND(F33&gt;2.06,F33&lt;2.5),VLOOKUP($V$2,'Unit Price'!$B$3:$C$19,2,0),0)</f>
        <v>0</v>
      </c>
      <c r="W33" s="34">
        <f>IF(AND(F33&gt;2.06,F33&lt;2.5),VLOOKUP($W$2,'Unit Price'!$B$3:$C$19,2,0),0)</f>
        <v>0</v>
      </c>
      <c r="X33" s="34">
        <f>IF(F33&gt;2.5,VLOOKUP($X$2,'Unit Price'!$B$3:$C$19,2,0),0)</f>
        <v>0</v>
      </c>
      <c r="Y33" s="34">
        <f>IF(F33&gt;2.5,VLOOKUP($Y$2,'Unit Price'!$B$3:$C$19,2,0),0)</f>
        <v>0</v>
      </c>
      <c r="Z33" s="34">
        <f>IF(F33&lt;2.5,6*VLOOKUP($Z$2,'Unit Price'!$B$3:$C$19,2,0),0)</f>
        <v>132000</v>
      </c>
      <c r="AA33" s="34">
        <f>IF(F33&lt;2.5,3*VLOOKUP($AA$2,'Unit Price'!$B$3:$C$19,2,0),0)</f>
        <v>165000</v>
      </c>
      <c r="AB33" s="34">
        <f>IF(F33&gt;2.5,6*VLOOKUP($AB$2,'Unit Price'!$B$3:$C$19,2,0),0)</f>
        <v>0</v>
      </c>
      <c r="AC33" s="34">
        <f>IF(F33&gt;2.5,3*VLOOKUP($AC$2,'Unit Price'!$B$3:$C$19,2,0),0)</f>
        <v>0</v>
      </c>
      <c r="AD33" s="36"/>
      <c r="AE33" s="46">
        <f t="shared" si="2"/>
        <v>1607000</v>
      </c>
      <c r="AF33" s="66">
        <f t="shared" si="3"/>
        <v>213000</v>
      </c>
    </row>
    <row r="34" spans="1:32">
      <c r="A34" s="17">
        <v>32</v>
      </c>
      <c r="B34" s="5" t="s">
        <v>80</v>
      </c>
      <c r="C34" s="5" t="s">
        <v>81</v>
      </c>
      <c r="D34" s="5" t="s">
        <v>37</v>
      </c>
      <c r="E34" s="5">
        <v>10.7218</v>
      </c>
      <c r="F34" s="18">
        <v>2.15</v>
      </c>
      <c r="G34" s="5">
        <v>6</v>
      </c>
      <c r="H34" s="50">
        <v>8</v>
      </c>
      <c r="I34" s="58">
        <v>48</v>
      </c>
      <c r="J34" s="5">
        <f t="shared" si="0"/>
        <v>0.7</v>
      </c>
      <c r="K34" s="36">
        <v>2800000</v>
      </c>
      <c r="L34" s="37">
        <f t="shared" si="1"/>
        <v>1959999.9999999998</v>
      </c>
      <c r="N34" s="34">
        <f>H34*VLOOKUP($N$2,'Unit Price'!$B$3:$C$19,2,0)</f>
        <v>144000</v>
      </c>
      <c r="O34" s="34">
        <f>1*VLOOKUP($O$2,'Unit Price'!$B$3:$C$19,2,0)</f>
        <v>10000</v>
      </c>
      <c r="P34" s="34">
        <f>1*VLOOKUP($P$2,'Unit Price'!$B$3:$C$19,2,0)</f>
        <v>8000</v>
      </c>
      <c r="Q34" s="34">
        <f>G34*2*VLOOKUP($Q$2,'Unit Price'!$B$3:$C$19,2,0)</f>
        <v>18000</v>
      </c>
      <c r="R34" s="34">
        <f>H34*3*VLOOKUP($R$2,'Unit Price'!$B$3:$C$19,2,0)</f>
        <v>60000</v>
      </c>
      <c r="S34" s="34">
        <f>IF(F34&lt;=2.2,3*VLOOKUP($S$2,'Unit Price'!$B$3:$C$19,2,0),5*VLOOKUP($S$2,'Unit Price'!$B$3:$C$19,2,0))</f>
        <v>30000</v>
      </c>
      <c r="T34" s="34">
        <f>IF(F34&lt;=2.06,VLOOKUP($T$2,'Unit Price'!$B$3:$C$19,2,0),0)</f>
        <v>0</v>
      </c>
      <c r="U34" s="34">
        <f>IF(F34&lt;=2.06,VLOOKUP($U$2,'Unit Price'!$B$3:$C$19,2,0),0)</f>
        <v>0</v>
      </c>
      <c r="V34" s="34">
        <f>IF(AND(F34&gt;2.06,F34&lt;2.5),VLOOKUP($V$2,'Unit Price'!$B$3:$C$19,2,0),0)</f>
        <v>860000</v>
      </c>
      <c r="W34" s="34">
        <f>IF(AND(F34&gt;2.06,F34&lt;2.5),VLOOKUP($W$2,'Unit Price'!$B$3:$C$19,2,0),0)</f>
        <v>276000</v>
      </c>
      <c r="X34" s="34">
        <f>IF(F34&gt;2.5,VLOOKUP($X$2,'Unit Price'!$B$3:$C$19,2,0),0)</f>
        <v>0</v>
      </c>
      <c r="Y34" s="34">
        <f>IF(F34&gt;2.5,VLOOKUP($Y$2,'Unit Price'!$B$3:$C$19,2,0),0)</f>
        <v>0</v>
      </c>
      <c r="Z34" s="34">
        <f>IF(F34&lt;2.5,6*VLOOKUP($Z$2,'Unit Price'!$B$3:$C$19,2,0),0)</f>
        <v>132000</v>
      </c>
      <c r="AA34" s="34">
        <f>IF(F34&lt;2.5,3*VLOOKUP($AA$2,'Unit Price'!$B$3:$C$19,2,0),0)</f>
        <v>165000</v>
      </c>
      <c r="AB34" s="34">
        <f>IF(F34&gt;2.5,6*VLOOKUP($AB$2,'Unit Price'!$B$3:$C$19,2,0),0)</f>
        <v>0</v>
      </c>
      <c r="AC34" s="34">
        <f>IF(F34&gt;2.5,3*VLOOKUP($AC$2,'Unit Price'!$B$3:$C$19,2,0),0)</f>
        <v>0</v>
      </c>
      <c r="AD34" s="36"/>
      <c r="AE34" s="46">
        <f t="shared" si="2"/>
        <v>1703000</v>
      </c>
      <c r="AF34" s="66">
        <f t="shared" si="3"/>
        <v>256999.99999999977</v>
      </c>
    </row>
    <row r="35" spans="1:32">
      <c r="A35" s="17">
        <v>33</v>
      </c>
      <c r="B35" s="5" t="s">
        <v>82</v>
      </c>
      <c r="C35" s="5" t="s">
        <v>83</v>
      </c>
      <c r="D35" s="5" t="s">
        <v>37</v>
      </c>
      <c r="E35" s="5">
        <v>6.6424000000000003</v>
      </c>
      <c r="F35" s="18">
        <v>2.0449999999999999</v>
      </c>
      <c r="G35" s="5">
        <v>9</v>
      </c>
      <c r="H35" s="50">
        <v>8</v>
      </c>
      <c r="I35" s="58">
        <v>72</v>
      </c>
      <c r="J35" s="5">
        <f t="shared" si="0"/>
        <v>0.65</v>
      </c>
      <c r="K35" s="36">
        <v>2800000</v>
      </c>
      <c r="L35" s="37">
        <f t="shared" si="1"/>
        <v>1820000</v>
      </c>
      <c r="N35" s="34">
        <f>H35*VLOOKUP($N$2,'Unit Price'!$B$3:$C$19,2,0)</f>
        <v>144000</v>
      </c>
      <c r="O35" s="34">
        <f>1*VLOOKUP($O$2,'Unit Price'!$B$3:$C$19,2,0)</f>
        <v>10000</v>
      </c>
      <c r="P35" s="34">
        <f>1*VLOOKUP($P$2,'Unit Price'!$B$3:$C$19,2,0)</f>
        <v>8000</v>
      </c>
      <c r="Q35" s="34">
        <f>G35*2*VLOOKUP($Q$2,'Unit Price'!$B$3:$C$19,2,0)</f>
        <v>27000</v>
      </c>
      <c r="R35" s="34">
        <f>H35*3*VLOOKUP($R$2,'Unit Price'!$B$3:$C$19,2,0)</f>
        <v>60000</v>
      </c>
      <c r="S35" s="34">
        <f>IF(F35&lt;=2.2,3*VLOOKUP($S$2,'Unit Price'!$B$3:$C$19,2,0),5*VLOOKUP($S$2,'Unit Price'!$B$3:$C$19,2,0))</f>
        <v>30000</v>
      </c>
      <c r="T35" s="34">
        <f>IF(F35&lt;=2.06,VLOOKUP($T$2,'Unit Price'!$B$3:$C$19,2,0),0)</f>
        <v>795000</v>
      </c>
      <c r="U35" s="34">
        <f>IF(F35&lt;=2.06,VLOOKUP($U$2,'Unit Price'!$B$3:$C$19,2,0),0)</f>
        <v>245000</v>
      </c>
      <c r="V35" s="34">
        <f>IF(AND(F35&gt;2.06,F35&lt;2.5),VLOOKUP($V$2,'Unit Price'!$B$3:$C$19,2,0),0)</f>
        <v>0</v>
      </c>
      <c r="W35" s="34">
        <f>IF(AND(F35&gt;2.06,F35&lt;2.5),VLOOKUP($W$2,'Unit Price'!$B$3:$C$19,2,0),0)</f>
        <v>0</v>
      </c>
      <c r="X35" s="34">
        <f>IF(F35&gt;2.5,VLOOKUP($X$2,'Unit Price'!$B$3:$C$19,2,0),0)</f>
        <v>0</v>
      </c>
      <c r="Y35" s="34">
        <f>IF(F35&gt;2.5,VLOOKUP($Y$2,'Unit Price'!$B$3:$C$19,2,0),0)</f>
        <v>0</v>
      </c>
      <c r="Z35" s="34">
        <f>IF(F35&lt;2.5,6*VLOOKUP($Z$2,'Unit Price'!$B$3:$C$19,2,0),0)</f>
        <v>132000</v>
      </c>
      <c r="AA35" s="34">
        <f>IF(F35&lt;2.5,3*VLOOKUP($AA$2,'Unit Price'!$B$3:$C$19,2,0),0)</f>
        <v>165000</v>
      </c>
      <c r="AB35" s="34">
        <f>IF(F35&gt;2.5,6*VLOOKUP($AB$2,'Unit Price'!$B$3:$C$19,2,0),0)</f>
        <v>0</v>
      </c>
      <c r="AC35" s="34">
        <f>IF(F35&gt;2.5,3*VLOOKUP($AC$2,'Unit Price'!$B$3:$C$19,2,0),0)</f>
        <v>0</v>
      </c>
      <c r="AD35" s="36"/>
      <c r="AE35" s="46">
        <f t="shared" si="2"/>
        <v>1616000</v>
      </c>
      <c r="AF35" s="66">
        <f t="shared" si="3"/>
        <v>204000</v>
      </c>
    </row>
    <row r="36" spans="1:32">
      <c r="A36" s="17">
        <v>34</v>
      </c>
      <c r="B36" s="5" t="s">
        <v>84</v>
      </c>
      <c r="C36" s="5" t="s">
        <v>85</v>
      </c>
      <c r="D36" s="5" t="s">
        <v>37</v>
      </c>
      <c r="E36" s="5">
        <v>9.6531000000000002</v>
      </c>
      <c r="F36" s="18">
        <v>2.0750000000000002</v>
      </c>
      <c r="G36" s="5">
        <v>7</v>
      </c>
      <c r="H36" s="50">
        <v>8</v>
      </c>
      <c r="I36" s="58">
        <v>56</v>
      </c>
      <c r="J36" s="5">
        <f t="shared" si="0"/>
        <v>0.7</v>
      </c>
      <c r="K36" s="36">
        <v>2800000</v>
      </c>
      <c r="L36" s="37">
        <f t="shared" si="1"/>
        <v>1959999.9999999998</v>
      </c>
      <c r="N36" s="34">
        <f>H36*VLOOKUP($N$2,'Unit Price'!$B$3:$C$19,2,0)</f>
        <v>144000</v>
      </c>
      <c r="O36" s="34">
        <f>1*VLOOKUP($O$2,'Unit Price'!$B$3:$C$19,2,0)</f>
        <v>10000</v>
      </c>
      <c r="P36" s="34">
        <f>1*VLOOKUP($P$2,'Unit Price'!$B$3:$C$19,2,0)</f>
        <v>8000</v>
      </c>
      <c r="Q36" s="34">
        <f>G36*2*VLOOKUP($Q$2,'Unit Price'!$B$3:$C$19,2,0)</f>
        <v>21000</v>
      </c>
      <c r="R36" s="34">
        <f>H36*3*VLOOKUP($R$2,'Unit Price'!$B$3:$C$19,2,0)</f>
        <v>60000</v>
      </c>
      <c r="S36" s="34">
        <f>IF(F36&lt;=2.2,3*VLOOKUP($S$2,'Unit Price'!$B$3:$C$19,2,0),5*VLOOKUP($S$2,'Unit Price'!$B$3:$C$19,2,0))</f>
        <v>30000</v>
      </c>
      <c r="T36" s="34">
        <f>IF(F36&lt;=2.06,VLOOKUP($T$2,'Unit Price'!$B$3:$C$19,2,0),0)</f>
        <v>0</v>
      </c>
      <c r="U36" s="34">
        <f>IF(F36&lt;=2.06,VLOOKUP($U$2,'Unit Price'!$B$3:$C$19,2,0),0)</f>
        <v>0</v>
      </c>
      <c r="V36" s="34">
        <f>IF(AND(F36&gt;2.06,F36&lt;2.5),VLOOKUP($V$2,'Unit Price'!$B$3:$C$19,2,0),0)</f>
        <v>860000</v>
      </c>
      <c r="W36" s="34">
        <f>IF(AND(F36&gt;2.06,F36&lt;2.5),VLOOKUP($W$2,'Unit Price'!$B$3:$C$19,2,0),0)</f>
        <v>276000</v>
      </c>
      <c r="X36" s="34">
        <f>IF(F36&gt;2.5,VLOOKUP($X$2,'Unit Price'!$B$3:$C$19,2,0),0)</f>
        <v>0</v>
      </c>
      <c r="Y36" s="34">
        <f>IF(F36&gt;2.5,VLOOKUP($Y$2,'Unit Price'!$B$3:$C$19,2,0),0)</f>
        <v>0</v>
      </c>
      <c r="Z36" s="34">
        <f>IF(F36&lt;2.5,6*VLOOKUP($Z$2,'Unit Price'!$B$3:$C$19,2,0),0)</f>
        <v>132000</v>
      </c>
      <c r="AA36" s="34">
        <f>IF(F36&lt;2.5,3*VLOOKUP($AA$2,'Unit Price'!$B$3:$C$19,2,0),0)</f>
        <v>165000</v>
      </c>
      <c r="AB36" s="34">
        <f>IF(F36&gt;2.5,6*VLOOKUP($AB$2,'Unit Price'!$B$3:$C$19,2,0),0)</f>
        <v>0</v>
      </c>
      <c r="AC36" s="34">
        <f>IF(F36&gt;2.5,3*VLOOKUP($AC$2,'Unit Price'!$B$3:$C$19,2,0),0)</f>
        <v>0</v>
      </c>
      <c r="AD36" s="36"/>
      <c r="AE36" s="46">
        <f t="shared" si="2"/>
        <v>1706000</v>
      </c>
      <c r="AF36" s="66">
        <f t="shared" si="3"/>
        <v>253999.99999999977</v>
      </c>
    </row>
    <row r="37" spans="1:32">
      <c r="A37" s="17">
        <v>35</v>
      </c>
      <c r="B37" s="5" t="s">
        <v>86</v>
      </c>
      <c r="C37" s="5" t="s">
        <v>87</v>
      </c>
      <c r="D37" s="5" t="s">
        <v>37</v>
      </c>
      <c r="E37" s="5">
        <v>10.7532</v>
      </c>
      <c r="F37" s="18">
        <v>2.0699999999999998</v>
      </c>
      <c r="G37" s="5">
        <v>6</v>
      </c>
      <c r="H37" s="50">
        <v>7</v>
      </c>
      <c r="I37" s="58">
        <v>42</v>
      </c>
      <c r="J37" s="5">
        <f t="shared" si="0"/>
        <v>0.7</v>
      </c>
      <c r="K37" s="36">
        <v>2800000</v>
      </c>
      <c r="L37" s="37">
        <f t="shared" si="1"/>
        <v>1959999.9999999998</v>
      </c>
      <c r="N37" s="34">
        <f>H37*VLOOKUP($N$2,'Unit Price'!$B$3:$C$19,2,0)</f>
        <v>126000</v>
      </c>
      <c r="O37" s="34">
        <f>1*VLOOKUP($O$2,'Unit Price'!$B$3:$C$19,2,0)</f>
        <v>10000</v>
      </c>
      <c r="P37" s="34">
        <f>1*VLOOKUP($P$2,'Unit Price'!$B$3:$C$19,2,0)</f>
        <v>8000</v>
      </c>
      <c r="Q37" s="34">
        <f>G37*2*VLOOKUP($Q$2,'Unit Price'!$B$3:$C$19,2,0)</f>
        <v>18000</v>
      </c>
      <c r="R37" s="34">
        <f>H37*3*VLOOKUP($R$2,'Unit Price'!$B$3:$C$19,2,0)</f>
        <v>52500</v>
      </c>
      <c r="S37" s="34">
        <f>IF(F37&lt;=2.2,3*VLOOKUP($S$2,'Unit Price'!$B$3:$C$19,2,0),5*VLOOKUP($S$2,'Unit Price'!$B$3:$C$19,2,0))</f>
        <v>30000</v>
      </c>
      <c r="T37" s="34">
        <f>IF(F37&lt;=2.06,VLOOKUP($T$2,'Unit Price'!$B$3:$C$19,2,0),0)</f>
        <v>0</v>
      </c>
      <c r="U37" s="34">
        <f>IF(F37&lt;=2.06,VLOOKUP($U$2,'Unit Price'!$B$3:$C$19,2,0),0)</f>
        <v>0</v>
      </c>
      <c r="V37" s="34">
        <f>IF(AND(F37&gt;2.06,F37&lt;2.5),VLOOKUP($V$2,'Unit Price'!$B$3:$C$19,2,0),0)</f>
        <v>860000</v>
      </c>
      <c r="W37" s="34">
        <f>IF(AND(F37&gt;2.06,F37&lt;2.5),VLOOKUP($W$2,'Unit Price'!$B$3:$C$19,2,0),0)</f>
        <v>276000</v>
      </c>
      <c r="X37" s="34">
        <f>IF(F37&gt;2.5,VLOOKUP($X$2,'Unit Price'!$B$3:$C$19,2,0),0)</f>
        <v>0</v>
      </c>
      <c r="Y37" s="34">
        <f>IF(F37&gt;2.5,VLOOKUP($Y$2,'Unit Price'!$B$3:$C$19,2,0),0)</f>
        <v>0</v>
      </c>
      <c r="Z37" s="34">
        <f>IF(F37&lt;2.5,6*VLOOKUP($Z$2,'Unit Price'!$B$3:$C$19,2,0),0)</f>
        <v>132000</v>
      </c>
      <c r="AA37" s="34">
        <f>IF(F37&lt;2.5,3*VLOOKUP($AA$2,'Unit Price'!$B$3:$C$19,2,0),0)</f>
        <v>165000</v>
      </c>
      <c r="AB37" s="34">
        <f>IF(F37&gt;2.5,6*VLOOKUP($AB$2,'Unit Price'!$B$3:$C$19,2,0),0)</f>
        <v>0</v>
      </c>
      <c r="AC37" s="34">
        <f>IF(F37&gt;2.5,3*VLOOKUP($AC$2,'Unit Price'!$B$3:$C$19,2,0),0)</f>
        <v>0</v>
      </c>
      <c r="AD37" s="36"/>
      <c r="AE37" s="46">
        <f t="shared" si="2"/>
        <v>1677500</v>
      </c>
      <c r="AF37" s="66">
        <f t="shared" si="3"/>
        <v>282499.99999999977</v>
      </c>
    </row>
    <row r="38" spans="1:32">
      <c r="A38" s="17">
        <v>36</v>
      </c>
      <c r="B38" s="5" t="s">
        <v>88</v>
      </c>
      <c r="C38" s="5" t="s">
        <v>89</v>
      </c>
      <c r="D38" s="5" t="s">
        <v>37</v>
      </c>
      <c r="E38" s="5">
        <v>13.6915</v>
      </c>
      <c r="F38" s="18">
        <v>2.0299999999999998</v>
      </c>
      <c r="G38" s="5">
        <v>5</v>
      </c>
      <c r="H38" s="50">
        <v>6</v>
      </c>
      <c r="I38" s="58">
        <v>30</v>
      </c>
      <c r="J38" s="5">
        <f t="shared" si="0"/>
        <v>0.65</v>
      </c>
      <c r="K38" s="36">
        <v>2800000</v>
      </c>
      <c r="L38" s="37">
        <f t="shared" si="1"/>
        <v>1820000</v>
      </c>
      <c r="N38" s="34">
        <f>H38*VLOOKUP($N$2,'Unit Price'!$B$3:$C$19,2,0)</f>
        <v>108000</v>
      </c>
      <c r="O38" s="34">
        <f>1*VLOOKUP($O$2,'Unit Price'!$B$3:$C$19,2,0)</f>
        <v>10000</v>
      </c>
      <c r="P38" s="34">
        <f>1*VLOOKUP($P$2,'Unit Price'!$B$3:$C$19,2,0)</f>
        <v>8000</v>
      </c>
      <c r="Q38" s="34">
        <f>G38*2*VLOOKUP($Q$2,'Unit Price'!$B$3:$C$19,2,0)</f>
        <v>15000</v>
      </c>
      <c r="R38" s="34">
        <f>H38*3*VLOOKUP($R$2,'Unit Price'!$B$3:$C$19,2,0)</f>
        <v>45000</v>
      </c>
      <c r="S38" s="34">
        <f>IF(F38&lt;=2.2,3*VLOOKUP($S$2,'Unit Price'!$B$3:$C$19,2,0),5*VLOOKUP($S$2,'Unit Price'!$B$3:$C$19,2,0))</f>
        <v>30000</v>
      </c>
      <c r="T38" s="34">
        <f>IF(F38&lt;=2.06,VLOOKUP($T$2,'Unit Price'!$B$3:$C$19,2,0),0)</f>
        <v>795000</v>
      </c>
      <c r="U38" s="34">
        <f>IF(F38&lt;=2.06,VLOOKUP($U$2,'Unit Price'!$B$3:$C$19,2,0),0)</f>
        <v>245000</v>
      </c>
      <c r="V38" s="34">
        <f>IF(AND(F38&gt;2.06,F38&lt;2.5),VLOOKUP($V$2,'Unit Price'!$B$3:$C$19,2,0),0)</f>
        <v>0</v>
      </c>
      <c r="W38" s="34">
        <f>IF(AND(F38&gt;2.06,F38&lt;2.5),VLOOKUP($W$2,'Unit Price'!$B$3:$C$19,2,0),0)</f>
        <v>0</v>
      </c>
      <c r="X38" s="34">
        <f>IF(F38&gt;2.5,VLOOKUP($X$2,'Unit Price'!$B$3:$C$19,2,0),0)</f>
        <v>0</v>
      </c>
      <c r="Y38" s="34">
        <f>IF(F38&gt;2.5,VLOOKUP($Y$2,'Unit Price'!$B$3:$C$19,2,0),0)</f>
        <v>0</v>
      </c>
      <c r="Z38" s="34">
        <f>IF(F38&lt;2.5,6*VLOOKUP($Z$2,'Unit Price'!$B$3:$C$19,2,0),0)</f>
        <v>132000</v>
      </c>
      <c r="AA38" s="34">
        <f>IF(F38&lt;2.5,3*VLOOKUP($AA$2,'Unit Price'!$B$3:$C$19,2,0),0)</f>
        <v>165000</v>
      </c>
      <c r="AB38" s="34">
        <f>IF(F38&gt;2.5,6*VLOOKUP($AB$2,'Unit Price'!$B$3:$C$19,2,0),0)</f>
        <v>0</v>
      </c>
      <c r="AC38" s="34">
        <f>IF(F38&gt;2.5,3*VLOOKUP($AC$2,'Unit Price'!$B$3:$C$19,2,0),0)</f>
        <v>0</v>
      </c>
      <c r="AD38" s="36"/>
      <c r="AE38" s="46">
        <f t="shared" si="2"/>
        <v>1553000</v>
      </c>
      <c r="AF38" s="66">
        <f t="shared" si="3"/>
        <v>267000</v>
      </c>
    </row>
    <row r="39" spans="1:32">
      <c r="A39" s="17">
        <v>37</v>
      </c>
      <c r="B39" s="5" t="s">
        <v>90</v>
      </c>
      <c r="C39" s="5" t="s">
        <v>91</v>
      </c>
      <c r="D39" s="5" t="s">
        <v>37</v>
      </c>
      <c r="E39" s="5">
        <v>1.9899</v>
      </c>
      <c r="F39" s="18">
        <v>2</v>
      </c>
      <c r="G39" s="5">
        <v>14</v>
      </c>
      <c r="H39" s="50">
        <v>17</v>
      </c>
      <c r="I39" s="58">
        <v>238</v>
      </c>
      <c r="J39" s="5">
        <f t="shared" si="0"/>
        <v>0.65</v>
      </c>
      <c r="K39" s="36">
        <v>2800000</v>
      </c>
      <c r="L39" s="37">
        <f t="shared" si="1"/>
        <v>1820000</v>
      </c>
      <c r="N39" s="34">
        <f>H39*VLOOKUP($N$2,'Unit Price'!$B$3:$C$19,2,0)</f>
        <v>306000</v>
      </c>
      <c r="O39" s="34">
        <f>1*VLOOKUP($O$2,'Unit Price'!$B$3:$C$19,2,0)</f>
        <v>10000</v>
      </c>
      <c r="P39" s="34">
        <f>1*VLOOKUP($P$2,'Unit Price'!$B$3:$C$19,2,0)</f>
        <v>8000</v>
      </c>
      <c r="Q39" s="34">
        <f>G39*2*VLOOKUP($Q$2,'Unit Price'!$B$3:$C$19,2,0)</f>
        <v>42000</v>
      </c>
      <c r="R39" s="34">
        <f>H39*3*VLOOKUP($R$2,'Unit Price'!$B$3:$C$19,2,0)</f>
        <v>127500</v>
      </c>
      <c r="S39" s="34">
        <f>IF(F39&lt;=2.2,3*VLOOKUP($S$2,'Unit Price'!$B$3:$C$19,2,0),5*VLOOKUP($S$2,'Unit Price'!$B$3:$C$19,2,0))</f>
        <v>30000</v>
      </c>
      <c r="T39" s="34">
        <f>IF(F39&lt;=2.06,VLOOKUP($T$2,'Unit Price'!$B$3:$C$19,2,0),0)</f>
        <v>795000</v>
      </c>
      <c r="U39" s="34">
        <f>IF(F39&lt;=2.06,VLOOKUP($U$2,'Unit Price'!$B$3:$C$19,2,0),0)</f>
        <v>245000</v>
      </c>
      <c r="V39" s="34">
        <f>IF(AND(F39&gt;2.06,F39&lt;2.5),VLOOKUP($V$2,'Unit Price'!$B$3:$C$19,2,0),0)</f>
        <v>0</v>
      </c>
      <c r="W39" s="34">
        <f>IF(AND(F39&gt;2.06,F39&lt;2.5),VLOOKUP($W$2,'Unit Price'!$B$3:$C$19,2,0),0)</f>
        <v>0</v>
      </c>
      <c r="X39" s="34">
        <f>IF(F39&gt;2.5,VLOOKUP($X$2,'Unit Price'!$B$3:$C$19,2,0),0)</f>
        <v>0</v>
      </c>
      <c r="Y39" s="34">
        <f>IF(F39&gt;2.5,VLOOKUP($Y$2,'Unit Price'!$B$3:$C$19,2,0),0)</f>
        <v>0</v>
      </c>
      <c r="Z39" s="34">
        <f>IF(F39&lt;2.5,6*VLOOKUP($Z$2,'Unit Price'!$B$3:$C$19,2,0),0)</f>
        <v>132000</v>
      </c>
      <c r="AA39" s="34">
        <f>IF(F39&lt;2.5,3*VLOOKUP($AA$2,'Unit Price'!$B$3:$C$19,2,0),0)</f>
        <v>165000</v>
      </c>
      <c r="AB39" s="34">
        <f>IF(F39&gt;2.5,6*VLOOKUP($AB$2,'Unit Price'!$B$3:$C$19,2,0),0)</f>
        <v>0</v>
      </c>
      <c r="AC39" s="34">
        <f>IF(F39&gt;2.5,3*VLOOKUP($AC$2,'Unit Price'!$B$3:$C$19,2,0),0)</f>
        <v>0</v>
      </c>
      <c r="AD39" s="36"/>
      <c r="AE39" s="46">
        <f t="shared" si="2"/>
        <v>1860500</v>
      </c>
      <c r="AF39" s="66">
        <f t="shared" si="3"/>
        <v>-40500</v>
      </c>
    </row>
    <row r="40" spans="1:32">
      <c r="A40" s="17">
        <v>38</v>
      </c>
      <c r="B40" s="5" t="s">
        <v>92</v>
      </c>
      <c r="C40" s="5" t="s">
        <v>93</v>
      </c>
      <c r="D40" s="5" t="s">
        <v>37</v>
      </c>
      <c r="E40" s="5">
        <v>3.4500999999999999</v>
      </c>
      <c r="F40" s="18">
        <v>2</v>
      </c>
      <c r="G40" s="5">
        <v>11</v>
      </c>
      <c r="H40" s="50">
        <v>14</v>
      </c>
      <c r="I40" s="58">
        <v>154</v>
      </c>
      <c r="J40" s="5">
        <f t="shared" si="0"/>
        <v>0.65</v>
      </c>
      <c r="K40" s="36">
        <v>2800000</v>
      </c>
      <c r="L40" s="37">
        <f t="shared" si="1"/>
        <v>1820000</v>
      </c>
      <c r="N40" s="34">
        <f>H40*VLOOKUP($N$2,'Unit Price'!$B$3:$C$19,2,0)</f>
        <v>252000</v>
      </c>
      <c r="O40" s="34">
        <f>1*VLOOKUP($O$2,'Unit Price'!$B$3:$C$19,2,0)</f>
        <v>10000</v>
      </c>
      <c r="P40" s="34">
        <f>1*VLOOKUP($P$2,'Unit Price'!$B$3:$C$19,2,0)</f>
        <v>8000</v>
      </c>
      <c r="Q40" s="34">
        <f>G40*2*VLOOKUP($Q$2,'Unit Price'!$B$3:$C$19,2,0)</f>
        <v>33000</v>
      </c>
      <c r="R40" s="34">
        <f>H40*3*VLOOKUP($R$2,'Unit Price'!$B$3:$C$19,2,0)</f>
        <v>105000</v>
      </c>
      <c r="S40" s="34">
        <f>IF(F40&lt;=2.2,3*VLOOKUP($S$2,'Unit Price'!$B$3:$C$19,2,0),5*VLOOKUP($S$2,'Unit Price'!$B$3:$C$19,2,0))</f>
        <v>30000</v>
      </c>
      <c r="T40" s="34">
        <f>IF(F40&lt;=2.06,VLOOKUP($T$2,'Unit Price'!$B$3:$C$19,2,0),0)</f>
        <v>795000</v>
      </c>
      <c r="U40" s="34">
        <f>IF(F40&lt;=2.06,VLOOKUP($U$2,'Unit Price'!$B$3:$C$19,2,0),0)</f>
        <v>245000</v>
      </c>
      <c r="V40" s="34">
        <f>IF(AND(F40&gt;2.06,F40&lt;2.5),VLOOKUP($V$2,'Unit Price'!$B$3:$C$19,2,0),0)</f>
        <v>0</v>
      </c>
      <c r="W40" s="34">
        <f>IF(AND(F40&gt;2.06,F40&lt;2.5),VLOOKUP($W$2,'Unit Price'!$B$3:$C$19,2,0),0)</f>
        <v>0</v>
      </c>
      <c r="X40" s="34">
        <f>IF(F40&gt;2.5,VLOOKUP($X$2,'Unit Price'!$B$3:$C$19,2,0),0)</f>
        <v>0</v>
      </c>
      <c r="Y40" s="34">
        <f>IF(F40&gt;2.5,VLOOKUP($Y$2,'Unit Price'!$B$3:$C$19,2,0),0)</f>
        <v>0</v>
      </c>
      <c r="Z40" s="34">
        <f>IF(F40&lt;2.5,6*VLOOKUP($Z$2,'Unit Price'!$B$3:$C$19,2,0),0)</f>
        <v>132000</v>
      </c>
      <c r="AA40" s="34">
        <f>IF(F40&lt;2.5,3*VLOOKUP($AA$2,'Unit Price'!$B$3:$C$19,2,0),0)</f>
        <v>165000</v>
      </c>
      <c r="AB40" s="34">
        <f>IF(F40&gt;2.5,6*VLOOKUP($AB$2,'Unit Price'!$B$3:$C$19,2,0),0)</f>
        <v>0</v>
      </c>
      <c r="AC40" s="34">
        <f>IF(F40&gt;2.5,3*VLOOKUP($AC$2,'Unit Price'!$B$3:$C$19,2,0),0)</f>
        <v>0</v>
      </c>
      <c r="AD40" s="36"/>
      <c r="AE40" s="46">
        <f t="shared" si="2"/>
        <v>1775000</v>
      </c>
      <c r="AF40" s="66">
        <f t="shared" si="3"/>
        <v>45000</v>
      </c>
    </row>
    <row r="41" spans="1:32">
      <c r="A41" s="17">
        <v>39</v>
      </c>
      <c r="B41" s="5" t="s">
        <v>94</v>
      </c>
      <c r="C41" s="5" t="s">
        <v>95</v>
      </c>
      <c r="D41" s="5" t="s">
        <v>37</v>
      </c>
      <c r="E41" s="5">
        <v>5.9</v>
      </c>
      <c r="F41" s="18">
        <v>2</v>
      </c>
      <c r="G41" s="5">
        <v>9</v>
      </c>
      <c r="H41" s="50">
        <v>11</v>
      </c>
      <c r="I41" s="58">
        <v>99</v>
      </c>
      <c r="J41" s="5">
        <f t="shared" si="0"/>
        <v>0.65</v>
      </c>
      <c r="K41" s="36">
        <v>2800000</v>
      </c>
      <c r="L41" s="37">
        <f t="shared" si="1"/>
        <v>1820000</v>
      </c>
      <c r="N41" s="34">
        <f>H41*VLOOKUP($N$2,'Unit Price'!$B$3:$C$19,2,0)</f>
        <v>198000</v>
      </c>
      <c r="O41" s="34">
        <f>1*VLOOKUP($O$2,'Unit Price'!$B$3:$C$19,2,0)</f>
        <v>10000</v>
      </c>
      <c r="P41" s="34">
        <f>1*VLOOKUP($P$2,'Unit Price'!$B$3:$C$19,2,0)</f>
        <v>8000</v>
      </c>
      <c r="Q41" s="34">
        <f>G41*2*VLOOKUP($Q$2,'Unit Price'!$B$3:$C$19,2,0)</f>
        <v>27000</v>
      </c>
      <c r="R41" s="34">
        <f>H41*3*VLOOKUP($R$2,'Unit Price'!$B$3:$C$19,2,0)</f>
        <v>82500</v>
      </c>
      <c r="S41" s="34">
        <f>IF(F41&lt;=2.2,3*VLOOKUP($S$2,'Unit Price'!$B$3:$C$19,2,0),5*VLOOKUP($S$2,'Unit Price'!$B$3:$C$19,2,0))</f>
        <v>30000</v>
      </c>
      <c r="T41" s="34">
        <f>IF(F41&lt;=2.06,VLOOKUP($T$2,'Unit Price'!$B$3:$C$19,2,0),0)</f>
        <v>795000</v>
      </c>
      <c r="U41" s="34">
        <f>IF(F41&lt;=2.06,VLOOKUP($U$2,'Unit Price'!$B$3:$C$19,2,0),0)</f>
        <v>245000</v>
      </c>
      <c r="V41" s="34">
        <f>IF(AND(F41&gt;2.06,F41&lt;2.5),VLOOKUP($V$2,'Unit Price'!$B$3:$C$19,2,0),0)</f>
        <v>0</v>
      </c>
      <c r="W41" s="34">
        <f>IF(AND(F41&gt;2.06,F41&lt;2.5),VLOOKUP($W$2,'Unit Price'!$B$3:$C$19,2,0),0)</f>
        <v>0</v>
      </c>
      <c r="X41" s="34">
        <f>IF(F41&gt;2.5,VLOOKUP($X$2,'Unit Price'!$B$3:$C$19,2,0),0)</f>
        <v>0</v>
      </c>
      <c r="Y41" s="34">
        <f>IF(F41&gt;2.5,VLOOKUP($Y$2,'Unit Price'!$B$3:$C$19,2,0),0)</f>
        <v>0</v>
      </c>
      <c r="Z41" s="34">
        <f>IF(F41&lt;2.5,6*VLOOKUP($Z$2,'Unit Price'!$B$3:$C$19,2,0),0)</f>
        <v>132000</v>
      </c>
      <c r="AA41" s="34">
        <f>IF(F41&lt;2.5,3*VLOOKUP($AA$2,'Unit Price'!$B$3:$C$19,2,0),0)</f>
        <v>165000</v>
      </c>
      <c r="AB41" s="34">
        <f>IF(F41&gt;2.5,6*VLOOKUP($AB$2,'Unit Price'!$B$3:$C$19,2,0),0)</f>
        <v>0</v>
      </c>
      <c r="AC41" s="34">
        <f>IF(F41&gt;2.5,3*VLOOKUP($AC$2,'Unit Price'!$B$3:$C$19,2,0),0)</f>
        <v>0</v>
      </c>
      <c r="AD41" s="36"/>
      <c r="AE41" s="46">
        <f t="shared" si="2"/>
        <v>1692500</v>
      </c>
      <c r="AF41" s="66">
        <f t="shared" si="3"/>
        <v>127500</v>
      </c>
    </row>
    <row r="42" spans="1:32">
      <c r="A42" s="17">
        <v>40</v>
      </c>
      <c r="B42" s="5" t="s">
        <v>96</v>
      </c>
      <c r="C42" s="5" t="s">
        <v>97</v>
      </c>
      <c r="D42" s="5" t="s">
        <v>37</v>
      </c>
      <c r="E42" s="5">
        <v>8.3597000000000001</v>
      </c>
      <c r="F42" s="18">
        <v>2</v>
      </c>
      <c r="G42" s="5">
        <v>7</v>
      </c>
      <c r="H42" s="50">
        <v>10</v>
      </c>
      <c r="I42" s="58">
        <v>70</v>
      </c>
      <c r="J42" s="5">
        <f t="shared" si="0"/>
        <v>0.65</v>
      </c>
      <c r="K42" s="36">
        <v>2800000</v>
      </c>
      <c r="L42" s="37">
        <f t="shared" si="1"/>
        <v>1820000</v>
      </c>
      <c r="N42" s="34">
        <f>H42*VLOOKUP($N$2,'Unit Price'!$B$3:$C$19,2,0)</f>
        <v>180000</v>
      </c>
      <c r="O42" s="34">
        <f>1*VLOOKUP($O$2,'Unit Price'!$B$3:$C$19,2,0)</f>
        <v>10000</v>
      </c>
      <c r="P42" s="34">
        <f>1*VLOOKUP($P$2,'Unit Price'!$B$3:$C$19,2,0)</f>
        <v>8000</v>
      </c>
      <c r="Q42" s="34">
        <f>G42*2*VLOOKUP($Q$2,'Unit Price'!$B$3:$C$19,2,0)</f>
        <v>21000</v>
      </c>
      <c r="R42" s="34">
        <f>H42*3*VLOOKUP($R$2,'Unit Price'!$B$3:$C$19,2,0)</f>
        <v>75000</v>
      </c>
      <c r="S42" s="34">
        <f>IF(F42&lt;=2.2,3*VLOOKUP($S$2,'Unit Price'!$B$3:$C$19,2,0),5*VLOOKUP($S$2,'Unit Price'!$B$3:$C$19,2,0))</f>
        <v>30000</v>
      </c>
      <c r="T42" s="34">
        <f>IF(F42&lt;=2.06,VLOOKUP($T$2,'Unit Price'!$B$3:$C$19,2,0),0)</f>
        <v>795000</v>
      </c>
      <c r="U42" s="34">
        <f>IF(F42&lt;=2.06,VLOOKUP($U$2,'Unit Price'!$B$3:$C$19,2,0),0)</f>
        <v>245000</v>
      </c>
      <c r="V42" s="34">
        <f>IF(AND(F42&gt;2.06,F42&lt;2.5),VLOOKUP($V$2,'Unit Price'!$B$3:$C$19,2,0),0)</f>
        <v>0</v>
      </c>
      <c r="W42" s="34">
        <f>IF(AND(F42&gt;2.06,F42&lt;2.5),VLOOKUP($W$2,'Unit Price'!$B$3:$C$19,2,0),0)</f>
        <v>0</v>
      </c>
      <c r="X42" s="34">
        <f>IF(F42&gt;2.5,VLOOKUP($X$2,'Unit Price'!$B$3:$C$19,2,0),0)</f>
        <v>0</v>
      </c>
      <c r="Y42" s="34">
        <f>IF(F42&gt;2.5,VLOOKUP($Y$2,'Unit Price'!$B$3:$C$19,2,0),0)</f>
        <v>0</v>
      </c>
      <c r="Z42" s="34">
        <f>IF(F42&lt;2.5,6*VLOOKUP($Z$2,'Unit Price'!$B$3:$C$19,2,0),0)</f>
        <v>132000</v>
      </c>
      <c r="AA42" s="34">
        <f>IF(F42&lt;2.5,3*VLOOKUP($AA$2,'Unit Price'!$B$3:$C$19,2,0),0)</f>
        <v>165000</v>
      </c>
      <c r="AB42" s="34">
        <f>IF(F42&gt;2.5,6*VLOOKUP($AB$2,'Unit Price'!$B$3:$C$19,2,0),0)</f>
        <v>0</v>
      </c>
      <c r="AC42" s="34">
        <f>IF(F42&gt;2.5,3*VLOOKUP($AC$2,'Unit Price'!$B$3:$C$19,2,0),0)</f>
        <v>0</v>
      </c>
      <c r="AD42" s="36"/>
      <c r="AE42" s="46">
        <f t="shared" si="2"/>
        <v>1661000</v>
      </c>
      <c r="AF42" s="66">
        <f t="shared" si="3"/>
        <v>159000</v>
      </c>
    </row>
    <row r="43" spans="1:32">
      <c r="A43" s="17">
        <v>41</v>
      </c>
      <c r="B43" s="5" t="s">
        <v>98</v>
      </c>
      <c r="C43" s="5" t="s">
        <v>99</v>
      </c>
      <c r="D43" s="5" t="s">
        <v>100</v>
      </c>
      <c r="E43" s="5">
        <v>0.87529999999999997</v>
      </c>
      <c r="F43" s="18">
        <v>2</v>
      </c>
      <c r="G43" s="5">
        <v>13</v>
      </c>
      <c r="H43" s="50">
        <v>25</v>
      </c>
      <c r="I43" s="58">
        <v>325</v>
      </c>
      <c r="J43" s="5">
        <f t="shared" si="0"/>
        <v>0.65</v>
      </c>
      <c r="K43" s="36">
        <v>2800000</v>
      </c>
      <c r="L43" s="37">
        <f t="shared" si="1"/>
        <v>1820000</v>
      </c>
      <c r="N43" s="34">
        <f>H43*VLOOKUP($N$2,'Unit Price'!$B$3:$C$19,2,0)</f>
        <v>450000</v>
      </c>
      <c r="O43" s="34">
        <f>1*VLOOKUP($O$2,'Unit Price'!$B$3:$C$19,2,0)</f>
        <v>10000</v>
      </c>
      <c r="P43" s="34">
        <f>1*VLOOKUP($P$2,'Unit Price'!$B$3:$C$19,2,0)</f>
        <v>8000</v>
      </c>
      <c r="Q43" s="34">
        <f>G43*2*VLOOKUP($Q$2,'Unit Price'!$B$3:$C$19,2,0)</f>
        <v>39000</v>
      </c>
      <c r="R43" s="34">
        <f>H43*3*VLOOKUP($R$2,'Unit Price'!$B$3:$C$19,2,0)</f>
        <v>187500</v>
      </c>
      <c r="S43" s="34">
        <f>IF(F43&lt;=2.2,3*VLOOKUP($S$2,'Unit Price'!$B$3:$C$19,2,0),5*VLOOKUP($S$2,'Unit Price'!$B$3:$C$19,2,0))</f>
        <v>30000</v>
      </c>
      <c r="T43" s="34">
        <f>IF(F43&lt;=2.06,VLOOKUP($T$2,'Unit Price'!$B$3:$C$19,2,0),0)</f>
        <v>795000</v>
      </c>
      <c r="U43" s="34">
        <f>IF(F43&lt;=2.06,VLOOKUP($U$2,'Unit Price'!$B$3:$C$19,2,0),0)</f>
        <v>245000</v>
      </c>
      <c r="V43" s="34">
        <f>IF(AND(F43&gt;2.06,F43&lt;2.5),VLOOKUP($V$2,'Unit Price'!$B$3:$C$19,2,0),0)</f>
        <v>0</v>
      </c>
      <c r="W43" s="34">
        <f>IF(AND(F43&gt;2.06,F43&lt;2.5),VLOOKUP($W$2,'Unit Price'!$B$3:$C$19,2,0),0)</f>
        <v>0</v>
      </c>
      <c r="X43" s="34">
        <f>IF(F43&gt;2.5,VLOOKUP($X$2,'Unit Price'!$B$3:$C$19,2,0),0)</f>
        <v>0</v>
      </c>
      <c r="Y43" s="34">
        <f>IF(F43&gt;2.5,VLOOKUP($Y$2,'Unit Price'!$B$3:$C$19,2,0),0)</f>
        <v>0</v>
      </c>
      <c r="Z43" s="34">
        <f>IF(F43&lt;2.5,6*VLOOKUP($Z$2,'Unit Price'!$B$3:$C$19,2,0),0)</f>
        <v>132000</v>
      </c>
      <c r="AA43" s="34">
        <f>IF(F43&lt;2.5,3*VLOOKUP($AA$2,'Unit Price'!$B$3:$C$19,2,0),0)</f>
        <v>165000</v>
      </c>
      <c r="AB43" s="34">
        <f>IF(F43&gt;2.5,6*VLOOKUP($AB$2,'Unit Price'!$B$3:$C$19,2,0),0)</f>
        <v>0</v>
      </c>
      <c r="AC43" s="34">
        <f>IF(F43&gt;2.5,3*VLOOKUP($AC$2,'Unit Price'!$B$3:$C$19,2,0),0)</f>
        <v>0</v>
      </c>
      <c r="AD43" s="36"/>
      <c r="AE43" s="46">
        <f t="shared" si="2"/>
        <v>2061500</v>
      </c>
      <c r="AF43" s="66">
        <f t="shared" si="3"/>
        <v>-241500</v>
      </c>
    </row>
    <row r="44" spans="1:32">
      <c r="A44" s="17">
        <v>42</v>
      </c>
      <c r="B44" s="5" t="s">
        <v>101</v>
      </c>
      <c r="C44" s="5" t="s">
        <v>102</v>
      </c>
      <c r="D44" s="5" t="s">
        <v>100</v>
      </c>
      <c r="E44" s="5">
        <v>1.3980999999999999</v>
      </c>
      <c r="F44" s="18">
        <v>2</v>
      </c>
      <c r="G44" s="5">
        <v>11</v>
      </c>
      <c r="H44" s="50">
        <v>22</v>
      </c>
      <c r="I44" s="58">
        <v>242</v>
      </c>
      <c r="J44" s="5">
        <f t="shared" si="0"/>
        <v>0.65</v>
      </c>
      <c r="K44" s="36">
        <v>2800000</v>
      </c>
      <c r="L44" s="37">
        <f t="shared" si="1"/>
        <v>1820000</v>
      </c>
      <c r="N44" s="34">
        <f>H44*VLOOKUP($N$2,'Unit Price'!$B$3:$C$19,2,0)</f>
        <v>396000</v>
      </c>
      <c r="O44" s="34">
        <f>1*VLOOKUP($O$2,'Unit Price'!$B$3:$C$19,2,0)</f>
        <v>10000</v>
      </c>
      <c r="P44" s="34">
        <f>1*VLOOKUP($P$2,'Unit Price'!$B$3:$C$19,2,0)</f>
        <v>8000</v>
      </c>
      <c r="Q44" s="34">
        <f>G44*2*VLOOKUP($Q$2,'Unit Price'!$B$3:$C$19,2,0)</f>
        <v>33000</v>
      </c>
      <c r="R44" s="34">
        <f>H44*3*VLOOKUP($R$2,'Unit Price'!$B$3:$C$19,2,0)</f>
        <v>165000</v>
      </c>
      <c r="S44" s="34">
        <f>IF(F44&lt;=2.2,3*VLOOKUP($S$2,'Unit Price'!$B$3:$C$19,2,0),5*VLOOKUP($S$2,'Unit Price'!$B$3:$C$19,2,0))</f>
        <v>30000</v>
      </c>
      <c r="T44" s="34">
        <f>IF(F44&lt;=2.06,VLOOKUP($T$2,'Unit Price'!$B$3:$C$19,2,0),0)</f>
        <v>795000</v>
      </c>
      <c r="U44" s="34">
        <f>IF(F44&lt;=2.06,VLOOKUP($U$2,'Unit Price'!$B$3:$C$19,2,0),0)</f>
        <v>245000</v>
      </c>
      <c r="V44" s="34">
        <f>IF(AND(F44&gt;2.06,F44&lt;2.5),VLOOKUP($V$2,'Unit Price'!$B$3:$C$19,2,0),0)</f>
        <v>0</v>
      </c>
      <c r="W44" s="34">
        <f>IF(AND(F44&gt;2.06,F44&lt;2.5),VLOOKUP($W$2,'Unit Price'!$B$3:$C$19,2,0),0)</f>
        <v>0</v>
      </c>
      <c r="X44" s="34">
        <f>IF(F44&gt;2.5,VLOOKUP($X$2,'Unit Price'!$B$3:$C$19,2,0),0)</f>
        <v>0</v>
      </c>
      <c r="Y44" s="34">
        <f>IF(F44&gt;2.5,VLOOKUP($Y$2,'Unit Price'!$B$3:$C$19,2,0),0)</f>
        <v>0</v>
      </c>
      <c r="Z44" s="34">
        <f>IF(F44&lt;2.5,6*VLOOKUP($Z$2,'Unit Price'!$B$3:$C$19,2,0),0)</f>
        <v>132000</v>
      </c>
      <c r="AA44" s="34">
        <f>IF(F44&lt;2.5,3*VLOOKUP($AA$2,'Unit Price'!$B$3:$C$19,2,0),0)</f>
        <v>165000</v>
      </c>
      <c r="AB44" s="34">
        <f>IF(F44&gt;2.5,6*VLOOKUP($AB$2,'Unit Price'!$B$3:$C$19,2,0),0)</f>
        <v>0</v>
      </c>
      <c r="AC44" s="34">
        <f>IF(F44&gt;2.5,3*VLOOKUP($AC$2,'Unit Price'!$B$3:$C$19,2,0),0)</f>
        <v>0</v>
      </c>
      <c r="AD44" s="36"/>
      <c r="AE44" s="46">
        <f t="shared" si="2"/>
        <v>1979000</v>
      </c>
      <c r="AF44" s="66">
        <f t="shared" si="3"/>
        <v>-159000</v>
      </c>
    </row>
    <row r="45" spans="1:32">
      <c r="A45" s="17">
        <v>43</v>
      </c>
      <c r="B45" s="5" t="s">
        <v>103</v>
      </c>
      <c r="C45" s="5" t="s">
        <v>104</v>
      </c>
      <c r="D45" s="5" t="s">
        <v>100</v>
      </c>
      <c r="E45" s="5">
        <v>2.0068999999999999</v>
      </c>
      <c r="F45" s="18">
        <v>2</v>
      </c>
      <c r="G45" s="5">
        <v>9</v>
      </c>
      <c r="H45" s="50">
        <v>19</v>
      </c>
      <c r="I45" s="58">
        <v>171</v>
      </c>
      <c r="J45" s="5">
        <f t="shared" si="0"/>
        <v>0.65</v>
      </c>
      <c r="K45" s="36">
        <v>2800000</v>
      </c>
      <c r="L45" s="37">
        <f t="shared" si="1"/>
        <v>1820000</v>
      </c>
      <c r="N45" s="34">
        <f>H45*VLOOKUP($N$2,'Unit Price'!$B$3:$C$19,2,0)</f>
        <v>342000</v>
      </c>
      <c r="O45" s="34">
        <f>1*VLOOKUP($O$2,'Unit Price'!$B$3:$C$19,2,0)</f>
        <v>10000</v>
      </c>
      <c r="P45" s="34">
        <f>1*VLOOKUP($P$2,'Unit Price'!$B$3:$C$19,2,0)</f>
        <v>8000</v>
      </c>
      <c r="Q45" s="34">
        <f>G45*2*VLOOKUP($Q$2,'Unit Price'!$B$3:$C$19,2,0)</f>
        <v>27000</v>
      </c>
      <c r="R45" s="34">
        <f>H45*3*VLOOKUP($R$2,'Unit Price'!$B$3:$C$19,2,0)</f>
        <v>142500</v>
      </c>
      <c r="S45" s="34">
        <f>IF(F45&lt;=2.2,3*VLOOKUP($S$2,'Unit Price'!$B$3:$C$19,2,0),5*VLOOKUP($S$2,'Unit Price'!$B$3:$C$19,2,0))</f>
        <v>30000</v>
      </c>
      <c r="T45" s="34">
        <f>IF(F45&lt;=2.06,VLOOKUP($T$2,'Unit Price'!$B$3:$C$19,2,0),0)</f>
        <v>795000</v>
      </c>
      <c r="U45" s="34">
        <f>IF(F45&lt;=2.06,VLOOKUP($U$2,'Unit Price'!$B$3:$C$19,2,0),0)</f>
        <v>245000</v>
      </c>
      <c r="V45" s="34">
        <f>IF(AND(F45&gt;2.06,F45&lt;2.5),VLOOKUP($V$2,'Unit Price'!$B$3:$C$19,2,0),0)</f>
        <v>0</v>
      </c>
      <c r="W45" s="34">
        <f>IF(AND(F45&gt;2.06,F45&lt;2.5),VLOOKUP($W$2,'Unit Price'!$B$3:$C$19,2,0),0)</f>
        <v>0</v>
      </c>
      <c r="X45" s="34">
        <f>IF(F45&gt;2.5,VLOOKUP($X$2,'Unit Price'!$B$3:$C$19,2,0),0)</f>
        <v>0</v>
      </c>
      <c r="Y45" s="34">
        <f>IF(F45&gt;2.5,VLOOKUP($Y$2,'Unit Price'!$B$3:$C$19,2,0),0)</f>
        <v>0</v>
      </c>
      <c r="Z45" s="34">
        <f>IF(F45&lt;2.5,6*VLOOKUP($Z$2,'Unit Price'!$B$3:$C$19,2,0),0)</f>
        <v>132000</v>
      </c>
      <c r="AA45" s="34">
        <f>IF(F45&lt;2.5,3*VLOOKUP($AA$2,'Unit Price'!$B$3:$C$19,2,0),0)</f>
        <v>165000</v>
      </c>
      <c r="AB45" s="34">
        <f>IF(F45&gt;2.5,6*VLOOKUP($AB$2,'Unit Price'!$B$3:$C$19,2,0),0)</f>
        <v>0</v>
      </c>
      <c r="AC45" s="34">
        <f>IF(F45&gt;2.5,3*VLOOKUP($AC$2,'Unit Price'!$B$3:$C$19,2,0),0)</f>
        <v>0</v>
      </c>
      <c r="AD45" s="36"/>
      <c r="AE45" s="46">
        <f t="shared" si="2"/>
        <v>1896500</v>
      </c>
      <c r="AF45" s="66">
        <f t="shared" si="3"/>
        <v>-76500</v>
      </c>
    </row>
    <row r="46" spans="1:32">
      <c r="A46" s="17">
        <v>44</v>
      </c>
      <c r="B46" s="5" t="s">
        <v>105</v>
      </c>
      <c r="C46" s="5" t="s">
        <v>106</v>
      </c>
      <c r="D46" s="5" t="s">
        <v>100</v>
      </c>
      <c r="E46" s="5">
        <v>2.9133</v>
      </c>
      <c r="F46" s="18">
        <v>2</v>
      </c>
      <c r="G46" s="5">
        <v>7</v>
      </c>
      <c r="H46" s="50">
        <v>17</v>
      </c>
      <c r="I46" s="58">
        <v>119</v>
      </c>
      <c r="J46" s="5">
        <f t="shared" si="0"/>
        <v>0.65</v>
      </c>
      <c r="K46" s="36">
        <v>2800000</v>
      </c>
      <c r="L46" s="37">
        <f t="shared" si="1"/>
        <v>1820000</v>
      </c>
      <c r="N46" s="34">
        <f>H46*VLOOKUP($N$2,'Unit Price'!$B$3:$C$19,2,0)</f>
        <v>306000</v>
      </c>
      <c r="O46" s="34">
        <f>1*VLOOKUP($O$2,'Unit Price'!$B$3:$C$19,2,0)</f>
        <v>10000</v>
      </c>
      <c r="P46" s="34">
        <f>1*VLOOKUP($P$2,'Unit Price'!$B$3:$C$19,2,0)</f>
        <v>8000</v>
      </c>
      <c r="Q46" s="34">
        <f>G46*2*VLOOKUP($Q$2,'Unit Price'!$B$3:$C$19,2,0)</f>
        <v>21000</v>
      </c>
      <c r="R46" s="34">
        <f>H46*3*VLOOKUP($R$2,'Unit Price'!$B$3:$C$19,2,0)</f>
        <v>127500</v>
      </c>
      <c r="S46" s="34">
        <f>IF(F46&lt;=2.2,3*VLOOKUP($S$2,'Unit Price'!$B$3:$C$19,2,0),5*VLOOKUP($S$2,'Unit Price'!$B$3:$C$19,2,0))</f>
        <v>30000</v>
      </c>
      <c r="T46" s="34">
        <f>IF(F46&lt;=2.06,VLOOKUP($T$2,'Unit Price'!$B$3:$C$19,2,0),0)</f>
        <v>795000</v>
      </c>
      <c r="U46" s="34">
        <f>IF(F46&lt;=2.06,VLOOKUP($U$2,'Unit Price'!$B$3:$C$19,2,0),0)</f>
        <v>245000</v>
      </c>
      <c r="V46" s="34">
        <f>IF(AND(F46&gt;2.06,F46&lt;2.5),VLOOKUP($V$2,'Unit Price'!$B$3:$C$19,2,0),0)</f>
        <v>0</v>
      </c>
      <c r="W46" s="34">
        <f>IF(AND(F46&gt;2.06,F46&lt;2.5),VLOOKUP($W$2,'Unit Price'!$B$3:$C$19,2,0),0)</f>
        <v>0</v>
      </c>
      <c r="X46" s="34">
        <f>IF(F46&gt;2.5,VLOOKUP($X$2,'Unit Price'!$B$3:$C$19,2,0),0)</f>
        <v>0</v>
      </c>
      <c r="Y46" s="34">
        <f>IF(F46&gt;2.5,VLOOKUP($Y$2,'Unit Price'!$B$3:$C$19,2,0),0)</f>
        <v>0</v>
      </c>
      <c r="Z46" s="34">
        <f>IF(F46&lt;2.5,6*VLOOKUP($Z$2,'Unit Price'!$B$3:$C$19,2,0),0)</f>
        <v>132000</v>
      </c>
      <c r="AA46" s="34">
        <f>IF(F46&lt;2.5,3*VLOOKUP($AA$2,'Unit Price'!$B$3:$C$19,2,0),0)</f>
        <v>165000</v>
      </c>
      <c r="AB46" s="34">
        <f>IF(F46&gt;2.5,6*VLOOKUP($AB$2,'Unit Price'!$B$3:$C$19,2,0),0)</f>
        <v>0</v>
      </c>
      <c r="AC46" s="34">
        <f>IF(F46&gt;2.5,3*VLOOKUP($AC$2,'Unit Price'!$B$3:$C$19,2,0),0)</f>
        <v>0</v>
      </c>
      <c r="AD46" s="36"/>
      <c r="AE46" s="46">
        <f t="shared" si="2"/>
        <v>1839500</v>
      </c>
      <c r="AF46" s="66">
        <f t="shared" si="3"/>
        <v>-19500</v>
      </c>
    </row>
    <row r="47" spans="1:32">
      <c r="A47" s="17">
        <v>45</v>
      </c>
      <c r="B47" s="5" t="s">
        <v>107</v>
      </c>
      <c r="C47" s="5" t="s">
        <v>108</v>
      </c>
      <c r="D47" s="5" t="s">
        <v>100</v>
      </c>
      <c r="E47" s="5">
        <v>5.2801</v>
      </c>
      <c r="F47" s="18">
        <v>2</v>
      </c>
      <c r="G47" s="5">
        <v>6</v>
      </c>
      <c r="H47" s="50">
        <v>13</v>
      </c>
      <c r="I47" s="58">
        <v>78</v>
      </c>
      <c r="J47" s="5">
        <f t="shared" si="0"/>
        <v>0.65</v>
      </c>
      <c r="K47" s="36">
        <v>2800000</v>
      </c>
      <c r="L47" s="37">
        <f t="shared" si="1"/>
        <v>1820000</v>
      </c>
      <c r="N47" s="34">
        <f>H47*VLOOKUP($N$2,'Unit Price'!$B$3:$C$19,2,0)</f>
        <v>234000</v>
      </c>
      <c r="O47" s="34">
        <f>1*VLOOKUP($O$2,'Unit Price'!$B$3:$C$19,2,0)</f>
        <v>10000</v>
      </c>
      <c r="P47" s="34">
        <f>1*VLOOKUP($P$2,'Unit Price'!$B$3:$C$19,2,0)</f>
        <v>8000</v>
      </c>
      <c r="Q47" s="34">
        <f>G47*2*VLOOKUP($Q$2,'Unit Price'!$B$3:$C$19,2,0)</f>
        <v>18000</v>
      </c>
      <c r="R47" s="34">
        <f>H47*3*VLOOKUP($R$2,'Unit Price'!$B$3:$C$19,2,0)</f>
        <v>97500</v>
      </c>
      <c r="S47" s="34">
        <f>IF(F47&lt;=2.2,3*VLOOKUP($S$2,'Unit Price'!$B$3:$C$19,2,0),5*VLOOKUP($S$2,'Unit Price'!$B$3:$C$19,2,0))</f>
        <v>30000</v>
      </c>
      <c r="T47" s="34">
        <f>IF(F47&lt;=2.06,VLOOKUP($T$2,'Unit Price'!$B$3:$C$19,2,0),0)</f>
        <v>795000</v>
      </c>
      <c r="U47" s="34">
        <f>IF(F47&lt;=2.06,VLOOKUP($U$2,'Unit Price'!$B$3:$C$19,2,0),0)</f>
        <v>245000</v>
      </c>
      <c r="V47" s="34">
        <f>IF(AND(F47&gt;2.06,F47&lt;2.5),VLOOKUP($V$2,'Unit Price'!$B$3:$C$19,2,0),0)</f>
        <v>0</v>
      </c>
      <c r="W47" s="34">
        <f>IF(AND(F47&gt;2.06,F47&lt;2.5),VLOOKUP($W$2,'Unit Price'!$B$3:$C$19,2,0),0)</f>
        <v>0</v>
      </c>
      <c r="X47" s="34">
        <f>IF(F47&gt;2.5,VLOOKUP($X$2,'Unit Price'!$B$3:$C$19,2,0),0)</f>
        <v>0</v>
      </c>
      <c r="Y47" s="34">
        <f>IF(F47&gt;2.5,VLOOKUP($Y$2,'Unit Price'!$B$3:$C$19,2,0),0)</f>
        <v>0</v>
      </c>
      <c r="Z47" s="34">
        <f>IF(F47&lt;2.5,6*VLOOKUP($Z$2,'Unit Price'!$B$3:$C$19,2,0),0)</f>
        <v>132000</v>
      </c>
      <c r="AA47" s="34">
        <f>IF(F47&lt;2.5,3*VLOOKUP($AA$2,'Unit Price'!$B$3:$C$19,2,0),0)</f>
        <v>165000</v>
      </c>
      <c r="AB47" s="34">
        <f>IF(F47&gt;2.5,6*VLOOKUP($AB$2,'Unit Price'!$B$3:$C$19,2,0),0)</f>
        <v>0</v>
      </c>
      <c r="AC47" s="34">
        <f>IF(F47&gt;2.5,3*VLOOKUP($AC$2,'Unit Price'!$B$3:$C$19,2,0),0)</f>
        <v>0</v>
      </c>
      <c r="AD47" s="36"/>
      <c r="AE47" s="46">
        <f t="shared" si="2"/>
        <v>1734500</v>
      </c>
      <c r="AF47" s="66">
        <f t="shared" si="3"/>
        <v>85500</v>
      </c>
    </row>
    <row r="48" spans="1:32">
      <c r="A48" s="17">
        <v>46</v>
      </c>
      <c r="B48" s="5" t="s">
        <v>109</v>
      </c>
      <c r="C48" s="5" t="s">
        <v>110</v>
      </c>
      <c r="D48" s="5" t="s">
        <v>100</v>
      </c>
      <c r="E48" s="5">
        <v>8.4390999999999998</v>
      </c>
      <c r="F48" s="18">
        <v>2</v>
      </c>
      <c r="G48" s="5">
        <v>5</v>
      </c>
      <c r="H48" s="50">
        <v>10</v>
      </c>
      <c r="I48" s="58">
        <v>50</v>
      </c>
      <c r="J48" s="5">
        <f t="shared" si="0"/>
        <v>0.65</v>
      </c>
      <c r="K48" s="36">
        <v>2800000</v>
      </c>
      <c r="L48" s="37">
        <f t="shared" si="1"/>
        <v>1820000</v>
      </c>
      <c r="N48" s="34">
        <f>H48*VLOOKUP($N$2,'Unit Price'!$B$3:$C$19,2,0)</f>
        <v>180000</v>
      </c>
      <c r="O48" s="34">
        <f>1*VLOOKUP($O$2,'Unit Price'!$B$3:$C$19,2,0)</f>
        <v>10000</v>
      </c>
      <c r="P48" s="34">
        <f>1*VLOOKUP($P$2,'Unit Price'!$B$3:$C$19,2,0)</f>
        <v>8000</v>
      </c>
      <c r="Q48" s="34">
        <f>G48*2*VLOOKUP($Q$2,'Unit Price'!$B$3:$C$19,2,0)</f>
        <v>15000</v>
      </c>
      <c r="R48" s="34">
        <f>H48*3*VLOOKUP($R$2,'Unit Price'!$B$3:$C$19,2,0)</f>
        <v>75000</v>
      </c>
      <c r="S48" s="34">
        <f>IF(F48&lt;=2.2,3*VLOOKUP($S$2,'Unit Price'!$B$3:$C$19,2,0),5*VLOOKUP($S$2,'Unit Price'!$B$3:$C$19,2,0))</f>
        <v>30000</v>
      </c>
      <c r="T48" s="34">
        <f>IF(F48&lt;=2.06,VLOOKUP($T$2,'Unit Price'!$B$3:$C$19,2,0),0)</f>
        <v>795000</v>
      </c>
      <c r="U48" s="34">
        <f>IF(F48&lt;=2.06,VLOOKUP($U$2,'Unit Price'!$B$3:$C$19,2,0),0)</f>
        <v>245000</v>
      </c>
      <c r="V48" s="34">
        <f>IF(AND(F48&gt;2.06,F48&lt;2.5),VLOOKUP($V$2,'Unit Price'!$B$3:$C$19,2,0),0)</f>
        <v>0</v>
      </c>
      <c r="W48" s="34">
        <f>IF(AND(F48&gt;2.06,F48&lt;2.5),VLOOKUP($W$2,'Unit Price'!$B$3:$C$19,2,0),0)</f>
        <v>0</v>
      </c>
      <c r="X48" s="34">
        <f>IF(F48&gt;2.5,VLOOKUP($X$2,'Unit Price'!$B$3:$C$19,2,0),0)</f>
        <v>0</v>
      </c>
      <c r="Y48" s="34">
        <f>IF(F48&gt;2.5,VLOOKUP($Y$2,'Unit Price'!$B$3:$C$19,2,0),0)</f>
        <v>0</v>
      </c>
      <c r="Z48" s="34">
        <f>IF(F48&lt;2.5,6*VLOOKUP($Z$2,'Unit Price'!$B$3:$C$19,2,0),0)</f>
        <v>132000</v>
      </c>
      <c r="AA48" s="34">
        <f>IF(F48&lt;2.5,3*VLOOKUP($AA$2,'Unit Price'!$B$3:$C$19,2,0),0)</f>
        <v>165000</v>
      </c>
      <c r="AB48" s="34">
        <f>IF(F48&gt;2.5,6*VLOOKUP($AB$2,'Unit Price'!$B$3:$C$19,2,0),0)</f>
        <v>0</v>
      </c>
      <c r="AC48" s="34">
        <f>IF(F48&gt;2.5,3*VLOOKUP($AC$2,'Unit Price'!$B$3:$C$19,2,0),0)</f>
        <v>0</v>
      </c>
      <c r="AD48" s="36"/>
      <c r="AE48" s="46">
        <f t="shared" si="2"/>
        <v>1655000</v>
      </c>
      <c r="AF48" s="66">
        <f t="shared" si="3"/>
        <v>165000</v>
      </c>
    </row>
    <row r="49" spans="1:32">
      <c r="A49" s="17">
        <v>47</v>
      </c>
      <c r="B49" s="5" t="s">
        <v>111</v>
      </c>
      <c r="C49" s="5" t="s">
        <v>112</v>
      </c>
      <c r="D49" s="5" t="s">
        <v>37</v>
      </c>
      <c r="E49" s="5">
        <v>6.73</v>
      </c>
      <c r="F49" s="18">
        <v>2</v>
      </c>
      <c r="G49" s="5">
        <v>6</v>
      </c>
      <c r="H49" s="50">
        <v>12</v>
      </c>
      <c r="I49" s="58">
        <v>72</v>
      </c>
      <c r="J49" s="5">
        <f t="shared" si="0"/>
        <v>0.65</v>
      </c>
      <c r="K49" s="36">
        <v>2800000</v>
      </c>
      <c r="L49" s="37">
        <f t="shared" si="1"/>
        <v>1820000</v>
      </c>
      <c r="N49" s="34">
        <f>H49*VLOOKUP($N$2,'Unit Price'!$B$3:$C$19,2,0)</f>
        <v>216000</v>
      </c>
      <c r="O49" s="34">
        <f>1*VLOOKUP($O$2,'Unit Price'!$B$3:$C$19,2,0)</f>
        <v>10000</v>
      </c>
      <c r="P49" s="34">
        <f>1*VLOOKUP($P$2,'Unit Price'!$B$3:$C$19,2,0)</f>
        <v>8000</v>
      </c>
      <c r="Q49" s="34">
        <f>G49*2*VLOOKUP($Q$2,'Unit Price'!$B$3:$C$19,2,0)</f>
        <v>18000</v>
      </c>
      <c r="R49" s="34">
        <f>H49*3*VLOOKUP($R$2,'Unit Price'!$B$3:$C$19,2,0)</f>
        <v>90000</v>
      </c>
      <c r="S49" s="34">
        <f>IF(F49&lt;=2.2,3*VLOOKUP($S$2,'Unit Price'!$B$3:$C$19,2,0),5*VLOOKUP($S$2,'Unit Price'!$B$3:$C$19,2,0))</f>
        <v>30000</v>
      </c>
      <c r="T49" s="34">
        <f>IF(F49&lt;=2.06,VLOOKUP($T$2,'Unit Price'!$B$3:$C$19,2,0),0)</f>
        <v>795000</v>
      </c>
      <c r="U49" s="34">
        <f>IF(F49&lt;=2.06,VLOOKUP($U$2,'Unit Price'!$B$3:$C$19,2,0),0)</f>
        <v>245000</v>
      </c>
      <c r="V49" s="34">
        <f>IF(AND(F49&gt;2.06,F49&lt;2.5),VLOOKUP($V$2,'Unit Price'!$B$3:$C$19,2,0),0)</f>
        <v>0</v>
      </c>
      <c r="W49" s="34">
        <f>IF(AND(F49&gt;2.06,F49&lt;2.5),VLOOKUP($W$2,'Unit Price'!$B$3:$C$19,2,0),0)</f>
        <v>0</v>
      </c>
      <c r="X49" s="34">
        <f>IF(F49&gt;2.5,VLOOKUP($X$2,'Unit Price'!$B$3:$C$19,2,0),0)</f>
        <v>0</v>
      </c>
      <c r="Y49" s="34">
        <f>IF(F49&gt;2.5,VLOOKUP($Y$2,'Unit Price'!$B$3:$C$19,2,0),0)</f>
        <v>0</v>
      </c>
      <c r="Z49" s="34">
        <f>IF(F49&lt;2.5,6*VLOOKUP($Z$2,'Unit Price'!$B$3:$C$19,2,0),0)</f>
        <v>132000</v>
      </c>
      <c r="AA49" s="34">
        <f>IF(F49&lt;2.5,3*VLOOKUP($AA$2,'Unit Price'!$B$3:$C$19,2,0),0)</f>
        <v>165000</v>
      </c>
      <c r="AB49" s="34">
        <f>IF(F49&gt;2.5,6*VLOOKUP($AB$2,'Unit Price'!$B$3:$C$19,2,0),0)</f>
        <v>0</v>
      </c>
      <c r="AC49" s="34">
        <f>IF(F49&gt;2.5,3*VLOOKUP($AC$2,'Unit Price'!$B$3:$C$19,2,0),0)</f>
        <v>0</v>
      </c>
      <c r="AD49" s="36"/>
      <c r="AE49" s="46">
        <f t="shared" si="2"/>
        <v>1709000</v>
      </c>
      <c r="AF49" s="66">
        <f t="shared" si="3"/>
        <v>111000</v>
      </c>
    </row>
    <row r="50" spans="1:32">
      <c r="A50" s="17">
        <v>48</v>
      </c>
      <c r="B50" s="5" t="s">
        <v>113</v>
      </c>
      <c r="C50" s="5" t="s">
        <v>114</v>
      </c>
      <c r="D50" s="5" t="s">
        <v>37</v>
      </c>
      <c r="E50" s="5">
        <v>12.914099999999999</v>
      </c>
      <c r="F50" s="18">
        <v>2</v>
      </c>
      <c r="G50" s="5">
        <v>4</v>
      </c>
      <c r="H50" s="50">
        <v>9</v>
      </c>
      <c r="I50" s="58">
        <v>36</v>
      </c>
      <c r="J50" s="5">
        <f t="shared" si="0"/>
        <v>0.65</v>
      </c>
      <c r="K50" s="36">
        <v>2800000</v>
      </c>
      <c r="L50" s="37">
        <f t="shared" si="1"/>
        <v>1820000</v>
      </c>
      <c r="N50" s="34">
        <f>H50*VLOOKUP($N$2,'Unit Price'!$B$3:$C$19,2,0)</f>
        <v>162000</v>
      </c>
      <c r="O50" s="34">
        <f>1*VLOOKUP($O$2,'Unit Price'!$B$3:$C$19,2,0)</f>
        <v>10000</v>
      </c>
      <c r="P50" s="34">
        <f>1*VLOOKUP($P$2,'Unit Price'!$B$3:$C$19,2,0)</f>
        <v>8000</v>
      </c>
      <c r="Q50" s="34">
        <f>G50*2*VLOOKUP($Q$2,'Unit Price'!$B$3:$C$19,2,0)</f>
        <v>12000</v>
      </c>
      <c r="R50" s="34">
        <f>H50*3*VLOOKUP($R$2,'Unit Price'!$B$3:$C$19,2,0)</f>
        <v>67500</v>
      </c>
      <c r="S50" s="34">
        <f>IF(F50&lt;=2.2,3*VLOOKUP($S$2,'Unit Price'!$B$3:$C$19,2,0),5*VLOOKUP($S$2,'Unit Price'!$B$3:$C$19,2,0))</f>
        <v>30000</v>
      </c>
      <c r="T50" s="34">
        <f>IF(F50&lt;=2.06,VLOOKUP($T$2,'Unit Price'!$B$3:$C$19,2,0),0)</f>
        <v>795000</v>
      </c>
      <c r="U50" s="34">
        <f>IF(F50&lt;=2.06,VLOOKUP($U$2,'Unit Price'!$B$3:$C$19,2,0),0)</f>
        <v>245000</v>
      </c>
      <c r="V50" s="34">
        <f>IF(AND(F50&gt;2.06,F50&lt;2.5),VLOOKUP($V$2,'Unit Price'!$B$3:$C$19,2,0),0)</f>
        <v>0</v>
      </c>
      <c r="W50" s="34">
        <f>IF(AND(F50&gt;2.06,F50&lt;2.5),VLOOKUP($W$2,'Unit Price'!$B$3:$C$19,2,0),0)</f>
        <v>0</v>
      </c>
      <c r="X50" s="34">
        <f>IF(F50&gt;2.5,VLOOKUP($X$2,'Unit Price'!$B$3:$C$19,2,0),0)</f>
        <v>0</v>
      </c>
      <c r="Y50" s="34">
        <f>IF(F50&gt;2.5,VLOOKUP($Y$2,'Unit Price'!$B$3:$C$19,2,0),0)</f>
        <v>0</v>
      </c>
      <c r="Z50" s="34">
        <f>IF(F50&lt;2.5,6*VLOOKUP($Z$2,'Unit Price'!$B$3:$C$19,2,0),0)</f>
        <v>132000</v>
      </c>
      <c r="AA50" s="34">
        <f>IF(F50&lt;2.5,3*VLOOKUP($AA$2,'Unit Price'!$B$3:$C$19,2,0),0)</f>
        <v>165000</v>
      </c>
      <c r="AB50" s="34">
        <f>IF(F50&gt;2.5,6*VLOOKUP($AB$2,'Unit Price'!$B$3:$C$19,2,0),0)</f>
        <v>0</v>
      </c>
      <c r="AC50" s="34">
        <f>IF(F50&gt;2.5,3*VLOOKUP($AC$2,'Unit Price'!$B$3:$C$19,2,0),0)</f>
        <v>0</v>
      </c>
      <c r="AD50" s="36"/>
      <c r="AE50" s="46">
        <f t="shared" si="2"/>
        <v>1626500</v>
      </c>
      <c r="AF50" s="66">
        <f t="shared" si="3"/>
        <v>193500</v>
      </c>
    </row>
    <row r="51" spans="1:32">
      <c r="A51" s="17">
        <v>49</v>
      </c>
      <c r="B51" s="5" t="s">
        <v>115</v>
      </c>
      <c r="C51" s="5" t="s">
        <v>116</v>
      </c>
      <c r="D51" s="5" t="s">
        <v>117</v>
      </c>
      <c r="E51" s="5">
        <v>0.54</v>
      </c>
      <c r="F51" s="18">
        <v>2.5</v>
      </c>
      <c r="G51" s="5">
        <v>43</v>
      </c>
      <c r="H51" s="50">
        <v>30</v>
      </c>
      <c r="I51" s="58">
        <v>1290</v>
      </c>
      <c r="J51" s="5">
        <f t="shared" si="0"/>
        <v>1</v>
      </c>
      <c r="K51" s="36">
        <v>2800000</v>
      </c>
      <c r="L51" s="37">
        <f t="shared" si="1"/>
        <v>2800000</v>
      </c>
      <c r="N51" s="34">
        <f>H51*VLOOKUP($N$2,'Unit Price'!$B$3:$C$19,2,0)</f>
        <v>540000</v>
      </c>
      <c r="O51" s="34">
        <f>1*VLOOKUP($O$2,'Unit Price'!$B$3:$C$19,2,0)</f>
        <v>10000</v>
      </c>
      <c r="P51" s="34">
        <f>1*VLOOKUP($P$2,'Unit Price'!$B$3:$C$19,2,0)</f>
        <v>8000</v>
      </c>
      <c r="Q51" s="34">
        <f>G51*2*VLOOKUP($Q$2,'Unit Price'!$B$3:$C$19,2,0)</f>
        <v>129000</v>
      </c>
      <c r="R51" s="34">
        <f>H51*3*VLOOKUP($R$2,'Unit Price'!$B$3:$C$19,2,0)</f>
        <v>225000</v>
      </c>
      <c r="S51" s="34">
        <f>IF(F51&lt;=2.2,3*VLOOKUP($S$2,'Unit Price'!$B$3:$C$19,2,0),5*VLOOKUP($S$2,'Unit Price'!$B$3:$C$19,2,0))</f>
        <v>50000</v>
      </c>
      <c r="T51" s="34">
        <f>IF(F51&lt;=2.06,VLOOKUP($T$2,'Unit Price'!$B$3:$C$19,2,0),0)</f>
        <v>0</v>
      </c>
      <c r="U51" s="34">
        <f>IF(F51&lt;=2.06,VLOOKUP($U$2,'Unit Price'!$B$3:$C$19,2,0),0)</f>
        <v>0</v>
      </c>
      <c r="V51" s="34">
        <f>IF(AND(F51&gt;2.06,F51&lt;2.5),VLOOKUP($V$2,'Unit Price'!$B$3:$C$19,2,0),0)</f>
        <v>0</v>
      </c>
      <c r="W51" s="34">
        <f>IF(AND(F51&gt;2.06,F51&lt;2.5),VLOOKUP($W$2,'Unit Price'!$B$3:$C$19,2,0),0)</f>
        <v>0</v>
      </c>
      <c r="X51" s="34">
        <f>IF(F51&gt;2.5,VLOOKUP($X$2,'Unit Price'!$B$3:$C$19,2,0),0)</f>
        <v>0</v>
      </c>
      <c r="Y51" s="34">
        <f>IF(F51&gt;2.5,VLOOKUP($Y$2,'Unit Price'!$B$3:$C$19,2,0),0)</f>
        <v>0</v>
      </c>
      <c r="Z51" s="34">
        <f>IF(F51&lt;2.5,6*VLOOKUP($Z$2,'Unit Price'!$B$3:$C$19,2,0),0)</f>
        <v>0</v>
      </c>
      <c r="AA51" s="34">
        <f>IF(F51&lt;2.5,3*VLOOKUP($AA$2,'Unit Price'!$B$3:$C$19,2,0),0)</f>
        <v>0</v>
      </c>
      <c r="AB51" s="34">
        <f>IF(F51&gt;2.5,6*VLOOKUP($AB$2,'Unit Price'!$B$3:$C$19,2,0),0)</f>
        <v>0</v>
      </c>
      <c r="AC51" s="34">
        <f>IF(F51&gt;2.5,3*VLOOKUP($AC$2,'Unit Price'!$B$3:$C$19,2,0),0)</f>
        <v>0</v>
      </c>
      <c r="AD51" s="36"/>
      <c r="AE51" s="46">
        <f t="shared" si="2"/>
        <v>962000</v>
      </c>
      <c r="AF51" s="66">
        <f t="shared" si="3"/>
        <v>1838000</v>
      </c>
    </row>
    <row r="52" spans="1:32">
      <c r="A52" s="17">
        <v>50</v>
      </c>
      <c r="B52" s="5" t="s">
        <v>118</v>
      </c>
      <c r="C52" s="5" t="s">
        <v>119</v>
      </c>
      <c r="D52" s="5" t="s">
        <v>117</v>
      </c>
      <c r="E52" s="5">
        <v>0.77</v>
      </c>
      <c r="F52" s="18">
        <v>2.5</v>
      </c>
      <c r="G52" s="5">
        <v>37</v>
      </c>
      <c r="H52" s="50">
        <v>26</v>
      </c>
      <c r="I52" s="58">
        <v>962</v>
      </c>
      <c r="J52" s="5">
        <f t="shared" si="0"/>
        <v>1</v>
      </c>
      <c r="K52" s="36">
        <v>2800000</v>
      </c>
      <c r="L52" s="37">
        <f t="shared" si="1"/>
        <v>2800000</v>
      </c>
      <c r="N52" s="34">
        <f>H52*VLOOKUP($N$2,'Unit Price'!$B$3:$C$19,2,0)</f>
        <v>468000</v>
      </c>
      <c r="O52" s="34">
        <f>1*VLOOKUP($O$2,'Unit Price'!$B$3:$C$19,2,0)</f>
        <v>10000</v>
      </c>
      <c r="P52" s="34">
        <f>1*VLOOKUP($P$2,'Unit Price'!$B$3:$C$19,2,0)</f>
        <v>8000</v>
      </c>
      <c r="Q52" s="34">
        <f>G52*2*VLOOKUP($Q$2,'Unit Price'!$B$3:$C$19,2,0)</f>
        <v>111000</v>
      </c>
      <c r="R52" s="34">
        <f>H52*3*VLOOKUP($R$2,'Unit Price'!$B$3:$C$19,2,0)</f>
        <v>195000</v>
      </c>
      <c r="S52" s="34">
        <f>IF(F52&lt;=2.2,3*VLOOKUP($S$2,'Unit Price'!$B$3:$C$19,2,0),5*VLOOKUP($S$2,'Unit Price'!$B$3:$C$19,2,0))</f>
        <v>50000</v>
      </c>
      <c r="T52" s="34">
        <f>IF(F52&lt;=2.06,VLOOKUP($T$2,'Unit Price'!$B$3:$C$19,2,0),0)</f>
        <v>0</v>
      </c>
      <c r="U52" s="34">
        <f>IF(F52&lt;=2.06,VLOOKUP($U$2,'Unit Price'!$B$3:$C$19,2,0),0)</f>
        <v>0</v>
      </c>
      <c r="V52" s="34">
        <f>IF(AND(F52&gt;2.06,F52&lt;2.5),VLOOKUP($V$2,'Unit Price'!$B$3:$C$19,2,0),0)</f>
        <v>0</v>
      </c>
      <c r="W52" s="34">
        <f>IF(AND(F52&gt;2.06,F52&lt;2.5),VLOOKUP($W$2,'Unit Price'!$B$3:$C$19,2,0),0)</f>
        <v>0</v>
      </c>
      <c r="X52" s="34">
        <f>IF(F52&gt;2.5,VLOOKUP($X$2,'Unit Price'!$B$3:$C$19,2,0),0)</f>
        <v>0</v>
      </c>
      <c r="Y52" s="34">
        <f>IF(F52&gt;2.5,VLOOKUP($Y$2,'Unit Price'!$B$3:$C$19,2,0),0)</f>
        <v>0</v>
      </c>
      <c r="Z52" s="34">
        <f>IF(F52&lt;2.5,6*VLOOKUP($Z$2,'Unit Price'!$B$3:$C$19,2,0),0)</f>
        <v>0</v>
      </c>
      <c r="AA52" s="34">
        <f>IF(F52&lt;2.5,3*VLOOKUP($AA$2,'Unit Price'!$B$3:$C$19,2,0),0)</f>
        <v>0</v>
      </c>
      <c r="AB52" s="34">
        <f>IF(F52&gt;2.5,6*VLOOKUP($AB$2,'Unit Price'!$B$3:$C$19,2,0),0)</f>
        <v>0</v>
      </c>
      <c r="AC52" s="34">
        <f>IF(F52&gt;2.5,3*VLOOKUP($AC$2,'Unit Price'!$B$3:$C$19,2,0),0)</f>
        <v>0</v>
      </c>
      <c r="AD52" s="36"/>
      <c r="AE52" s="46">
        <f t="shared" si="2"/>
        <v>842000</v>
      </c>
      <c r="AF52" s="66">
        <f t="shared" si="3"/>
        <v>1958000</v>
      </c>
    </row>
    <row r="53" spans="1:32">
      <c r="A53" s="17">
        <v>51</v>
      </c>
      <c r="B53" s="5" t="s">
        <v>120</v>
      </c>
      <c r="C53" s="5" t="s">
        <v>121</v>
      </c>
      <c r="D53" s="5" t="s">
        <v>117</v>
      </c>
      <c r="E53" s="5">
        <v>1.36</v>
      </c>
      <c r="F53" s="18">
        <v>2.5</v>
      </c>
      <c r="G53" s="5">
        <v>29</v>
      </c>
      <c r="H53" s="50">
        <v>20</v>
      </c>
      <c r="I53" s="58">
        <v>580</v>
      </c>
      <c r="J53" s="5">
        <f t="shared" si="0"/>
        <v>1</v>
      </c>
      <c r="K53" s="36">
        <v>2800000</v>
      </c>
      <c r="L53" s="37">
        <f t="shared" si="1"/>
        <v>2800000</v>
      </c>
      <c r="N53" s="34">
        <f>H53*VLOOKUP($N$2,'Unit Price'!$B$3:$C$19,2,0)</f>
        <v>360000</v>
      </c>
      <c r="O53" s="34">
        <f>1*VLOOKUP($O$2,'Unit Price'!$B$3:$C$19,2,0)</f>
        <v>10000</v>
      </c>
      <c r="P53" s="34">
        <f>1*VLOOKUP($P$2,'Unit Price'!$B$3:$C$19,2,0)</f>
        <v>8000</v>
      </c>
      <c r="Q53" s="34">
        <f>G53*2*VLOOKUP($Q$2,'Unit Price'!$B$3:$C$19,2,0)</f>
        <v>87000</v>
      </c>
      <c r="R53" s="34">
        <f>H53*3*VLOOKUP($R$2,'Unit Price'!$B$3:$C$19,2,0)</f>
        <v>150000</v>
      </c>
      <c r="S53" s="34">
        <f>IF(F53&lt;=2.2,3*VLOOKUP($S$2,'Unit Price'!$B$3:$C$19,2,0),5*VLOOKUP($S$2,'Unit Price'!$B$3:$C$19,2,0))</f>
        <v>50000</v>
      </c>
      <c r="T53" s="34">
        <f>IF(F53&lt;=2.06,VLOOKUP($T$2,'Unit Price'!$B$3:$C$19,2,0),0)</f>
        <v>0</v>
      </c>
      <c r="U53" s="34">
        <f>IF(F53&lt;=2.06,VLOOKUP($U$2,'Unit Price'!$B$3:$C$19,2,0),0)</f>
        <v>0</v>
      </c>
      <c r="V53" s="34">
        <f>IF(AND(F53&gt;2.06,F53&lt;2.5),VLOOKUP($V$2,'Unit Price'!$B$3:$C$19,2,0),0)</f>
        <v>0</v>
      </c>
      <c r="W53" s="34">
        <f>IF(AND(F53&gt;2.06,F53&lt;2.5),VLOOKUP($W$2,'Unit Price'!$B$3:$C$19,2,0),0)</f>
        <v>0</v>
      </c>
      <c r="X53" s="34">
        <f>IF(F53&gt;2.5,VLOOKUP($X$2,'Unit Price'!$B$3:$C$19,2,0),0)</f>
        <v>0</v>
      </c>
      <c r="Y53" s="34">
        <f>IF(F53&gt;2.5,VLOOKUP($Y$2,'Unit Price'!$B$3:$C$19,2,0),0)</f>
        <v>0</v>
      </c>
      <c r="Z53" s="34">
        <f>IF(F53&lt;2.5,6*VLOOKUP($Z$2,'Unit Price'!$B$3:$C$19,2,0),0)</f>
        <v>0</v>
      </c>
      <c r="AA53" s="34">
        <f>IF(F53&lt;2.5,3*VLOOKUP($AA$2,'Unit Price'!$B$3:$C$19,2,0),0)</f>
        <v>0</v>
      </c>
      <c r="AB53" s="34">
        <f>IF(F53&gt;2.5,6*VLOOKUP($AB$2,'Unit Price'!$B$3:$C$19,2,0),0)</f>
        <v>0</v>
      </c>
      <c r="AC53" s="34">
        <f>IF(F53&gt;2.5,3*VLOOKUP($AC$2,'Unit Price'!$B$3:$C$19,2,0),0)</f>
        <v>0</v>
      </c>
      <c r="AD53" s="36"/>
      <c r="AE53" s="46">
        <f t="shared" si="2"/>
        <v>665000</v>
      </c>
      <c r="AF53" s="66">
        <f t="shared" si="3"/>
        <v>2135000</v>
      </c>
    </row>
    <row r="54" spans="1:32">
      <c r="A54" s="19">
        <v>52</v>
      </c>
      <c r="B54" s="20" t="s">
        <v>122</v>
      </c>
      <c r="C54" s="20" t="s">
        <v>123</v>
      </c>
      <c r="D54" s="20" t="s">
        <v>117</v>
      </c>
      <c r="E54" s="20">
        <v>1.764</v>
      </c>
      <c r="F54" s="21">
        <v>2</v>
      </c>
      <c r="G54" s="20">
        <v>19</v>
      </c>
      <c r="H54" s="51">
        <v>13</v>
      </c>
      <c r="I54" s="58">
        <v>247</v>
      </c>
      <c r="J54" s="5">
        <f t="shared" si="0"/>
        <v>0.65</v>
      </c>
      <c r="K54" s="36">
        <v>2800000</v>
      </c>
      <c r="L54" s="37">
        <f t="shared" si="1"/>
        <v>1820000</v>
      </c>
      <c r="N54" s="34">
        <f>H54*VLOOKUP($N$2,'Unit Price'!$B$3:$C$19,2,0)</f>
        <v>234000</v>
      </c>
      <c r="O54" s="34">
        <f>1*VLOOKUP($O$2,'Unit Price'!$B$3:$C$19,2,0)</f>
        <v>10000</v>
      </c>
      <c r="P54" s="34">
        <f>1*VLOOKUP($P$2,'Unit Price'!$B$3:$C$19,2,0)</f>
        <v>8000</v>
      </c>
      <c r="Q54" s="34">
        <f>G54*2*VLOOKUP($Q$2,'Unit Price'!$B$3:$C$19,2,0)</f>
        <v>57000</v>
      </c>
      <c r="R54" s="34">
        <f>H54*3*VLOOKUP($R$2,'Unit Price'!$B$3:$C$19,2,0)</f>
        <v>97500</v>
      </c>
      <c r="S54" s="34">
        <f>IF(F54&lt;=2.2,3*VLOOKUP($S$2,'Unit Price'!$B$3:$C$19,2,0),5*VLOOKUP($S$2,'Unit Price'!$B$3:$C$19,2,0))</f>
        <v>30000</v>
      </c>
      <c r="T54" s="34">
        <f>IF(F54&lt;=2.06,VLOOKUP($T$2,'Unit Price'!$B$3:$C$19,2,0),0)</f>
        <v>795000</v>
      </c>
      <c r="U54" s="34">
        <f>IF(F54&lt;=2.06,VLOOKUP($U$2,'Unit Price'!$B$3:$C$19,2,0),0)</f>
        <v>245000</v>
      </c>
      <c r="V54" s="34">
        <f>IF(AND(F54&gt;2.06,F54&lt;2.5),VLOOKUP($V$2,'Unit Price'!$B$3:$C$19,2,0),0)</f>
        <v>0</v>
      </c>
      <c r="W54" s="34">
        <f>IF(AND(F54&gt;2.06,F54&lt;2.5),VLOOKUP($W$2,'Unit Price'!$B$3:$C$19,2,0),0)</f>
        <v>0</v>
      </c>
      <c r="X54" s="34">
        <f>IF(F54&gt;2.5,VLOOKUP($X$2,'Unit Price'!$B$3:$C$19,2,0),0)</f>
        <v>0</v>
      </c>
      <c r="Y54" s="34">
        <f>IF(F54&gt;2.5,VLOOKUP($Y$2,'Unit Price'!$B$3:$C$19,2,0),0)</f>
        <v>0</v>
      </c>
      <c r="Z54" s="34">
        <f>IF(F54&lt;2.5,6*VLOOKUP($Z$2,'Unit Price'!$B$3:$C$19,2,0),0)</f>
        <v>132000</v>
      </c>
      <c r="AA54" s="34">
        <f>IF(F54&lt;2.5,3*VLOOKUP($AA$2,'Unit Price'!$B$3:$C$19,2,0),0)</f>
        <v>165000</v>
      </c>
      <c r="AB54" s="34">
        <f>IF(F54&gt;2.5,6*VLOOKUP($AB$2,'Unit Price'!$B$3:$C$19,2,0),0)</f>
        <v>0</v>
      </c>
      <c r="AC54" s="34">
        <f>IF(F54&gt;2.5,3*VLOOKUP($AC$2,'Unit Price'!$B$3:$C$19,2,0),0)</f>
        <v>0</v>
      </c>
      <c r="AD54" s="36"/>
      <c r="AE54" s="46">
        <f t="shared" si="2"/>
        <v>1773500</v>
      </c>
      <c r="AF54" s="66">
        <f t="shared" si="3"/>
        <v>46500</v>
      </c>
    </row>
    <row r="55" spans="1:32">
      <c r="A55" s="19">
        <v>53</v>
      </c>
      <c r="B55" s="20" t="s">
        <v>124</v>
      </c>
      <c r="C55" s="20" t="s">
        <v>125</v>
      </c>
      <c r="D55" s="20" t="s">
        <v>126</v>
      </c>
      <c r="E55" s="20">
        <v>1.1579999999999999</v>
      </c>
      <c r="F55" s="21">
        <v>3</v>
      </c>
      <c r="G55" s="20">
        <v>34</v>
      </c>
      <c r="H55" s="51">
        <v>24</v>
      </c>
      <c r="I55" s="58">
        <v>816</v>
      </c>
      <c r="J55" s="5">
        <f t="shared" si="0"/>
        <v>1</v>
      </c>
      <c r="K55" s="36">
        <v>2800000</v>
      </c>
      <c r="L55" s="37">
        <f t="shared" si="1"/>
        <v>2800000</v>
      </c>
      <c r="N55" s="34">
        <f>H55*VLOOKUP($N$2,'Unit Price'!$B$3:$C$19,2,0)</f>
        <v>432000</v>
      </c>
      <c r="O55" s="34">
        <f>1*VLOOKUP($O$2,'Unit Price'!$B$3:$C$19,2,0)</f>
        <v>10000</v>
      </c>
      <c r="P55" s="34">
        <f>1*VLOOKUP($P$2,'Unit Price'!$B$3:$C$19,2,0)</f>
        <v>8000</v>
      </c>
      <c r="Q55" s="34">
        <f>G55*2*VLOOKUP($Q$2,'Unit Price'!$B$3:$C$19,2,0)</f>
        <v>102000</v>
      </c>
      <c r="R55" s="34">
        <f>H55*3*VLOOKUP($R$2,'Unit Price'!$B$3:$C$19,2,0)</f>
        <v>180000</v>
      </c>
      <c r="S55" s="34">
        <f>IF(F55&lt;=2.2,3*VLOOKUP($S$2,'Unit Price'!$B$3:$C$19,2,0),5*VLOOKUP($S$2,'Unit Price'!$B$3:$C$19,2,0))</f>
        <v>50000</v>
      </c>
      <c r="T55" s="34">
        <f>IF(F55&lt;=2.06,VLOOKUP($T$2,'Unit Price'!$B$3:$C$19,2,0),0)</f>
        <v>0</v>
      </c>
      <c r="U55" s="34">
        <f>IF(F55&lt;=2.06,VLOOKUP($U$2,'Unit Price'!$B$3:$C$19,2,0),0)</f>
        <v>0</v>
      </c>
      <c r="V55" s="34">
        <f>IF(AND(F55&gt;2.06,F55&lt;2.5),VLOOKUP($V$2,'Unit Price'!$B$3:$C$19,2,0),0)</f>
        <v>0</v>
      </c>
      <c r="W55" s="34">
        <f>IF(AND(F55&gt;2.06,F55&lt;2.5),VLOOKUP($W$2,'Unit Price'!$B$3:$C$19,2,0),0)</f>
        <v>0</v>
      </c>
      <c r="X55" s="34">
        <f>IF(F55&gt;2.5,VLOOKUP($X$2,'Unit Price'!$B$3:$C$19,2,0),0)</f>
        <v>1200000</v>
      </c>
      <c r="Y55" s="34">
        <f>IF(F55&gt;2.5,VLOOKUP($Y$2,'Unit Price'!$B$3:$C$19,2,0),0)</f>
        <v>350000</v>
      </c>
      <c r="Z55" s="34">
        <f>IF(F55&lt;2.5,6*VLOOKUP($Z$2,'Unit Price'!$B$3:$C$19,2,0),0)</f>
        <v>0</v>
      </c>
      <c r="AA55" s="34">
        <f>IF(F55&lt;2.5,3*VLOOKUP($AA$2,'Unit Price'!$B$3:$C$19,2,0),0)</f>
        <v>0</v>
      </c>
      <c r="AB55" s="34">
        <f>IF(F55&gt;2.5,6*VLOOKUP($AB$2,'Unit Price'!$B$3:$C$19,2,0),0)</f>
        <v>375000</v>
      </c>
      <c r="AC55" s="34">
        <f>IF(F55&gt;2.5,3*VLOOKUP($AC$2,'Unit Price'!$B$3:$C$19,2,0),0)</f>
        <v>216000</v>
      </c>
      <c r="AD55" s="36"/>
      <c r="AE55" s="46">
        <f t="shared" si="2"/>
        <v>2923000</v>
      </c>
      <c r="AF55" s="66">
        <f t="shared" si="3"/>
        <v>-123000</v>
      </c>
    </row>
    <row r="56" spans="1:32">
      <c r="A56" s="19">
        <v>54</v>
      </c>
      <c r="B56" s="20" t="s">
        <v>127</v>
      </c>
      <c r="C56" s="20" t="s">
        <v>128</v>
      </c>
      <c r="D56" s="20" t="s">
        <v>126</v>
      </c>
      <c r="E56" s="20">
        <v>2.1779999999999999</v>
      </c>
      <c r="F56" s="21">
        <v>3</v>
      </c>
      <c r="G56" s="20">
        <v>26</v>
      </c>
      <c r="H56" s="51">
        <v>18</v>
      </c>
      <c r="I56" s="58">
        <v>468</v>
      </c>
      <c r="J56" s="5">
        <f t="shared" si="0"/>
        <v>1</v>
      </c>
      <c r="K56" s="36">
        <v>2800000</v>
      </c>
      <c r="L56" s="37">
        <f t="shared" si="1"/>
        <v>2800000</v>
      </c>
      <c r="N56" s="34">
        <f>H56*VLOOKUP($N$2,'Unit Price'!$B$3:$C$19,2,0)</f>
        <v>324000</v>
      </c>
      <c r="O56" s="34">
        <f>1*VLOOKUP($O$2,'Unit Price'!$B$3:$C$19,2,0)</f>
        <v>10000</v>
      </c>
      <c r="P56" s="34">
        <f>1*VLOOKUP($P$2,'Unit Price'!$B$3:$C$19,2,0)</f>
        <v>8000</v>
      </c>
      <c r="Q56" s="34">
        <f>G56*2*VLOOKUP($Q$2,'Unit Price'!$B$3:$C$19,2,0)</f>
        <v>78000</v>
      </c>
      <c r="R56" s="34">
        <f>H56*3*VLOOKUP($R$2,'Unit Price'!$B$3:$C$19,2,0)</f>
        <v>135000</v>
      </c>
      <c r="S56" s="34">
        <f>IF(F56&lt;=2.2,3*VLOOKUP($S$2,'Unit Price'!$B$3:$C$19,2,0),5*VLOOKUP($S$2,'Unit Price'!$B$3:$C$19,2,0))</f>
        <v>50000</v>
      </c>
      <c r="T56" s="34">
        <f>IF(F56&lt;=2.06,VLOOKUP($T$2,'Unit Price'!$B$3:$C$19,2,0),0)</f>
        <v>0</v>
      </c>
      <c r="U56" s="34">
        <f>IF(F56&lt;=2.06,VLOOKUP($U$2,'Unit Price'!$B$3:$C$19,2,0),0)</f>
        <v>0</v>
      </c>
      <c r="V56" s="34">
        <f>IF(AND(F56&gt;2.06,F56&lt;2.5),VLOOKUP($V$2,'Unit Price'!$B$3:$C$19,2,0),0)</f>
        <v>0</v>
      </c>
      <c r="W56" s="34">
        <f>IF(AND(F56&gt;2.06,F56&lt;2.5),VLOOKUP($W$2,'Unit Price'!$B$3:$C$19,2,0),0)</f>
        <v>0</v>
      </c>
      <c r="X56" s="34">
        <f>IF(F56&gt;2.5,VLOOKUP($X$2,'Unit Price'!$B$3:$C$19,2,0),0)</f>
        <v>1200000</v>
      </c>
      <c r="Y56" s="34">
        <f>IF(F56&gt;2.5,VLOOKUP($Y$2,'Unit Price'!$B$3:$C$19,2,0),0)</f>
        <v>350000</v>
      </c>
      <c r="Z56" s="34">
        <f>IF(F56&lt;2.5,6*VLOOKUP($Z$2,'Unit Price'!$B$3:$C$19,2,0),0)</f>
        <v>0</v>
      </c>
      <c r="AA56" s="34">
        <f>IF(F56&lt;2.5,3*VLOOKUP($AA$2,'Unit Price'!$B$3:$C$19,2,0),0)</f>
        <v>0</v>
      </c>
      <c r="AB56" s="34">
        <f>IF(F56&gt;2.5,6*VLOOKUP($AB$2,'Unit Price'!$B$3:$C$19,2,0),0)</f>
        <v>375000</v>
      </c>
      <c r="AC56" s="34">
        <f>IF(F56&gt;2.5,3*VLOOKUP($AC$2,'Unit Price'!$B$3:$C$19,2,0),0)</f>
        <v>216000</v>
      </c>
      <c r="AD56" s="36"/>
      <c r="AE56" s="46">
        <f t="shared" si="2"/>
        <v>2746000</v>
      </c>
      <c r="AF56" s="66">
        <f t="shared" si="3"/>
        <v>54000</v>
      </c>
    </row>
    <row r="57" spans="1:32">
      <c r="A57" s="19">
        <v>55</v>
      </c>
      <c r="B57" s="20" t="s">
        <v>129</v>
      </c>
      <c r="C57" s="20" t="s">
        <v>130</v>
      </c>
      <c r="D57" s="20" t="s">
        <v>126</v>
      </c>
      <c r="E57" s="20">
        <v>3.2220000000000004</v>
      </c>
      <c r="F57" s="21">
        <v>3</v>
      </c>
      <c r="G57" s="20">
        <v>22</v>
      </c>
      <c r="H57" s="51">
        <v>15</v>
      </c>
      <c r="I57" s="58">
        <v>330</v>
      </c>
      <c r="J57" s="5">
        <f t="shared" si="0"/>
        <v>1</v>
      </c>
      <c r="K57" s="36">
        <v>2800000</v>
      </c>
      <c r="L57" s="37">
        <f t="shared" si="1"/>
        <v>2800000</v>
      </c>
      <c r="N57" s="34">
        <f>H57*VLOOKUP($N$2,'Unit Price'!$B$3:$C$19,2,0)</f>
        <v>270000</v>
      </c>
      <c r="O57" s="34">
        <f>1*VLOOKUP($O$2,'Unit Price'!$B$3:$C$19,2,0)</f>
        <v>10000</v>
      </c>
      <c r="P57" s="34">
        <f>1*VLOOKUP($P$2,'Unit Price'!$B$3:$C$19,2,0)</f>
        <v>8000</v>
      </c>
      <c r="Q57" s="34">
        <f>G57*2*VLOOKUP($Q$2,'Unit Price'!$B$3:$C$19,2,0)</f>
        <v>66000</v>
      </c>
      <c r="R57" s="34">
        <f>H57*3*VLOOKUP($R$2,'Unit Price'!$B$3:$C$19,2,0)</f>
        <v>112500</v>
      </c>
      <c r="S57" s="34">
        <f>IF(F57&lt;=2.2,3*VLOOKUP($S$2,'Unit Price'!$B$3:$C$19,2,0),5*VLOOKUP($S$2,'Unit Price'!$B$3:$C$19,2,0))</f>
        <v>50000</v>
      </c>
      <c r="T57" s="34">
        <f>IF(F57&lt;=2.06,VLOOKUP($T$2,'Unit Price'!$B$3:$C$19,2,0),0)</f>
        <v>0</v>
      </c>
      <c r="U57" s="34">
        <f>IF(F57&lt;=2.06,VLOOKUP($U$2,'Unit Price'!$B$3:$C$19,2,0),0)</f>
        <v>0</v>
      </c>
      <c r="V57" s="34">
        <f>IF(AND(F57&gt;2.06,F57&lt;2.5),VLOOKUP($V$2,'Unit Price'!$B$3:$C$19,2,0),0)</f>
        <v>0</v>
      </c>
      <c r="W57" s="34">
        <f>IF(AND(F57&gt;2.06,F57&lt;2.5),VLOOKUP($W$2,'Unit Price'!$B$3:$C$19,2,0),0)</f>
        <v>0</v>
      </c>
      <c r="X57" s="34">
        <f>IF(F57&gt;2.5,VLOOKUP($X$2,'Unit Price'!$B$3:$C$19,2,0),0)</f>
        <v>1200000</v>
      </c>
      <c r="Y57" s="34">
        <f>IF(F57&gt;2.5,VLOOKUP($Y$2,'Unit Price'!$B$3:$C$19,2,0),0)</f>
        <v>350000</v>
      </c>
      <c r="Z57" s="34">
        <f>IF(F57&lt;2.5,6*VLOOKUP($Z$2,'Unit Price'!$B$3:$C$19,2,0),0)</f>
        <v>0</v>
      </c>
      <c r="AA57" s="34">
        <f>IF(F57&lt;2.5,3*VLOOKUP($AA$2,'Unit Price'!$B$3:$C$19,2,0),0)</f>
        <v>0</v>
      </c>
      <c r="AB57" s="34">
        <f>IF(F57&gt;2.5,6*VLOOKUP($AB$2,'Unit Price'!$B$3:$C$19,2,0),0)</f>
        <v>375000</v>
      </c>
      <c r="AC57" s="34">
        <f>IF(F57&gt;2.5,3*VLOOKUP($AC$2,'Unit Price'!$B$3:$C$19,2,0),0)</f>
        <v>216000</v>
      </c>
      <c r="AD57" s="36"/>
      <c r="AE57" s="46">
        <f t="shared" si="2"/>
        <v>2657500</v>
      </c>
      <c r="AF57" s="66">
        <f t="shared" si="3"/>
        <v>142500</v>
      </c>
    </row>
    <row r="58" spans="1:32">
      <c r="A58" s="19">
        <v>56</v>
      </c>
      <c r="B58" s="20" t="s">
        <v>131</v>
      </c>
      <c r="C58" s="20" t="s">
        <v>132</v>
      </c>
      <c r="D58" s="20" t="s">
        <v>126</v>
      </c>
      <c r="E58" s="20">
        <v>4.5359999999999996</v>
      </c>
      <c r="F58" s="21">
        <v>3</v>
      </c>
      <c r="G58" s="20">
        <v>19</v>
      </c>
      <c r="H58" s="51">
        <v>13</v>
      </c>
      <c r="I58" s="58">
        <v>247</v>
      </c>
      <c r="J58" s="5">
        <f t="shared" si="0"/>
        <v>1</v>
      </c>
      <c r="K58" s="36">
        <v>2800000</v>
      </c>
      <c r="L58" s="37">
        <f t="shared" si="1"/>
        <v>2800000</v>
      </c>
      <c r="N58" s="34">
        <f>H58*VLOOKUP($N$2,'Unit Price'!$B$3:$C$19,2,0)</f>
        <v>234000</v>
      </c>
      <c r="O58" s="34">
        <f>1*VLOOKUP($O$2,'Unit Price'!$B$3:$C$19,2,0)</f>
        <v>10000</v>
      </c>
      <c r="P58" s="34">
        <f>1*VLOOKUP($P$2,'Unit Price'!$B$3:$C$19,2,0)</f>
        <v>8000</v>
      </c>
      <c r="Q58" s="34">
        <f>G58*2*VLOOKUP($Q$2,'Unit Price'!$B$3:$C$19,2,0)</f>
        <v>57000</v>
      </c>
      <c r="R58" s="34">
        <f>H58*3*VLOOKUP($R$2,'Unit Price'!$B$3:$C$19,2,0)</f>
        <v>97500</v>
      </c>
      <c r="S58" s="34">
        <f>IF(F58&lt;=2.2,3*VLOOKUP($S$2,'Unit Price'!$B$3:$C$19,2,0),5*VLOOKUP($S$2,'Unit Price'!$B$3:$C$19,2,0))</f>
        <v>50000</v>
      </c>
      <c r="T58" s="34">
        <f>IF(F58&lt;=2.06,VLOOKUP($T$2,'Unit Price'!$B$3:$C$19,2,0),0)</f>
        <v>0</v>
      </c>
      <c r="U58" s="34">
        <f>IF(F58&lt;=2.06,VLOOKUP($U$2,'Unit Price'!$B$3:$C$19,2,0),0)</f>
        <v>0</v>
      </c>
      <c r="V58" s="34">
        <f>IF(AND(F58&gt;2.06,F58&lt;2.5),VLOOKUP($V$2,'Unit Price'!$B$3:$C$19,2,0),0)</f>
        <v>0</v>
      </c>
      <c r="W58" s="34">
        <f>IF(AND(F58&gt;2.06,F58&lt;2.5),VLOOKUP($W$2,'Unit Price'!$B$3:$C$19,2,0),0)</f>
        <v>0</v>
      </c>
      <c r="X58" s="34">
        <f>IF(F58&gt;2.5,VLOOKUP($X$2,'Unit Price'!$B$3:$C$19,2,0),0)</f>
        <v>1200000</v>
      </c>
      <c r="Y58" s="34">
        <f>IF(F58&gt;2.5,VLOOKUP($Y$2,'Unit Price'!$B$3:$C$19,2,0),0)</f>
        <v>350000</v>
      </c>
      <c r="Z58" s="34">
        <f>IF(F58&lt;2.5,6*VLOOKUP($Z$2,'Unit Price'!$B$3:$C$19,2,0),0)</f>
        <v>0</v>
      </c>
      <c r="AA58" s="34">
        <f>IF(F58&lt;2.5,3*VLOOKUP($AA$2,'Unit Price'!$B$3:$C$19,2,0),0)</f>
        <v>0</v>
      </c>
      <c r="AB58" s="34">
        <f>IF(F58&gt;2.5,6*VLOOKUP($AB$2,'Unit Price'!$B$3:$C$19,2,0),0)</f>
        <v>375000</v>
      </c>
      <c r="AC58" s="34">
        <f>IF(F58&gt;2.5,3*VLOOKUP($AC$2,'Unit Price'!$B$3:$C$19,2,0),0)</f>
        <v>216000</v>
      </c>
      <c r="AD58" s="36"/>
      <c r="AE58" s="46">
        <f t="shared" si="2"/>
        <v>2597500</v>
      </c>
      <c r="AF58" s="66">
        <f t="shared" si="3"/>
        <v>202500</v>
      </c>
    </row>
    <row r="59" spans="1:32">
      <c r="A59" s="19">
        <v>57</v>
      </c>
      <c r="B59" s="20" t="s">
        <v>133</v>
      </c>
      <c r="C59" s="20" t="s">
        <v>134</v>
      </c>
      <c r="D59" s="20" t="s">
        <v>126</v>
      </c>
      <c r="E59" s="20">
        <v>7.5720000000000001</v>
      </c>
      <c r="F59" s="21">
        <v>3</v>
      </c>
      <c r="G59" s="20">
        <v>15</v>
      </c>
      <c r="H59" s="51">
        <v>10</v>
      </c>
      <c r="I59" s="58">
        <v>150</v>
      </c>
      <c r="J59" s="5">
        <f t="shared" si="0"/>
        <v>1</v>
      </c>
      <c r="K59" s="36">
        <v>2800000</v>
      </c>
      <c r="L59" s="37">
        <f t="shared" si="1"/>
        <v>2800000</v>
      </c>
      <c r="N59" s="34">
        <f>H59*VLOOKUP($N$2,'Unit Price'!$B$3:$C$19,2,0)</f>
        <v>180000</v>
      </c>
      <c r="O59" s="34">
        <f>1*VLOOKUP($O$2,'Unit Price'!$B$3:$C$19,2,0)</f>
        <v>10000</v>
      </c>
      <c r="P59" s="34">
        <f>1*VLOOKUP($P$2,'Unit Price'!$B$3:$C$19,2,0)</f>
        <v>8000</v>
      </c>
      <c r="Q59" s="34">
        <f>G59*2*VLOOKUP($Q$2,'Unit Price'!$B$3:$C$19,2,0)</f>
        <v>45000</v>
      </c>
      <c r="R59" s="34">
        <f>H59*3*VLOOKUP($R$2,'Unit Price'!$B$3:$C$19,2,0)</f>
        <v>75000</v>
      </c>
      <c r="S59" s="34">
        <f>IF(F59&lt;=2.2,3*VLOOKUP($S$2,'Unit Price'!$B$3:$C$19,2,0),5*VLOOKUP($S$2,'Unit Price'!$B$3:$C$19,2,0))</f>
        <v>50000</v>
      </c>
      <c r="T59" s="34">
        <f>IF(F59&lt;=2.06,VLOOKUP($T$2,'Unit Price'!$B$3:$C$19,2,0),0)</f>
        <v>0</v>
      </c>
      <c r="U59" s="34">
        <f>IF(F59&lt;=2.06,VLOOKUP($U$2,'Unit Price'!$B$3:$C$19,2,0),0)</f>
        <v>0</v>
      </c>
      <c r="V59" s="34">
        <f>IF(AND(F59&gt;2.06,F59&lt;2.5),VLOOKUP($V$2,'Unit Price'!$B$3:$C$19,2,0),0)</f>
        <v>0</v>
      </c>
      <c r="W59" s="34">
        <f>IF(AND(F59&gt;2.06,F59&lt;2.5),VLOOKUP($W$2,'Unit Price'!$B$3:$C$19,2,0),0)</f>
        <v>0</v>
      </c>
      <c r="X59" s="34">
        <f>IF(F59&gt;2.5,VLOOKUP($X$2,'Unit Price'!$B$3:$C$19,2,0),0)</f>
        <v>1200000</v>
      </c>
      <c r="Y59" s="34">
        <f>IF(F59&gt;2.5,VLOOKUP($Y$2,'Unit Price'!$B$3:$C$19,2,0),0)</f>
        <v>350000</v>
      </c>
      <c r="Z59" s="34">
        <f>IF(F59&lt;2.5,6*VLOOKUP($Z$2,'Unit Price'!$B$3:$C$19,2,0),0)</f>
        <v>0</v>
      </c>
      <c r="AA59" s="34">
        <f>IF(F59&lt;2.5,3*VLOOKUP($AA$2,'Unit Price'!$B$3:$C$19,2,0),0)</f>
        <v>0</v>
      </c>
      <c r="AB59" s="34">
        <f>IF(F59&gt;2.5,6*VLOOKUP($AB$2,'Unit Price'!$B$3:$C$19,2,0),0)</f>
        <v>375000</v>
      </c>
      <c r="AC59" s="34">
        <f>IF(F59&gt;2.5,3*VLOOKUP($AC$2,'Unit Price'!$B$3:$C$19,2,0),0)</f>
        <v>216000</v>
      </c>
      <c r="AD59" s="36"/>
      <c r="AE59" s="46">
        <f t="shared" si="2"/>
        <v>2509000</v>
      </c>
      <c r="AF59" s="66">
        <f t="shared" si="3"/>
        <v>291000</v>
      </c>
    </row>
    <row r="60" spans="1:32">
      <c r="A60" s="19">
        <v>58</v>
      </c>
      <c r="B60" s="20" t="s">
        <v>135</v>
      </c>
      <c r="C60" s="20" t="s">
        <v>136</v>
      </c>
      <c r="D60" s="20" t="s">
        <v>126</v>
      </c>
      <c r="E60" s="20">
        <v>11.49</v>
      </c>
      <c r="F60" s="21">
        <v>3</v>
      </c>
      <c r="G60" s="20">
        <v>12</v>
      </c>
      <c r="H60" s="51">
        <v>8</v>
      </c>
      <c r="I60" s="58">
        <v>96</v>
      </c>
      <c r="J60" s="5">
        <f t="shared" si="0"/>
        <v>1</v>
      </c>
      <c r="K60" s="36">
        <v>2800000</v>
      </c>
      <c r="L60" s="37">
        <f t="shared" si="1"/>
        <v>2800000</v>
      </c>
      <c r="N60" s="34">
        <f>H60*VLOOKUP($N$2,'Unit Price'!$B$3:$C$19,2,0)</f>
        <v>144000</v>
      </c>
      <c r="O60" s="34">
        <f>1*VLOOKUP($O$2,'Unit Price'!$B$3:$C$19,2,0)</f>
        <v>10000</v>
      </c>
      <c r="P60" s="34">
        <f>1*VLOOKUP($P$2,'Unit Price'!$B$3:$C$19,2,0)</f>
        <v>8000</v>
      </c>
      <c r="Q60" s="34">
        <f>G60*2*VLOOKUP($Q$2,'Unit Price'!$B$3:$C$19,2,0)</f>
        <v>36000</v>
      </c>
      <c r="R60" s="34">
        <f>H60*3*VLOOKUP($R$2,'Unit Price'!$B$3:$C$19,2,0)</f>
        <v>60000</v>
      </c>
      <c r="S60" s="34">
        <f>IF(F60&lt;=2.2,3*VLOOKUP($S$2,'Unit Price'!$B$3:$C$19,2,0),5*VLOOKUP($S$2,'Unit Price'!$B$3:$C$19,2,0))</f>
        <v>50000</v>
      </c>
      <c r="T60" s="34">
        <f>IF(F60&lt;=2.06,VLOOKUP($T$2,'Unit Price'!$B$3:$C$19,2,0),0)</f>
        <v>0</v>
      </c>
      <c r="U60" s="34">
        <f>IF(F60&lt;=2.06,VLOOKUP($U$2,'Unit Price'!$B$3:$C$19,2,0),0)</f>
        <v>0</v>
      </c>
      <c r="V60" s="34">
        <f>IF(AND(F60&gt;2.06,F60&lt;2.5),VLOOKUP($V$2,'Unit Price'!$B$3:$C$19,2,0),0)</f>
        <v>0</v>
      </c>
      <c r="W60" s="34">
        <f>IF(AND(F60&gt;2.06,F60&lt;2.5),VLOOKUP($W$2,'Unit Price'!$B$3:$C$19,2,0),0)</f>
        <v>0</v>
      </c>
      <c r="X60" s="34">
        <f>IF(F60&gt;2.5,VLOOKUP($X$2,'Unit Price'!$B$3:$C$19,2,0),0)</f>
        <v>1200000</v>
      </c>
      <c r="Y60" s="34">
        <f>IF(F60&gt;2.5,VLOOKUP($Y$2,'Unit Price'!$B$3:$C$19,2,0),0)</f>
        <v>350000</v>
      </c>
      <c r="Z60" s="34">
        <f>IF(F60&lt;2.5,6*VLOOKUP($Z$2,'Unit Price'!$B$3:$C$19,2,0),0)</f>
        <v>0</v>
      </c>
      <c r="AA60" s="34">
        <f>IF(F60&lt;2.5,3*VLOOKUP($AA$2,'Unit Price'!$B$3:$C$19,2,0),0)</f>
        <v>0</v>
      </c>
      <c r="AB60" s="34">
        <f>IF(F60&gt;2.5,6*VLOOKUP($AB$2,'Unit Price'!$B$3:$C$19,2,0),0)</f>
        <v>375000</v>
      </c>
      <c r="AC60" s="34">
        <f>IF(F60&gt;2.5,3*VLOOKUP($AC$2,'Unit Price'!$B$3:$C$19,2,0),0)</f>
        <v>216000</v>
      </c>
      <c r="AD60" s="36"/>
      <c r="AE60" s="46">
        <f t="shared" si="2"/>
        <v>2449000</v>
      </c>
      <c r="AF60" s="66">
        <f t="shared" si="3"/>
        <v>351000</v>
      </c>
    </row>
    <row r="61" spans="1:32">
      <c r="A61" s="19">
        <v>59</v>
      </c>
      <c r="B61" s="20" t="s">
        <v>137</v>
      </c>
      <c r="C61" s="20" t="s">
        <v>138</v>
      </c>
      <c r="D61" s="20" t="s">
        <v>117</v>
      </c>
      <c r="E61" s="20">
        <v>0.85499999999999998</v>
      </c>
      <c r="F61" s="21">
        <v>3</v>
      </c>
      <c r="G61" s="20">
        <v>37</v>
      </c>
      <c r="H61" s="51">
        <v>26</v>
      </c>
      <c r="I61" s="58">
        <v>962</v>
      </c>
      <c r="J61" s="5">
        <f t="shared" si="0"/>
        <v>1</v>
      </c>
      <c r="K61" s="36">
        <v>2800000</v>
      </c>
      <c r="L61" s="37">
        <f t="shared" si="1"/>
        <v>2800000</v>
      </c>
      <c r="N61" s="34">
        <f>H61*VLOOKUP($N$2,'Unit Price'!$B$3:$C$19,2,0)</f>
        <v>468000</v>
      </c>
      <c r="O61" s="34">
        <f>1*VLOOKUP($O$2,'Unit Price'!$B$3:$C$19,2,0)</f>
        <v>10000</v>
      </c>
      <c r="P61" s="34">
        <f>1*VLOOKUP($P$2,'Unit Price'!$B$3:$C$19,2,0)</f>
        <v>8000</v>
      </c>
      <c r="Q61" s="34">
        <f>G61*2*VLOOKUP($Q$2,'Unit Price'!$B$3:$C$19,2,0)</f>
        <v>111000</v>
      </c>
      <c r="R61" s="34">
        <f>H61*3*VLOOKUP($R$2,'Unit Price'!$B$3:$C$19,2,0)</f>
        <v>195000</v>
      </c>
      <c r="S61" s="34">
        <f>IF(F61&lt;=2.2,3*VLOOKUP($S$2,'Unit Price'!$B$3:$C$19,2,0),5*VLOOKUP($S$2,'Unit Price'!$B$3:$C$19,2,0))</f>
        <v>50000</v>
      </c>
      <c r="T61" s="34">
        <f>IF(F61&lt;=2.06,VLOOKUP($T$2,'Unit Price'!$B$3:$C$19,2,0),0)</f>
        <v>0</v>
      </c>
      <c r="U61" s="34">
        <f>IF(F61&lt;=2.06,VLOOKUP($U$2,'Unit Price'!$B$3:$C$19,2,0),0)</f>
        <v>0</v>
      </c>
      <c r="V61" s="34">
        <f>IF(AND(F61&gt;2.06,F61&lt;2.5),VLOOKUP($V$2,'Unit Price'!$B$3:$C$19,2,0),0)</f>
        <v>0</v>
      </c>
      <c r="W61" s="34">
        <f>IF(AND(F61&gt;2.06,F61&lt;2.5),VLOOKUP($W$2,'Unit Price'!$B$3:$C$19,2,0),0)</f>
        <v>0</v>
      </c>
      <c r="X61" s="34">
        <f>IF(F61&gt;2.5,VLOOKUP($X$2,'Unit Price'!$B$3:$C$19,2,0),0)</f>
        <v>1200000</v>
      </c>
      <c r="Y61" s="34">
        <f>IF(F61&gt;2.5,VLOOKUP($Y$2,'Unit Price'!$B$3:$C$19,2,0),0)</f>
        <v>350000</v>
      </c>
      <c r="Z61" s="34">
        <f>IF(F61&lt;2.5,6*VLOOKUP($Z$2,'Unit Price'!$B$3:$C$19,2,0),0)</f>
        <v>0</v>
      </c>
      <c r="AA61" s="34">
        <f>IF(F61&lt;2.5,3*VLOOKUP($AA$2,'Unit Price'!$B$3:$C$19,2,0),0)</f>
        <v>0</v>
      </c>
      <c r="AB61" s="34">
        <f>IF(F61&gt;2.5,6*VLOOKUP($AB$2,'Unit Price'!$B$3:$C$19,2,0),0)</f>
        <v>375000</v>
      </c>
      <c r="AC61" s="34">
        <f>IF(F61&gt;2.5,3*VLOOKUP($AC$2,'Unit Price'!$B$3:$C$19,2,0),0)</f>
        <v>216000</v>
      </c>
      <c r="AD61" s="36"/>
      <c r="AE61" s="46">
        <f t="shared" si="2"/>
        <v>2983000</v>
      </c>
      <c r="AF61" s="66">
        <f t="shared" si="3"/>
        <v>-183000</v>
      </c>
    </row>
    <row r="62" spans="1:32">
      <c r="A62" s="19">
        <v>60</v>
      </c>
      <c r="B62" s="20" t="s">
        <v>139</v>
      </c>
      <c r="C62" s="20" t="s">
        <v>140</v>
      </c>
      <c r="D62" s="20" t="s">
        <v>117</v>
      </c>
      <c r="E62" s="20">
        <v>1.5209999999999999</v>
      </c>
      <c r="F62" s="21">
        <v>3</v>
      </c>
      <c r="G62" s="20">
        <v>29</v>
      </c>
      <c r="H62" s="51">
        <v>20</v>
      </c>
      <c r="I62" s="58">
        <v>580</v>
      </c>
      <c r="J62" s="5">
        <f t="shared" si="0"/>
        <v>1</v>
      </c>
      <c r="K62" s="36">
        <v>2800000</v>
      </c>
      <c r="L62" s="37">
        <f t="shared" si="1"/>
        <v>2800000</v>
      </c>
      <c r="N62" s="34">
        <f>H62*VLOOKUP($N$2,'Unit Price'!$B$3:$C$19,2,0)</f>
        <v>360000</v>
      </c>
      <c r="O62" s="34">
        <f>1*VLOOKUP($O$2,'Unit Price'!$B$3:$C$19,2,0)</f>
        <v>10000</v>
      </c>
      <c r="P62" s="34">
        <f>1*VLOOKUP($P$2,'Unit Price'!$B$3:$C$19,2,0)</f>
        <v>8000</v>
      </c>
      <c r="Q62" s="34">
        <f>G62*2*VLOOKUP($Q$2,'Unit Price'!$B$3:$C$19,2,0)</f>
        <v>87000</v>
      </c>
      <c r="R62" s="34">
        <f>H62*3*VLOOKUP($R$2,'Unit Price'!$B$3:$C$19,2,0)</f>
        <v>150000</v>
      </c>
      <c r="S62" s="34">
        <f>IF(F62&lt;=2.2,3*VLOOKUP($S$2,'Unit Price'!$B$3:$C$19,2,0),5*VLOOKUP($S$2,'Unit Price'!$B$3:$C$19,2,0))</f>
        <v>50000</v>
      </c>
      <c r="T62" s="34">
        <f>IF(F62&lt;=2.06,VLOOKUP($T$2,'Unit Price'!$B$3:$C$19,2,0),0)</f>
        <v>0</v>
      </c>
      <c r="U62" s="34">
        <f>IF(F62&lt;=2.06,VLOOKUP($U$2,'Unit Price'!$B$3:$C$19,2,0),0)</f>
        <v>0</v>
      </c>
      <c r="V62" s="34">
        <f>IF(AND(F62&gt;2.06,F62&lt;2.5),VLOOKUP($V$2,'Unit Price'!$B$3:$C$19,2,0),0)</f>
        <v>0</v>
      </c>
      <c r="W62" s="34">
        <f>IF(AND(F62&gt;2.06,F62&lt;2.5),VLOOKUP($W$2,'Unit Price'!$B$3:$C$19,2,0),0)</f>
        <v>0</v>
      </c>
      <c r="X62" s="34">
        <f>IF(F62&gt;2.5,VLOOKUP($X$2,'Unit Price'!$B$3:$C$19,2,0),0)</f>
        <v>1200000</v>
      </c>
      <c r="Y62" s="34">
        <f>IF(F62&gt;2.5,VLOOKUP($Y$2,'Unit Price'!$B$3:$C$19,2,0),0)</f>
        <v>350000</v>
      </c>
      <c r="Z62" s="34">
        <f>IF(F62&lt;2.5,6*VLOOKUP($Z$2,'Unit Price'!$B$3:$C$19,2,0),0)</f>
        <v>0</v>
      </c>
      <c r="AA62" s="34">
        <f>IF(F62&lt;2.5,3*VLOOKUP($AA$2,'Unit Price'!$B$3:$C$19,2,0),0)</f>
        <v>0</v>
      </c>
      <c r="AB62" s="34">
        <f>IF(F62&gt;2.5,6*VLOOKUP($AB$2,'Unit Price'!$B$3:$C$19,2,0),0)</f>
        <v>375000</v>
      </c>
      <c r="AC62" s="34">
        <f>IF(F62&gt;2.5,3*VLOOKUP($AC$2,'Unit Price'!$B$3:$C$19,2,0),0)</f>
        <v>216000</v>
      </c>
      <c r="AD62" s="36"/>
      <c r="AE62" s="46">
        <f t="shared" si="2"/>
        <v>2806000</v>
      </c>
      <c r="AF62" s="66">
        <f t="shared" si="3"/>
        <v>-6000</v>
      </c>
    </row>
    <row r="63" spans="1:32">
      <c r="A63" s="19">
        <v>61</v>
      </c>
      <c r="B63" s="20" t="s">
        <v>141</v>
      </c>
      <c r="C63" s="20" t="s">
        <v>142</v>
      </c>
      <c r="D63" s="20" t="s">
        <v>117</v>
      </c>
      <c r="E63" s="20">
        <v>2.5680000000000001</v>
      </c>
      <c r="F63" s="21">
        <v>3</v>
      </c>
      <c r="G63" s="20">
        <v>24</v>
      </c>
      <c r="H63" s="51">
        <v>17</v>
      </c>
      <c r="I63" s="58">
        <v>408</v>
      </c>
      <c r="J63" s="5">
        <f t="shared" si="0"/>
        <v>1</v>
      </c>
      <c r="K63" s="36">
        <v>2800000</v>
      </c>
      <c r="L63" s="37">
        <f t="shared" si="1"/>
        <v>2800000</v>
      </c>
      <c r="N63" s="34">
        <f>H63*VLOOKUP($N$2,'Unit Price'!$B$3:$C$19,2,0)</f>
        <v>306000</v>
      </c>
      <c r="O63" s="34">
        <f>1*VLOOKUP($O$2,'Unit Price'!$B$3:$C$19,2,0)</f>
        <v>10000</v>
      </c>
      <c r="P63" s="34">
        <f>1*VLOOKUP($P$2,'Unit Price'!$B$3:$C$19,2,0)</f>
        <v>8000</v>
      </c>
      <c r="Q63" s="34">
        <f>G63*2*VLOOKUP($Q$2,'Unit Price'!$B$3:$C$19,2,0)</f>
        <v>72000</v>
      </c>
      <c r="R63" s="34">
        <f>H63*3*VLOOKUP($R$2,'Unit Price'!$B$3:$C$19,2,0)</f>
        <v>127500</v>
      </c>
      <c r="S63" s="34">
        <f>IF(F63&lt;=2.2,3*VLOOKUP($S$2,'Unit Price'!$B$3:$C$19,2,0),5*VLOOKUP($S$2,'Unit Price'!$B$3:$C$19,2,0))</f>
        <v>50000</v>
      </c>
      <c r="T63" s="34">
        <f>IF(F63&lt;=2.06,VLOOKUP($T$2,'Unit Price'!$B$3:$C$19,2,0),0)</f>
        <v>0</v>
      </c>
      <c r="U63" s="34">
        <f>IF(F63&lt;=2.06,VLOOKUP($U$2,'Unit Price'!$B$3:$C$19,2,0),0)</f>
        <v>0</v>
      </c>
      <c r="V63" s="34">
        <f>IF(AND(F63&gt;2.06,F63&lt;2.5),VLOOKUP($V$2,'Unit Price'!$B$3:$C$19,2,0),0)</f>
        <v>0</v>
      </c>
      <c r="W63" s="34">
        <f>IF(AND(F63&gt;2.06,F63&lt;2.5),VLOOKUP($W$2,'Unit Price'!$B$3:$C$19,2,0),0)</f>
        <v>0</v>
      </c>
      <c r="X63" s="34">
        <f>IF(F63&gt;2.5,VLOOKUP($X$2,'Unit Price'!$B$3:$C$19,2,0),0)</f>
        <v>1200000</v>
      </c>
      <c r="Y63" s="34">
        <f>IF(F63&gt;2.5,VLOOKUP($Y$2,'Unit Price'!$B$3:$C$19,2,0),0)</f>
        <v>350000</v>
      </c>
      <c r="Z63" s="34">
        <f>IF(F63&lt;2.5,6*VLOOKUP($Z$2,'Unit Price'!$B$3:$C$19,2,0),0)</f>
        <v>0</v>
      </c>
      <c r="AA63" s="34">
        <f>IF(F63&lt;2.5,3*VLOOKUP($AA$2,'Unit Price'!$B$3:$C$19,2,0),0)</f>
        <v>0</v>
      </c>
      <c r="AB63" s="34">
        <f>IF(F63&gt;2.5,6*VLOOKUP($AB$2,'Unit Price'!$B$3:$C$19,2,0),0)</f>
        <v>375000</v>
      </c>
      <c r="AC63" s="34">
        <f>IF(F63&gt;2.5,3*VLOOKUP($AC$2,'Unit Price'!$B$3:$C$19,2,0),0)</f>
        <v>216000</v>
      </c>
      <c r="AD63" s="36"/>
      <c r="AE63" s="46">
        <f t="shared" si="2"/>
        <v>2714500</v>
      </c>
      <c r="AF63" s="66">
        <f t="shared" si="3"/>
        <v>85500</v>
      </c>
    </row>
    <row r="64" spans="1:32">
      <c r="A64" s="19">
        <v>62</v>
      </c>
      <c r="B64" s="20" t="s">
        <v>143</v>
      </c>
      <c r="C64" s="20" t="s">
        <v>144</v>
      </c>
      <c r="D64" s="20" t="s">
        <v>117</v>
      </c>
      <c r="E64" s="20">
        <v>3.7589999999999995</v>
      </c>
      <c r="F64" s="21">
        <v>3</v>
      </c>
      <c r="G64" s="20">
        <v>20</v>
      </c>
      <c r="H64" s="51">
        <v>14</v>
      </c>
      <c r="I64" s="58">
        <v>280</v>
      </c>
      <c r="J64" s="5">
        <f t="shared" si="0"/>
        <v>1</v>
      </c>
      <c r="K64" s="36">
        <v>2800000</v>
      </c>
      <c r="L64" s="37">
        <f t="shared" si="1"/>
        <v>2800000</v>
      </c>
      <c r="N64" s="34">
        <f>H64*VLOOKUP($N$2,'Unit Price'!$B$3:$C$19,2,0)</f>
        <v>252000</v>
      </c>
      <c r="O64" s="34">
        <f>1*VLOOKUP($O$2,'Unit Price'!$B$3:$C$19,2,0)</f>
        <v>10000</v>
      </c>
      <c r="P64" s="34">
        <f>1*VLOOKUP($P$2,'Unit Price'!$B$3:$C$19,2,0)</f>
        <v>8000</v>
      </c>
      <c r="Q64" s="34">
        <f>G64*2*VLOOKUP($Q$2,'Unit Price'!$B$3:$C$19,2,0)</f>
        <v>60000</v>
      </c>
      <c r="R64" s="34">
        <f>H64*3*VLOOKUP($R$2,'Unit Price'!$B$3:$C$19,2,0)</f>
        <v>105000</v>
      </c>
      <c r="S64" s="34">
        <f>IF(F64&lt;=2.2,3*VLOOKUP($S$2,'Unit Price'!$B$3:$C$19,2,0),5*VLOOKUP($S$2,'Unit Price'!$B$3:$C$19,2,0))</f>
        <v>50000</v>
      </c>
      <c r="T64" s="34">
        <f>IF(F64&lt;=2.06,VLOOKUP($T$2,'Unit Price'!$B$3:$C$19,2,0),0)</f>
        <v>0</v>
      </c>
      <c r="U64" s="34">
        <f>IF(F64&lt;=2.06,VLOOKUP($U$2,'Unit Price'!$B$3:$C$19,2,0),0)</f>
        <v>0</v>
      </c>
      <c r="V64" s="34">
        <f>IF(AND(F64&gt;2.06,F64&lt;2.5),VLOOKUP($V$2,'Unit Price'!$B$3:$C$19,2,0),0)</f>
        <v>0</v>
      </c>
      <c r="W64" s="34">
        <f>IF(AND(F64&gt;2.06,F64&lt;2.5),VLOOKUP($W$2,'Unit Price'!$B$3:$C$19,2,0),0)</f>
        <v>0</v>
      </c>
      <c r="X64" s="34">
        <f>IF(F64&gt;2.5,VLOOKUP($X$2,'Unit Price'!$B$3:$C$19,2,0),0)</f>
        <v>1200000</v>
      </c>
      <c r="Y64" s="34">
        <f>IF(F64&gt;2.5,VLOOKUP($Y$2,'Unit Price'!$B$3:$C$19,2,0),0)</f>
        <v>350000</v>
      </c>
      <c r="Z64" s="34">
        <f>IF(F64&lt;2.5,6*VLOOKUP($Z$2,'Unit Price'!$B$3:$C$19,2,0),0)</f>
        <v>0</v>
      </c>
      <c r="AA64" s="34">
        <f>IF(F64&lt;2.5,3*VLOOKUP($AA$2,'Unit Price'!$B$3:$C$19,2,0),0)</f>
        <v>0</v>
      </c>
      <c r="AB64" s="34">
        <f>IF(F64&gt;2.5,6*VLOOKUP($AB$2,'Unit Price'!$B$3:$C$19,2,0),0)</f>
        <v>375000</v>
      </c>
      <c r="AC64" s="34">
        <f>IF(F64&gt;2.5,3*VLOOKUP($AC$2,'Unit Price'!$B$3:$C$19,2,0),0)</f>
        <v>216000</v>
      </c>
      <c r="AD64" s="36"/>
      <c r="AE64" s="46">
        <f t="shared" si="2"/>
        <v>2626000</v>
      </c>
      <c r="AF64" s="66">
        <f t="shared" si="3"/>
        <v>174000</v>
      </c>
    </row>
    <row r="65" spans="1:32">
      <c r="A65" s="19">
        <v>63</v>
      </c>
      <c r="B65" s="20" t="s">
        <v>145</v>
      </c>
      <c r="C65" s="20" t="s">
        <v>146</v>
      </c>
      <c r="D65" s="20" t="s">
        <v>117</v>
      </c>
      <c r="E65" s="20">
        <v>6.18</v>
      </c>
      <c r="F65" s="21">
        <v>3</v>
      </c>
      <c r="G65" s="20">
        <v>16</v>
      </c>
      <c r="H65" s="51">
        <v>11</v>
      </c>
      <c r="I65" s="58">
        <v>176</v>
      </c>
      <c r="J65" s="5">
        <f t="shared" si="0"/>
        <v>1</v>
      </c>
      <c r="K65" s="36">
        <v>2800000</v>
      </c>
      <c r="L65" s="37">
        <f t="shared" si="1"/>
        <v>2800000</v>
      </c>
      <c r="N65" s="34">
        <f>H65*VLOOKUP($N$2,'Unit Price'!$B$3:$C$19,2,0)</f>
        <v>198000</v>
      </c>
      <c r="O65" s="34">
        <f>1*VLOOKUP($O$2,'Unit Price'!$B$3:$C$19,2,0)</f>
        <v>10000</v>
      </c>
      <c r="P65" s="34">
        <f>1*VLOOKUP($P$2,'Unit Price'!$B$3:$C$19,2,0)</f>
        <v>8000</v>
      </c>
      <c r="Q65" s="34">
        <f>G65*2*VLOOKUP($Q$2,'Unit Price'!$B$3:$C$19,2,0)</f>
        <v>48000</v>
      </c>
      <c r="R65" s="34">
        <f>H65*3*VLOOKUP($R$2,'Unit Price'!$B$3:$C$19,2,0)</f>
        <v>82500</v>
      </c>
      <c r="S65" s="34">
        <f>IF(F65&lt;=2.2,3*VLOOKUP($S$2,'Unit Price'!$B$3:$C$19,2,0),5*VLOOKUP($S$2,'Unit Price'!$B$3:$C$19,2,0))</f>
        <v>50000</v>
      </c>
      <c r="T65" s="34">
        <f>IF(F65&lt;=2.06,VLOOKUP($T$2,'Unit Price'!$B$3:$C$19,2,0),0)</f>
        <v>0</v>
      </c>
      <c r="U65" s="34">
        <f>IF(F65&lt;=2.06,VLOOKUP($U$2,'Unit Price'!$B$3:$C$19,2,0),0)</f>
        <v>0</v>
      </c>
      <c r="V65" s="34">
        <f>IF(AND(F65&gt;2.06,F65&lt;2.5),VLOOKUP($V$2,'Unit Price'!$B$3:$C$19,2,0),0)</f>
        <v>0</v>
      </c>
      <c r="W65" s="34">
        <f>IF(AND(F65&gt;2.06,F65&lt;2.5),VLOOKUP($W$2,'Unit Price'!$B$3:$C$19,2,0),0)</f>
        <v>0</v>
      </c>
      <c r="X65" s="34">
        <f>IF(F65&gt;2.5,VLOOKUP($X$2,'Unit Price'!$B$3:$C$19,2,0),0)</f>
        <v>1200000</v>
      </c>
      <c r="Y65" s="34">
        <f>IF(F65&gt;2.5,VLOOKUP($Y$2,'Unit Price'!$B$3:$C$19,2,0),0)</f>
        <v>350000</v>
      </c>
      <c r="Z65" s="34">
        <f>IF(F65&lt;2.5,6*VLOOKUP($Z$2,'Unit Price'!$B$3:$C$19,2,0),0)</f>
        <v>0</v>
      </c>
      <c r="AA65" s="34">
        <f>IF(F65&lt;2.5,3*VLOOKUP($AA$2,'Unit Price'!$B$3:$C$19,2,0),0)</f>
        <v>0</v>
      </c>
      <c r="AB65" s="34">
        <f>IF(F65&gt;2.5,6*VLOOKUP($AB$2,'Unit Price'!$B$3:$C$19,2,0),0)</f>
        <v>375000</v>
      </c>
      <c r="AC65" s="34">
        <f>IF(F65&gt;2.5,3*VLOOKUP($AC$2,'Unit Price'!$B$3:$C$19,2,0),0)</f>
        <v>216000</v>
      </c>
      <c r="AD65" s="36"/>
      <c r="AE65" s="46">
        <f t="shared" si="2"/>
        <v>2537500</v>
      </c>
      <c r="AF65" s="66">
        <f t="shared" si="3"/>
        <v>262500</v>
      </c>
    </row>
    <row r="66" spans="1:32">
      <c r="A66" s="19">
        <v>64</v>
      </c>
      <c r="B66" s="20" t="s">
        <v>147</v>
      </c>
      <c r="C66" s="20" t="s">
        <v>148</v>
      </c>
      <c r="D66" s="20" t="s">
        <v>117</v>
      </c>
      <c r="E66" s="20">
        <v>9.6539999999999999</v>
      </c>
      <c r="F66" s="21">
        <v>3</v>
      </c>
      <c r="G66" s="20">
        <v>13</v>
      </c>
      <c r="H66" s="51">
        <v>9</v>
      </c>
      <c r="I66" s="58">
        <v>117</v>
      </c>
      <c r="J66" s="5">
        <f t="shared" si="0"/>
        <v>1</v>
      </c>
      <c r="K66" s="36">
        <v>2800000</v>
      </c>
      <c r="L66" s="37">
        <f t="shared" si="1"/>
        <v>2800000</v>
      </c>
      <c r="N66" s="34">
        <f>H66*VLOOKUP($N$2,'Unit Price'!$B$3:$C$19,2,0)</f>
        <v>162000</v>
      </c>
      <c r="O66" s="34">
        <f>1*VLOOKUP($O$2,'Unit Price'!$B$3:$C$19,2,0)</f>
        <v>10000</v>
      </c>
      <c r="P66" s="34">
        <f>1*VLOOKUP($P$2,'Unit Price'!$B$3:$C$19,2,0)</f>
        <v>8000</v>
      </c>
      <c r="Q66" s="34">
        <f>G66*2*VLOOKUP($Q$2,'Unit Price'!$B$3:$C$19,2,0)</f>
        <v>39000</v>
      </c>
      <c r="R66" s="34">
        <f>H66*3*VLOOKUP($R$2,'Unit Price'!$B$3:$C$19,2,0)</f>
        <v>67500</v>
      </c>
      <c r="S66" s="34">
        <f>IF(F66&lt;=2.2,3*VLOOKUP($S$2,'Unit Price'!$B$3:$C$19,2,0),5*VLOOKUP($S$2,'Unit Price'!$B$3:$C$19,2,0))</f>
        <v>50000</v>
      </c>
      <c r="T66" s="34">
        <f>IF(F66&lt;=2.06,VLOOKUP($T$2,'Unit Price'!$B$3:$C$19,2,0),0)</f>
        <v>0</v>
      </c>
      <c r="U66" s="34">
        <f>IF(F66&lt;=2.06,VLOOKUP($U$2,'Unit Price'!$B$3:$C$19,2,0),0)</f>
        <v>0</v>
      </c>
      <c r="V66" s="34">
        <f>IF(AND(F66&gt;2.06,F66&lt;2.5),VLOOKUP($V$2,'Unit Price'!$B$3:$C$19,2,0),0)</f>
        <v>0</v>
      </c>
      <c r="W66" s="34">
        <f>IF(AND(F66&gt;2.06,F66&lt;2.5),VLOOKUP($W$2,'Unit Price'!$B$3:$C$19,2,0),0)</f>
        <v>0</v>
      </c>
      <c r="X66" s="34">
        <f>IF(F66&gt;2.5,VLOOKUP($X$2,'Unit Price'!$B$3:$C$19,2,0),0)</f>
        <v>1200000</v>
      </c>
      <c r="Y66" s="34">
        <f>IF(F66&gt;2.5,VLOOKUP($Y$2,'Unit Price'!$B$3:$C$19,2,0),0)</f>
        <v>350000</v>
      </c>
      <c r="Z66" s="34">
        <f>IF(F66&lt;2.5,6*VLOOKUP($Z$2,'Unit Price'!$B$3:$C$19,2,0),0)</f>
        <v>0</v>
      </c>
      <c r="AA66" s="34">
        <f>IF(F66&lt;2.5,3*VLOOKUP($AA$2,'Unit Price'!$B$3:$C$19,2,0),0)</f>
        <v>0</v>
      </c>
      <c r="AB66" s="34">
        <f>IF(F66&gt;2.5,6*VLOOKUP($AB$2,'Unit Price'!$B$3:$C$19,2,0),0)</f>
        <v>375000</v>
      </c>
      <c r="AC66" s="34">
        <f>IF(F66&gt;2.5,3*VLOOKUP($AC$2,'Unit Price'!$B$3:$C$19,2,0),0)</f>
        <v>216000</v>
      </c>
      <c r="AD66" s="36"/>
      <c r="AE66" s="46">
        <f t="shared" si="2"/>
        <v>2477500</v>
      </c>
      <c r="AF66" s="66">
        <f t="shared" si="3"/>
        <v>322500</v>
      </c>
    </row>
    <row r="67" spans="1:32">
      <c r="A67" s="19">
        <v>65</v>
      </c>
      <c r="B67" s="20" t="s">
        <v>149</v>
      </c>
      <c r="C67" s="20" t="s">
        <v>150</v>
      </c>
      <c r="D67" s="20" t="s">
        <v>151</v>
      </c>
      <c r="E67" s="20">
        <v>0.96599999999999997</v>
      </c>
      <c r="F67" s="21">
        <v>3</v>
      </c>
      <c r="G67" s="20">
        <v>34</v>
      </c>
      <c r="H67" s="51">
        <v>24</v>
      </c>
      <c r="I67" s="58">
        <v>816</v>
      </c>
      <c r="J67" s="5">
        <f t="shared" si="0"/>
        <v>1</v>
      </c>
      <c r="K67" s="36">
        <v>2800000</v>
      </c>
      <c r="L67" s="37">
        <f t="shared" si="1"/>
        <v>2800000</v>
      </c>
      <c r="N67" s="34">
        <f>H67*VLOOKUP($N$2,'Unit Price'!$B$3:$C$19,2,0)</f>
        <v>432000</v>
      </c>
      <c r="O67" s="34">
        <f>1*VLOOKUP($O$2,'Unit Price'!$B$3:$C$19,2,0)</f>
        <v>10000</v>
      </c>
      <c r="P67" s="34">
        <f>1*VLOOKUP($P$2,'Unit Price'!$B$3:$C$19,2,0)</f>
        <v>8000</v>
      </c>
      <c r="Q67" s="34">
        <f>G67*2*VLOOKUP($Q$2,'Unit Price'!$B$3:$C$19,2,0)</f>
        <v>102000</v>
      </c>
      <c r="R67" s="34">
        <f>H67*3*VLOOKUP($R$2,'Unit Price'!$B$3:$C$19,2,0)</f>
        <v>180000</v>
      </c>
      <c r="S67" s="34">
        <f>IF(F67&lt;=2.2,3*VLOOKUP($S$2,'Unit Price'!$B$3:$C$19,2,0),5*VLOOKUP($S$2,'Unit Price'!$B$3:$C$19,2,0))</f>
        <v>50000</v>
      </c>
      <c r="T67" s="34">
        <f>IF(F67&lt;=2.06,VLOOKUP($T$2,'Unit Price'!$B$3:$C$19,2,0),0)</f>
        <v>0</v>
      </c>
      <c r="U67" s="34">
        <f>IF(F67&lt;=2.06,VLOOKUP($U$2,'Unit Price'!$B$3:$C$19,2,0),0)</f>
        <v>0</v>
      </c>
      <c r="V67" s="34">
        <f>IF(AND(F67&gt;2.06,F67&lt;2.5),VLOOKUP($V$2,'Unit Price'!$B$3:$C$19,2,0),0)</f>
        <v>0</v>
      </c>
      <c r="W67" s="34">
        <f>IF(AND(F67&gt;2.06,F67&lt;2.5),VLOOKUP($W$2,'Unit Price'!$B$3:$C$19,2,0),0)</f>
        <v>0</v>
      </c>
      <c r="X67" s="34">
        <f>IF(F67&gt;2.5,VLOOKUP($X$2,'Unit Price'!$B$3:$C$19,2,0),0)</f>
        <v>1200000</v>
      </c>
      <c r="Y67" s="34">
        <f>IF(F67&gt;2.5,VLOOKUP($Y$2,'Unit Price'!$B$3:$C$19,2,0),0)</f>
        <v>350000</v>
      </c>
      <c r="Z67" s="34">
        <f>IF(F67&lt;2.5,6*VLOOKUP($Z$2,'Unit Price'!$B$3:$C$19,2,0),0)</f>
        <v>0</v>
      </c>
      <c r="AA67" s="34">
        <f>IF(F67&lt;2.5,3*VLOOKUP($AA$2,'Unit Price'!$B$3:$C$19,2,0),0)</f>
        <v>0</v>
      </c>
      <c r="AB67" s="34">
        <f>IF(F67&gt;2.5,6*VLOOKUP($AB$2,'Unit Price'!$B$3:$C$19,2,0),0)</f>
        <v>375000</v>
      </c>
      <c r="AC67" s="34">
        <f>IF(F67&gt;2.5,3*VLOOKUP($AC$2,'Unit Price'!$B$3:$C$19,2,0),0)</f>
        <v>216000</v>
      </c>
      <c r="AD67" s="36"/>
      <c r="AE67" s="46">
        <f t="shared" si="2"/>
        <v>2923000</v>
      </c>
      <c r="AF67" s="66">
        <f t="shared" si="3"/>
        <v>-123000</v>
      </c>
    </row>
    <row r="68" spans="1:32">
      <c r="A68" s="19">
        <v>66</v>
      </c>
      <c r="B68" s="20" t="s">
        <v>152</v>
      </c>
      <c r="C68" s="20" t="s">
        <v>153</v>
      </c>
      <c r="D68" s="20" t="s">
        <v>151</v>
      </c>
      <c r="E68" s="20">
        <v>1.8180000000000001</v>
      </c>
      <c r="F68" s="21">
        <v>3</v>
      </c>
      <c r="G68" s="20">
        <v>26</v>
      </c>
      <c r="H68" s="51">
        <v>18</v>
      </c>
      <c r="I68" s="58">
        <v>468</v>
      </c>
      <c r="J68" s="5">
        <f t="shared" ref="J68:J131" si="4">IF(F68&lt;=2.06,0.65,IF(AND(F68&gt;2.06,F68&lt;2.5),0.7,IF(F68&gt;=2.5,1,0)))</f>
        <v>1</v>
      </c>
      <c r="K68" s="36">
        <v>2800000</v>
      </c>
      <c r="L68" s="37">
        <f t="shared" ref="L68:L131" si="5">J68*K68</f>
        <v>2800000</v>
      </c>
      <c r="N68" s="34">
        <f>H68*VLOOKUP($N$2,'Unit Price'!$B$3:$C$19,2,0)</f>
        <v>324000</v>
      </c>
      <c r="O68" s="34">
        <f>1*VLOOKUP($O$2,'Unit Price'!$B$3:$C$19,2,0)</f>
        <v>10000</v>
      </c>
      <c r="P68" s="34">
        <f>1*VLOOKUP($P$2,'Unit Price'!$B$3:$C$19,2,0)</f>
        <v>8000</v>
      </c>
      <c r="Q68" s="34">
        <f>G68*2*VLOOKUP($Q$2,'Unit Price'!$B$3:$C$19,2,0)</f>
        <v>78000</v>
      </c>
      <c r="R68" s="34">
        <f>H68*3*VLOOKUP($R$2,'Unit Price'!$B$3:$C$19,2,0)</f>
        <v>135000</v>
      </c>
      <c r="S68" s="34">
        <f>IF(F68&lt;=2.2,3*VLOOKUP($S$2,'Unit Price'!$B$3:$C$19,2,0),5*VLOOKUP($S$2,'Unit Price'!$B$3:$C$19,2,0))</f>
        <v>50000</v>
      </c>
      <c r="T68" s="34">
        <f>IF(F68&lt;=2.06,VLOOKUP($T$2,'Unit Price'!$B$3:$C$19,2,0),0)</f>
        <v>0</v>
      </c>
      <c r="U68" s="34">
        <f>IF(F68&lt;=2.06,VLOOKUP($U$2,'Unit Price'!$B$3:$C$19,2,0),0)</f>
        <v>0</v>
      </c>
      <c r="V68" s="34">
        <f>IF(AND(F68&gt;2.06,F68&lt;2.5),VLOOKUP($V$2,'Unit Price'!$B$3:$C$19,2,0),0)</f>
        <v>0</v>
      </c>
      <c r="W68" s="34">
        <f>IF(AND(F68&gt;2.06,F68&lt;2.5),VLOOKUP($W$2,'Unit Price'!$B$3:$C$19,2,0),0)</f>
        <v>0</v>
      </c>
      <c r="X68" s="34">
        <f>IF(F68&gt;2.5,VLOOKUP($X$2,'Unit Price'!$B$3:$C$19,2,0),0)</f>
        <v>1200000</v>
      </c>
      <c r="Y68" s="34">
        <f>IF(F68&gt;2.5,VLOOKUP($Y$2,'Unit Price'!$B$3:$C$19,2,0),0)</f>
        <v>350000</v>
      </c>
      <c r="Z68" s="34">
        <f>IF(F68&lt;2.5,6*VLOOKUP($Z$2,'Unit Price'!$B$3:$C$19,2,0),0)</f>
        <v>0</v>
      </c>
      <c r="AA68" s="34">
        <f>IF(F68&lt;2.5,3*VLOOKUP($AA$2,'Unit Price'!$B$3:$C$19,2,0),0)</f>
        <v>0</v>
      </c>
      <c r="AB68" s="34">
        <f>IF(F68&gt;2.5,6*VLOOKUP($AB$2,'Unit Price'!$B$3:$C$19,2,0),0)</f>
        <v>375000</v>
      </c>
      <c r="AC68" s="34">
        <f>IF(F68&gt;2.5,3*VLOOKUP($AC$2,'Unit Price'!$B$3:$C$19,2,0),0)</f>
        <v>216000</v>
      </c>
      <c r="AD68" s="36"/>
      <c r="AE68" s="46">
        <f t="shared" ref="AE68:AE131" si="6">SUM(N68:AD68)</f>
        <v>2746000</v>
      </c>
      <c r="AF68" s="66">
        <f t="shared" ref="AF68:AF131" si="7">L68-AE68</f>
        <v>54000</v>
      </c>
    </row>
    <row r="69" spans="1:32">
      <c r="A69" s="19">
        <v>67</v>
      </c>
      <c r="B69" s="20" t="s">
        <v>154</v>
      </c>
      <c r="C69" s="20" t="s">
        <v>155</v>
      </c>
      <c r="D69" s="20" t="s">
        <v>151</v>
      </c>
      <c r="E69" s="20">
        <v>2.6459999999999999</v>
      </c>
      <c r="F69" s="21">
        <v>3</v>
      </c>
      <c r="G69" s="20">
        <v>22</v>
      </c>
      <c r="H69" s="51">
        <v>15</v>
      </c>
      <c r="I69" s="58">
        <v>330</v>
      </c>
      <c r="J69" s="5">
        <f t="shared" si="4"/>
        <v>1</v>
      </c>
      <c r="K69" s="36">
        <v>2800000</v>
      </c>
      <c r="L69" s="37">
        <f t="shared" si="5"/>
        <v>2800000</v>
      </c>
      <c r="N69" s="34">
        <f>H69*VLOOKUP($N$2,'Unit Price'!$B$3:$C$19,2,0)</f>
        <v>270000</v>
      </c>
      <c r="O69" s="34">
        <f>1*VLOOKUP($O$2,'Unit Price'!$B$3:$C$19,2,0)</f>
        <v>10000</v>
      </c>
      <c r="P69" s="34">
        <f>1*VLOOKUP($P$2,'Unit Price'!$B$3:$C$19,2,0)</f>
        <v>8000</v>
      </c>
      <c r="Q69" s="34">
        <f>G69*2*VLOOKUP($Q$2,'Unit Price'!$B$3:$C$19,2,0)</f>
        <v>66000</v>
      </c>
      <c r="R69" s="34">
        <f>H69*3*VLOOKUP($R$2,'Unit Price'!$B$3:$C$19,2,0)</f>
        <v>112500</v>
      </c>
      <c r="S69" s="34">
        <f>IF(F69&lt;=2.2,3*VLOOKUP($S$2,'Unit Price'!$B$3:$C$19,2,0),5*VLOOKUP($S$2,'Unit Price'!$B$3:$C$19,2,0))</f>
        <v>50000</v>
      </c>
      <c r="T69" s="34">
        <f>IF(F69&lt;=2.06,VLOOKUP($T$2,'Unit Price'!$B$3:$C$19,2,0),0)</f>
        <v>0</v>
      </c>
      <c r="U69" s="34">
        <f>IF(F69&lt;=2.06,VLOOKUP($U$2,'Unit Price'!$B$3:$C$19,2,0),0)</f>
        <v>0</v>
      </c>
      <c r="V69" s="34">
        <f>IF(AND(F69&gt;2.06,F69&lt;2.5),VLOOKUP($V$2,'Unit Price'!$B$3:$C$19,2,0),0)</f>
        <v>0</v>
      </c>
      <c r="W69" s="34">
        <f>IF(AND(F69&gt;2.06,F69&lt;2.5),VLOOKUP($W$2,'Unit Price'!$B$3:$C$19,2,0),0)</f>
        <v>0</v>
      </c>
      <c r="X69" s="34">
        <f>IF(F69&gt;2.5,VLOOKUP($X$2,'Unit Price'!$B$3:$C$19,2,0),0)</f>
        <v>1200000</v>
      </c>
      <c r="Y69" s="34">
        <f>IF(F69&gt;2.5,VLOOKUP($Y$2,'Unit Price'!$B$3:$C$19,2,0),0)</f>
        <v>350000</v>
      </c>
      <c r="Z69" s="34">
        <f>IF(F69&lt;2.5,6*VLOOKUP($Z$2,'Unit Price'!$B$3:$C$19,2,0),0)</f>
        <v>0</v>
      </c>
      <c r="AA69" s="34">
        <f>IF(F69&lt;2.5,3*VLOOKUP($AA$2,'Unit Price'!$B$3:$C$19,2,0),0)</f>
        <v>0</v>
      </c>
      <c r="AB69" s="34">
        <f>IF(F69&gt;2.5,6*VLOOKUP($AB$2,'Unit Price'!$B$3:$C$19,2,0),0)</f>
        <v>375000</v>
      </c>
      <c r="AC69" s="34">
        <f>IF(F69&gt;2.5,3*VLOOKUP($AC$2,'Unit Price'!$B$3:$C$19,2,0),0)</f>
        <v>216000</v>
      </c>
      <c r="AD69" s="36"/>
      <c r="AE69" s="46">
        <f t="shared" si="6"/>
        <v>2657500</v>
      </c>
      <c r="AF69" s="66">
        <f t="shared" si="7"/>
        <v>142500</v>
      </c>
    </row>
    <row r="70" spans="1:32">
      <c r="A70" s="19">
        <v>68</v>
      </c>
      <c r="B70" s="20" t="s">
        <v>156</v>
      </c>
      <c r="C70" s="20" t="s">
        <v>157</v>
      </c>
      <c r="D70" s="20" t="s">
        <v>151</v>
      </c>
      <c r="E70" s="20">
        <v>3.6930000000000005</v>
      </c>
      <c r="F70" s="21">
        <v>3</v>
      </c>
      <c r="G70" s="20">
        <v>19</v>
      </c>
      <c r="H70" s="51">
        <v>13</v>
      </c>
      <c r="I70" s="58">
        <v>247</v>
      </c>
      <c r="J70" s="5">
        <f t="shared" si="4"/>
        <v>1</v>
      </c>
      <c r="K70" s="36">
        <v>2800000</v>
      </c>
      <c r="L70" s="37">
        <f t="shared" si="5"/>
        <v>2800000</v>
      </c>
      <c r="N70" s="34">
        <f>H70*VLOOKUP($N$2,'Unit Price'!$B$3:$C$19,2,0)</f>
        <v>234000</v>
      </c>
      <c r="O70" s="34">
        <f>1*VLOOKUP($O$2,'Unit Price'!$B$3:$C$19,2,0)</f>
        <v>10000</v>
      </c>
      <c r="P70" s="34">
        <f>1*VLOOKUP($P$2,'Unit Price'!$B$3:$C$19,2,0)</f>
        <v>8000</v>
      </c>
      <c r="Q70" s="34">
        <f>G70*2*VLOOKUP($Q$2,'Unit Price'!$B$3:$C$19,2,0)</f>
        <v>57000</v>
      </c>
      <c r="R70" s="34">
        <f>H70*3*VLOOKUP($R$2,'Unit Price'!$B$3:$C$19,2,0)</f>
        <v>97500</v>
      </c>
      <c r="S70" s="34">
        <f>IF(F70&lt;=2.2,3*VLOOKUP($S$2,'Unit Price'!$B$3:$C$19,2,0),5*VLOOKUP($S$2,'Unit Price'!$B$3:$C$19,2,0))</f>
        <v>50000</v>
      </c>
      <c r="T70" s="34">
        <f>IF(F70&lt;=2.06,VLOOKUP($T$2,'Unit Price'!$B$3:$C$19,2,0),0)</f>
        <v>0</v>
      </c>
      <c r="U70" s="34">
        <f>IF(F70&lt;=2.06,VLOOKUP($U$2,'Unit Price'!$B$3:$C$19,2,0),0)</f>
        <v>0</v>
      </c>
      <c r="V70" s="34">
        <f>IF(AND(F70&gt;2.06,F70&lt;2.5),VLOOKUP($V$2,'Unit Price'!$B$3:$C$19,2,0),0)</f>
        <v>0</v>
      </c>
      <c r="W70" s="34">
        <f>IF(AND(F70&gt;2.06,F70&lt;2.5),VLOOKUP($W$2,'Unit Price'!$B$3:$C$19,2,0),0)</f>
        <v>0</v>
      </c>
      <c r="X70" s="34">
        <f>IF(F70&gt;2.5,VLOOKUP($X$2,'Unit Price'!$B$3:$C$19,2,0),0)</f>
        <v>1200000</v>
      </c>
      <c r="Y70" s="34">
        <f>IF(F70&gt;2.5,VLOOKUP($Y$2,'Unit Price'!$B$3:$C$19,2,0),0)</f>
        <v>350000</v>
      </c>
      <c r="Z70" s="34">
        <f>IF(F70&lt;2.5,6*VLOOKUP($Z$2,'Unit Price'!$B$3:$C$19,2,0),0)</f>
        <v>0</v>
      </c>
      <c r="AA70" s="34">
        <f>IF(F70&lt;2.5,3*VLOOKUP($AA$2,'Unit Price'!$B$3:$C$19,2,0),0)</f>
        <v>0</v>
      </c>
      <c r="AB70" s="34">
        <f>IF(F70&gt;2.5,6*VLOOKUP($AB$2,'Unit Price'!$B$3:$C$19,2,0),0)</f>
        <v>375000</v>
      </c>
      <c r="AC70" s="34">
        <f>IF(F70&gt;2.5,3*VLOOKUP($AC$2,'Unit Price'!$B$3:$C$19,2,0),0)</f>
        <v>216000</v>
      </c>
      <c r="AD70" s="36"/>
      <c r="AE70" s="46">
        <f t="shared" si="6"/>
        <v>2597500</v>
      </c>
      <c r="AF70" s="66">
        <f t="shared" si="7"/>
        <v>202500</v>
      </c>
    </row>
    <row r="71" spans="1:32">
      <c r="A71" s="19">
        <v>69</v>
      </c>
      <c r="B71" s="20" t="s">
        <v>158</v>
      </c>
      <c r="C71" s="20" t="s">
        <v>159</v>
      </c>
      <c r="D71" s="20" t="s">
        <v>151</v>
      </c>
      <c r="E71" s="20">
        <v>6.0419999999999998</v>
      </c>
      <c r="F71" s="21">
        <v>3</v>
      </c>
      <c r="G71" s="20">
        <v>15</v>
      </c>
      <c r="H71" s="51">
        <v>10</v>
      </c>
      <c r="I71" s="58">
        <v>150</v>
      </c>
      <c r="J71" s="5">
        <f t="shared" si="4"/>
        <v>1</v>
      </c>
      <c r="K71" s="36">
        <v>2800000</v>
      </c>
      <c r="L71" s="37">
        <f t="shared" si="5"/>
        <v>2800000</v>
      </c>
      <c r="N71" s="34">
        <f>H71*VLOOKUP($N$2,'Unit Price'!$B$3:$C$19,2,0)</f>
        <v>180000</v>
      </c>
      <c r="O71" s="34">
        <f>1*VLOOKUP($O$2,'Unit Price'!$B$3:$C$19,2,0)</f>
        <v>10000</v>
      </c>
      <c r="P71" s="34">
        <f>1*VLOOKUP($P$2,'Unit Price'!$B$3:$C$19,2,0)</f>
        <v>8000</v>
      </c>
      <c r="Q71" s="34">
        <f>G71*2*VLOOKUP($Q$2,'Unit Price'!$B$3:$C$19,2,0)</f>
        <v>45000</v>
      </c>
      <c r="R71" s="34">
        <f>H71*3*VLOOKUP($R$2,'Unit Price'!$B$3:$C$19,2,0)</f>
        <v>75000</v>
      </c>
      <c r="S71" s="34">
        <f>IF(F71&lt;=2.2,3*VLOOKUP($S$2,'Unit Price'!$B$3:$C$19,2,0),5*VLOOKUP($S$2,'Unit Price'!$B$3:$C$19,2,0))</f>
        <v>50000</v>
      </c>
      <c r="T71" s="34">
        <f>IF(F71&lt;=2.06,VLOOKUP($T$2,'Unit Price'!$B$3:$C$19,2,0),0)</f>
        <v>0</v>
      </c>
      <c r="U71" s="34">
        <f>IF(F71&lt;=2.06,VLOOKUP($U$2,'Unit Price'!$B$3:$C$19,2,0),0)</f>
        <v>0</v>
      </c>
      <c r="V71" s="34">
        <f>IF(AND(F71&gt;2.06,F71&lt;2.5),VLOOKUP($V$2,'Unit Price'!$B$3:$C$19,2,0),0)</f>
        <v>0</v>
      </c>
      <c r="W71" s="34">
        <f>IF(AND(F71&gt;2.06,F71&lt;2.5),VLOOKUP($W$2,'Unit Price'!$B$3:$C$19,2,0),0)</f>
        <v>0</v>
      </c>
      <c r="X71" s="34">
        <f>IF(F71&gt;2.5,VLOOKUP($X$2,'Unit Price'!$B$3:$C$19,2,0),0)</f>
        <v>1200000</v>
      </c>
      <c r="Y71" s="34">
        <f>IF(F71&gt;2.5,VLOOKUP($Y$2,'Unit Price'!$B$3:$C$19,2,0),0)</f>
        <v>350000</v>
      </c>
      <c r="Z71" s="34">
        <f>IF(F71&lt;2.5,6*VLOOKUP($Z$2,'Unit Price'!$B$3:$C$19,2,0),0)</f>
        <v>0</v>
      </c>
      <c r="AA71" s="34">
        <f>IF(F71&lt;2.5,3*VLOOKUP($AA$2,'Unit Price'!$B$3:$C$19,2,0),0)</f>
        <v>0</v>
      </c>
      <c r="AB71" s="34">
        <f>IF(F71&gt;2.5,6*VLOOKUP($AB$2,'Unit Price'!$B$3:$C$19,2,0),0)</f>
        <v>375000</v>
      </c>
      <c r="AC71" s="34">
        <f>IF(F71&gt;2.5,3*VLOOKUP($AC$2,'Unit Price'!$B$3:$C$19,2,0),0)</f>
        <v>216000</v>
      </c>
      <c r="AD71" s="36"/>
      <c r="AE71" s="46">
        <f t="shared" si="6"/>
        <v>2509000</v>
      </c>
      <c r="AF71" s="66">
        <f t="shared" si="7"/>
        <v>291000</v>
      </c>
    </row>
    <row r="72" spans="1:32">
      <c r="A72" s="19">
        <v>70</v>
      </c>
      <c r="B72" s="20" t="s">
        <v>160</v>
      </c>
      <c r="C72" s="20" t="s">
        <v>161</v>
      </c>
      <c r="D72" s="20" t="s">
        <v>151</v>
      </c>
      <c r="E72" s="20">
        <v>9.963000000000001</v>
      </c>
      <c r="F72" s="21">
        <v>3</v>
      </c>
      <c r="G72" s="20">
        <v>12</v>
      </c>
      <c r="H72" s="51">
        <v>8</v>
      </c>
      <c r="I72" s="58">
        <v>96</v>
      </c>
      <c r="J72" s="5">
        <f t="shared" si="4"/>
        <v>1</v>
      </c>
      <c r="K72" s="36">
        <v>2800000</v>
      </c>
      <c r="L72" s="37">
        <f t="shared" si="5"/>
        <v>2800000</v>
      </c>
      <c r="N72" s="34">
        <f>H72*VLOOKUP($N$2,'Unit Price'!$B$3:$C$19,2,0)</f>
        <v>144000</v>
      </c>
      <c r="O72" s="34">
        <f>1*VLOOKUP($O$2,'Unit Price'!$B$3:$C$19,2,0)</f>
        <v>10000</v>
      </c>
      <c r="P72" s="34">
        <f>1*VLOOKUP($P$2,'Unit Price'!$B$3:$C$19,2,0)</f>
        <v>8000</v>
      </c>
      <c r="Q72" s="34">
        <f>G72*2*VLOOKUP($Q$2,'Unit Price'!$B$3:$C$19,2,0)</f>
        <v>36000</v>
      </c>
      <c r="R72" s="34">
        <f>H72*3*VLOOKUP($R$2,'Unit Price'!$B$3:$C$19,2,0)</f>
        <v>60000</v>
      </c>
      <c r="S72" s="34">
        <f>IF(F72&lt;=2.2,3*VLOOKUP($S$2,'Unit Price'!$B$3:$C$19,2,0),5*VLOOKUP($S$2,'Unit Price'!$B$3:$C$19,2,0))</f>
        <v>50000</v>
      </c>
      <c r="T72" s="34">
        <f>IF(F72&lt;=2.06,VLOOKUP($T$2,'Unit Price'!$B$3:$C$19,2,0),0)</f>
        <v>0</v>
      </c>
      <c r="U72" s="34">
        <f>IF(F72&lt;=2.06,VLOOKUP($U$2,'Unit Price'!$B$3:$C$19,2,0),0)</f>
        <v>0</v>
      </c>
      <c r="V72" s="34">
        <f>IF(AND(F72&gt;2.06,F72&lt;2.5),VLOOKUP($V$2,'Unit Price'!$B$3:$C$19,2,0),0)</f>
        <v>0</v>
      </c>
      <c r="W72" s="34">
        <f>IF(AND(F72&gt;2.06,F72&lt;2.5),VLOOKUP($W$2,'Unit Price'!$B$3:$C$19,2,0),0)</f>
        <v>0</v>
      </c>
      <c r="X72" s="34">
        <f>IF(F72&gt;2.5,VLOOKUP($X$2,'Unit Price'!$B$3:$C$19,2,0),0)</f>
        <v>1200000</v>
      </c>
      <c r="Y72" s="34">
        <f>IF(F72&gt;2.5,VLOOKUP($Y$2,'Unit Price'!$B$3:$C$19,2,0),0)</f>
        <v>350000</v>
      </c>
      <c r="Z72" s="34">
        <f>IF(F72&lt;2.5,6*VLOOKUP($Z$2,'Unit Price'!$B$3:$C$19,2,0),0)</f>
        <v>0</v>
      </c>
      <c r="AA72" s="34">
        <f>IF(F72&lt;2.5,3*VLOOKUP($AA$2,'Unit Price'!$B$3:$C$19,2,0),0)</f>
        <v>0</v>
      </c>
      <c r="AB72" s="34">
        <f>IF(F72&gt;2.5,6*VLOOKUP($AB$2,'Unit Price'!$B$3:$C$19,2,0),0)</f>
        <v>375000</v>
      </c>
      <c r="AC72" s="34">
        <f>IF(F72&gt;2.5,3*VLOOKUP($AC$2,'Unit Price'!$B$3:$C$19,2,0),0)</f>
        <v>216000</v>
      </c>
      <c r="AD72" s="36"/>
      <c r="AE72" s="46">
        <f t="shared" si="6"/>
        <v>2449000</v>
      </c>
      <c r="AF72" s="66">
        <f t="shared" si="7"/>
        <v>351000</v>
      </c>
    </row>
    <row r="73" spans="1:32">
      <c r="A73" s="19">
        <v>71</v>
      </c>
      <c r="B73" s="20" t="s">
        <v>162</v>
      </c>
      <c r="C73" s="20" t="s">
        <v>163</v>
      </c>
      <c r="D73" s="20" t="s">
        <v>117</v>
      </c>
      <c r="E73" s="20">
        <v>2.0898000000000003</v>
      </c>
      <c r="F73" s="21">
        <v>2.7</v>
      </c>
      <c r="G73" s="20">
        <v>25</v>
      </c>
      <c r="H73" s="51">
        <v>18</v>
      </c>
      <c r="I73" s="58">
        <v>450</v>
      </c>
      <c r="J73" s="5">
        <f t="shared" si="4"/>
        <v>1</v>
      </c>
      <c r="K73" s="36">
        <v>2800000</v>
      </c>
      <c r="L73" s="37">
        <f t="shared" si="5"/>
        <v>2800000</v>
      </c>
      <c r="N73" s="34">
        <f>H73*VLOOKUP($N$2,'Unit Price'!$B$3:$C$19,2,0)</f>
        <v>324000</v>
      </c>
      <c r="O73" s="34">
        <f>1*VLOOKUP($O$2,'Unit Price'!$B$3:$C$19,2,0)</f>
        <v>10000</v>
      </c>
      <c r="P73" s="34">
        <f>1*VLOOKUP($P$2,'Unit Price'!$B$3:$C$19,2,0)</f>
        <v>8000</v>
      </c>
      <c r="Q73" s="34">
        <f>G73*2*VLOOKUP($Q$2,'Unit Price'!$B$3:$C$19,2,0)</f>
        <v>75000</v>
      </c>
      <c r="R73" s="34">
        <f>H73*3*VLOOKUP($R$2,'Unit Price'!$B$3:$C$19,2,0)</f>
        <v>135000</v>
      </c>
      <c r="S73" s="34">
        <f>IF(F73&lt;=2.2,3*VLOOKUP($S$2,'Unit Price'!$B$3:$C$19,2,0),5*VLOOKUP($S$2,'Unit Price'!$B$3:$C$19,2,0))</f>
        <v>50000</v>
      </c>
      <c r="T73" s="34">
        <f>IF(F73&lt;=2.06,VLOOKUP($T$2,'Unit Price'!$B$3:$C$19,2,0),0)</f>
        <v>0</v>
      </c>
      <c r="U73" s="34">
        <f>IF(F73&lt;=2.06,VLOOKUP($U$2,'Unit Price'!$B$3:$C$19,2,0),0)</f>
        <v>0</v>
      </c>
      <c r="V73" s="34">
        <f>IF(AND(F73&gt;2.06,F73&lt;2.5),VLOOKUP($V$2,'Unit Price'!$B$3:$C$19,2,0),0)</f>
        <v>0</v>
      </c>
      <c r="W73" s="34">
        <f>IF(AND(F73&gt;2.06,F73&lt;2.5),VLOOKUP($W$2,'Unit Price'!$B$3:$C$19,2,0),0)</f>
        <v>0</v>
      </c>
      <c r="X73" s="34">
        <f>IF(F73&gt;2.5,VLOOKUP($X$2,'Unit Price'!$B$3:$C$19,2,0),0)</f>
        <v>1200000</v>
      </c>
      <c r="Y73" s="34">
        <f>IF(F73&gt;2.5,VLOOKUP($Y$2,'Unit Price'!$B$3:$C$19,2,0),0)</f>
        <v>350000</v>
      </c>
      <c r="Z73" s="34">
        <f>IF(F73&lt;2.5,6*VLOOKUP($Z$2,'Unit Price'!$B$3:$C$19,2,0),0)</f>
        <v>0</v>
      </c>
      <c r="AA73" s="34">
        <f>IF(F73&lt;2.5,3*VLOOKUP($AA$2,'Unit Price'!$B$3:$C$19,2,0),0)</f>
        <v>0</v>
      </c>
      <c r="AB73" s="34">
        <f>IF(F73&gt;2.5,6*VLOOKUP($AB$2,'Unit Price'!$B$3:$C$19,2,0),0)</f>
        <v>375000</v>
      </c>
      <c r="AC73" s="34">
        <f>IF(F73&gt;2.5,3*VLOOKUP($AC$2,'Unit Price'!$B$3:$C$19,2,0),0)</f>
        <v>216000</v>
      </c>
      <c r="AD73" s="36"/>
      <c r="AE73" s="46">
        <f t="shared" si="6"/>
        <v>2743000</v>
      </c>
      <c r="AF73" s="66">
        <f t="shared" si="7"/>
        <v>57000</v>
      </c>
    </row>
    <row r="74" spans="1:32">
      <c r="A74" s="19">
        <v>72</v>
      </c>
      <c r="B74" s="20" t="s">
        <v>164</v>
      </c>
      <c r="C74" s="20" t="s">
        <v>165</v>
      </c>
      <c r="D74" s="20" t="s">
        <v>117</v>
      </c>
      <c r="E74" s="20">
        <v>3.2292000000000001</v>
      </c>
      <c r="F74" s="21">
        <v>2.7</v>
      </c>
      <c r="G74" s="20">
        <v>21</v>
      </c>
      <c r="H74" s="51">
        <v>14</v>
      </c>
      <c r="I74" s="58">
        <v>294</v>
      </c>
      <c r="J74" s="5">
        <f t="shared" si="4"/>
        <v>1</v>
      </c>
      <c r="K74" s="36">
        <v>2800000</v>
      </c>
      <c r="L74" s="37">
        <f t="shared" si="5"/>
        <v>2800000</v>
      </c>
      <c r="N74" s="34">
        <f>H74*VLOOKUP($N$2,'Unit Price'!$B$3:$C$19,2,0)</f>
        <v>252000</v>
      </c>
      <c r="O74" s="34">
        <f>1*VLOOKUP($O$2,'Unit Price'!$B$3:$C$19,2,0)</f>
        <v>10000</v>
      </c>
      <c r="P74" s="34">
        <f>1*VLOOKUP($P$2,'Unit Price'!$B$3:$C$19,2,0)</f>
        <v>8000</v>
      </c>
      <c r="Q74" s="34">
        <f>G74*2*VLOOKUP($Q$2,'Unit Price'!$B$3:$C$19,2,0)</f>
        <v>63000</v>
      </c>
      <c r="R74" s="34">
        <f>H74*3*VLOOKUP($R$2,'Unit Price'!$B$3:$C$19,2,0)</f>
        <v>105000</v>
      </c>
      <c r="S74" s="34">
        <f>IF(F74&lt;=2.2,3*VLOOKUP($S$2,'Unit Price'!$B$3:$C$19,2,0),5*VLOOKUP($S$2,'Unit Price'!$B$3:$C$19,2,0))</f>
        <v>50000</v>
      </c>
      <c r="T74" s="34">
        <f>IF(F74&lt;=2.06,VLOOKUP($T$2,'Unit Price'!$B$3:$C$19,2,0),0)</f>
        <v>0</v>
      </c>
      <c r="U74" s="34">
        <f>IF(F74&lt;=2.06,VLOOKUP($U$2,'Unit Price'!$B$3:$C$19,2,0),0)</f>
        <v>0</v>
      </c>
      <c r="V74" s="34">
        <f>IF(AND(F74&gt;2.06,F74&lt;2.5),VLOOKUP($V$2,'Unit Price'!$B$3:$C$19,2,0),0)</f>
        <v>0</v>
      </c>
      <c r="W74" s="34">
        <f>IF(AND(F74&gt;2.06,F74&lt;2.5),VLOOKUP($W$2,'Unit Price'!$B$3:$C$19,2,0),0)</f>
        <v>0</v>
      </c>
      <c r="X74" s="34">
        <f>IF(F74&gt;2.5,VLOOKUP($X$2,'Unit Price'!$B$3:$C$19,2,0),0)</f>
        <v>1200000</v>
      </c>
      <c r="Y74" s="34">
        <f>IF(F74&gt;2.5,VLOOKUP($Y$2,'Unit Price'!$B$3:$C$19,2,0),0)</f>
        <v>350000</v>
      </c>
      <c r="Z74" s="34">
        <f>IF(F74&lt;2.5,6*VLOOKUP($Z$2,'Unit Price'!$B$3:$C$19,2,0),0)</f>
        <v>0</v>
      </c>
      <c r="AA74" s="34">
        <f>IF(F74&lt;2.5,3*VLOOKUP($AA$2,'Unit Price'!$B$3:$C$19,2,0),0)</f>
        <v>0</v>
      </c>
      <c r="AB74" s="34">
        <f>IF(F74&gt;2.5,6*VLOOKUP($AB$2,'Unit Price'!$B$3:$C$19,2,0),0)</f>
        <v>375000</v>
      </c>
      <c r="AC74" s="34">
        <f>IF(F74&gt;2.5,3*VLOOKUP($AC$2,'Unit Price'!$B$3:$C$19,2,0),0)</f>
        <v>216000</v>
      </c>
      <c r="AD74" s="36"/>
      <c r="AE74" s="46">
        <f t="shared" si="6"/>
        <v>2629000</v>
      </c>
      <c r="AF74" s="66">
        <f t="shared" si="7"/>
        <v>171000</v>
      </c>
    </row>
    <row r="75" spans="1:32">
      <c r="A75" s="19">
        <v>73</v>
      </c>
      <c r="B75" s="20" t="s">
        <v>166</v>
      </c>
      <c r="C75" s="20" t="s">
        <v>167</v>
      </c>
      <c r="D75" s="20" t="s">
        <v>117</v>
      </c>
      <c r="E75" s="20">
        <v>5.3541000000000007</v>
      </c>
      <c r="F75" s="21">
        <v>2.7</v>
      </c>
      <c r="G75" s="20">
        <v>16</v>
      </c>
      <c r="H75" s="51">
        <v>11</v>
      </c>
      <c r="I75" s="58">
        <v>176</v>
      </c>
      <c r="J75" s="5">
        <f t="shared" si="4"/>
        <v>1</v>
      </c>
      <c r="K75" s="36">
        <v>2800000</v>
      </c>
      <c r="L75" s="37">
        <f t="shared" si="5"/>
        <v>2800000</v>
      </c>
      <c r="N75" s="34">
        <f>H75*VLOOKUP($N$2,'Unit Price'!$B$3:$C$19,2,0)</f>
        <v>198000</v>
      </c>
      <c r="O75" s="34">
        <f>1*VLOOKUP($O$2,'Unit Price'!$B$3:$C$19,2,0)</f>
        <v>10000</v>
      </c>
      <c r="P75" s="34">
        <f>1*VLOOKUP($P$2,'Unit Price'!$B$3:$C$19,2,0)</f>
        <v>8000</v>
      </c>
      <c r="Q75" s="34">
        <f>G75*2*VLOOKUP($Q$2,'Unit Price'!$B$3:$C$19,2,0)</f>
        <v>48000</v>
      </c>
      <c r="R75" s="34">
        <f>H75*3*VLOOKUP($R$2,'Unit Price'!$B$3:$C$19,2,0)</f>
        <v>82500</v>
      </c>
      <c r="S75" s="34">
        <f>IF(F75&lt;=2.2,3*VLOOKUP($S$2,'Unit Price'!$B$3:$C$19,2,0),5*VLOOKUP($S$2,'Unit Price'!$B$3:$C$19,2,0))</f>
        <v>50000</v>
      </c>
      <c r="T75" s="34">
        <f>IF(F75&lt;=2.06,VLOOKUP($T$2,'Unit Price'!$B$3:$C$19,2,0),0)</f>
        <v>0</v>
      </c>
      <c r="U75" s="34">
        <f>IF(F75&lt;=2.06,VLOOKUP($U$2,'Unit Price'!$B$3:$C$19,2,0),0)</f>
        <v>0</v>
      </c>
      <c r="V75" s="34">
        <f>IF(AND(F75&gt;2.06,F75&lt;2.5),VLOOKUP($V$2,'Unit Price'!$B$3:$C$19,2,0),0)</f>
        <v>0</v>
      </c>
      <c r="W75" s="34">
        <f>IF(AND(F75&gt;2.06,F75&lt;2.5),VLOOKUP($W$2,'Unit Price'!$B$3:$C$19,2,0),0)</f>
        <v>0</v>
      </c>
      <c r="X75" s="34">
        <f>IF(F75&gt;2.5,VLOOKUP($X$2,'Unit Price'!$B$3:$C$19,2,0),0)</f>
        <v>1200000</v>
      </c>
      <c r="Y75" s="34">
        <f>IF(F75&gt;2.5,VLOOKUP($Y$2,'Unit Price'!$B$3:$C$19,2,0),0)</f>
        <v>350000</v>
      </c>
      <c r="Z75" s="34">
        <f>IF(F75&lt;2.5,6*VLOOKUP($Z$2,'Unit Price'!$B$3:$C$19,2,0),0)</f>
        <v>0</v>
      </c>
      <c r="AA75" s="34">
        <f>IF(F75&lt;2.5,3*VLOOKUP($AA$2,'Unit Price'!$B$3:$C$19,2,0),0)</f>
        <v>0</v>
      </c>
      <c r="AB75" s="34">
        <f>IF(F75&gt;2.5,6*VLOOKUP($AB$2,'Unit Price'!$B$3:$C$19,2,0),0)</f>
        <v>375000</v>
      </c>
      <c r="AC75" s="34">
        <f>IF(F75&gt;2.5,3*VLOOKUP($AC$2,'Unit Price'!$B$3:$C$19,2,0),0)</f>
        <v>216000</v>
      </c>
      <c r="AD75" s="36"/>
      <c r="AE75" s="46">
        <f t="shared" si="6"/>
        <v>2537500</v>
      </c>
      <c r="AF75" s="66">
        <f t="shared" si="7"/>
        <v>262500</v>
      </c>
    </row>
    <row r="76" spans="1:32">
      <c r="A76" s="19">
        <v>74</v>
      </c>
      <c r="B76" s="20" t="s">
        <v>168</v>
      </c>
      <c r="C76" s="20" t="s">
        <v>169</v>
      </c>
      <c r="D76" s="20" t="s">
        <v>117</v>
      </c>
      <c r="E76" s="20">
        <v>8.2701000000000011</v>
      </c>
      <c r="F76" s="21">
        <v>2.7</v>
      </c>
      <c r="G76" s="20">
        <v>13</v>
      </c>
      <c r="H76" s="51">
        <v>9</v>
      </c>
      <c r="I76" s="58">
        <v>117</v>
      </c>
      <c r="J76" s="5">
        <f t="shared" si="4"/>
        <v>1</v>
      </c>
      <c r="K76" s="36">
        <v>2800000</v>
      </c>
      <c r="L76" s="37">
        <f t="shared" si="5"/>
        <v>2800000</v>
      </c>
      <c r="N76" s="34">
        <f>H76*VLOOKUP($N$2,'Unit Price'!$B$3:$C$19,2,0)</f>
        <v>162000</v>
      </c>
      <c r="O76" s="34">
        <f>1*VLOOKUP($O$2,'Unit Price'!$B$3:$C$19,2,0)</f>
        <v>10000</v>
      </c>
      <c r="P76" s="34">
        <f>1*VLOOKUP($P$2,'Unit Price'!$B$3:$C$19,2,0)</f>
        <v>8000</v>
      </c>
      <c r="Q76" s="34">
        <f>G76*2*VLOOKUP($Q$2,'Unit Price'!$B$3:$C$19,2,0)</f>
        <v>39000</v>
      </c>
      <c r="R76" s="34">
        <f>H76*3*VLOOKUP($R$2,'Unit Price'!$B$3:$C$19,2,0)</f>
        <v>67500</v>
      </c>
      <c r="S76" s="34">
        <f>IF(F76&lt;=2.2,3*VLOOKUP($S$2,'Unit Price'!$B$3:$C$19,2,0),5*VLOOKUP($S$2,'Unit Price'!$B$3:$C$19,2,0))</f>
        <v>50000</v>
      </c>
      <c r="T76" s="34">
        <f>IF(F76&lt;=2.06,VLOOKUP($T$2,'Unit Price'!$B$3:$C$19,2,0),0)</f>
        <v>0</v>
      </c>
      <c r="U76" s="34">
        <f>IF(F76&lt;=2.06,VLOOKUP($U$2,'Unit Price'!$B$3:$C$19,2,0),0)</f>
        <v>0</v>
      </c>
      <c r="V76" s="34">
        <f>IF(AND(F76&gt;2.06,F76&lt;2.5),VLOOKUP($V$2,'Unit Price'!$B$3:$C$19,2,0),0)</f>
        <v>0</v>
      </c>
      <c r="W76" s="34">
        <f>IF(AND(F76&gt;2.06,F76&lt;2.5),VLOOKUP($W$2,'Unit Price'!$B$3:$C$19,2,0),0)</f>
        <v>0</v>
      </c>
      <c r="X76" s="34">
        <f>IF(F76&gt;2.5,VLOOKUP($X$2,'Unit Price'!$B$3:$C$19,2,0),0)</f>
        <v>1200000</v>
      </c>
      <c r="Y76" s="34">
        <f>IF(F76&gt;2.5,VLOOKUP($Y$2,'Unit Price'!$B$3:$C$19,2,0),0)</f>
        <v>350000</v>
      </c>
      <c r="Z76" s="34">
        <f>IF(F76&lt;2.5,6*VLOOKUP($Z$2,'Unit Price'!$B$3:$C$19,2,0),0)</f>
        <v>0</v>
      </c>
      <c r="AA76" s="34">
        <f>IF(F76&lt;2.5,3*VLOOKUP($AA$2,'Unit Price'!$B$3:$C$19,2,0),0)</f>
        <v>0</v>
      </c>
      <c r="AB76" s="34">
        <f>IF(F76&gt;2.5,6*VLOOKUP($AB$2,'Unit Price'!$B$3:$C$19,2,0),0)</f>
        <v>375000</v>
      </c>
      <c r="AC76" s="34">
        <f>IF(F76&gt;2.5,3*VLOOKUP($AC$2,'Unit Price'!$B$3:$C$19,2,0),0)</f>
        <v>216000</v>
      </c>
      <c r="AD76" s="36"/>
      <c r="AE76" s="46">
        <f t="shared" si="6"/>
        <v>2477500</v>
      </c>
      <c r="AF76" s="66">
        <f t="shared" si="7"/>
        <v>322500</v>
      </c>
    </row>
    <row r="77" spans="1:32">
      <c r="A77" s="17">
        <v>75</v>
      </c>
      <c r="B77" s="5" t="s">
        <v>170</v>
      </c>
      <c r="C77" s="5" t="s">
        <v>171</v>
      </c>
      <c r="D77" s="5" t="s">
        <v>172</v>
      </c>
      <c r="E77" s="5">
        <v>4.008</v>
      </c>
      <c r="F77" s="18">
        <v>3</v>
      </c>
      <c r="G77" s="5">
        <v>21</v>
      </c>
      <c r="H77" s="50">
        <v>14</v>
      </c>
      <c r="I77" s="58">
        <v>294</v>
      </c>
      <c r="J77" s="5">
        <f t="shared" si="4"/>
        <v>1</v>
      </c>
      <c r="K77" s="36">
        <v>2800000</v>
      </c>
      <c r="L77" s="37">
        <f t="shared" si="5"/>
        <v>2800000</v>
      </c>
      <c r="N77" s="34">
        <f>H77*VLOOKUP($N$2,'Unit Price'!$B$3:$C$19,2,0)</f>
        <v>252000</v>
      </c>
      <c r="O77" s="34">
        <f>1*VLOOKUP($O$2,'Unit Price'!$B$3:$C$19,2,0)</f>
        <v>10000</v>
      </c>
      <c r="P77" s="34">
        <f>1*VLOOKUP($P$2,'Unit Price'!$B$3:$C$19,2,0)</f>
        <v>8000</v>
      </c>
      <c r="Q77" s="34">
        <f>G77*2*VLOOKUP($Q$2,'Unit Price'!$B$3:$C$19,2,0)</f>
        <v>63000</v>
      </c>
      <c r="R77" s="34">
        <f>H77*3*VLOOKUP($R$2,'Unit Price'!$B$3:$C$19,2,0)</f>
        <v>105000</v>
      </c>
      <c r="S77" s="34">
        <f>IF(F77&lt;=2.2,3*VLOOKUP($S$2,'Unit Price'!$B$3:$C$19,2,0),5*VLOOKUP($S$2,'Unit Price'!$B$3:$C$19,2,0))</f>
        <v>50000</v>
      </c>
      <c r="T77" s="34">
        <f>IF(F77&lt;=2.06,VLOOKUP($T$2,'Unit Price'!$B$3:$C$19,2,0),0)</f>
        <v>0</v>
      </c>
      <c r="U77" s="34">
        <f>IF(F77&lt;=2.06,VLOOKUP($U$2,'Unit Price'!$B$3:$C$19,2,0),0)</f>
        <v>0</v>
      </c>
      <c r="V77" s="34">
        <f>IF(AND(F77&gt;2.06,F77&lt;2.5),VLOOKUP($V$2,'Unit Price'!$B$3:$C$19,2,0),0)</f>
        <v>0</v>
      </c>
      <c r="W77" s="34">
        <f>IF(AND(F77&gt;2.06,F77&lt;2.5),VLOOKUP($W$2,'Unit Price'!$B$3:$C$19,2,0),0)</f>
        <v>0</v>
      </c>
      <c r="X77" s="34">
        <f>IF(F77&gt;2.5,VLOOKUP($X$2,'Unit Price'!$B$3:$C$19,2,0),0)</f>
        <v>1200000</v>
      </c>
      <c r="Y77" s="34">
        <f>IF(F77&gt;2.5,VLOOKUP($Y$2,'Unit Price'!$B$3:$C$19,2,0),0)</f>
        <v>350000</v>
      </c>
      <c r="Z77" s="34">
        <f>IF(F77&lt;2.5,6*VLOOKUP($Z$2,'Unit Price'!$B$3:$C$19,2,0),0)</f>
        <v>0</v>
      </c>
      <c r="AA77" s="34">
        <f>IF(F77&lt;2.5,3*VLOOKUP($AA$2,'Unit Price'!$B$3:$C$19,2,0),0)</f>
        <v>0</v>
      </c>
      <c r="AB77" s="34">
        <f>IF(F77&gt;2.5,6*VLOOKUP($AB$2,'Unit Price'!$B$3:$C$19,2,0),0)</f>
        <v>375000</v>
      </c>
      <c r="AC77" s="34">
        <f>IF(F77&gt;2.5,3*VLOOKUP($AC$2,'Unit Price'!$B$3:$C$19,2,0),0)</f>
        <v>216000</v>
      </c>
      <c r="AD77" s="36"/>
      <c r="AE77" s="46">
        <f t="shared" si="6"/>
        <v>2629000</v>
      </c>
      <c r="AF77" s="66">
        <f t="shared" si="7"/>
        <v>171000</v>
      </c>
    </row>
    <row r="78" spans="1:32">
      <c r="A78" s="17">
        <v>76</v>
      </c>
      <c r="B78" s="5" t="s">
        <v>173</v>
      </c>
      <c r="C78" s="5" t="s">
        <v>174</v>
      </c>
      <c r="D78" s="5" t="s">
        <v>172</v>
      </c>
      <c r="E78" s="5">
        <v>4.3559999999999999</v>
      </c>
      <c r="F78" s="18">
        <v>3</v>
      </c>
      <c r="G78" s="5">
        <v>21</v>
      </c>
      <c r="H78" s="50">
        <v>14</v>
      </c>
      <c r="I78" s="58">
        <v>294</v>
      </c>
      <c r="J78" s="5">
        <f t="shared" si="4"/>
        <v>1</v>
      </c>
      <c r="K78" s="36">
        <v>2800000</v>
      </c>
      <c r="L78" s="37">
        <f t="shared" si="5"/>
        <v>2800000</v>
      </c>
      <c r="N78" s="34">
        <f>H78*VLOOKUP($N$2,'Unit Price'!$B$3:$C$19,2,0)</f>
        <v>252000</v>
      </c>
      <c r="O78" s="34">
        <f>1*VLOOKUP($O$2,'Unit Price'!$B$3:$C$19,2,0)</f>
        <v>10000</v>
      </c>
      <c r="P78" s="34">
        <f>1*VLOOKUP($P$2,'Unit Price'!$B$3:$C$19,2,0)</f>
        <v>8000</v>
      </c>
      <c r="Q78" s="34">
        <f>G78*2*VLOOKUP($Q$2,'Unit Price'!$B$3:$C$19,2,0)</f>
        <v>63000</v>
      </c>
      <c r="R78" s="34">
        <f>H78*3*VLOOKUP($R$2,'Unit Price'!$B$3:$C$19,2,0)</f>
        <v>105000</v>
      </c>
      <c r="S78" s="34">
        <f>IF(F78&lt;=2.2,3*VLOOKUP($S$2,'Unit Price'!$B$3:$C$19,2,0),5*VLOOKUP($S$2,'Unit Price'!$B$3:$C$19,2,0))</f>
        <v>50000</v>
      </c>
      <c r="T78" s="34">
        <f>IF(F78&lt;=2.06,VLOOKUP($T$2,'Unit Price'!$B$3:$C$19,2,0),0)</f>
        <v>0</v>
      </c>
      <c r="U78" s="34">
        <f>IF(F78&lt;=2.06,VLOOKUP($U$2,'Unit Price'!$B$3:$C$19,2,0),0)</f>
        <v>0</v>
      </c>
      <c r="V78" s="34">
        <f>IF(AND(F78&gt;2.06,F78&lt;2.5),VLOOKUP($V$2,'Unit Price'!$B$3:$C$19,2,0),0)</f>
        <v>0</v>
      </c>
      <c r="W78" s="34">
        <f>IF(AND(F78&gt;2.06,F78&lt;2.5),VLOOKUP($W$2,'Unit Price'!$B$3:$C$19,2,0),0)</f>
        <v>0</v>
      </c>
      <c r="X78" s="34">
        <f>IF(F78&gt;2.5,VLOOKUP($X$2,'Unit Price'!$B$3:$C$19,2,0),0)</f>
        <v>1200000</v>
      </c>
      <c r="Y78" s="34">
        <f>IF(F78&gt;2.5,VLOOKUP($Y$2,'Unit Price'!$B$3:$C$19,2,0),0)</f>
        <v>350000</v>
      </c>
      <c r="Z78" s="34">
        <f>IF(F78&lt;2.5,6*VLOOKUP($Z$2,'Unit Price'!$B$3:$C$19,2,0),0)</f>
        <v>0</v>
      </c>
      <c r="AA78" s="34">
        <f>IF(F78&lt;2.5,3*VLOOKUP($AA$2,'Unit Price'!$B$3:$C$19,2,0),0)</f>
        <v>0</v>
      </c>
      <c r="AB78" s="34">
        <f>IF(F78&gt;2.5,6*VLOOKUP($AB$2,'Unit Price'!$B$3:$C$19,2,0),0)</f>
        <v>375000</v>
      </c>
      <c r="AC78" s="34">
        <f>IF(F78&gt;2.5,3*VLOOKUP($AC$2,'Unit Price'!$B$3:$C$19,2,0),0)</f>
        <v>216000</v>
      </c>
      <c r="AD78" s="36"/>
      <c r="AE78" s="46">
        <f t="shared" si="6"/>
        <v>2629000</v>
      </c>
      <c r="AF78" s="66">
        <f t="shared" si="7"/>
        <v>171000</v>
      </c>
    </row>
    <row r="79" spans="1:32">
      <c r="A79" s="17">
        <v>77</v>
      </c>
      <c r="B79" s="5" t="s">
        <v>175</v>
      </c>
      <c r="C79" s="5" t="s">
        <v>176</v>
      </c>
      <c r="D79" s="5" t="s">
        <v>172</v>
      </c>
      <c r="E79" s="5">
        <v>6.0090000000000003</v>
      </c>
      <c r="F79" s="18">
        <v>3</v>
      </c>
      <c r="G79" s="5">
        <v>17</v>
      </c>
      <c r="H79" s="50">
        <v>12</v>
      </c>
      <c r="I79" s="58">
        <v>204</v>
      </c>
      <c r="J79" s="5">
        <f t="shared" si="4"/>
        <v>1</v>
      </c>
      <c r="K79" s="36">
        <v>2800000</v>
      </c>
      <c r="L79" s="37">
        <f t="shared" si="5"/>
        <v>2800000</v>
      </c>
      <c r="N79" s="34">
        <f>H79*VLOOKUP($N$2,'Unit Price'!$B$3:$C$19,2,0)</f>
        <v>216000</v>
      </c>
      <c r="O79" s="34">
        <f>1*VLOOKUP($O$2,'Unit Price'!$B$3:$C$19,2,0)</f>
        <v>10000</v>
      </c>
      <c r="P79" s="34">
        <f>1*VLOOKUP($P$2,'Unit Price'!$B$3:$C$19,2,0)</f>
        <v>8000</v>
      </c>
      <c r="Q79" s="34">
        <f>G79*2*VLOOKUP($Q$2,'Unit Price'!$B$3:$C$19,2,0)</f>
        <v>51000</v>
      </c>
      <c r="R79" s="34">
        <f>H79*3*VLOOKUP($R$2,'Unit Price'!$B$3:$C$19,2,0)</f>
        <v>90000</v>
      </c>
      <c r="S79" s="34">
        <f>IF(F79&lt;=2.2,3*VLOOKUP($S$2,'Unit Price'!$B$3:$C$19,2,0),5*VLOOKUP($S$2,'Unit Price'!$B$3:$C$19,2,0))</f>
        <v>50000</v>
      </c>
      <c r="T79" s="34">
        <f>IF(F79&lt;=2.06,VLOOKUP($T$2,'Unit Price'!$B$3:$C$19,2,0),0)</f>
        <v>0</v>
      </c>
      <c r="U79" s="34">
        <f>IF(F79&lt;=2.06,VLOOKUP($U$2,'Unit Price'!$B$3:$C$19,2,0),0)</f>
        <v>0</v>
      </c>
      <c r="V79" s="34">
        <f>IF(AND(F79&gt;2.06,F79&lt;2.5),VLOOKUP($V$2,'Unit Price'!$B$3:$C$19,2,0),0)</f>
        <v>0</v>
      </c>
      <c r="W79" s="34">
        <f>IF(AND(F79&gt;2.06,F79&lt;2.5),VLOOKUP($W$2,'Unit Price'!$B$3:$C$19,2,0),0)</f>
        <v>0</v>
      </c>
      <c r="X79" s="34">
        <f>IF(F79&gt;2.5,VLOOKUP($X$2,'Unit Price'!$B$3:$C$19,2,0),0)</f>
        <v>1200000</v>
      </c>
      <c r="Y79" s="34">
        <f>IF(F79&gt;2.5,VLOOKUP($Y$2,'Unit Price'!$B$3:$C$19,2,0),0)</f>
        <v>350000</v>
      </c>
      <c r="Z79" s="34">
        <f>IF(F79&lt;2.5,6*VLOOKUP($Z$2,'Unit Price'!$B$3:$C$19,2,0),0)</f>
        <v>0</v>
      </c>
      <c r="AA79" s="34">
        <f>IF(F79&lt;2.5,3*VLOOKUP($AA$2,'Unit Price'!$B$3:$C$19,2,0),0)</f>
        <v>0</v>
      </c>
      <c r="AB79" s="34">
        <f>IF(F79&gt;2.5,6*VLOOKUP($AB$2,'Unit Price'!$B$3:$C$19,2,0),0)</f>
        <v>375000</v>
      </c>
      <c r="AC79" s="34">
        <f>IF(F79&gt;2.5,3*VLOOKUP($AC$2,'Unit Price'!$B$3:$C$19,2,0),0)</f>
        <v>216000</v>
      </c>
      <c r="AD79" s="36"/>
      <c r="AE79" s="46">
        <f t="shared" si="6"/>
        <v>2566000</v>
      </c>
      <c r="AF79" s="66">
        <f t="shared" si="7"/>
        <v>234000</v>
      </c>
    </row>
    <row r="80" spans="1:32">
      <c r="A80" s="17">
        <v>78</v>
      </c>
      <c r="B80" s="5" t="s">
        <v>177</v>
      </c>
      <c r="C80" s="5" t="s">
        <v>178</v>
      </c>
      <c r="D80" s="5" t="s">
        <v>172</v>
      </c>
      <c r="E80" s="5">
        <v>6.5129999999999999</v>
      </c>
      <c r="F80" s="18">
        <v>3</v>
      </c>
      <c r="G80" s="5">
        <v>17</v>
      </c>
      <c r="H80" s="50">
        <v>12</v>
      </c>
      <c r="I80" s="58">
        <v>204</v>
      </c>
      <c r="J80" s="5">
        <f t="shared" si="4"/>
        <v>1</v>
      </c>
      <c r="K80" s="36">
        <v>2800000</v>
      </c>
      <c r="L80" s="37">
        <f t="shared" si="5"/>
        <v>2800000</v>
      </c>
      <c r="N80" s="34">
        <f>H80*VLOOKUP($N$2,'Unit Price'!$B$3:$C$19,2,0)</f>
        <v>216000</v>
      </c>
      <c r="O80" s="34">
        <f>1*VLOOKUP($O$2,'Unit Price'!$B$3:$C$19,2,0)</f>
        <v>10000</v>
      </c>
      <c r="P80" s="34">
        <f>1*VLOOKUP($P$2,'Unit Price'!$B$3:$C$19,2,0)</f>
        <v>8000</v>
      </c>
      <c r="Q80" s="34">
        <f>G80*2*VLOOKUP($Q$2,'Unit Price'!$B$3:$C$19,2,0)</f>
        <v>51000</v>
      </c>
      <c r="R80" s="34">
        <f>H80*3*VLOOKUP($R$2,'Unit Price'!$B$3:$C$19,2,0)</f>
        <v>90000</v>
      </c>
      <c r="S80" s="34">
        <f>IF(F80&lt;=2.2,3*VLOOKUP($S$2,'Unit Price'!$B$3:$C$19,2,0),5*VLOOKUP($S$2,'Unit Price'!$B$3:$C$19,2,0))</f>
        <v>50000</v>
      </c>
      <c r="T80" s="34">
        <f>IF(F80&lt;=2.06,VLOOKUP($T$2,'Unit Price'!$B$3:$C$19,2,0),0)</f>
        <v>0</v>
      </c>
      <c r="U80" s="34">
        <f>IF(F80&lt;=2.06,VLOOKUP($U$2,'Unit Price'!$B$3:$C$19,2,0),0)</f>
        <v>0</v>
      </c>
      <c r="V80" s="34">
        <f>IF(AND(F80&gt;2.06,F80&lt;2.5),VLOOKUP($V$2,'Unit Price'!$B$3:$C$19,2,0),0)</f>
        <v>0</v>
      </c>
      <c r="W80" s="34">
        <f>IF(AND(F80&gt;2.06,F80&lt;2.5),VLOOKUP($W$2,'Unit Price'!$B$3:$C$19,2,0),0)</f>
        <v>0</v>
      </c>
      <c r="X80" s="34">
        <f>IF(F80&gt;2.5,VLOOKUP($X$2,'Unit Price'!$B$3:$C$19,2,0),0)</f>
        <v>1200000</v>
      </c>
      <c r="Y80" s="34">
        <f>IF(F80&gt;2.5,VLOOKUP($Y$2,'Unit Price'!$B$3:$C$19,2,0),0)</f>
        <v>350000</v>
      </c>
      <c r="Z80" s="34">
        <f>IF(F80&lt;2.5,6*VLOOKUP($Z$2,'Unit Price'!$B$3:$C$19,2,0),0)</f>
        <v>0</v>
      </c>
      <c r="AA80" s="34">
        <f>IF(F80&lt;2.5,3*VLOOKUP($AA$2,'Unit Price'!$B$3:$C$19,2,0),0)</f>
        <v>0</v>
      </c>
      <c r="AB80" s="34">
        <f>IF(F80&gt;2.5,6*VLOOKUP($AB$2,'Unit Price'!$B$3:$C$19,2,0),0)</f>
        <v>375000</v>
      </c>
      <c r="AC80" s="34">
        <f>IF(F80&gt;2.5,3*VLOOKUP($AC$2,'Unit Price'!$B$3:$C$19,2,0),0)</f>
        <v>216000</v>
      </c>
      <c r="AD80" s="36"/>
      <c r="AE80" s="46">
        <f t="shared" si="6"/>
        <v>2566000</v>
      </c>
      <c r="AF80" s="66">
        <f t="shared" si="7"/>
        <v>234000</v>
      </c>
    </row>
    <row r="81" spans="1:32">
      <c r="A81" s="17">
        <v>79</v>
      </c>
      <c r="B81" s="5" t="s">
        <v>179</v>
      </c>
      <c r="C81" s="5" t="s">
        <v>180</v>
      </c>
      <c r="D81" s="5" t="s">
        <v>172</v>
      </c>
      <c r="E81" s="5">
        <v>7.6379999999999999</v>
      </c>
      <c r="F81" s="18">
        <v>3</v>
      </c>
      <c r="G81" s="5">
        <v>15</v>
      </c>
      <c r="H81" s="50">
        <v>10</v>
      </c>
      <c r="I81" s="58">
        <v>150</v>
      </c>
      <c r="J81" s="5">
        <f t="shared" si="4"/>
        <v>1</v>
      </c>
      <c r="K81" s="36">
        <v>2800000</v>
      </c>
      <c r="L81" s="37">
        <f t="shared" si="5"/>
        <v>2800000</v>
      </c>
      <c r="N81" s="34">
        <f>H81*VLOOKUP($N$2,'Unit Price'!$B$3:$C$19,2,0)</f>
        <v>180000</v>
      </c>
      <c r="O81" s="34">
        <f>1*VLOOKUP($O$2,'Unit Price'!$B$3:$C$19,2,0)</f>
        <v>10000</v>
      </c>
      <c r="P81" s="34">
        <f>1*VLOOKUP($P$2,'Unit Price'!$B$3:$C$19,2,0)</f>
        <v>8000</v>
      </c>
      <c r="Q81" s="34">
        <f>G81*2*VLOOKUP($Q$2,'Unit Price'!$B$3:$C$19,2,0)</f>
        <v>45000</v>
      </c>
      <c r="R81" s="34">
        <f>H81*3*VLOOKUP($R$2,'Unit Price'!$B$3:$C$19,2,0)</f>
        <v>75000</v>
      </c>
      <c r="S81" s="34">
        <f>IF(F81&lt;=2.2,3*VLOOKUP($S$2,'Unit Price'!$B$3:$C$19,2,0),5*VLOOKUP($S$2,'Unit Price'!$B$3:$C$19,2,0))</f>
        <v>50000</v>
      </c>
      <c r="T81" s="34">
        <f>IF(F81&lt;=2.06,VLOOKUP($T$2,'Unit Price'!$B$3:$C$19,2,0),0)</f>
        <v>0</v>
      </c>
      <c r="U81" s="34">
        <f>IF(F81&lt;=2.06,VLOOKUP($U$2,'Unit Price'!$B$3:$C$19,2,0),0)</f>
        <v>0</v>
      </c>
      <c r="V81" s="34">
        <f>IF(AND(F81&gt;2.06,F81&lt;2.5),VLOOKUP($V$2,'Unit Price'!$B$3:$C$19,2,0),0)</f>
        <v>0</v>
      </c>
      <c r="W81" s="34">
        <f>IF(AND(F81&gt;2.06,F81&lt;2.5),VLOOKUP($W$2,'Unit Price'!$B$3:$C$19,2,0),0)</f>
        <v>0</v>
      </c>
      <c r="X81" s="34">
        <f>IF(F81&gt;2.5,VLOOKUP($X$2,'Unit Price'!$B$3:$C$19,2,0),0)</f>
        <v>1200000</v>
      </c>
      <c r="Y81" s="34">
        <f>IF(F81&gt;2.5,VLOOKUP($Y$2,'Unit Price'!$B$3:$C$19,2,0),0)</f>
        <v>350000</v>
      </c>
      <c r="Z81" s="34">
        <f>IF(F81&lt;2.5,6*VLOOKUP($Z$2,'Unit Price'!$B$3:$C$19,2,0),0)</f>
        <v>0</v>
      </c>
      <c r="AA81" s="34">
        <f>IF(F81&lt;2.5,3*VLOOKUP($AA$2,'Unit Price'!$B$3:$C$19,2,0),0)</f>
        <v>0</v>
      </c>
      <c r="AB81" s="34">
        <f>IF(F81&gt;2.5,6*VLOOKUP($AB$2,'Unit Price'!$B$3:$C$19,2,0),0)</f>
        <v>375000</v>
      </c>
      <c r="AC81" s="34">
        <f>IF(F81&gt;2.5,3*VLOOKUP($AC$2,'Unit Price'!$B$3:$C$19,2,0),0)</f>
        <v>216000</v>
      </c>
      <c r="AD81" s="36"/>
      <c r="AE81" s="46">
        <f t="shared" si="6"/>
        <v>2509000</v>
      </c>
      <c r="AF81" s="66">
        <f t="shared" si="7"/>
        <v>291000</v>
      </c>
    </row>
    <row r="82" spans="1:32">
      <c r="A82" s="17">
        <v>80</v>
      </c>
      <c r="B82" s="5" t="s">
        <v>181</v>
      </c>
      <c r="C82" s="5" t="s">
        <v>182</v>
      </c>
      <c r="D82" s="5" t="s">
        <v>172</v>
      </c>
      <c r="E82" s="5">
        <v>8.4660000000000011</v>
      </c>
      <c r="F82" s="18">
        <v>3</v>
      </c>
      <c r="G82" s="5">
        <v>15</v>
      </c>
      <c r="H82" s="50">
        <v>10</v>
      </c>
      <c r="I82" s="58">
        <v>150</v>
      </c>
      <c r="J82" s="5">
        <f t="shared" si="4"/>
        <v>1</v>
      </c>
      <c r="K82" s="36">
        <v>2800000</v>
      </c>
      <c r="L82" s="37">
        <f t="shared" si="5"/>
        <v>2800000</v>
      </c>
      <c r="N82" s="34">
        <f>H82*VLOOKUP($N$2,'Unit Price'!$B$3:$C$19,2,0)</f>
        <v>180000</v>
      </c>
      <c r="O82" s="34">
        <f>1*VLOOKUP($O$2,'Unit Price'!$B$3:$C$19,2,0)</f>
        <v>10000</v>
      </c>
      <c r="P82" s="34">
        <f>1*VLOOKUP($P$2,'Unit Price'!$B$3:$C$19,2,0)</f>
        <v>8000</v>
      </c>
      <c r="Q82" s="34">
        <f>G82*2*VLOOKUP($Q$2,'Unit Price'!$B$3:$C$19,2,0)</f>
        <v>45000</v>
      </c>
      <c r="R82" s="34">
        <f>H82*3*VLOOKUP($R$2,'Unit Price'!$B$3:$C$19,2,0)</f>
        <v>75000</v>
      </c>
      <c r="S82" s="34">
        <f>IF(F82&lt;=2.2,3*VLOOKUP($S$2,'Unit Price'!$B$3:$C$19,2,0),5*VLOOKUP($S$2,'Unit Price'!$B$3:$C$19,2,0))</f>
        <v>50000</v>
      </c>
      <c r="T82" s="34">
        <f>IF(F82&lt;=2.06,VLOOKUP($T$2,'Unit Price'!$B$3:$C$19,2,0),0)</f>
        <v>0</v>
      </c>
      <c r="U82" s="34">
        <f>IF(F82&lt;=2.06,VLOOKUP($U$2,'Unit Price'!$B$3:$C$19,2,0),0)</f>
        <v>0</v>
      </c>
      <c r="V82" s="34">
        <f>IF(AND(F82&gt;2.06,F82&lt;2.5),VLOOKUP($V$2,'Unit Price'!$B$3:$C$19,2,0),0)</f>
        <v>0</v>
      </c>
      <c r="W82" s="34">
        <f>IF(AND(F82&gt;2.06,F82&lt;2.5),VLOOKUP($W$2,'Unit Price'!$B$3:$C$19,2,0),0)</f>
        <v>0</v>
      </c>
      <c r="X82" s="34">
        <f>IF(F82&gt;2.5,VLOOKUP($X$2,'Unit Price'!$B$3:$C$19,2,0),0)</f>
        <v>1200000</v>
      </c>
      <c r="Y82" s="34">
        <f>IF(F82&gt;2.5,VLOOKUP($Y$2,'Unit Price'!$B$3:$C$19,2,0),0)</f>
        <v>350000</v>
      </c>
      <c r="Z82" s="34">
        <f>IF(F82&lt;2.5,6*VLOOKUP($Z$2,'Unit Price'!$B$3:$C$19,2,0),0)</f>
        <v>0</v>
      </c>
      <c r="AA82" s="34">
        <f>IF(F82&lt;2.5,3*VLOOKUP($AA$2,'Unit Price'!$B$3:$C$19,2,0),0)</f>
        <v>0</v>
      </c>
      <c r="AB82" s="34">
        <f>IF(F82&gt;2.5,6*VLOOKUP($AB$2,'Unit Price'!$B$3:$C$19,2,0),0)</f>
        <v>375000</v>
      </c>
      <c r="AC82" s="34">
        <f>IF(F82&gt;2.5,3*VLOOKUP($AC$2,'Unit Price'!$B$3:$C$19,2,0),0)</f>
        <v>216000</v>
      </c>
      <c r="AD82" s="36"/>
      <c r="AE82" s="46">
        <f t="shared" si="6"/>
        <v>2509000</v>
      </c>
      <c r="AF82" s="66">
        <f t="shared" si="7"/>
        <v>291000</v>
      </c>
    </row>
    <row r="83" spans="1:32">
      <c r="A83" s="17">
        <v>81</v>
      </c>
      <c r="B83" s="5" t="s">
        <v>183</v>
      </c>
      <c r="C83" s="5" t="s">
        <v>184</v>
      </c>
      <c r="D83" s="5" t="s">
        <v>172</v>
      </c>
      <c r="E83" s="5">
        <v>11.790000000000001</v>
      </c>
      <c r="F83" s="18">
        <v>3</v>
      </c>
      <c r="G83" s="5">
        <v>12</v>
      </c>
      <c r="H83" s="50">
        <v>8</v>
      </c>
      <c r="I83" s="58">
        <v>96</v>
      </c>
      <c r="J83" s="5">
        <f t="shared" si="4"/>
        <v>1</v>
      </c>
      <c r="K83" s="36">
        <v>2800000</v>
      </c>
      <c r="L83" s="37">
        <f t="shared" si="5"/>
        <v>2800000</v>
      </c>
      <c r="N83" s="34">
        <f>H83*VLOOKUP($N$2,'Unit Price'!$B$3:$C$19,2,0)</f>
        <v>144000</v>
      </c>
      <c r="O83" s="34">
        <f>1*VLOOKUP($O$2,'Unit Price'!$B$3:$C$19,2,0)</f>
        <v>10000</v>
      </c>
      <c r="P83" s="34">
        <f>1*VLOOKUP($P$2,'Unit Price'!$B$3:$C$19,2,0)</f>
        <v>8000</v>
      </c>
      <c r="Q83" s="34">
        <f>G83*2*VLOOKUP($Q$2,'Unit Price'!$B$3:$C$19,2,0)</f>
        <v>36000</v>
      </c>
      <c r="R83" s="34">
        <f>H83*3*VLOOKUP($R$2,'Unit Price'!$B$3:$C$19,2,0)</f>
        <v>60000</v>
      </c>
      <c r="S83" s="34">
        <f>IF(F83&lt;=2.2,3*VLOOKUP($S$2,'Unit Price'!$B$3:$C$19,2,0),5*VLOOKUP($S$2,'Unit Price'!$B$3:$C$19,2,0))</f>
        <v>50000</v>
      </c>
      <c r="T83" s="34">
        <f>IF(F83&lt;=2.06,VLOOKUP($T$2,'Unit Price'!$B$3:$C$19,2,0),0)</f>
        <v>0</v>
      </c>
      <c r="U83" s="34">
        <f>IF(F83&lt;=2.06,VLOOKUP($U$2,'Unit Price'!$B$3:$C$19,2,0),0)</f>
        <v>0</v>
      </c>
      <c r="V83" s="34">
        <f>IF(AND(F83&gt;2.06,F83&lt;2.5),VLOOKUP($V$2,'Unit Price'!$B$3:$C$19,2,0),0)</f>
        <v>0</v>
      </c>
      <c r="W83" s="34">
        <f>IF(AND(F83&gt;2.06,F83&lt;2.5),VLOOKUP($W$2,'Unit Price'!$B$3:$C$19,2,0),0)</f>
        <v>0</v>
      </c>
      <c r="X83" s="34">
        <f>IF(F83&gt;2.5,VLOOKUP($X$2,'Unit Price'!$B$3:$C$19,2,0),0)</f>
        <v>1200000</v>
      </c>
      <c r="Y83" s="34">
        <f>IF(F83&gt;2.5,VLOOKUP($Y$2,'Unit Price'!$B$3:$C$19,2,0),0)</f>
        <v>350000</v>
      </c>
      <c r="Z83" s="34">
        <f>IF(F83&lt;2.5,6*VLOOKUP($Z$2,'Unit Price'!$B$3:$C$19,2,0),0)</f>
        <v>0</v>
      </c>
      <c r="AA83" s="34">
        <f>IF(F83&lt;2.5,3*VLOOKUP($AA$2,'Unit Price'!$B$3:$C$19,2,0),0)</f>
        <v>0</v>
      </c>
      <c r="AB83" s="34">
        <f>IF(F83&gt;2.5,6*VLOOKUP($AB$2,'Unit Price'!$B$3:$C$19,2,0),0)</f>
        <v>375000</v>
      </c>
      <c r="AC83" s="34">
        <f>IF(F83&gt;2.5,3*VLOOKUP($AC$2,'Unit Price'!$B$3:$C$19,2,0),0)</f>
        <v>216000</v>
      </c>
      <c r="AD83" s="36"/>
      <c r="AE83" s="46">
        <f t="shared" si="6"/>
        <v>2449000</v>
      </c>
      <c r="AF83" s="66">
        <f t="shared" si="7"/>
        <v>351000</v>
      </c>
    </row>
    <row r="84" spans="1:32">
      <c r="A84" s="17">
        <v>82</v>
      </c>
      <c r="B84" s="5" t="s">
        <v>185</v>
      </c>
      <c r="C84" s="5" t="s">
        <v>186</v>
      </c>
      <c r="D84" s="5" t="s">
        <v>172</v>
      </c>
      <c r="E84" s="5">
        <v>12.933</v>
      </c>
      <c r="F84" s="18">
        <v>3</v>
      </c>
      <c r="G84" s="5">
        <v>12</v>
      </c>
      <c r="H84" s="50">
        <v>8</v>
      </c>
      <c r="I84" s="58">
        <v>96</v>
      </c>
      <c r="J84" s="5">
        <f t="shared" si="4"/>
        <v>1</v>
      </c>
      <c r="K84" s="36">
        <v>2800000</v>
      </c>
      <c r="L84" s="37">
        <f t="shared" si="5"/>
        <v>2800000</v>
      </c>
      <c r="N84" s="34">
        <f>H84*VLOOKUP($N$2,'Unit Price'!$B$3:$C$19,2,0)</f>
        <v>144000</v>
      </c>
      <c r="O84" s="34">
        <f>1*VLOOKUP($O$2,'Unit Price'!$B$3:$C$19,2,0)</f>
        <v>10000</v>
      </c>
      <c r="P84" s="34">
        <f>1*VLOOKUP($P$2,'Unit Price'!$B$3:$C$19,2,0)</f>
        <v>8000</v>
      </c>
      <c r="Q84" s="34">
        <f>G84*2*VLOOKUP($Q$2,'Unit Price'!$B$3:$C$19,2,0)</f>
        <v>36000</v>
      </c>
      <c r="R84" s="34">
        <f>H84*3*VLOOKUP($R$2,'Unit Price'!$B$3:$C$19,2,0)</f>
        <v>60000</v>
      </c>
      <c r="S84" s="34">
        <f>IF(F84&lt;=2.2,3*VLOOKUP($S$2,'Unit Price'!$B$3:$C$19,2,0),5*VLOOKUP($S$2,'Unit Price'!$B$3:$C$19,2,0))</f>
        <v>50000</v>
      </c>
      <c r="T84" s="34">
        <f>IF(F84&lt;=2.06,VLOOKUP($T$2,'Unit Price'!$B$3:$C$19,2,0),0)</f>
        <v>0</v>
      </c>
      <c r="U84" s="34">
        <f>IF(F84&lt;=2.06,VLOOKUP($U$2,'Unit Price'!$B$3:$C$19,2,0),0)</f>
        <v>0</v>
      </c>
      <c r="V84" s="34">
        <f>IF(AND(F84&gt;2.06,F84&lt;2.5),VLOOKUP($V$2,'Unit Price'!$B$3:$C$19,2,0),0)</f>
        <v>0</v>
      </c>
      <c r="W84" s="34">
        <f>IF(AND(F84&gt;2.06,F84&lt;2.5),VLOOKUP($W$2,'Unit Price'!$B$3:$C$19,2,0),0)</f>
        <v>0</v>
      </c>
      <c r="X84" s="34">
        <f>IF(F84&gt;2.5,VLOOKUP($X$2,'Unit Price'!$B$3:$C$19,2,0),0)</f>
        <v>1200000</v>
      </c>
      <c r="Y84" s="34">
        <f>IF(F84&gt;2.5,VLOOKUP($Y$2,'Unit Price'!$B$3:$C$19,2,0),0)</f>
        <v>350000</v>
      </c>
      <c r="Z84" s="34">
        <f>IF(F84&lt;2.5,6*VLOOKUP($Z$2,'Unit Price'!$B$3:$C$19,2,0),0)</f>
        <v>0</v>
      </c>
      <c r="AA84" s="34">
        <f>IF(F84&lt;2.5,3*VLOOKUP($AA$2,'Unit Price'!$B$3:$C$19,2,0),0)</f>
        <v>0</v>
      </c>
      <c r="AB84" s="34">
        <f>IF(F84&gt;2.5,6*VLOOKUP($AB$2,'Unit Price'!$B$3:$C$19,2,0),0)</f>
        <v>375000</v>
      </c>
      <c r="AC84" s="34">
        <f>IF(F84&gt;2.5,3*VLOOKUP($AC$2,'Unit Price'!$B$3:$C$19,2,0),0)</f>
        <v>216000</v>
      </c>
      <c r="AD84" s="36"/>
      <c r="AE84" s="46">
        <f t="shared" si="6"/>
        <v>2449000</v>
      </c>
      <c r="AF84" s="66">
        <f t="shared" si="7"/>
        <v>351000</v>
      </c>
    </row>
    <row r="85" spans="1:32">
      <c r="A85" s="17">
        <v>83</v>
      </c>
      <c r="B85" s="5" t="s">
        <v>187</v>
      </c>
      <c r="C85" s="5" t="s">
        <v>188</v>
      </c>
      <c r="D85" s="5" t="s">
        <v>172</v>
      </c>
      <c r="E85" s="5">
        <v>6.4480000000000004</v>
      </c>
      <c r="F85" s="18">
        <v>2</v>
      </c>
      <c r="G85" s="5">
        <v>11</v>
      </c>
      <c r="H85" s="50">
        <v>7</v>
      </c>
      <c r="I85" s="58">
        <v>77</v>
      </c>
      <c r="J85" s="5">
        <f t="shared" si="4"/>
        <v>0.65</v>
      </c>
      <c r="K85" s="36">
        <v>2800000</v>
      </c>
      <c r="L85" s="37">
        <f t="shared" si="5"/>
        <v>1820000</v>
      </c>
      <c r="N85" s="34">
        <f>H85*VLOOKUP($N$2,'Unit Price'!$B$3:$C$19,2,0)</f>
        <v>126000</v>
      </c>
      <c r="O85" s="34">
        <f>1*VLOOKUP($O$2,'Unit Price'!$B$3:$C$19,2,0)</f>
        <v>10000</v>
      </c>
      <c r="P85" s="34">
        <f>1*VLOOKUP($P$2,'Unit Price'!$B$3:$C$19,2,0)</f>
        <v>8000</v>
      </c>
      <c r="Q85" s="34">
        <f>G85*2*VLOOKUP($Q$2,'Unit Price'!$B$3:$C$19,2,0)</f>
        <v>33000</v>
      </c>
      <c r="R85" s="34">
        <f>H85*3*VLOOKUP($R$2,'Unit Price'!$B$3:$C$19,2,0)</f>
        <v>52500</v>
      </c>
      <c r="S85" s="34">
        <f>IF(F85&lt;=2.2,3*VLOOKUP($S$2,'Unit Price'!$B$3:$C$19,2,0),5*VLOOKUP($S$2,'Unit Price'!$B$3:$C$19,2,0))</f>
        <v>30000</v>
      </c>
      <c r="T85" s="34">
        <f>IF(F85&lt;=2.06,VLOOKUP($T$2,'Unit Price'!$B$3:$C$19,2,0),0)</f>
        <v>795000</v>
      </c>
      <c r="U85" s="34">
        <f>IF(F85&lt;=2.06,VLOOKUP($U$2,'Unit Price'!$B$3:$C$19,2,0),0)</f>
        <v>245000</v>
      </c>
      <c r="V85" s="34">
        <f>IF(AND(F85&gt;2.06,F85&lt;2.5),VLOOKUP($V$2,'Unit Price'!$B$3:$C$19,2,0),0)</f>
        <v>0</v>
      </c>
      <c r="W85" s="34">
        <f>IF(AND(F85&gt;2.06,F85&lt;2.5),VLOOKUP($W$2,'Unit Price'!$B$3:$C$19,2,0),0)</f>
        <v>0</v>
      </c>
      <c r="X85" s="34">
        <f>IF(F85&gt;2.5,VLOOKUP($X$2,'Unit Price'!$B$3:$C$19,2,0),0)</f>
        <v>0</v>
      </c>
      <c r="Y85" s="34">
        <f>IF(F85&gt;2.5,VLOOKUP($Y$2,'Unit Price'!$B$3:$C$19,2,0),0)</f>
        <v>0</v>
      </c>
      <c r="Z85" s="34">
        <f>IF(F85&lt;2.5,6*VLOOKUP($Z$2,'Unit Price'!$B$3:$C$19,2,0),0)</f>
        <v>132000</v>
      </c>
      <c r="AA85" s="34">
        <f>IF(F85&lt;2.5,3*VLOOKUP($AA$2,'Unit Price'!$B$3:$C$19,2,0),0)</f>
        <v>165000</v>
      </c>
      <c r="AB85" s="34">
        <f>IF(F85&gt;2.5,6*VLOOKUP($AB$2,'Unit Price'!$B$3:$C$19,2,0),0)</f>
        <v>0</v>
      </c>
      <c r="AC85" s="34">
        <f>IF(F85&gt;2.5,3*VLOOKUP($AC$2,'Unit Price'!$B$3:$C$19,2,0),0)</f>
        <v>0</v>
      </c>
      <c r="AD85" s="36"/>
      <c r="AE85" s="46">
        <f t="shared" si="6"/>
        <v>1596500</v>
      </c>
      <c r="AF85" s="66">
        <f t="shared" si="7"/>
        <v>223500</v>
      </c>
    </row>
    <row r="86" spans="1:32">
      <c r="A86" s="17">
        <v>84</v>
      </c>
      <c r="B86" s="5" t="s">
        <v>189</v>
      </c>
      <c r="C86" s="5" t="s">
        <v>190</v>
      </c>
      <c r="D86" s="5" t="s">
        <v>172</v>
      </c>
      <c r="E86" s="5">
        <v>9.6859999999999999</v>
      </c>
      <c r="F86" s="18">
        <v>2</v>
      </c>
      <c r="G86" s="5">
        <v>9</v>
      </c>
      <c r="H86" s="50">
        <v>6</v>
      </c>
      <c r="I86" s="58">
        <v>54</v>
      </c>
      <c r="J86" s="5">
        <f t="shared" si="4"/>
        <v>0.65</v>
      </c>
      <c r="K86" s="36">
        <v>2800000</v>
      </c>
      <c r="L86" s="37">
        <f t="shared" si="5"/>
        <v>1820000</v>
      </c>
      <c r="N86" s="34">
        <f>H86*VLOOKUP($N$2,'Unit Price'!$B$3:$C$19,2,0)</f>
        <v>108000</v>
      </c>
      <c r="O86" s="34">
        <f>1*VLOOKUP($O$2,'Unit Price'!$B$3:$C$19,2,0)</f>
        <v>10000</v>
      </c>
      <c r="P86" s="34">
        <f>1*VLOOKUP($P$2,'Unit Price'!$B$3:$C$19,2,0)</f>
        <v>8000</v>
      </c>
      <c r="Q86" s="34">
        <f>G86*2*VLOOKUP($Q$2,'Unit Price'!$B$3:$C$19,2,0)</f>
        <v>27000</v>
      </c>
      <c r="R86" s="34">
        <f>H86*3*VLOOKUP($R$2,'Unit Price'!$B$3:$C$19,2,0)</f>
        <v>45000</v>
      </c>
      <c r="S86" s="34">
        <f>IF(F86&lt;=2.2,3*VLOOKUP($S$2,'Unit Price'!$B$3:$C$19,2,0),5*VLOOKUP($S$2,'Unit Price'!$B$3:$C$19,2,0))</f>
        <v>30000</v>
      </c>
      <c r="T86" s="34">
        <f>IF(F86&lt;=2.06,VLOOKUP($T$2,'Unit Price'!$B$3:$C$19,2,0),0)</f>
        <v>795000</v>
      </c>
      <c r="U86" s="34">
        <f>IF(F86&lt;=2.06,VLOOKUP($U$2,'Unit Price'!$B$3:$C$19,2,0),0)</f>
        <v>245000</v>
      </c>
      <c r="V86" s="34">
        <f>IF(AND(F86&gt;2.06,F86&lt;2.5),VLOOKUP($V$2,'Unit Price'!$B$3:$C$19,2,0),0)</f>
        <v>0</v>
      </c>
      <c r="W86" s="34">
        <f>IF(AND(F86&gt;2.06,F86&lt;2.5),VLOOKUP($W$2,'Unit Price'!$B$3:$C$19,2,0),0)</f>
        <v>0</v>
      </c>
      <c r="X86" s="34">
        <f>IF(F86&gt;2.5,VLOOKUP($X$2,'Unit Price'!$B$3:$C$19,2,0),0)</f>
        <v>0</v>
      </c>
      <c r="Y86" s="34">
        <f>IF(F86&gt;2.5,VLOOKUP($Y$2,'Unit Price'!$B$3:$C$19,2,0),0)</f>
        <v>0</v>
      </c>
      <c r="Z86" s="34">
        <f>IF(F86&lt;2.5,6*VLOOKUP($Z$2,'Unit Price'!$B$3:$C$19,2,0),0)</f>
        <v>132000</v>
      </c>
      <c r="AA86" s="34">
        <f>IF(F86&lt;2.5,3*VLOOKUP($AA$2,'Unit Price'!$B$3:$C$19,2,0),0)</f>
        <v>165000</v>
      </c>
      <c r="AB86" s="34">
        <f>IF(F86&gt;2.5,6*VLOOKUP($AB$2,'Unit Price'!$B$3:$C$19,2,0),0)</f>
        <v>0</v>
      </c>
      <c r="AC86" s="34">
        <f>IF(F86&gt;2.5,3*VLOOKUP($AC$2,'Unit Price'!$B$3:$C$19,2,0),0)</f>
        <v>0</v>
      </c>
      <c r="AD86" s="36"/>
      <c r="AE86" s="46">
        <f t="shared" si="6"/>
        <v>1565000</v>
      </c>
      <c r="AF86" s="66">
        <f t="shared" si="7"/>
        <v>255000</v>
      </c>
    </row>
    <row r="87" spans="1:32">
      <c r="A87" s="17">
        <v>85</v>
      </c>
      <c r="B87" s="5" t="s">
        <v>191</v>
      </c>
      <c r="C87" s="5" t="s">
        <v>192</v>
      </c>
      <c r="D87" s="5" t="s">
        <v>172</v>
      </c>
      <c r="E87" s="5">
        <v>4.032</v>
      </c>
      <c r="F87" s="18">
        <v>3</v>
      </c>
      <c r="G87" s="5">
        <v>19</v>
      </c>
      <c r="H87" s="50">
        <v>14</v>
      </c>
      <c r="I87" s="58">
        <v>266</v>
      </c>
      <c r="J87" s="5">
        <f t="shared" si="4"/>
        <v>1</v>
      </c>
      <c r="K87" s="36">
        <v>2800000</v>
      </c>
      <c r="L87" s="37">
        <f t="shared" si="5"/>
        <v>2800000</v>
      </c>
      <c r="N87" s="34">
        <f>H87*VLOOKUP($N$2,'Unit Price'!$B$3:$C$19,2,0)</f>
        <v>252000</v>
      </c>
      <c r="O87" s="34">
        <f>1*VLOOKUP($O$2,'Unit Price'!$B$3:$C$19,2,0)</f>
        <v>10000</v>
      </c>
      <c r="P87" s="34">
        <f>1*VLOOKUP($P$2,'Unit Price'!$B$3:$C$19,2,0)</f>
        <v>8000</v>
      </c>
      <c r="Q87" s="34">
        <f>G87*2*VLOOKUP($Q$2,'Unit Price'!$B$3:$C$19,2,0)</f>
        <v>57000</v>
      </c>
      <c r="R87" s="34">
        <f>H87*3*VLOOKUP($R$2,'Unit Price'!$B$3:$C$19,2,0)</f>
        <v>105000</v>
      </c>
      <c r="S87" s="34">
        <f>IF(F87&lt;=2.2,3*VLOOKUP($S$2,'Unit Price'!$B$3:$C$19,2,0),5*VLOOKUP($S$2,'Unit Price'!$B$3:$C$19,2,0))</f>
        <v>50000</v>
      </c>
      <c r="T87" s="34">
        <f>IF(F87&lt;=2.06,VLOOKUP($T$2,'Unit Price'!$B$3:$C$19,2,0),0)</f>
        <v>0</v>
      </c>
      <c r="U87" s="34">
        <f>IF(F87&lt;=2.06,VLOOKUP($U$2,'Unit Price'!$B$3:$C$19,2,0),0)</f>
        <v>0</v>
      </c>
      <c r="V87" s="34">
        <f>IF(AND(F87&gt;2.06,F87&lt;2.5),VLOOKUP($V$2,'Unit Price'!$B$3:$C$19,2,0),0)</f>
        <v>0</v>
      </c>
      <c r="W87" s="34">
        <f>IF(AND(F87&gt;2.06,F87&lt;2.5),VLOOKUP($W$2,'Unit Price'!$B$3:$C$19,2,0),0)</f>
        <v>0</v>
      </c>
      <c r="X87" s="34">
        <f>IF(F87&gt;2.5,VLOOKUP($X$2,'Unit Price'!$B$3:$C$19,2,0),0)</f>
        <v>1200000</v>
      </c>
      <c r="Y87" s="34">
        <f>IF(F87&gt;2.5,VLOOKUP($Y$2,'Unit Price'!$B$3:$C$19,2,0),0)</f>
        <v>350000</v>
      </c>
      <c r="Z87" s="34">
        <f>IF(F87&lt;2.5,6*VLOOKUP($Z$2,'Unit Price'!$B$3:$C$19,2,0),0)</f>
        <v>0</v>
      </c>
      <c r="AA87" s="34">
        <f>IF(F87&lt;2.5,3*VLOOKUP($AA$2,'Unit Price'!$B$3:$C$19,2,0),0)</f>
        <v>0</v>
      </c>
      <c r="AB87" s="34">
        <f>IF(F87&gt;2.5,6*VLOOKUP($AB$2,'Unit Price'!$B$3:$C$19,2,0),0)</f>
        <v>375000</v>
      </c>
      <c r="AC87" s="34">
        <f>IF(F87&gt;2.5,3*VLOOKUP($AC$2,'Unit Price'!$B$3:$C$19,2,0),0)</f>
        <v>216000</v>
      </c>
      <c r="AD87" s="36"/>
      <c r="AE87" s="46">
        <f t="shared" si="6"/>
        <v>2623000</v>
      </c>
      <c r="AF87" s="66">
        <f t="shared" si="7"/>
        <v>177000</v>
      </c>
    </row>
    <row r="88" spans="1:32">
      <c r="A88" s="17">
        <v>86</v>
      </c>
      <c r="B88" s="5" t="s">
        <v>193</v>
      </c>
      <c r="C88" s="5" t="s">
        <v>194</v>
      </c>
      <c r="D88" s="5" t="s">
        <v>172</v>
      </c>
      <c r="E88" s="5">
        <v>5.6550000000000002</v>
      </c>
      <c r="F88" s="18">
        <v>3</v>
      </c>
      <c r="G88" s="5">
        <v>16</v>
      </c>
      <c r="H88" s="50">
        <v>12</v>
      </c>
      <c r="I88" s="58">
        <v>192</v>
      </c>
      <c r="J88" s="5">
        <f t="shared" si="4"/>
        <v>1</v>
      </c>
      <c r="K88" s="36">
        <v>2800000</v>
      </c>
      <c r="L88" s="37">
        <f t="shared" si="5"/>
        <v>2800000</v>
      </c>
      <c r="N88" s="34">
        <f>H88*VLOOKUP($N$2,'Unit Price'!$B$3:$C$19,2,0)</f>
        <v>216000</v>
      </c>
      <c r="O88" s="34">
        <f>1*VLOOKUP($O$2,'Unit Price'!$B$3:$C$19,2,0)</f>
        <v>10000</v>
      </c>
      <c r="P88" s="34">
        <f>1*VLOOKUP($P$2,'Unit Price'!$B$3:$C$19,2,0)</f>
        <v>8000</v>
      </c>
      <c r="Q88" s="34">
        <f>G88*2*VLOOKUP($Q$2,'Unit Price'!$B$3:$C$19,2,0)</f>
        <v>48000</v>
      </c>
      <c r="R88" s="34">
        <f>H88*3*VLOOKUP($R$2,'Unit Price'!$B$3:$C$19,2,0)</f>
        <v>90000</v>
      </c>
      <c r="S88" s="34">
        <f>IF(F88&lt;=2.2,3*VLOOKUP($S$2,'Unit Price'!$B$3:$C$19,2,0),5*VLOOKUP($S$2,'Unit Price'!$B$3:$C$19,2,0))</f>
        <v>50000</v>
      </c>
      <c r="T88" s="34">
        <f>IF(F88&lt;=2.06,VLOOKUP($T$2,'Unit Price'!$B$3:$C$19,2,0),0)</f>
        <v>0</v>
      </c>
      <c r="U88" s="34">
        <f>IF(F88&lt;=2.06,VLOOKUP($U$2,'Unit Price'!$B$3:$C$19,2,0),0)</f>
        <v>0</v>
      </c>
      <c r="V88" s="34">
        <f>IF(AND(F88&gt;2.06,F88&lt;2.5),VLOOKUP($V$2,'Unit Price'!$B$3:$C$19,2,0),0)</f>
        <v>0</v>
      </c>
      <c r="W88" s="34">
        <f>IF(AND(F88&gt;2.06,F88&lt;2.5),VLOOKUP($W$2,'Unit Price'!$B$3:$C$19,2,0),0)</f>
        <v>0</v>
      </c>
      <c r="X88" s="34">
        <f>IF(F88&gt;2.5,VLOOKUP($X$2,'Unit Price'!$B$3:$C$19,2,0),0)</f>
        <v>1200000</v>
      </c>
      <c r="Y88" s="34">
        <f>IF(F88&gt;2.5,VLOOKUP($Y$2,'Unit Price'!$B$3:$C$19,2,0),0)</f>
        <v>350000</v>
      </c>
      <c r="Z88" s="34">
        <f>IF(F88&lt;2.5,6*VLOOKUP($Z$2,'Unit Price'!$B$3:$C$19,2,0),0)</f>
        <v>0</v>
      </c>
      <c r="AA88" s="34">
        <f>IF(F88&lt;2.5,3*VLOOKUP($AA$2,'Unit Price'!$B$3:$C$19,2,0),0)</f>
        <v>0</v>
      </c>
      <c r="AB88" s="34">
        <f>IF(F88&gt;2.5,6*VLOOKUP($AB$2,'Unit Price'!$B$3:$C$19,2,0),0)</f>
        <v>375000</v>
      </c>
      <c r="AC88" s="34">
        <f>IF(F88&gt;2.5,3*VLOOKUP($AC$2,'Unit Price'!$B$3:$C$19,2,0),0)</f>
        <v>216000</v>
      </c>
      <c r="AD88" s="36"/>
      <c r="AE88" s="46">
        <f t="shared" si="6"/>
        <v>2563000</v>
      </c>
      <c r="AF88" s="66">
        <f t="shared" si="7"/>
        <v>237000</v>
      </c>
    </row>
    <row r="89" spans="1:32">
      <c r="A89" s="17">
        <v>87</v>
      </c>
      <c r="B89" s="5" t="s">
        <v>195</v>
      </c>
      <c r="C89" s="5" t="s">
        <v>196</v>
      </c>
      <c r="D89" s="5" t="s">
        <v>172</v>
      </c>
      <c r="E89" s="5">
        <v>8.4719999999999995</v>
      </c>
      <c r="F89" s="18">
        <v>3</v>
      </c>
      <c r="G89" s="5">
        <v>13</v>
      </c>
      <c r="H89" s="50">
        <v>10</v>
      </c>
      <c r="I89" s="58">
        <v>130</v>
      </c>
      <c r="J89" s="5">
        <f t="shared" si="4"/>
        <v>1</v>
      </c>
      <c r="K89" s="36">
        <v>2800000</v>
      </c>
      <c r="L89" s="37">
        <f t="shared" si="5"/>
        <v>2800000</v>
      </c>
      <c r="N89" s="34">
        <f>H89*VLOOKUP($N$2,'Unit Price'!$B$3:$C$19,2,0)</f>
        <v>180000</v>
      </c>
      <c r="O89" s="34">
        <f>1*VLOOKUP($O$2,'Unit Price'!$B$3:$C$19,2,0)</f>
        <v>10000</v>
      </c>
      <c r="P89" s="34">
        <f>1*VLOOKUP($P$2,'Unit Price'!$B$3:$C$19,2,0)</f>
        <v>8000</v>
      </c>
      <c r="Q89" s="34">
        <f>G89*2*VLOOKUP($Q$2,'Unit Price'!$B$3:$C$19,2,0)</f>
        <v>39000</v>
      </c>
      <c r="R89" s="34">
        <f>H89*3*VLOOKUP($R$2,'Unit Price'!$B$3:$C$19,2,0)</f>
        <v>75000</v>
      </c>
      <c r="S89" s="34">
        <f>IF(F89&lt;=2.2,3*VLOOKUP($S$2,'Unit Price'!$B$3:$C$19,2,0),5*VLOOKUP($S$2,'Unit Price'!$B$3:$C$19,2,0))</f>
        <v>50000</v>
      </c>
      <c r="T89" s="34">
        <f>IF(F89&lt;=2.06,VLOOKUP($T$2,'Unit Price'!$B$3:$C$19,2,0),0)</f>
        <v>0</v>
      </c>
      <c r="U89" s="34">
        <f>IF(F89&lt;=2.06,VLOOKUP($U$2,'Unit Price'!$B$3:$C$19,2,0),0)</f>
        <v>0</v>
      </c>
      <c r="V89" s="34">
        <f>IF(AND(F89&gt;2.06,F89&lt;2.5),VLOOKUP($V$2,'Unit Price'!$B$3:$C$19,2,0),0)</f>
        <v>0</v>
      </c>
      <c r="W89" s="34">
        <f>IF(AND(F89&gt;2.06,F89&lt;2.5),VLOOKUP($W$2,'Unit Price'!$B$3:$C$19,2,0),0)</f>
        <v>0</v>
      </c>
      <c r="X89" s="34">
        <f>IF(F89&gt;2.5,VLOOKUP($X$2,'Unit Price'!$B$3:$C$19,2,0),0)</f>
        <v>1200000</v>
      </c>
      <c r="Y89" s="34">
        <f>IF(F89&gt;2.5,VLOOKUP($Y$2,'Unit Price'!$B$3:$C$19,2,0),0)</f>
        <v>350000</v>
      </c>
      <c r="Z89" s="34">
        <f>IF(F89&lt;2.5,6*VLOOKUP($Z$2,'Unit Price'!$B$3:$C$19,2,0),0)</f>
        <v>0</v>
      </c>
      <c r="AA89" s="34">
        <f>IF(F89&lt;2.5,3*VLOOKUP($AA$2,'Unit Price'!$B$3:$C$19,2,0),0)</f>
        <v>0</v>
      </c>
      <c r="AB89" s="34">
        <f>IF(F89&gt;2.5,6*VLOOKUP($AB$2,'Unit Price'!$B$3:$C$19,2,0),0)</f>
        <v>375000</v>
      </c>
      <c r="AC89" s="34">
        <f>IF(F89&gt;2.5,3*VLOOKUP($AC$2,'Unit Price'!$B$3:$C$19,2,0),0)</f>
        <v>216000</v>
      </c>
      <c r="AD89" s="36"/>
      <c r="AE89" s="46">
        <f t="shared" si="6"/>
        <v>2503000</v>
      </c>
      <c r="AF89" s="66">
        <f t="shared" si="7"/>
        <v>297000</v>
      </c>
    </row>
    <row r="90" spans="1:32">
      <c r="A90" s="17">
        <v>88</v>
      </c>
      <c r="B90" s="5" t="s">
        <v>197</v>
      </c>
      <c r="C90" s="5" t="s">
        <v>198</v>
      </c>
      <c r="D90" s="5" t="s">
        <v>172</v>
      </c>
      <c r="E90" s="5">
        <v>12.939</v>
      </c>
      <c r="F90" s="18">
        <v>3</v>
      </c>
      <c r="G90" s="5">
        <v>11</v>
      </c>
      <c r="H90" s="50">
        <v>8</v>
      </c>
      <c r="I90" s="58">
        <v>88</v>
      </c>
      <c r="J90" s="5">
        <f t="shared" si="4"/>
        <v>1</v>
      </c>
      <c r="K90" s="36">
        <v>2800000</v>
      </c>
      <c r="L90" s="37">
        <f t="shared" si="5"/>
        <v>2800000</v>
      </c>
      <c r="N90" s="34">
        <f>H90*VLOOKUP($N$2,'Unit Price'!$B$3:$C$19,2,0)</f>
        <v>144000</v>
      </c>
      <c r="O90" s="34">
        <f>1*VLOOKUP($O$2,'Unit Price'!$B$3:$C$19,2,0)</f>
        <v>10000</v>
      </c>
      <c r="P90" s="34">
        <f>1*VLOOKUP($P$2,'Unit Price'!$B$3:$C$19,2,0)</f>
        <v>8000</v>
      </c>
      <c r="Q90" s="34">
        <f>G90*2*VLOOKUP($Q$2,'Unit Price'!$B$3:$C$19,2,0)</f>
        <v>33000</v>
      </c>
      <c r="R90" s="34">
        <f>H90*3*VLOOKUP($R$2,'Unit Price'!$B$3:$C$19,2,0)</f>
        <v>60000</v>
      </c>
      <c r="S90" s="34">
        <f>IF(F90&lt;=2.2,3*VLOOKUP($S$2,'Unit Price'!$B$3:$C$19,2,0),5*VLOOKUP($S$2,'Unit Price'!$B$3:$C$19,2,0))</f>
        <v>50000</v>
      </c>
      <c r="T90" s="34">
        <f>IF(F90&lt;=2.06,VLOOKUP($T$2,'Unit Price'!$B$3:$C$19,2,0),0)</f>
        <v>0</v>
      </c>
      <c r="U90" s="34">
        <f>IF(F90&lt;=2.06,VLOOKUP($U$2,'Unit Price'!$B$3:$C$19,2,0),0)</f>
        <v>0</v>
      </c>
      <c r="V90" s="34">
        <f>IF(AND(F90&gt;2.06,F90&lt;2.5),VLOOKUP($V$2,'Unit Price'!$B$3:$C$19,2,0),0)</f>
        <v>0</v>
      </c>
      <c r="W90" s="34">
        <f>IF(AND(F90&gt;2.06,F90&lt;2.5),VLOOKUP($W$2,'Unit Price'!$B$3:$C$19,2,0),0)</f>
        <v>0</v>
      </c>
      <c r="X90" s="34">
        <f>IF(F90&gt;2.5,VLOOKUP($X$2,'Unit Price'!$B$3:$C$19,2,0),0)</f>
        <v>1200000</v>
      </c>
      <c r="Y90" s="34">
        <f>IF(F90&gt;2.5,VLOOKUP($Y$2,'Unit Price'!$B$3:$C$19,2,0),0)</f>
        <v>350000</v>
      </c>
      <c r="Z90" s="34">
        <f>IF(F90&lt;2.5,6*VLOOKUP($Z$2,'Unit Price'!$B$3:$C$19,2,0),0)</f>
        <v>0</v>
      </c>
      <c r="AA90" s="34">
        <f>IF(F90&lt;2.5,3*VLOOKUP($AA$2,'Unit Price'!$B$3:$C$19,2,0),0)</f>
        <v>0</v>
      </c>
      <c r="AB90" s="34">
        <f>IF(F90&gt;2.5,6*VLOOKUP($AB$2,'Unit Price'!$B$3:$C$19,2,0),0)</f>
        <v>375000</v>
      </c>
      <c r="AC90" s="34">
        <f>IF(F90&gt;2.5,3*VLOOKUP($AC$2,'Unit Price'!$B$3:$C$19,2,0),0)</f>
        <v>216000</v>
      </c>
      <c r="AD90" s="36"/>
      <c r="AE90" s="46">
        <f t="shared" si="6"/>
        <v>2446000</v>
      </c>
      <c r="AF90" s="66">
        <f t="shared" si="7"/>
        <v>354000</v>
      </c>
    </row>
    <row r="91" spans="1:32">
      <c r="A91" s="17">
        <v>89</v>
      </c>
      <c r="B91" s="5" t="s">
        <v>199</v>
      </c>
      <c r="C91" s="5" t="s">
        <v>200</v>
      </c>
      <c r="D91" s="5" t="s">
        <v>172</v>
      </c>
      <c r="E91" s="5">
        <v>19.431000000000001</v>
      </c>
      <c r="F91" s="18">
        <v>3</v>
      </c>
      <c r="G91" s="5">
        <v>9</v>
      </c>
      <c r="H91" s="50">
        <v>6</v>
      </c>
      <c r="I91" s="58">
        <v>54</v>
      </c>
      <c r="J91" s="5">
        <f t="shared" si="4"/>
        <v>1</v>
      </c>
      <c r="K91" s="36">
        <v>2800000</v>
      </c>
      <c r="L91" s="37">
        <f t="shared" si="5"/>
        <v>2800000</v>
      </c>
      <c r="N91" s="34">
        <f>H91*VLOOKUP($N$2,'Unit Price'!$B$3:$C$19,2,0)</f>
        <v>108000</v>
      </c>
      <c r="O91" s="34">
        <f>1*VLOOKUP($O$2,'Unit Price'!$B$3:$C$19,2,0)</f>
        <v>10000</v>
      </c>
      <c r="P91" s="34">
        <f>1*VLOOKUP($P$2,'Unit Price'!$B$3:$C$19,2,0)</f>
        <v>8000</v>
      </c>
      <c r="Q91" s="34">
        <f>G91*2*VLOOKUP($Q$2,'Unit Price'!$B$3:$C$19,2,0)</f>
        <v>27000</v>
      </c>
      <c r="R91" s="34">
        <f>H91*3*VLOOKUP($R$2,'Unit Price'!$B$3:$C$19,2,0)</f>
        <v>45000</v>
      </c>
      <c r="S91" s="34">
        <f>IF(F91&lt;=2.2,3*VLOOKUP($S$2,'Unit Price'!$B$3:$C$19,2,0),5*VLOOKUP($S$2,'Unit Price'!$B$3:$C$19,2,0))</f>
        <v>50000</v>
      </c>
      <c r="T91" s="34">
        <f>IF(F91&lt;=2.06,VLOOKUP($T$2,'Unit Price'!$B$3:$C$19,2,0),0)</f>
        <v>0</v>
      </c>
      <c r="U91" s="34">
        <f>IF(F91&lt;=2.06,VLOOKUP($U$2,'Unit Price'!$B$3:$C$19,2,0),0)</f>
        <v>0</v>
      </c>
      <c r="V91" s="34">
        <f>IF(AND(F91&gt;2.06,F91&lt;2.5),VLOOKUP($V$2,'Unit Price'!$B$3:$C$19,2,0),0)</f>
        <v>0</v>
      </c>
      <c r="W91" s="34">
        <f>IF(AND(F91&gt;2.06,F91&lt;2.5),VLOOKUP($W$2,'Unit Price'!$B$3:$C$19,2,0),0)</f>
        <v>0</v>
      </c>
      <c r="X91" s="34">
        <f>IF(F91&gt;2.5,VLOOKUP($X$2,'Unit Price'!$B$3:$C$19,2,0),0)</f>
        <v>1200000</v>
      </c>
      <c r="Y91" s="34">
        <f>IF(F91&gt;2.5,VLOOKUP($Y$2,'Unit Price'!$B$3:$C$19,2,0),0)</f>
        <v>350000</v>
      </c>
      <c r="Z91" s="34">
        <f>IF(F91&lt;2.5,6*VLOOKUP($Z$2,'Unit Price'!$B$3:$C$19,2,0),0)</f>
        <v>0</v>
      </c>
      <c r="AA91" s="34">
        <f>IF(F91&lt;2.5,3*VLOOKUP($AA$2,'Unit Price'!$B$3:$C$19,2,0),0)</f>
        <v>0</v>
      </c>
      <c r="AB91" s="34">
        <f>IF(F91&gt;2.5,6*VLOOKUP($AB$2,'Unit Price'!$B$3:$C$19,2,0),0)</f>
        <v>375000</v>
      </c>
      <c r="AC91" s="34">
        <f>IF(F91&gt;2.5,3*VLOOKUP($AC$2,'Unit Price'!$B$3:$C$19,2,0),0)</f>
        <v>216000</v>
      </c>
      <c r="AD91" s="36"/>
      <c r="AE91" s="46">
        <f t="shared" si="6"/>
        <v>2389000</v>
      </c>
      <c r="AF91" s="66">
        <f t="shared" si="7"/>
        <v>411000</v>
      </c>
    </row>
    <row r="92" spans="1:32">
      <c r="A92" s="17">
        <v>90</v>
      </c>
      <c r="B92" s="5" t="s">
        <v>201</v>
      </c>
      <c r="C92" s="5" t="s">
        <v>202</v>
      </c>
      <c r="D92" s="5" t="s">
        <v>172</v>
      </c>
      <c r="E92" s="5">
        <v>31.164000000000001</v>
      </c>
      <c r="F92" s="18">
        <v>3</v>
      </c>
      <c r="G92" s="5">
        <v>7</v>
      </c>
      <c r="H92" s="50">
        <v>5</v>
      </c>
      <c r="I92" s="58">
        <v>35</v>
      </c>
      <c r="J92" s="5">
        <f t="shared" si="4"/>
        <v>1</v>
      </c>
      <c r="K92" s="36">
        <v>2800000</v>
      </c>
      <c r="L92" s="37">
        <f t="shared" si="5"/>
        <v>2800000</v>
      </c>
      <c r="N92" s="34">
        <f>H92*VLOOKUP($N$2,'Unit Price'!$B$3:$C$19,2,0)</f>
        <v>90000</v>
      </c>
      <c r="O92" s="34">
        <f>1*VLOOKUP($O$2,'Unit Price'!$B$3:$C$19,2,0)</f>
        <v>10000</v>
      </c>
      <c r="P92" s="34">
        <f>1*VLOOKUP($P$2,'Unit Price'!$B$3:$C$19,2,0)</f>
        <v>8000</v>
      </c>
      <c r="Q92" s="34">
        <f>G92*2*VLOOKUP($Q$2,'Unit Price'!$B$3:$C$19,2,0)</f>
        <v>21000</v>
      </c>
      <c r="R92" s="34">
        <f>H92*3*VLOOKUP($R$2,'Unit Price'!$B$3:$C$19,2,0)</f>
        <v>37500</v>
      </c>
      <c r="S92" s="34">
        <f>IF(F92&lt;=2.2,3*VLOOKUP($S$2,'Unit Price'!$B$3:$C$19,2,0),5*VLOOKUP($S$2,'Unit Price'!$B$3:$C$19,2,0))</f>
        <v>50000</v>
      </c>
      <c r="T92" s="34">
        <f>IF(F92&lt;=2.06,VLOOKUP($T$2,'Unit Price'!$B$3:$C$19,2,0),0)</f>
        <v>0</v>
      </c>
      <c r="U92" s="34">
        <f>IF(F92&lt;=2.06,VLOOKUP($U$2,'Unit Price'!$B$3:$C$19,2,0),0)</f>
        <v>0</v>
      </c>
      <c r="V92" s="34">
        <f>IF(AND(F92&gt;2.06,F92&lt;2.5),VLOOKUP($V$2,'Unit Price'!$B$3:$C$19,2,0),0)</f>
        <v>0</v>
      </c>
      <c r="W92" s="34">
        <f>IF(AND(F92&gt;2.06,F92&lt;2.5),VLOOKUP($W$2,'Unit Price'!$B$3:$C$19,2,0),0)</f>
        <v>0</v>
      </c>
      <c r="X92" s="34">
        <f>IF(F92&gt;2.5,VLOOKUP($X$2,'Unit Price'!$B$3:$C$19,2,0),0)</f>
        <v>1200000</v>
      </c>
      <c r="Y92" s="34">
        <f>IF(F92&gt;2.5,VLOOKUP($Y$2,'Unit Price'!$B$3:$C$19,2,0),0)</f>
        <v>350000</v>
      </c>
      <c r="Z92" s="34">
        <f>IF(F92&lt;2.5,6*VLOOKUP($Z$2,'Unit Price'!$B$3:$C$19,2,0),0)</f>
        <v>0</v>
      </c>
      <c r="AA92" s="34">
        <f>IF(F92&lt;2.5,3*VLOOKUP($AA$2,'Unit Price'!$B$3:$C$19,2,0),0)</f>
        <v>0</v>
      </c>
      <c r="AB92" s="34">
        <f>IF(F92&gt;2.5,6*VLOOKUP($AB$2,'Unit Price'!$B$3:$C$19,2,0),0)</f>
        <v>375000</v>
      </c>
      <c r="AC92" s="34">
        <f>IF(F92&gt;2.5,3*VLOOKUP($AC$2,'Unit Price'!$B$3:$C$19,2,0),0)</f>
        <v>216000</v>
      </c>
      <c r="AD92" s="36"/>
      <c r="AE92" s="46">
        <f t="shared" si="6"/>
        <v>2357500</v>
      </c>
      <c r="AF92" s="66">
        <f t="shared" si="7"/>
        <v>442500</v>
      </c>
    </row>
    <row r="93" spans="1:32">
      <c r="A93" s="17">
        <v>91</v>
      </c>
      <c r="B93" s="5" t="s">
        <v>203</v>
      </c>
      <c r="C93" s="5" t="s">
        <v>204</v>
      </c>
      <c r="D93" s="5" t="s">
        <v>172</v>
      </c>
      <c r="E93" s="5">
        <v>4.5449999999999999</v>
      </c>
      <c r="F93" s="18">
        <v>3</v>
      </c>
      <c r="G93" s="5">
        <v>19</v>
      </c>
      <c r="H93" s="50">
        <v>14</v>
      </c>
      <c r="I93" s="58">
        <v>266</v>
      </c>
      <c r="J93" s="5">
        <f t="shared" si="4"/>
        <v>1</v>
      </c>
      <c r="K93" s="36">
        <v>2800000</v>
      </c>
      <c r="L93" s="37">
        <f t="shared" si="5"/>
        <v>2800000</v>
      </c>
      <c r="N93" s="34">
        <f>H93*VLOOKUP($N$2,'Unit Price'!$B$3:$C$19,2,0)</f>
        <v>252000</v>
      </c>
      <c r="O93" s="34">
        <f>1*VLOOKUP($O$2,'Unit Price'!$B$3:$C$19,2,0)</f>
        <v>10000</v>
      </c>
      <c r="P93" s="34">
        <f>1*VLOOKUP($P$2,'Unit Price'!$B$3:$C$19,2,0)</f>
        <v>8000</v>
      </c>
      <c r="Q93" s="34">
        <f>G93*2*VLOOKUP($Q$2,'Unit Price'!$B$3:$C$19,2,0)</f>
        <v>57000</v>
      </c>
      <c r="R93" s="34">
        <f>H93*3*VLOOKUP($R$2,'Unit Price'!$B$3:$C$19,2,0)</f>
        <v>105000</v>
      </c>
      <c r="S93" s="34">
        <f>IF(F93&lt;=2.2,3*VLOOKUP($S$2,'Unit Price'!$B$3:$C$19,2,0),5*VLOOKUP($S$2,'Unit Price'!$B$3:$C$19,2,0))</f>
        <v>50000</v>
      </c>
      <c r="T93" s="34">
        <f>IF(F93&lt;=2.06,VLOOKUP($T$2,'Unit Price'!$B$3:$C$19,2,0),0)</f>
        <v>0</v>
      </c>
      <c r="U93" s="34">
        <f>IF(F93&lt;=2.06,VLOOKUP($U$2,'Unit Price'!$B$3:$C$19,2,0),0)</f>
        <v>0</v>
      </c>
      <c r="V93" s="34">
        <f>IF(AND(F93&gt;2.06,F93&lt;2.5),VLOOKUP($V$2,'Unit Price'!$B$3:$C$19,2,0),0)</f>
        <v>0</v>
      </c>
      <c r="W93" s="34">
        <f>IF(AND(F93&gt;2.06,F93&lt;2.5),VLOOKUP($W$2,'Unit Price'!$B$3:$C$19,2,0),0)</f>
        <v>0</v>
      </c>
      <c r="X93" s="34">
        <f>IF(F93&gt;2.5,VLOOKUP($X$2,'Unit Price'!$B$3:$C$19,2,0),0)</f>
        <v>1200000</v>
      </c>
      <c r="Y93" s="34">
        <f>IF(F93&gt;2.5,VLOOKUP($Y$2,'Unit Price'!$B$3:$C$19,2,0),0)</f>
        <v>350000</v>
      </c>
      <c r="Z93" s="34">
        <f>IF(F93&lt;2.5,6*VLOOKUP($Z$2,'Unit Price'!$B$3:$C$19,2,0),0)</f>
        <v>0</v>
      </c>
      <c r="AA93" s="34">
        <f>IF(F93&lt;2.5,3*VLOOKUP($AA$2,'Unit Price'!$B$3:$C$19,2,0),0)</f>
        <v>0</v>
      </c>
      <c r="AB93" s="34">
        <f>IF(F93&gt;2.5,6*VLOOKUP($AB$2,'Unit Price'!$B$3:$C$19,2,0),0)</f>
        <v>375000</v>
      </c>
      <c r="AC93" s="34">
        <f>IF(F93&gt;2.5,3*VLOOKUP($AC$2,'Unit Price'!$B$3:$C$19,2,0),0)</f>
        <v>216000</v>
      </c>
      <c r="AD93" s="36"/>
      <c r="AE93" s="46">
        <f t="shared" si="6"/>
        <v>2623000</v>
      </c>
      <c r="AF93" s="66">
        <f t="shared" si="7"/>
        <v>177000</v>
      </c>
    </row>
    <row r="94" spans="1:32">
      <c r="A94" s="17">
        <v>92</v>
      </c>
      <c r="B94" s="5" t="s">
        <v>205</v>
      </c>
      <c r="C94" s="5" t="s">
        <v>206</v>
      </c>
      <c r="D94" s="5" t="s">
        <v>172</v>
      </c>
      <c r="E94" s="5">
        <v>6.4260000000000002</v>
      </c>
      <c r="F94" s="18">
        <v>3</v>
      </c>
      <c r="G94" s="5">
        <v>16</v>
      </c>
      <c r="H94" s="50">
        <v>12</v>
      </c>
      <c r="I94" s="58">
        <v>192</v>
      </c>
      <c r="J94" s="5">
        <f t="shared" si="4"/>
        <v>1</v>
      </c>
      <c r="K94" s="36">
        <v>2800000</v>
      </c>
      <c r="L94" s="37">
        <f t="shared" si="5"/>
        <v>2800000</v>
      </c>
      <c r="N94" s="34">
        <f>H94*VLOOKUP($N$2,'Unit Price'!$B$3:$C$19,2,0)</f>
        <v>216000</v>
      </c>
      <c r="O94" s="34">
        <f>1*VLOOKUP($O$2,'Unit Price'!$B$3:$C$19,2,0)</f>
        <v>10000</v>
      </c>
      <c r="P94" s="34">
        <f>1*VLOOKUP($P$2,'Unit Price'!$B$3:$C$19,2,0)</f>
        <v>8000</v>
      </c>
      <c r="Q94" s="34">
        <f>G94*2*VLOOKUP($Q$2,'Unit Price'!$B$3:$C$19,2,0)</f>
        <v>48000</v>
      </c>
      <c r="R94" s="34">
        <f>H94*3*VLOOKUP($R$2,'Unit Price'!$B$3:$C$19,2,0)</f>
        <v>90000</v>
      </c>
      <c r="S94" s="34">
        <f>IF(F94&lt;=2.2,3*VLOOKUP($S$2,'Unit Price'!$B$3:$C$19,2,0),5*VLOOKUP($S$2,'Unit Price'!$B$3:$C$19,2,0))</f>
        <v>50000</v>
      </c>
      <c r="T94" s="34">
        <f>IF(F94&lt;=2.06,VLOOKUP($T$2,'Unit Price'!$B$3:$C$19,2,0),0)</f>
        <v>0</v>
      </c>
      <c r="U94" s="34">
        <f>IF(F94&lt;=2.06,VLOOKUP($U$2,'Unit Price'!$B$3:$C$19,2,0),0)</f>
        <v>0</v>
      </c>
      <c r="V94" s="34">
        <f>IF(AND(F94&gt;2.06,F94&lt;2.5),VLOOKUP($V$2,'Unit Price'!$B$3:$C$19,2,0),0)</f>
        <v>0</v>
      </c>
      <c r="W94" s="34">
        <f>IF(AND(F94&gt;2.06,F94&lt;2.5),VLOOKUP($W$2,'Unit Price'!$B$3:$C$19,2,0),0)</f>
        <v>0</v>
      </c>
      <c r="X94" s="34">
        <f>IF(F94&gt;2.5,VLOOKUP($X$2,'Unit Price'!$B$3:$C$19,2,0),0)</f>
        <v>1200000</v>
      </c>
      <c r="Y94" s="34">
        <f>IF(F94&gt;2.5,VLOOKUP($Y$2,'Unit Price'!$B$3:$C$19,2,0),0)</f>
        <v>350000</v>
      </c>
      <c r="Z94" s="34">
        <f>IF(F94&lt;2.5,6*VLOOKUP($Z$2,'Unit Price'!$B$3:$C$19,2,0),0)</f>
        <v>0</v>
      </c>
      <c r="AA94" s="34">
        <f>IF(F94&lt;2.5,3*VLOOKUP($AA$2,'Unit Price'!$B$3:$C$19,2,0),0)</f>
        <v>0</v>
      </c>
      <c r="AB94" s="34">
        <f>IF(F94&gt;2.5,6*VLOOKUP($AB$2,'Unit Price'!$B$3:$C$19,2,0),0)</f>
        <v>375000</v>
      </c>
      <c r="AC94" s="34">
        <f>IF(F94&gt;2.5,3*VLOOKUP($AC$2,'Unit Price'!$B$3:$C$19,2,0),0)</f>
        <v>216000</v>
      </c>
      <c r="AD94" s="36"/>
      <c r="AE94" s="46">
        <f t="shared" si="6"/>
        <v>2563000</v>
      </c>
      <c r="AF94" s="66">
        <f t="shared" si="7"/>
        <v>237000</v>
      </c>
    </row>
    <row r="95" spans="1:32">
      <c r="A95" s="17">
        <v>93</v>
      </c>
      <c r="B95" s="5" t="s">
        <v>207</v>
      </c>
      <c r="C95" s="5" t="s">
        <v>208</v>
      </c>
      <c r="D95" s="5" t="s">
        <v>172</v>
      </c>
      <c r="E95" s="5">
        <v>7.7160000000000002</v>
      </c>
      <c r="F95" s="18">
        <v>3</v>
      </c>
      <c r="G95" s="5">
        <v>13</v>
      </c>
      <c r="H95" s="50">
        <v>10</v>
      </c>
      <c r="I95" s="58">
        <v>130</v>
      </c>
      <c r="J95" s="5">
        <f t="shared" si="4"/>
        <v>1</v>
      </c>
      <c r="K95" s="36">
        <v>2800000</v>
      </c>
      <c r="L95" s="37">
        <f t="shared" si="5"/>
        <v>2800000</v>
      </c>
      <c r="N95" s="34">
        <f>H95*VLOOKUP($N$2,'Unit Price'!$B$3:$C$19,2,0)</f>
        <v>180000</v>
      </c>
      <c r="O95" s="34">
        <f>1*VLOOKUP($O$2,'Unit Price'!$B$3:$C$19,2,0)</f>
        <v>10000</v>
      </c>
      <c r="P95" s="34">
        <f>1*VLOOKUP($P$2,'Unit Price'!$B$3:$C$19,2,0)</f>
        <v>8000</v>
      </c>
      <c r="Q95" s="34">
        <f>G95*2*VLOOKUP($Q$2,'Unit Price'!$B$3:$C$19,2,0)</f>
        <v>39000</v>
      </c>
      <c r="R95" s="34">
        <f>H95*3*VLOOKUP($R$2,'Unit Price'!$B$3:$C$19,2,0)</f>
        <v>75000</v>
      </c>
      <c r="S95" s="34">
        <f>IF(F95&lt;=2.2,3*VLOOKUP($S$2,'Unit Price'!$B$3:$C$19,2,0),5*VLOOKUP($S$2,'Unit Price'!$B$3:$C$19,2,0))</f>
        <v>50000</v>
      </c>
      <c r="T95" s="34">
        <f>IF(F95&lt;=2.06,VLOOKUP($T$2,'Unit Price'!$B$3:$C$19,2,0),0)</f>
        <v>0</v>
      </c>
      <c r="U95" s="34">
        <f>IF(F95&lt;=2.06,VLOOKUP($U$2,'Unit Price'!$B$3:$C$19,2,0),0)</f>
        <v>0</v>
      </c>
      <c r="V95" s="34">
        <f>IF(AND(F95&gt;2.06,F95&lt;2.5),VLOOKUP($V$2,'Unit Price'!$B$3:$C$19,2,0),0)</f>
        <v>0</v>
      </c>
      <c r="W95" s="34">
        <f>IF(AND(F95&gt;2.06,F95&lt;2.5),VLOOKUP($W$2,'Unit Price'!$B$3:$C$19,2,0),0)</f>
        <v>0</v>
      </c>
      <c r="X95" s="34">
        <f>IF(F95&gt;2.5,VLOOKUP($X$2,'Unit Price'!$B$3:$C$19,2,0),0)</f>
        <v>1200000</v>
      </c>
      <c r="Y95" s="34">
        <f>IF(F95&gt;2.5,VLOOKUP($Y$2,'Unit Price'!$B$3:$C$19,2,0),0)</f>
        <v>350000</v>
      </c>
      <c r="Z95" s="34">
        <f>IF(F95&lt;2.5,6*VLOOKUP($Z$2,'Unit Price'!$B$3:$C$19,2,0),0)</f>
        <v>0</v>
      </c>
      <c r="AA95" s="34">
        <f>IF(F95&lt;2.5,3*VLOOKUP($AA$2,'Unit Price'!$B$3:$C$19,2,0),0)</f>
        <v>0</v>
      </c>
      <c r="AB95" s="34">
        <f>IF(F95&gt;2.5,6*VLOOKUP($AB$2,'Unit Price'!$B$3:$C$19,2,0),0)</f>
        <v>375000</v>
      </c>
      <c r="AC95" s="34">
        <f>IF(F95&gt;2.5,3*VLOOKUP($AC$2,'Unit Price'!$B$3:$C$19,2,0),0)</f>
        <v>216000</v>
      </c>
      <c r="AD95" s="36"/>
      <c r="AE95" s="46">
        <f t="shared" si="6"/>
        <v>2503000</v>
      </c>
      <c r="AF95" s="66">
        <f t="shared" si="7"/>
        <v>297000</v>
      </c>
    </row>
    <row r="96" spans="1:32">
      <c r="A96" s="17">
        <v>94</v>
      </c>
      <c r="B96" s="5" t="s">
        <v>209</v>
      </c>
      <c r="C96" s="5" t="s">
        <v>210</v>
      </c>
      <c r="D96" s="5" t="s">
        <v>172</v>
      </c>
      <c r="E96" s="5">
        <v>11.577</v>
      </c>
      <c r="F96" s="18">
        <v>3</v>
      </c>
      <c r="G96" s="5">
        <v>11</v>
      </c>
      <c r="H96" s="50">
        <v>8</v>
      </c>
      <c r="I96" s="58">
        <v>88</v>
      </c>
      <c r="J96" s="5">
        <f t="shared" si="4"/>
        <v>1</v>
      </c>
      <c r="K96" s="36">
        <v>2800000</v>
      </c>
      <c r="L96" s="37">
        <f t="shared" si="5"/>
        <v>2800000</v>
      </c>
      <c r="N96" s="34">
        <f>H96*VLOOKUP($N$2,'Unit Price'!$B$3:$C$19,2,0)</f>
        <v>144000</v>
      </c>
      <c r="O96" s="34">
        <f>1*VLOOKUP($O$2,'Unit Price'!$B$3:$C$19,2,0)</f>
        <v>10000</v>
      </c>
      <c r="P96" s="34">
        <f>1*VLOOKUP($P$2,'Unit Price'!$B$3:$C$19,2,0)</f>
        <v>8000</v>
      </c>
      <c r="Q96" s="34">
        <f>G96*2*VLOOKUP($Q$2,'Unit Price'!$B$3:$C$19,2,0)</f>
        <v>33000</v>
      </c>
      <c r="R96" s="34">
        <f>H96*3*VLOOKUP($R$2,'Unit Price'!$B$3:$C$19,2,0)</f>
        <v>60000</v>
      </c>
      <c r="S96" s="34">
        <f>IF(F96&lt;=2.2,3*VLOOKUP($S$2,'Unit Price'!$B$3:$C$19,2,0),5*VLOOKUP($S$2,'Unit Price'!$B$3:$C$19,2,0))</f>
        <v>50000</v>
      </c>
      <c r="T96" s="34">
        <f>IF(F96&lt;=2.06,VLOOKUP($T$2,'Unit Price'!$B$3:$C$19,2,0),0)</f>
        <v>0</v>
      </c>
      <c r="U96" s="34">
        <f>IF(F96&lt;=2.06,VLOOKUP($U$2,'Unit Price'!$B$3:$C$19,2,0),0)</f>
        <v>0</v>
      </c>
      <c r="V96" s="34">
        <f>IF(AND(F96&gt;2.06,F96&lt;2.5),VLOOKUP($V$2,'Unit Price'!$B$3:$C$19,2,0),0)</f>
        <v>0</v>
      </c>
      <c r="W96" s="34">
        <f>IF(AND(F96&gt;2.06,F96&lt;2.5),VLOOKUP($W$2,'Unit Price'!$B$3:$C$19,2,0),0)</f>
        <v>0</v>
      </c>
      <c r="X96" s="34">
        <f>IF(F96&gt;2.5,VLOOKUP($X$2,'Unit Price'!$B$3:$C$19,2,0),0)</f>
        <v>1200000</v>
      </c>
      <c r="Y96" s="34">
        <f>IF(F96&gt;2.5,VLOOKUP($Y$2,'Unit Price'!$B$3:$C$19,2,0),0)</f>
        <v>350000</v>
      </c>
      <c r="Z96" s="34">
        <f>IF(F96&lt;2.5,6*VLOOKUP($Z$2,'Unit Price'!$B$3:$C$19,2,0),0)</f>
        <v>0</v>
      </c>
      <c r="AA96" s="34">
        <f>IF(F96&lt;2.5,3*VLOOKUP($AA$2,'Unit Price'!$B$3:$C$19,2,0),0)</f>
        <v>0</v>
      </c>
      <c r="AB96" s="34">
        <f>IF(F96&gt;2.5,6*VLOOKUP($AB$2,'Unit Price'!$B$3:$C$19,2,0),0)</f>
        <v>375000</v>
      </c>
      <c r="AC96" s="34">
        <f>IF(F96&gt;2.5,3*VLOOKUP($AC$2,'Unit Price'!$B$3:$C$19,2,0),0)</f>
        <v>216000</v>
      </c>
      <c r="AD96" s="36"/>
      <c r="AE96" s="46">
        <f t="shared" si="6"/>
        <v>2446000</v>
      </c>
      <c r="AF96" s="66">
        <f t="shared" si="7"/>
        <v>354000</v>
      </c>
    </row>
    <row r="97" spans="1:32">
      <c r="A97" s="17">
        <v>95</v>
      </c>
      <c r="B97" s="5" t="s">
        <v>211</v>
      </c>
      <c r="C97" s="5" t="s">
        <v>212</v>
      </c>
      <c r="D97" s="5" t="s">
        <v>172</v>
      </c>
      <c r="E97" s="5">
        <v>17.832000000000001</v>
      </c>
      <c r="F97" s="18">
        <v>3</v>
      </c>
      <c r="G97" s="5">
        <v>9</v>
      </c>
      <c r="H97" s="50">
        <v>6</v>
      </c>
      <c r="I97" s="58">
        <v>54</v>
      </c>
      <c r="J97" s="5">
        <f t="shared" si="4"/>
        <v>1</v>
      </c>
      <c r="K97" s="36">
        <v>2800000</v>
      </c>
      <c r="L97" s="37">
        <f t="shared" si="5"/>
        <v>2800000</v>
      </c>
      <c r="N97" s="34">
        <f>H97*VLOOKUP($N$2,'Unit Price'!$B$3:$C$19,2,0)</f>
        <v>108000</v>
      </c>
      <c r="O97" s="34">
        <f>1*VLOOKUP($O$2,'Unit Price'!$B$3:$C$19,2,0)</f>
        <v>10000</v>
      </c>
      <c r="P97" s="34">
        <f>1*VLOOKUP($P$2,'Unit Price'!$B$3:$C$19,2,0)</f>
        <v>8000</v>
      </c>
      <c r="Q97" s="34">
        <f>G97*2*VLOOKUP($Q$2,'Unit Price'!$B$3:$C$19,2,0)</f>
        <v>27000</v>
      </c>
      <c r="R97" s="34">
        <f>H97*3*VLOOKUP($R$2,'Unit Price'!$B$3:$C$19,2,0)</f>
        <v>45000</v>
      </c>
      <c r="S97" s="34">
        <f>IF(F97&lt;=2.2,3*VLOOKUP($S$2,'Unit Price'!$B$3:$C$19,2,0),5*VLOOKUP($S$2,'Unit Price'!$B$3:$C$19,2,0))</f>
        <v>50000</v>
      </c>
      <c r="T97" s="34">
        <f>IF(F97&lt;=2.06,VLOOKUP($T$2,'Unit Price'!$B$3:$C$19,2,0),0)</f>
        <v>0</v>
      </c>
      <c r="U97" s="34">
        <f>IF(F97&lt;=2.06,VLOOKUP($U$2,'Unit Price'!$B$3:$C$19,2,0),0)</f>
        <v>0</v>
      </c>
      <c r="V97" s="34">
        <f>IF(AND(F97&gt;2.06,F97&lt;2.5),VLOOKUP($V$2,'Unit Price'!$B$3:$C$19,2,0),0)</f>
        <v>0</v>
      </c>
      <c r="W97" s="34">
        <f>IF(AND(F97&gt;2.06,F97&lt;2.5),VLOOKUP($W$2,'Unit Price'!$B$3:$C$19,2,0),0)</f>
        <v>0</v>
      </c>
      <c r="X97" s="34">
        <f>IF(F97&gt;2.5,VLOOKUP($X$2,'Unit Price'!$B$3:$C$19,2,0),0)</f>
        <v>1200000</v>
      </c>
      <c r="Y97" s="34">
        <f>IF(F97&gt;2.5,VLOOKUP($Y$2,'Unit Price'!$B$3:$C$19,2,0),0)</f>
        <v>350000</v>
      </c>
      <c r="Z97" s="34">
        <f>IF(F97&lt;2.5,6*VLOOKUP($Z$2,'Unit Price'!$B$3:$C$19,2,0),0)</f>
        <v>0</v>
      </c>
      <c r="AA97" s="34">
        <f>IF(F97&lt;2.5,3*VLOOKUP($AA$2,'Unit Price'!$B$3:$C$19,2,0),0)</f>
        <v>0</v>
      </c>
      <c r="AB97" s="34">
        <f>IF(F97&gt;2.5,6*VLOOKUP($AB$2,'Unit Price'!$B$3:$C$19,2,0),0)</f>
        <v>375000</v>
      </c>
      <c r="AC97" s="34">
        <f>IF(F97&gt;2.5,3*VLOOKUP($AC$2,'Unit Price'!$B$3:$C$19,2,0),0)</f>
        <v>216000</v>
      </c>
      <c r="AD97" s="36"/>
      <c r="AE97" s="46">
        <f t="shared" si="6"/>
        <v>2389000</v>
      </c>
      <c r="AF97" s="66">
        <f t="shared" si="7"/>
        <v>411000</v>
      </c>
    </row>
    <row r="98" spans="1:32">
      <c r="A98" s="17">
        <v>96</v>
      </c>
      <c r="B98" s="5" t="s">
        <v>213</v>
      </c>
      <c r="C98" s="5" t="s">
        <v>214</v>
      </c>
      <c r="D98" s="5" t="s">
        <v>172</v>
      </c>
      <c r="E98" s="5">
        <v>29.58</v>
      </c>
      <c r="F98" s="18">
        <v>3</v>
      </c>
      <c r="G98" s="5">
        <v>7</v>
      </c>
      <c r="H98" s="50">
        <v>5</v>
      </c>
      <c r="I98" s="58">
        <v>35</v>
      </c>
      <c r="J98" s="5">
        <f t="shared" si="4"/>
        <v>1</v>
      </c>
      <c r="K98" s="36">
        <v>2800000</v>
      </c>
      <c r="L98" s="37">
        <f t="shared" si="5"/>
        <v>2800000</v>
      </c>
      <c r="N98" s="34">
        <f>H98*VLOOKUP($N$2,'Unit Price'!$B$3:$C$19,2,0)</f>
        <v>90000</v>
      </c>
      <c r="O98" s="34">
        <f>1*VLOOKUP($O$2,'Unit Price'!$B$3:$C$19,2,0)</f>
        <v>10000</v>
      </c>
      <c r="P98" s="34">
        <f>1*VLOOKUP($P$2,'Unit Price'!$B$3:$C$19,2,0)</f>
        <v>8000</v>
      </c>
      <c r="Q98" s="34">
        <f>G98*2*VLOOKUP($Q$2,'Unit Price'!$B$3:$C$19,2,0)</f>
        <v>21000</v>
      </c>
      <c r="R98" s="34">
        <f>H98*3*VLOOKUP($R$2,'Unit Price'!$B$3:$C$19,2,0)</f>
        <v>37500</v>
      </c>
      <c r="S98" s="34">
        <f>IF(F98&lt;=2.2,3*VLOOKUP($S$2,'Unit Price'!$B$3:$C$19,2,0),5*VLOOKUP($S$2,'Unit Price'!$B$3:$C$19,2,0))</f>
        <v>50000</v>
      </c>
      <c r="T98" s="34">
        <f>IF(F98&lt;=2.06,VLOOKUP($T$2,'Unit Price'!$B$3:$C$19,2,0),0)</f>
        <v>0</v>
      </c>
      <c r="U98" s="34">
        <f>IF(F98&lt;=2.06,VLOOKUP($U$2,'Unit Price'!$B$3:$C$19,2,0),0)</f>
        <v>0</v>
      </c>
      <c r="V98" s="34">
        <f>IF(AND(F98&gt;2.06,F98&lt;2.5),VLOOKUP($V$2,'Unit Price'!$B$3:$C$19,2,0),0)</f>
        <v>0</v>
      </c>
      <c r="W98" s="34">
        <f>IF(AND(F98&gt;2.06,F98&lt;2.5),VLOOKUP($W$2,'Unit Price'!$B$3:$C$19,2,0),0)</f>
        <v>0</v>
      </c>
      <c r="X98" s="34">
        <f>IF(F98&gt;2.5,VLOOKUP($X$2,'Unit Price'!$B$3:$C$19,2,0),0)</f>
        <v>1200000</v>
      </c>
      <c r="Y98" s="34">
        <f>IF(F98&gt;2.5,VLOOKUP($Y$2,'Unit Price'!$B$3:$C$19,2,0),0)</f>
        <v>350000</v>
      </c>
      <c r="Z98" s="34">
        <f>IF(F98&lt;2.5,6*VLOOKUP($Z$2,'Unit Price'!$B$3:$C$19,2,0),0)</f>
        <v>0</v>
      </c>
      <c r="AA98" s="34">
        <f>IF(F98&lt;2.5,3*VLOOKUP($AA$2,'Unit Price'!$B$3:$C$19,2,0),0)</f>
        <v>0</v>
      </c>
      <c r="AB98" s="34">
        <f>IF(F98&gt;2.5,6*VLOOKUP($AB$2,'Unit Price'!$B$3:$C$19,2,0),0)</f>
        <v>375000</v>
      </c>
      <c r="AC98" s="34">
        <f>IF(F98&gt;2.5,3*VLOOKUP($AC$2,'Unit Price'!$B$3:$C$19,2,0),0)</f>
        <v>216000</v>
      </c>
      <c r="AD98" s="36"/>
      <c r="AE98" s="46">
        <f t="shared" si="6"/>
        <v>2357500</v>
      </c>
      <c r="AF98" s="66">
        <f t="shared" si="7"/>
        <v>442500</v>
      </c>
    </row>
    <row r="99" spans="1:32">
      <c r="A99" s="22">
        <v>97</v>
      </c>
      <c r="B99" s="23" t="s">
        <v>215</v>
      </c>
      <c r="C99" s="23" t="s">
        <v>216</v>
      </c>
      <c r="D99" s="23" t="s">
        <v>172</v>
      </c>
      <c r="E99" s="23">
        <v>1.0680000000000001</v>
      </c>
      <c r="F99" s="24">
        <v>3</v>
      </c>
      <c r="G99" s="23">
        <v>38</v>
      </c>
      <c r="H99" s="52">
        <v>12</v>
      </c>
      <c r="I99" s="58">
        <v>456</v>
      </c>
      <c r="J99" s="5">
        <f t="shared" si="4"/>
        <v>1</v>
      </c>
      <c r="K99" s="36">
        <v>2800000</v>
      </c>
      <c r="L99" s="37">
        <f t="shared" si="5"/>
        <v>2800000</v>
      </c>
      <c r="N99" s="34">
        <f>H99*VLOOKUP($N$2,'Unit Price'!$B$3:$C$19,2,0)</f>
        <v>216000</v>
      </c>
      <c r="O99" s="34">
        <f>1*VLOOKUP($O$2,'Unit Price'!$B$3:$C$19,2,0)</f>
        <v>10000</v>
      </c>
      <c r="P99" s="34">
        <f>1*VLOOKUP($P$2,'Unit Price'!$B$3:$C$19,2,0)</f>
        <v>8000</v>
      </c>
      <c r="Q99" s="34">
        <f>G99*2*VLOOKUP($Q$2,'Unit Price'!$B$3:$C$19,2,0)</f>
        <v>114000</v>
      </c>
      <c r="R99" s="34">
        <f>H99*3*VLOOKUP($R$2,'Unit Price'!$B$3:$C$19,2,0)</f>
        <v>90000</v>
      </c>
      <c r="S99" s="34">
        <f>IF(F99&lt;=2.2,3*VLOOKUP($S$2,'Unit Price'!$B$3:$C$19,2,0),5*VLOOKUP($S$2,'Unit Price'!$B$3:$C$19,2,0))</f>
        <v>50000</v>
      </c>
      <c r="T99" s="34">
        <f>IF(F99&lt;=2.06,VLOOKUP($T$2,'Unit Price'!$B$3:$C$19,2,0),0)</f>
        <v>0</v>
      </c>
      <c r="U99" s="34">
        <f>IF(F99&lt;=2.06,VLOOKUP($U$2,'Unit Price'!$B$3:$C$19,2,0),0)</f>
        <v>0</v>
      </c>
      <c r="V99" s="34">
        <f>IF(AND(F99&gt;2.06,F99&lt;2.5),VLOOKUP($V$2,'Unit Price'!$B$3:$C$19,2,0),0)</f>
        <v>0</v>
      </c>
      <c r="W99" s="34">
        <f>IF(AND(F99&gt;2.06,F99&lt;2.5),VLOOKUP($W$2,'Unit Price'!$B$3:$C$19,2,0),0)</f>
        <v>0</v>
      </c>
      <c r="X99" s="34">
        <f>IF(F99&gt;2.5,VLOOKUP($X$2,'Unit Price'!$B$3:$C$19,2,0),0)</f>
        <v>1200000</v>
      </c>
      <c r="Y99" s="34">
        <f>IF(F99&gt;2.5,VLOOKUP($Y$2,'Unit Price'!$B$3:$C$19,2,0),0)</f>
        <v>350000</v>
      </c>
      <c r="Z99" s="34">
        <f>IF(F99&lt;2.5,6*VLOOKUP($Z$2,'Unit Price'!$B$3:$C$19,2,0),0)</f>
        <v>0</v>
      </c>
      <c r="AA99" s="34">
        <f>IF(F99&lt;2.5,3*VLOOKUP($AA$2,'Unit Price'!$B$3:$C$19,2,0),0)</f>
        <v>0</v>
      </c>
      <c r="AB99" s="34">
        <f>IF(F99&gt;2.5,6*VLOOKUP($AB$2,'Unit Price'!$B$3:$C$19,2,0),0)</f>
        <v>375000</v>
      </c>
      <c r="AC99" s="34">
        <f>IF(F99&gt;2.5,3*VLOOKUP($AC$2,'Unit Price'!$B$3:$C$19,2,0),0)</f>
        <v>216000</v>
      </c>
      <c r="AD99" s="36"/>
      <c r="AE99" s="46">
        <f t="shared" si="6"/>
        <v>2629000</v>
      </c>
      <c r="AF99" s="66">
        <f t="shared" si="7"/>
        <v>171000</v>
      </c>
    </row>
    <row r="100" spans="1:32">
      <c r="A100" s="22">
        <v>98</v>
      </c>
      <c r="B100" s="23" t="s">
        <v>217</v>
      </c>
      <c r="C100" s="23" t="s">
        <v>218</v>
      </c>
      <c r="D100" s="23" t="s">
        <v>172</v>
      </c>
      <c r="E100" s="23">
        <v>0.45899999999999996</v>
      </c>
      <c r="F100" s="24">
        <v>3</v>
      </c>
      <c r="G100" s="23">
        <v>52</v>
      </c>
      <c r="H100" s="52">
        <v>20</v>
      </c>
      <c r="I100" s="58">
        <v>1040</v>
      </c>
      <c r="J100" s="5">
        <f t="shared" si="4"/>
        <v>1</v>
      </c>
      <c r="K100" s="36">
        <v>2800000</v>
      </c>
      <c r="L100" s="37">
        <f t="shared" si="5"/>
        <v>2800000</v>
      </c>
      <c r="N100" s="34">
        <f>H100*VLOOKUP($N$2,'Unit Price'!$B$3:$C$19,2,0)</f>
        <v>360000</v>
      </c>
      <c r="O100" s="34">
        <f>1*VLOOKUP($O$2,'Unit Price'!$B$3:$C$19,2,0)</f>
        <v>10000</v>
      </c>
      <c r="P100" s="34">
        <f>1*VLOOKUP($P$2,'Unit Price'!$B$3:$C$19,2,0)</f>
        <v>8000</v>
      </c>
      <c r="Q100" s="34">
        <f>G100*2*VLOOKUP($Q$2,'Unit Price'!$B$3:$C$19,2,0)</f>
        <v>156000</v>
      </c>
      <c r="R100" s="34">
        <f>H100*3*VLOOKUP($R$2,'Unit Price'!$B$3:$C$19,2,0)</f>
        <v>150000</v>
      </c>
      <c r="S100" s="34">
        <f>IF(F100&lt;=2.2,3*VLOOKUP($S$2,'Unit Price'!$B$3:$C$19,2,0),5*VLOOKUP($S$2,'Unit Price'!$B$3:$C$19,2,0))</f>
        <v>50000</v>
      </c>
      <c r="T100" s="34">
        <f>IF(F100&lt;=2.06,VLOOKUP($T$2,'Unit Price'!$B$3:$C$19,2,0),0)</f>
        <v>0</v>
      </c>
      <c r="U100" s="34">
        <f>IF(F100&lt;=2.06,VLOOKUP($U$2,'Unit Price'!$B$3:$C$19,2,0),0)</f>
        <v>0</v>
      </c>
      <c r="V100" s="34">
        <f>IF(AND(F100&gt;2.06,F100&lt;2.5),VLOOKUP($V$2,'Unit Price'!$B$3:$C$19,2,0),0)</f>
        <v>0</v>
      </c>
      <c r="W100" s="34">
        <f>IF(AND(F100&gt;2.06,F100&lt;2.5),VLOOKUP($W$2,'Unit Price'!$B$3:$C$19,2,0),0)</f>
        <v>0</v>
      </c>
      <c r="X100" s="34">
        <f>IF(F100&gt;2.5,VLOOKUP($X$2,'Unit Price'!$B$3:$C$19,2,0),0)</f>
        <v>1200000</v>
      </c>
      <c r="Y100" s="34">
        <f>IF(F100&gt;2.5,VLOOKUP($Y$2,'Unit Price'!$B$3:$C$19,2,0),0)</f>
        <v>350000</v>
      </c>
      <c r="Z100" s="34">
        <f>IF(F100&lt;2.5,6*VLOOKUP($Z$2,'Unit Price'!$B$3:$C$19,2,0),0)</f>
        <v>0</v>
      </c>
      <c r="AA100" s="34">
        <f>IF(F100&lt;2.5,3*VLOOKUP($AA$2,'Unit Price'!$B$3:$C$19,2,0),0)</f>
        <v>0</v>
      </c>
      <c r="AB100" s="34">
        <f>IF(F100&gt;2.5,6*VLOOKUP($AB$2,'Unit Price'!$B$3:$C$19,2,0),0)</f>
        <v>375000</v>
      </c>
      <c r="AC100" s="34">
        <f>IF(F100&gt;2.5,3*VLOOKUP($AC$2,'Unit Price'!$B$3:$C$19,2,0),0)</f>
        <v>216000</v>
      </c>
      <c r="AD100" s="36"/>
      <c r="AE100" s="46">
        <f t="shared" si="6"/>
        <v>2875000</v>
      </c>
      <c r="AF100" s="66">
        <f t="shared" si="7"/>
        <v>-75000</v>
      </c>
    </row>
    <row r="101" spans="1:32">
      <c r="A101" s="22">
        <v>99</v>
      </c>
      <c r="B101" s="23" t="s">
        <v>219</v>
      </c>
      <c r="C101" s="23" t="s">
        <v>220</v>
      </c>
      <c r="D101" s="23" t="s">
        <v>172</v>
      </c>
      <c r="E101" s="23">
        <v>0.81900000000000006</v>
      </c>
      <c r="F101" s="24">
        <v>3</v>
      </c>
      <c r="G101" s="23">
        <v>39</v>
      </c>
      <c r="H101" s="52">
        <v>15</v>
      </c>
      <c r="I101" s="58">
        <v>585</v>
      </c>
      <c r="J101" s="5">
        <f t="shared" si="4"/>
        <v>1</v>
      </c>
      <c r="K101" s="36">
        <v>2800000</v>
      </c>
      <c r="L101" s="37">
        <f t="shared" si="5"/>
        <v>2800000</v>
      </c>
      <c r="N101" s="34">
        <f>H101*VLOOKUP($N$2,'Unit Price'!$B$3:$C$19,2,0)</f>
        <v>270000</v>
      </c>
      <c r="O101" s="34">
        <f>1*VLOOKUP($O$2,'Unit Price'!$B$3:$C$19,2,0)</f>
        <v>10000</v>
      </c>
      <c r="P101" s="34">
        <f>1*VLOOKUP($P$2,'Unit Price'!$B$3:$C$19,2,0)</f>
        <v>8000</v>
      </c>
      <c r="Q101" s="34">
        <f>G101*2*VLOOKUP($Q$2,'Unit Price'!$B$3:$C$19,2,0)</f>
        <v>117000</v>
      </c>
      <c r="R101" s="34">
        <f>H101*3*VLOOKUP($R$2,'Unit Price'!$B$3:$C$19,2,0)</f>
        <v>112500</v>
      </c>
      <c r="S101" s="34">
        <f>IF(F101&lt;=2.2,3*VLOOKUP($S$2,'Unit Price'!$B$3:$C$19,2,0),5*VLOOKUP($S$2,'Unit Price'!$B$3:$C$19,2,0))</f>
        <v>50000</v>
      </c>
      <c r="T101" s="34">
        <f>IF(F101&lt;=2.06,VLOOKUP($T$2,'Unit Price'!$B$3:$C$19,2,0),0)</f>
        <v>0</v>
      </c>
      <c r="U101" s="34">
        <f>IF(F101&lt;=2.06,VLOOKUP($U$2,'Unit Price'!$B$3:$C$19,2,0),0)</f>
        <v>0</v>
      </c>
      <c r="V101" s="34">
        <f>IF(AND(F101&gt;2.06,F101&lt;2.5),VLOOKUP($V$2,'Unit Price'!$B$3:$C$19,2,0),0)</f>
        <v>0</v>
      </c>
      <c r="W101" s="34">
        <f>IF(AND(F101&gt;2.06,F101&lt;2.5),VLOOKUP($W$2,'Unit Price'!$B$3:$C$19,2,0),0)</f>
        <v>0</v>
      </c>
      <c r="X101" s="34">
        <f>IF(F101&gt;2.5,VLOOKUP($X$2,'Unit Price'!$B$3:$C$19,2,0),0)</f>
        <v>1200000</v>
      </c>
      <c r="Y101" s="34">
        <f>IF(F101&gt;2.5,VLOOKUP($Y$2,'Unit Price'!$B$3:$C$19,2,0),0)</f>
        <v>350000</v>
      </c>
      <c r="Z101" s="34">
        <f>IF(F101&lt;2.5,6*VLOOKUP($Z$2,'Unit Price'!$B$3:$C$19,2,0),0)</f>
        <v>0</v>
      </c>
      <c r="AA101" s="34">
        <f>IF(F101&lt;2.5,3*VLOOKUP($AA$2,'Unit Price'!$B$3:$C$19,2,0),0)</f>
        <v>0</v>
      </c>
      <c r="AB101" s="34">
        <f>IF(F101&gt;2.5,6*VLOOKUP($AB$2,'Unit Price'!$B$3:$C$19,2,0),0)</f>
        <v>375000</v>
      </c>
      <c r="AC101" s="34">
        <f>IF(F101&gt;2.5,3*VLOOKUP($AC$2,'Unit Price'!$B$3:$C$19,2,0),0)</f>
        <v>216000</v>
      </c>
      <c r="AD101" s="36"/>
      <c r="AE101" s="46">
        <f t="shared" si="6"/>
        <v>2708500</v>
      </c>
      <c r="AF101" s="66">
        <f t="shared" si="7"/>
        <v>91500</v>
      </c>
    </row>
    <row r="102" spans="1:32">
      <c r="A102" s="25">
        <v>100</v>
      </c>
      <c r="B102" s="26" t="s">
        <v>221</v>
      </c>
      <c r="C102" s="26" t="s">
        <v>222</v>
      </c>
      <c r="D102" s="26" t="s">
        <v>37</v>
      </c>
      <c r="E102" s="26">
        <v>7.38</v>
      </c>
      <c r="F102" s="27">
        <v>3</v>
      </c>
      <c r="G102" s="26">
        <v>19</v>
      </c>
      <c r="H102" s="53">
        <v>6</v>
      </c>
      <c r="I102" s="59">
        <v>114</v>
      </c>
      <c r="J102" s="5">
        <f t="shared" si="4"/>
        <v>1</v>
      </c>
      <c r="K102" s="36">
        <v>2800000</v>
      </c>
      <c r="L102" s="37">
        <f t="shared" si="5"/>
        <v>2800000</v>
      </c>
      <c r="N102" s="34">
        <f>H102*VLOOKUP($N$2,'Unit Price'!$B$3:$C$19,2,0)</f>
        <v>108000</v>
      </c>
      <c r="O102" s="34">
        <f>1*VLOOKUP($O$2,'Unit Price'!$B$3:$C$19,2,0)</f>
        <v>10000</v>
      </c>
      <c r="P102" s="34">
        <f>1*VLOOKUP($P$2,'Unit Price'!$B$3:$C$19,2,0)</f>
        <v>8000</v>
      </c>
      <c r="Q102" s="34">
        <f>G102*2*VLOOKUP($Q$2,'Unit Price'!$B$3:$C$19,2,0)</f>
        <v>57000</v>
      </c>
      <c r="R102" s="34">
        <f>H102*3*VLOOKUP($R$2,'Unit Price'!$B$3:$C$19,2,0)</f>
        <v>45000</v>
      </c>
      <c r="S102" s="34">
        <f>IF(F102&lt;=2.2,3*VLOOKUP($S$2,'Unit Price'!$B$3:$C$19,2,0),5*VLOOKUP($S$2,'Unit Price'!$B$3:$C$19,2,0))</f>
        <v>50000</v>
      </c>
      <c r="T102" s="34">
        <f>IF(F102&lt;=2.06,VLOOKUP($T$2,'Unit Price'!$B$3:$C$19,2,0),0)</f>
        <v>0</v>
      </c>
      <c r="U102" s="34">
        <f>IF(F102&lt;=2.06,VLOOKUP($U$2,'Unit Price'!$B$3:$C$19,2,0),0)</f>
        <v>0</v>
      </c>
      <c r="V102" s="34">
        <f>IF(AND(F102&gt;2.06,F102&lt;2.5),VLOOKUP($V$2,'Unit Price'!$B$3:$C$19,2,0),0)</f>
        <v>0</v>
      </c>
      <c r="W102" s="34">
        <f>IF(AND(F102&gt;2.06,F102&lt;2.5),VLOOKUP($W$2,'Unit Price'!$B$3:$C$19,2,0),0)</f>
        <v>0</v>
      </c>
      <c r="X102" s="34">
        <f>IF(F102&gt;2.5,VLOOKUP($X$2,'Unit Price'!$B$3:$C$19,2,0),0)</f>
        <v>1200000</v>
      </c>
      <c r="Y102" s="34">
        <f>IF(F102&gt;2.5,VLOOKUP($Y$2,'Unit Price'!$B$3:$C$19,2,0),0)</f>
        <v>350000</v>
      </c>
      <c r="Z102" s="34">
        <f>IF(F102&lt;2.5,6*VLOOKUP($Z$2,'Unit Price'!$B$3:$C$19,2,0),0)</f>
        <v>0</v>
      </c>
      <c r="AA102" s="34">
        <f>IF(F102&lt;2.5,3*VLOOKUP($AA$2,'Unit Price'!$B$3:$C$19,2,0),0)</f>
        <v>0</v>
      </c>
      <c r="AB102" s="34">
        <f>IF(F102&gt;2.5,6*VLOOKUP($AB$2,'Unit Price'!$B$3:$C$19,2,0),0)</f>
        <v>375000</v>
      </c>
      <c r="AC102" s="34">
        <f>IF(F102&gt;2.5,3*VLOOKUP($AC$2,'Unit Price'!$B$3:$C$19,2,0),0)</f>
        <v>216000</v>
      </c>
      <c r="AD102" s="36"/>
      <c r="AE102" s="46">
        <f t="shared" si="6"/>
        <v>2419000</v>
      </c>
      <c r="AF102" s="66">
        <f t="shared" si="7"/>
        <v>381000</v>
      </c>
    </row>
    <row r="103" spans="1:32">
      <c r="A103" s="25">
        <v>101</v>
      </c>
      <c r="B103" s="26" t="s">
        <v>223</v>
      </c>
      <c r="C103" s="26" t="s">
        <v>224</v>
      </c>
      <c r="D103" s="26" t="s">
        <v>37</v>
      </c>
      <c r="E103" s="26">
        <v>9.120000000000001</v>
      </c>
      <c r="F103" s="27">
        <v>3</v>
      </c>
      <c r="G103" s="26">
        <v>17</v>
      </c>
      <c r="H103" s="53">
        <v>5</v>
      </c>
      <c r="I103" s="59">
        <v>85</v>
      </c>
      <c r="J103" s="5">
        <f t="shared" si="4"/>
        <v>1</v>
      </c>
      <c r="K103" s="36">
        <v>2800000</v>
      </c>
      <c r="L103" s="37">
        <f t="shared" si="5"/>
        <v>2800000</v>
      </c>
      <c r="N103" s="34">
        <f>H103*VLOOKUP($N$2,'Unit Price'!$B$3:$C$19,2,0)</f>
        <v>90000</v>
      </c>
      <c r="O103" s="34">
        <f>1*VLOOKUP($O$2,'Unit Price'!$B$3:$C$19,2,0)</f>
        <v>10000</v>
      </c>
      <c r="P103" s="34">
        <f>1*VLOOKUP($P$2,'Unit Price'!$B$3:$C$19,2,0)</f>
        <v>8000</v>
      </c>
      <c r="Q103" s="34">
        <f>G103*2*VLOOKUP($Q$2,'Unit Price'!$B$3:$C$19,2,0)</f>
        <v>51000</v>
      </c>
      <c r="R103" s="34">
        <f>H103*3*VLOOKUP($R$2,'Unit Price'!$B$3:$C$19,2,0)</f>
        <v>37500</v>
      </c>
      <c r="S103" s="34">
        <f>IF(F103&lt;=2.2,3*VLOOKUP($S$2,'Unit Price'!$B$3:$C$19,2,0),5*VLOOKUP($S$2,'Unit Price'!$B$3:$C$19,2,0))</f>
        <v>50000</v>
      </c>
      <c r="T103" s="34">
        <f>IF(F103&lt;=2.06,VLOOKUP($T$2,'Unit Price'!$B$3:$C$19,2,0),0)</f>
        <v>0</v>
      </c>
      <c r="U103" s="34">
        <f>IF(F103&lt;=2.06,VLOOKUP($U$2,'Unit Price'!$B$3:$C$19,2,0),0)</f>
        <v>0</v>
      </c>
      <c r="V103" s="34">
        <f>IF(AND(F103&gt;2.06,F103&lt;2.5),VLOOKUP($V$2,'Unit Price'!$B$3:$C$19,2,0),0)</f>
        <v>0</v>
      </c>
      <c r="W103" s="34">
        <f>IF(AND(F103&gt;2.06,F103&lt;2.5),VLOOKUP($W$2,'Unit Price'!$B$3:$C$19,2,0),0)</f>
        <v>0</v>
      </c>
      <c r="X103" s="34">
        <f>IF(F103&gt;2.5,VLOOKUP($X$2,'Unit Price'!$B$3:$C$19,2,0),0)</f>
        <v>1200000</v>
      </c>
      <c r="Y103" s="34">
        <f>IF(F103&gt;2.5,VLOOKUP($Y$2,'Unit Price'!$B$3:$C$19,2,0),0)</f>
        <v>350000</v>
      </c>
      <c r="Z103" s="34">
        <f>IF(F103&lt;2.5,6*VLOOKUP($Z$2,'Unit Price'!$B$3:$C$19,2,0),0)</f>
        <v>0</v>
      </c>
      <c r="AA103" s="34">
        <f>IF(F103&lt;2.5,3*VLOOKUP($AA$2,'Unit Price'!$B$3:$C$19,2,0),0)</f>
        <v>0</v>
      </c>
      <c r="AB103" s="34">
        <f>IF(F103&gt;2.5,6*VLOOKUP($AB$2,'Unit Price'!$B$3:$C$19,2,0),0)</f>
        <v>375000</v>
      </c>
      <c r="AC103" s="34">
        <f>IF(F103&gt;2.5,3*VLOOKUP($AC$2,'Unit Price'!$B$3:$C$19,2,0),0)</f>
        <v>216000</v>
      </c>
      <c r="AD103" s="36"/>
      <c r="AE103" s="46">
        <f t="shared" si="6"/>
        <v>2387500</v>
      </c>
      <c r="AF103" s="66">
        <f t="shared" si="7"/>
        <v>412500</v>
      </c>
    </row>
    <row r="104" spans="1:32">
      <c r="A104" s="25">
        <v>102</v>
      </c>
      <c r="B104" s="26" t="s">
        <v>225</v>
      </c>
      <c r="C104" s="26" t="s">
        <v>226</v>
      </c>
      <c r="D104" s="26" t="s">
        <v>37</v>
      </c>
      <c r="E104" s="26">
        <v>13.47</v>
      </c>
      <c r="F104" s="27">
        <v>3</v>
      </c>
      <c r="G104" s="26">
        <v>14</v>
      </c>
      <c r="H104" s="53">
        <v>4</v>
      </c>
      <c r="I104" s="59">
        <v>56</v>
      </c>
      <c r="J104" s="5">
        <f t="shared" si="4"/>
        <v>1</v>
      </c>
      <c r="K104" s="36">
        <v>2800000</v>
      </c>
      <c r="L104" s="37">
        <f t="shared" si="5"/>
        <v>2800000</v>
      </c>
      <c r="N104" s="34">
        <f>H104*VLOOKUP($N$2,'Unit Price'!$B$3:$C$19,2,0)</f>
        <v>72000</v>
      </c>
      <c r="O104" s="34">
        <f>1*VLOOKUP($O$2,'Unit Price'!$B$3:$C$19,2,0)</f>
        <v>10000</v>
      </c>
      <c r="P104" s="34">
        <f>1*VLOOKUP($P$2,'Unit Price'!$B$3:$C$19,2,0)</f>
        <v>8000</v>
      </c>
      <c r="Q104" s="34">
        <f>G104*2*VLOOKUP($Q$2,'Unit Price'!$B$3:$C$19,2,0)</f>
        <v>42000</v>
      </c>
      <c r="R104" s="34">
        <f>H104*3*VLOOKUP($R$2,'Unit Price'!$B$3:$C$19,2,0)</f>
        <v>30000</v>
      </c>
      <c r="S104" s="34">
        <f>IF(F104&lt;=2.2,3*VLOOKUP($S$2,'Unit Price'!$B$3:$C$19,2,0),5*VLOOKUP($S$2,'Unit Price'!$B$3:$C$19,2,0))</f>
        <v>50000</v>
      </c>
      <c r="T104" s="34">
        <f>IF(F104&lt;=2.06,VLOOKUP($T$2,'Unit Price'!$B$3:$C$19,2,0),0)</f>
        <v>0</v>
      </c>
      <c r="U104" s="34">
        <f>IF(F104&lt;=2.06,VLOOKUP($U$2,'Unit Price'!$B$3:$C$19,2,0),0)</f>
        <v>0</v>
      </c>
      <c r="V104" s="34">
        <f>IF(AND(F104&gt;2.06,F104&lt;2.5),VLOOKUP($V$2,'Unit Price'!$B$3:$C$19,2,0),0)</f>
        <v>0</v>
      </c>
      <c r="W104" s="34">
        <f>IF(AND(F104&gt;2.06,F104&lt;2.5),VLOOKUP($W$2,'Unit Price'!$B$3:$C$19,2,0),0)</f>
        <v>0</v>
      </c>
      <c r="X104" s="34">
        <f>IF(F104&gt;2.5,VLOOKUP($X$2,'Unit Price'!$B$3:$C$19,2,0),0)</f>
        <v>1200000</v>
      </c>
      <c r="Y104" s="34">
        <f>IF(F104&gt;2.5,VLOOKUP($Y$2,'Unit Price'!$B$3:$C$19,2,0),0)</f>
        <v>350000</v>
      </c>
      <c r="Z104" s="34">
        <f>IF(F104&lt;2.5,6*VLOOKUP($Z$2,'Unit Price'!$B$3:$C$19,2,0),0)</f>
        <v>0</v>
      </c>
      <c r="AA104" s="34">
        <f>IF(F104&lt;2.5,3*VLOOKUP($AA$2,'Unit Price'!$B$3:$C$19,2,0),0)</f>
        <v>0</v>
      </c>
      <c r="AB104" s="34">
        <f>IF(F104&gt;2.5,6*VLOOKUP($AB$2,'Unit Price'!$B$3:$C$19,2,0),0)</f>
        <v>375000</v>
      </c>
      <c r="AC104" s="34">
        <f>IF(F104&gt;2.5,3*VLOOKUP($AC$2,'Unit Price'!$B$3:$C$19,2,0),0)</f>
        <v>216000</v>
      </c>
      <c r="AD104" s="36"/>
      <c r="AE104" s="46">
        <f t="shared" si="6"/>
        <v>2353000</v>
      </c>
      <c r="AF104" s="66">
        <f t="shared" si="7"/>
        <v>447000</v>
      </c>
    </row>
    <row r="105" spans="1:32">
      <c r="A105" s="25">
        <v>103</v>
      </c>
      <c r="B105" s="26" t="s">
        <v>227</v>
      </c>
      <c r="C105" s="26" t="s">
        <v>228</v>
      </c>
      <c r="D105" s="26" t="s">
        <v>37</v>
      </c>
      <c r="E105" s="26">
        <v>16.53</v>
      </c>
      <c r="F105" s="27">
        <v>3</v>
      </c>
      <c r="G105" s="26">
        <v>12</v>
      </c>
      <c r="H105" s="53">
        <v>4</v>
      </c>
      <c r="I105" s="59">
        <v>48</v>
      </c>
      <c r="J105" s="5">
        <f t="shared" si="4"/>
        <v>1</v>
      </c>
      <c r="K105" s="36">
        <v>2800000</v>
      </c>
      <c r="L105" s="37">
        <f t="shared" si="5"/>
        <v>2800000</v>
      </c>
      <c r="N105" s="34">
        <f>H105*VLOOKUP($N$2,'Unit Price'!$B$3:$C$19,2,0)</f>
        <v>72000</v>
      </c>
      <c r="O105" s="34">
        <f>1*VLOOKUP($O$2,'Unit Price'!$B$3:$C$19,2,0)</f>
        <v>10000</v>
      </c>
      <c r="P105" s="34">
        <f>1*VLOOKUP($P$2,'Unit Price'!$B$3:$C$19,2,0)</f>
        <v>8000</v>
      </c>
      <c r="Q105" s="34">
        <f>G105*2*VLOOKUP($Q$2,'Unit Price'!$B$3:$C$19,2,0)</f>
        <v>36000</v>
      </c>
      <c r="R105" s="34">
        <f>H105*3*VLOOKUP($R$2,'Unit Price'!$B$3:$C$19,2,0)</f>
        <v>30000</v>
      </c>
      <c r="S105" s="34">
        <f>IF(F105&lt;=2.2,3*VLOOKUP($S$2,'Unit Price'!$B$3:$C$19,2,0),5*VLOOKUP($S$2,'Unit Price'!$B$3:$C$19,2,0))</f>
        <v>50000</v>
      </c>
      <c r="T105" s="34">
        <f>IF(F105&lt;=2.06,VLOOKUP($T$2,'Unit Price'!$B$3:$C$19,2,0),0)</f>
        <v>0</v>
      </c>
      <c r="U105" s="34">
        <f>IF(F105&lt;=2.06,VLOOKUP($U$2,'Unit Price'!$B$3:$C$19,2,0),0)</f>
        <v>0</v>
      </c>
      <c r="V105" s="34">
        <f>IF(AND(F105&gt;2.06,F105&lt;2.5),VLOOKUP($V$2,'Unit Price'!$B$3:$C$19,2,0),0)</f>
        <v>0</v>
      </c>
      <c r="W105" s="34">
        <f>IF(AND(F105&gt;2.06,F105&lt;2.5),VLOOKUP($W$2,'Unit Price'!$B$3:$C$19,2,0),0)</f>
        <v>0</v>
      </c>
      <c r="X105" s="34">
        <f>IF(F105&gt;2.5,VLOOKUP($X$2,'Unit Price'!$B$3:$C$19,2,0),0)</f>
        <v>1200000</v>
      </c>
      <c r="Y105" s="34">
        <f>IF(F105&gt;2.5,VLOOKUP($Y$2,'Unit Price'!$B$3:$C$19,2,0),0)</f>
        <v>350000</v>
      </c>
      <c r="Z105" s="34">
        <f>IF(F105&lt;2.5,6*VLOOKUP($Z$2,'Unit Price'!$B$3:$C$19,2,0),0)</f>
        <v>0</v>
      </c>
      <c r="AA105" s="34">
        <f>IF(F105&lt;2.5,3*VLOOKUP($AA$2,'Unit Price'!$B$3:$C$19,2,0),0)</f>
        <v>0</v>
      </c>
      <c r="AB105" s="34">
        <f>IF(F105&gt;2.5,6*VLOOKUP($AB$2,'Unit Price'!$B$3:$C$19,2,0),0)</f>
        <v>375000</v>
      </c>
      <c r="AC105" s="34">
        <f>IF(F105&gt;2.5,3*VLOOKUP($AC$2,'Unit Price'!$B$3:$C$19,2,0),0)</f>
        <v>216000</v>
      </c>
      <c r="AD105" s="36"/>
      <c r="AE105" s="46">
        <f t="shared" si="6"/>
        <v>2347000</v>
      </c>
      <c r="AF105" s="66">
        <f t="shared" si="7"/>
        <v>453000</v>
      </c>
    </row>
    <row r="106" spans="1:32">
      <c r="A106" s="25">
        <v>104</v>
      </c>
      <c r="B106" s="26" t="s">
        <v>229</v>
      </c>
      <c r="C106" s="26" t="s">
        <v>230</v>
      </c>
      <c r="D106" s="26" t="s">
        <v>37</v>
      </c>
      <c r="E106" s="26">
        <v>21.330000000000002</v>
      </c>
      <c r="F106" s="27">
        <v>3</v>
      </c>
      <c r="G106" s="26">
        <v>11</v>
      </c>
      <c r="H106" s="53">
        <v>3</v>
      </c>
      <c r="I106" s="59">
        <v>33</v>
      </c>
      <c r="J106" s="5">
        <f t="shared" si="4"/>
        <v>1</v>
      </c>
      <c r="K106" s="36">
        <v>2800000</v>
      </c>
      <c r="L106" s="37">
        <f t="shared" si="5"/>
        <v>2800000</v>
      </c>
      <c r="N106" s="34">
        <f>H106*VLOOKUP($N$2,'Unit Price'!$B$3:$C$19,2,0)</f>
        <v>54000</v>
      </c>
      <c r="O106" s="34">
        <f>1*VLOOKUP($O$2,'Unit Price'!$B$3:$C$19,2,0)</f>
        <v>10000</v>
      </c>
      <c r="P106" s="34">
        <f>1*VLOOKUP($P$2,'Unit Price'!$B$3:$C$19,2,0)</f>
        <v>8000</v>
      </c>
      <c r="Q106" s="34">
        <f>G106*2*VLOOKUP($Q$2,'Unit Price'!$B$3:$C$19,2,0)</f>
        <v>33000</v>
      </c>
      <c r="R106" s="34">
        <f>H106*3*VLOOKUP($R$2,'Unit Price'!$B$3:$C$19,2,0)</f>
        <v>22500</v>
      </c>
      <c r="S106" s="34">
        <f>IF(F106&lt;=2.2,3*VLOOKUP($S$2,'Unit Price'!$B$3:$C$19,2,0),5*VLOOKUP($S$2,'Unit Price'!$B$3:$C$19,2,0))</f>
        <v>50000</v>
      </c>
      <c r="T106" s="34">
        <f>IF(F106&lt;=2.06,VLOOKUP($T$2,'Unit Price'!$B$3:$C$19,2,0),0)</f>
        <v>0</v>
      </c>
      <c r="U106" s="34">
        <f>IF(F106&lt;=2.06,VLOOKUP($U$2,'Unit Price'!$B$3:$C$19,2,0),0)</f>
        <v>0</v>
      </c>
      <c r="V106" s="34">
        <f>IF(AND(F106&gt;2.06,F106&lt;2.5),VLOOKUP($V$2,'Unit Price'!$B$3:$C$19,2,0),0)</f>
        <v>0</v>
      </c>
      <c r="W106" s="34">
        <f>IF(AND(F106&gt;2.06,F106&lt;2.5),VLOOKUP($W$2,'Unit Price'!$B$3:$C$19,2,0),0)</f>
        <v>0</v>
      </c>
      <c r="X106" s="34">
        <f>IF(F106&gt;2.5,VLOOKUP($X$2,'Unit Price'!$B$3:$C$19,2,0),0)</f>
        <v>1200000</v>
      </c>
      <c r="Y106" s="34">
        <f>IF(F106&gt;2.5,VLOOKUP($Y$2,'Unit Price'!$B$3:$C$19,2,0),0)</f>
        <v>350000</v>
      </c>
      <c r="Z106" s="34">
        <f>IF(F106&lt;2.5,6*VLOOKUP($Z$2,'Unit Price'!$B$3:$C$19,2,0),0)</f>
        <v>0</v>
      </c>
      <c r="AA106" s="34">
        <f>IF(F106&lt;2.5,3*VLOOKUP($AA$2,'Unit Price'!$B$3:$C$19,2,0),0)</f>
        <v>0</v>
      </c>
      <c r="AB106" s="34">
        <f>IF(F106&gt;2.5,6*VLOOKUP($AB$2,'Unit Price'!$B$3:$C$19,2,0),0)</f>
        <v>375000</v>
      </c>
      <c r="AC106" s="34">
        <f>IF(F106&gt;2.5,3*VLOOKUP($AC$2,'Unit Price'!$B$3:$C$19,2,0),0)</f>
        <v>216000</v>
      </c>
      <c r="AD106" s="36"/>
      <c r="AE106" s="46">
        <f t="shared" si="6"/>
        <v>2318500</v>
      </c>
      <c r="AF106" s="66">
        <f t="shared" si="7"/>
        <v>481500</v>
      </c>
    </row>
    <row r="107" spans="1:32">
      <c r="A107" s="25">
        <v>105</v>
      </c>
      <c r="B107" s="26" t="s">
        <v>231</v>
      </c>
      <c r="C107" s="26" t="s">
        <v>232</v>
      </c>
      <c r="D107" s="26" t="s">
        <v>37</v>
      </c>
      <c r="E107" s="26">
        <v>25.92</v>
      </c>
      <c r="F107" s="27">
        <v>3</v>
      </c>
      <c r="G107" s="26">
        <v>10</v>
      </c>
      <c r="H107" s="53">
        <v>3</v>
      </c>
      <c r="I107" s="59">
        <v>30</v>
      </c>
      <c r="J107" s="5">
        <f t="shared" si="4"/>
        <v>1</v>
      </c>
      <c r="K107" s="36">
        <v>2800000</v>
      </c>
      <c r="L107" s="37">
        <f t="shared" si="5"/>
        <v>2800000</v>
      </c>
      <c r="N107" s="34">
        <f>H107*VLOOKUP($N$2,'Unit Price'!$B$3:$C$19,2,0)</f>
        <v>54000</v>
      </c>
      <c r="O107" s="34">
        <f>1*VLOOKUP($O$2,'Unit Price'!$B$3:$C$19,2,0)</f>
        <v>10000</v>
      </c>
      <c r="P107" s="34">
        <f>1*VLOOKUP($P$2,'Unit Price'!$B$3:$C$19,2,0)</f>
        <v>8000</v>
      </c>
      <c r="Q107" s="34">
        <f>G107*2*VLOOKUP($Q$2,'Unit Price'!$B$3:$C$19,2,0)</f>
        <v>30000</v>
      </c>
      <c r="R107" s="34">
        <f>H107*3*VLOOKUP($R$2,'Unit Price'!$B$3:$C$19,2,0)</f>
        <v>22500</v>
      </c>
      <c r="S107" s="34">
        <f>IF(F107&lt;=2.2,3*VLOOKUP($S$2,'Unit Price'!$B$3:$C$19,2,0),5*VLOOKUP($S$2,'Unit Price'!$B$3:$C$19,2,0))</f>
        <v>50000</v>
      </c>
      <c r="T107" s="34">
        <f>IF(F107&lt;=2.06,VLOOKUP($T$2,'Unit Price'!$B$3:$C$19,2,0),0)</f>
        <v>0</v>
      </c>
      <c r="U107" s="34">
        <f>IF(F107&lt;=2.06,VLOOKUP($U$2,'Unit Price'!$B$3:$C$19,2,0),0)</f>
        <v>0</v>
      </c>
      <c r="V107" s="34">
        <f>IF(AND(F107&gt;2.06,F107&lt;2.5),VLOOKUP($V$2,'Unit Price'!$B$3:$C$19,2,0),0)</f>
        <v>0</v>
      </c>
      <c r="W107" s="34">
        <f>IF(AND(F107&gt;2.06,F107&lt;2.5),VLOOKUP($W$2,'Unit Price'!$B$3:$C$19,2,0),0)</f>
        <v>0</v>
      </c>
      <c r="X107" s="34">
        <f>IF(F107&gt;2.5,VLOOKUP($X$2,'Unit Price'!$B$3:$C$19,2,0),0)</f>
        <v>1200000</v>
      </c>
      <c r="Y107" s="34">
        <f>IF(F107&gt;2.5,VLOOKUP($Y$2,'Unit Price'!$B$3:$C$19,2,0),0)</f>
        <v>350000</v>
      </c>
      <c r="Z107" s="34">
        <f>IF(F107&lt;2.5,6*VLOOKUP($Z$2,'Unit Price'!$B$3:$C$19,2,0),0)</f>
        <v>0</v>
      </c>
      <c r="AA107" s="34">
        <f>IF(F107&lt;2.5,3*VLOOKUP($AA$2,'Unit Price'!$B$3:$C$19,2,0),0)</f>
        <v>0</v>
      </c>
      <c r="AB107" s="34">
        <f>IF(F107&gt;2.5,6*VLOOKUP($AB$2,'Unit Price'!$B$3:$C$19,2,0),0)</f>
        <v>375000</v>
      </c>
      <c r="AC107" s="34">
        <f>IF(F107&gt;2.5,3*VLOOKUP($AC$2,'Unit Price'!$B$3:$C$19,2,0),0)</f>
        <v>216000</v>
      </c>
      <c r="AD107" s="36"/>
      <c r="AE107" s="46">
        <f t="shared" si="6"/>
        <v>2315500</v>
      </c>
      <c r="AF107" s="66">
        <f t="shared" si="7"/>
        <v>484500</v>
      </c>
    </row>
    <row r="108" spans="1:32">
      <c r="A108" s="25">
        <v>106</v>
      </c>
      <c r="B108" s="26" t="s">
        <v>233</v>
      </c>
      <c r="C108" s="26" t="s">
        <v>234</v>
      </c>
      <c r="D108" s="26" t="s">
        <v>37</v>
      </c>
      <c r="E108" s="26">
        <v>7.6499999999999995</v>
      </c>
      <c r="F108" s="27">
        <v>3</v>
      </c>
      <c r="G108" s="26">
        <v>19</v>
      </c>
      <c r="H108" s="53">
        <v>6</v>
      </c>
      <c r="I108" s="59">
        <v>114</v>
      </c>
      <c r="J108" s="5">
        <f t="shared" si="4"/>
        <v>1</v>
      </c>
      <c r="K108" s="36">
        <v>2800000</v>
      </c>
      <c r="L108" s="37">
        <f t="shared" si="5"/>
        <v>2800000</v>
      </c>
      <c r="N108" s="34">
        <f>H108*VLOOKUP($N$2,'Unit Price'!$B$3:$C$19,2,0)</f>
        <v>108000</v>
      </c>
      <c r="O108" s="34">
        <f>1*VLOOKUP($O$2,'Unit Price'!$B$3:$C$19,2,0)</f>
        <v>10000</v>
      </c>
      <c r="P108" s="34">
        <f>1*VLOOKUP($P$2,'Unit Price'!$B$3:$C$19,2,0)</f>
        <v>8000</v>
      </c>
      <c r="Q108" s="34">
        <f>G108*2*VLOOKUP($Q$2,'Unit Price'!$B$3:$C$19,2,0)</f>
        <v>57000</v>
      </c>
      <c r="R108" s="34">
        <f>H108*3*VLOOKUP($R$2,'Unit Price'!$B$3:$C$19,2,0)</f>
        <v>45000</v>
      </c>
      <c r="S108" s="34">
        <f>IF(F108&lt;=2.2,3*VLOOKUP($S$2,'Unit Price'!$B$3:$C$19,2,0),5*VLOOKUP($S$2,'Unit Price'!$B$3:$C$19,2,0))</f>
        <v>50000</v>
      </c>
      <c r="T108" s="34">
        <f>IF(F108&lt;=2.06,VLOOKUP($T$2,'Unit Price'!$B$3:$C$19,2,0),0)</f>
        <v>0</v>
      </c>
      <c r="U108" s="34">
        <f>IF(F108&lt;=2.06,VLOOKUP($U$2,'Unit Price'!$B$3:$C$19,2,0),0)</f>
        <v>0</v>
      </c>
      <c r="V108" s="34">
        <f>IF(AND(F108&gt;2.06,F108&lt;2.5),VLOOKUP($V$2,'Unit Price'!$B$3:$C$19,2,0),0)</f>
        <v>0</v>
      </c>
      <c r="W108" s="34">
        <f>IF(AND(F108&gt;2.06,F108&lt;2.5),VLOOKUP($W$2,'Unit Price'!$B$3:$C$19,2,0),0)</f>
        <v>0</v>
      </c>
      <c r="X108" s="34">
        <f>IF(F108&gt;2.5,VLOOKUP($X$2,'Unit Price'!$B$3:$C$19,2,0),0)</f>
        <v>1200000</v>
      </c>
      <c r="Y108" s="34">
        <f>IF(F108&gt;2.5,VLOOKUP($Y$2,'Unit Price'!$B$3:$C$19,2,0),0)</f>
        <v>350000</v>
      </c>
      <c r="Z108" s="34">
        <f>IF(F108&lt;2.5,6*VLOOKUP($Z$2,'Unit Price'!$B$3:$C$19,2,0),0)</f>
        <v>0</v>
      </c>
      <c r="AA108" s="34">
        <f>IF(F108&lt;2.5,3*VLOOKUP($AA$2,'Unit Price'!$B$3:$C$19,2,0),0)</f>
        <v>0</v>
      </c>
      <c r="AB108" s="34">
        <f>IF(F108&gt;2.5,6*VLOOKUP($AB$2,'Unit Price'!$B$3:$C$19,2,0),0)</f>
        <v>375000</v>
      </c>
      <c r="AC108" s="34">
        <f>IF(F108&gt;2.5,3*VLOOKUP($AC$2,'Unit Price'!$B$3:$C$19,2,0),0)</f>
        <v>216000</v>
      </c>
      <c r="AD108" s="36"/>
      <c r="AE108" s="46">
        <f t="shared" si="6"/>
        <v>2419000</v>
      </c>
      <c r="AF108" s="66">
        <f t="shared" si="7"/>
        <v>381000</v>
      </c>
    </row>
    <row r="109" spans="1:32">
      <c r="A109" s="25">
        <v>107</v>
      </c>
      <c r="B109" s="26" t="s">
        <v>235</v>
      </c>
      <c r="C109" s="26" t="s">
        <v>236</v>
      </c>
      <c r="D109" s="26" t="s">
        <v>37</v>
      </c>
      <c r="E109" s="26">
        <v>9.7799999999999994</v>
      </c>
      <c r="F109" s="27">
        <v>3</v>
      </c>
      <c r="G109" s="26">
        <v>17</v>
      </c>
      <c r="H109" s="53">
        <v>5</v>
      </c>
      <c r="I109" s="59">
        <v>85</v>
      </c>
      <c r="J109" s="5">
        <f t="shared" si="4"/>
        <v>1</v>
      </c>
      <c r="K109" s="36">
        <v>2800000</v>
      </c>
      <c r="L109" s="37">
        <f t="shared" si="5"/>
        <v>2800000</v>
      </c>
      <c r="N109" s="34">
        <f>H109*VLOOKUP($N$2,'Unit Price'!$B$3:$C$19,2,0)</f>
        <v>90000</v>
      </c>
      <c r="O109" s="34">
        <f>1*VLOOKUP($O$2,'Unit Price'!$B$3:$C$19,2,0)</f>
        <v>10000</v>
      </c>
      <c r="P109" s="34">
        <f>1*VLOOKUP($P$2,'Unit Price'!$B$3:$C$19,2,0)</f>
        <v>8000</v>
      </c>
      <c r="Q109" s="34">
        <f>G109*2*VLOOKUP($Q$2,'Unit Price'!$B$3:$C$19,2,0)</f>
        <v>51000</v>
      </c>
      <c r="R109" s="34">
        <f>H109*3*VLOOKUP($R$2,'Unit Price'!$B$3:$C$19,2,0)</f>
        <v>37500</v>
      </c>
      <c r="S109" s="34">
        <f>IF(F109&lt;=2.2,3*VLOOKUP($S$2,'Unit Price'!$B$3:$C$19,2,0),5*VLOOKUP($S$2,'Unit Price'!$B$3:$C$19,2,0))</f>
        <v>50000</v>
      </c>
      <c r="T109" s="34">
        <f>IF(F109&lt;=2.06,VLOOKUP($T$2,'Unit Price'!$B$3:$C$19,2,0),0)</f>
        <v>0</v>
      </c>
      <c r="U109" s="34">
        <f>IF(F109&lt;=2.06,VLOOKUP($U$2,'Unit Price'!$B$3:$C$19,2,0),0)</f>
        <v>0</v>
      </c>
      <c r="V109" s="34">
        <f>IF(AND(F109&gt;2.06,F109&lt;2.5),VLOOKUP($V$2,'Unit Price'!$B$3:$C$19,2,0),0)</f>
        <v>0</v>
      </c>
      <c r="W109" s="34">
        <f>IF(AND(F109&gt;2.06,F109&lt;2.5),VLOOKUP($W$2,'Unit Price'!$B$3:$C$19,2,0),0)</f>
        <v>0</v>
      </c>
      <c r="X109" s="34">
        <f>IF(F109&gt;2.5,VLOOKUP($X$2,'Unit Price'!$B$3:$C$19,2,0),0)</f>
        <v>1200000</v>
      </c>
      <c r="Y109" s="34">
        <f>IF(F109&gt;2.5,VLOOKUP($Y$2,'Unit Price'!$B$3:$C$19,2,0),0)</f>
        <v>350000</v>
      </c>
      <c r="Z109" s="34">
        <f>IF(F109&lt;2.5,6*VLOOKUP($Z$2,'Unit Price'!$B$3:$C$19,2,0),0)</f>
        <v>0</v>
      </c>
      <c r="AA109" s="34">
        <f>IF(F109&lt;2.5,3*VLOOKUP($AA$2,'Unit Price'!$B$3:$C$19,2,0),0)</f>
        <v>0</v>
      </c>
      <c r="AB109" s="34">
        <f>IF(F109&gt;2.5,6*VLOOKUP($AB$2,'Unit Price'!$B$3:$C$19,2,0),0)</f>
        <v>375000</v>
      </c>
      <c r="AC109" s="34">
        <f>IF(F109&gt;2.5,3*VLOOKUP($AC$2,'Unit Price'!$B$3:$C$19,2,0),0)</f>
        <v>216000</v>
      </c>
      <c r="AD109" s="36"/>
      <c r="AE109" s="46">
        <f t="shared" si="6"/>
        <v>2387500</v>
      </c>
      <c r="AF109" s="66">
        <f t="shared" si="7"/>
        <v>412500</v>
      </c>
    </row>
    <row r="110" spans="1:32">
      <c r="A110" s="25">
        <v>108</v>
      </c>
      <c r="B110" s="26" t="s">
        <v>237</v>
      </c>
      <c r="C110" s="26" t="s">
        <v>238</v>
      </c>
      <c r="D110" s="26" t="s">
        <v>37</v>
      </c>
      <c r="E110" s="26">
        <v>15.09</v>
      </c>
      <c r="F110" s="27">
        <v>3</v>
      </c>
      <c r="G110" s="26">
        <v>14</v>
      </c>
      <c r="H110" s="53">
        <v>4</v>
      </c>
      <c r="I110" s="59">
        <v>56</v>
      </c>
      <c r="J110" s="5">
        <f t="shared" si="4"/>
        <v>1</v>
      </c>
      <c r="K110" s="36">
        <v>2800000</v>
      </c>
      <c r="L110" s="37">
        <f t="shared" si="5"/>
        <v>2800000</v>
      </c>
      <c r="N110" s="34">
        <f>H110*VLOOKUP($N$2,'Unit Price'!$B$3:$C$19,2,0)</f>
        <v>72000</v>
      </c>
      <c r="O110" s="34">
        <f>1*VLOOKUP($O$2,'Unit Price'!$B$3:$C$19,2,0)</f>
        <v>10000</v>
      </c>
      <c r="P110" s="34">
        <f>1*VLOOKUP($P$2,'Unit Price'!$B$3:$C$19,2,0)</f>
        <v>8000</v>
      </c>
      <c r="Q110" s="34">
        <f>G110*2*VLOOKUP($Q$2,'Unit Price'!$B$3:$C$19,2,0)</f>
        <v>42000</v>
      </c>
      <c r="R110" s="34">
        <f>H110*3*VLOOKUP($R$2,'Unit Price'!$B$3:$C$19,2,0)</f>
        <v>30000</v>
      </c>
      <c r="S110" s="34">
        <f>IF(F110&lt;=2.2,3*VLOOKUP($S$2,'Unit Price'!$B$3:$C$19,2,0),5*VLOOKUP($S$2,'Unit Price'!$B$3:$C$19,2,0))</f>
        <v>50000</v>
      </c>
      <c r="T110" s="34">
        <f>IF(F110&lt;=2.06,VLOOKUP($T$2,'Unit Price'!$B$3:$C$19,2,0),0)</f>
        <v>0</v>
      </c>
      <c r="U110" s="34">
        <f>IF(F110&lt;=2.06,VLOOKUP($U$2,'Unit Price'!$B$3:$C$19,2,0),0)</f>
        <v>0</v>
      </c>
      <c r="V110" s="34">
        <f>IF(AND(F110&gt;2.06,F110&lt;2.5),VLOOKUP($V$2,'Unit Price'!$B$3:$C$19,2,0),0)</f>
        <v>0</v>
      </c>
      <c r="W110" s="34">
        <f>IF(AND(F110&gt;2.06,F110&lt;2.5),VLOOKUP($W$2,'Unit Price'!$B$3:$C$19,2,0),0)</f>
        <v>0</v>
      </c>
      <c r="X110" s="34">
        <f>IF(F110&gt;2.5,VLOOKUP($X$2,'Unit Price'!$B$3:$C$19,2,0),0)</f>
        <v>1200000</v>
      </c>
      <c r="Y110" s="34">
        <f>IF(F110&gt;2.5,VLOOKUP($Y$2,'Unit Price'!$B$3:$C$19,2,0),0)</f>
        <v>350000</v>
      </c>
      <c r="Z110" s="34">
        <f>IF(F110&lt;2.5,6*VLOOKUP($Z$2,'Unit Price'!$B$3:$C$19,2,0),0)</f>
        <v>0</v>
      </c>
      <c r="AA110" s="34">
        <f>IF(F110&lt;2.5,3*VLOOKUP($AA$2,'Unit Price'!$B$3:$C$19,2,0),0)</f>
        <v>0</v>
      </c>
      <c r="AB110" s="34">
        <f>IF(F110&gt;2.5,6*VLOOKUP($AB$2,'Unit Price'!$B$3:$C$19,2,0),0)</f>
        <v>375000</v>
      </c>
      <c r="AC110" s="34">
        <f>IF(F110&gt;2.5,3*VLOOKUP($AC$2,'Unit Price'!$B$3:$C$19,2,0),0)</f>
        <v>216000</v>
      </c>
      <c r="AD110" s="36"/>
      <c r="AE110" s="46">
        <f t="shared" si="6"/>
        <v>2353000</v>
      </c>
      <c r="AF110" s="66">
        <f t="shared" si="7"/>
        <v>447000</v>
      </c>
    </row>
    <row r="111" spans="1:32">
      <c r="A111" s="25">
        <v>109</v>
      </c>
      <c r="B111" s="26" t="s">
        <v>239</v>
      </c>
      <c r="C111" s="26" t="s">
        <v>240</v>
      </c>
      <c r="D111" s="26" t="s">
        <v>37</v>
      </c>
      <c r="E111" s="26">
        <v>18.57</v>
      </c>
      <c r="F111" s="27">
        <v>3</v>
      </c>
      <c r="G111" s="26">
        <v>12</v>
      </c>
      <c r="H111" s="53">
        <v>4</v>
      </c>
      <c r="I111" s="59">
        <v>48</v>
      </c>
      <c r="J111" s="5">
        <f t="shared" si="4"/>
        <v>1</v>
      </c>
      <c r="K111" s="36">
        <v>2800000</v>
      </c>
      <c r="L111" s="37">
        <f t="shared" si="5"/>
        <v>2800000</v>
      </c>
      <c r="N111" s="34">
        <f>H111*VLOOKUP($N$2,'Unit Price'!$B$3:$C$19,2,0)</f>
        <v>72000</v>
      </c>
      <c r="O111" s="34">
        <f>1*VLOOKUP($O$2,'Unit Price'!$B$3:$C$19,2,0)</f>
        <v>10000</v>
      </c>
      <c r="P111" s="34">
        <f>1*VLOOKUP($P$2,'Unit Price'!$B$3:$C$19,2,0)</f>
        <v>8000</v>
      </c>
      <c r="Q111" s="34">
        <f>G111*2*VLOOKUP($Q$2,'Unit Price'!$B$3:$C$19,2,0)</f>
        <v>36000</v>
      </c>
      <c r="R111" s="34">
        <f>H111*3*VLOOKUP($R$2,'Unit Price'!$B$3:$C$19,2,0)</f>
        <v>30000</v>
      </c>
      <c r="S111" s="34">
        <f>IF(F111&lt;=2.2,3*VLOOKUP($S$2,'Unit Price'!$B$3:$C$19,2,0),5*VLOOKUP($S$2,'Unit Price'!$B$3:$C$19,2,0))</f>
        <v>50000</v>
      </c>
      <c r="T111" s="34">
        <f>IF(F111&lt;=2.06,VLOOKUP($T$2,'Unit Price'!$B$3:$C$19,2,0),0)</f>
        <v>0</v>
      </c>
      <c r="U111" s="34">
        <f>IF(F111&lt;=2.06,VLOOKUP($U$2,'Unit Price'!$B$3:$C$19,2,0),0)</f>
        <v>0</v>
      </c>
      <c r="V111" s="34">
        <f>IF(AND(F111&gt;2.06,F111&lt;2.5),VLOOKUP($V$2,'Unit Price'!$B$3:$C$19,2,0),0)</f>
        <v>0</v>
      </c>
      <c r="W111" s="34">
        <f>IF(AND(F111&gt;2.06,F111&lt;2.5),VLOOKUP($W$2,'Unit Price'!$B$3:$C$19,2,0),0)</f>
        <v>0</v>
      </c>
      <c r="X111" s="34">
        <f>IF(F111&gt;2.5,VLOOKUP($X$2,'Unit Price'!$B$3:$C$19,2,0),0)</f>
        <v>1200000</v>
      </c>
      <c r="Y111" s="34">
        <f>IF(F111&gt;2.5,VLOOKUP($Y$2,'Unit Price'!$B$3:$C$19,2,0),0)</f>
        <v>350000</v>
      </c>
      <c r="Z111" s="34">
        <f>IF(F111&lt;2.5,6*VLOOKUP($Z$2,'Unit Price'!$B$3:$C$19,2,0),0)</f>
        <v>0</v>
      </c>
      <c r="AA111" s="34">
        <f>IF(F111&lt;2.5,3*VLOOKUP($AA$2,'Unit Price'!$B$3:$C$19,2,0),0)</f>
        <v>0</v>
      </c>
      <c r="AB111" s="34">
        <f>IF(F111&gt;2.5,6*VLOOKUP($AB$2,'Unit Price'!$B$3:$C$19,2,0),0)</f>
        <v>375000</v>
      </c>
      <c r="AC111" s="34">
        <f>IF(F111&gt;2.5,3*VLOOKUP($AC$2,'Unit Price'!$B$3:$C$19,2,0),0)</f>
        <v>216000</v>
      </c>
      <c r="AD111" s="36"/>
      <c r="AE111" s="46">
        <f t="shared" si="6"/>
        <v>2347000</v>
      </c>
      <c r="AF111" s="66">
        <f t="shared" si="7"/>
        <v>453000</v>
      </c>
    </row>
    <row r="112" spans="1:32">
      <c r="A112" s="25">
        <v>110</v>
      </c>
      <c r="B112" s="26" t="s">
        <v>241</v>
      </c>
      <c r="C112" s="26" t="s">
        <v>242</v>
      </c>
      <c r="D112" s="26" t="s">
        <v>37</v>
      </c>
      <c r="E112" s="26">
        <v>24.450000000000003</v>
      </c>
      <c r="F112" s="27">
        <v>3</v>
      </c>
      <c r="G112" s="26">
        <v>11</v>
      </c>
      <c r="H112" s="53">
        <v>3</v>
      </c>
      <c r="I112" s="59">
        <v>33</v>
      </c>
      <c r="J112" s="5">
        <f t="shared" si="4"/>
        <v>1</v>
      </c>
      <c r="K112" s="36">
        <v>2800000</v>
      </c>
      <c r="L112" s="37">
        <f t="shared" si="5"/>
        <v>2800000</v>
      </c>
      <c r="N112" s="34">
        <f>H112*VLOOKUP($N$2,'Unit Price'!$B$3:$C$19,2,0)</f>
        <v>54000</v>
      </c>
      <c r="O112" s="34">
        <f>1*VLOOKUP($O$2,'Unit Price'!$B$3:$C$19,2,0)</f>
        <v>10000</v>
      </c>
      <c r="P112" s="34">
        <f>1*VLOOKUP($P$2,'Unit Price'!$B$3:$C$19,2,0)</f>
        <v>8000</v>
      </c>
      <c r="Q112" s="34">
        <f>G112*2*VLOOKUP($Q$2,'Unit Price'!$B$3:$C$19,2,0)</f>
        <v>33000</v>
      </c>
      <c r="R112" s="34">
        <f>H112*3*VLOOKUP($R$2,'Unit Price'!$B$3:$C$19,2,0)</f>
        <v>22500</v>
      </c>
      <c r="S112" s="34">
        <f>IF(F112&lt;=2.2,3*VLOOKUP($S$2,'Unit Price'!$B$3:$C$19,2,0),5*VLOOKUP($S$2,'Unit Price'!$B$3:$C$19,2,0))</f>
        <v>50000</v>
      </c>
      <c r="T112" s="34">
        <f>IF(F112&lt;=2.06,VLOOKUP($T$2,'Unit Price'!$B$3:$C$19,2,0),0)</f>
        <v>0</v>
      </c>
      <c r="U112" s="34">
        <f>IF(F112&lt;=2.06,VLOOKUP($U$2,'Unit Price'!$B$3:$C$19,2,0),0)</f>
        <v>0</v>
      </c>
      <c r="V112" s="34">
        <f>IF(AND(F112&gt;2.06,F112&lt;2.5),VLOOKUP($V$2,'Unit Price'!$B$3:$C$19,2,0),0)</f>
        <v>0</v>
      </c>
      <c r="W112" s="34">
        <f>IF(AND(F112&gt;2.06,F112&lt;2.5),VLOOKUP($W$2,'Unit Price'!$B$3:$C$19,2,0),0)</f>
        <v>0</v>
      </c>
      <c r="X112" s="34">
        <f>IF(F112&gt;2.5,VLOOKUP($X$2,'Unit Price'!$B$3:$C$19,2,0),0)</f>
        <v>1200000</v>
      </c>
      <c r="Y112" s="34">
        <f>IF(F112&gt;2.5,VLOOKUP($Y$2,'Unit Price'!$B$3:$C$19,2,0),0)</f>
        <v>350000</v>
      </c>
      <c r="Z112" s="34">
        <f>IF(F112&lt;2.5,6*VLOOKUP($Z$2,'Unit Price'!$B$3:$C$19,2,0),0)</f>
        <v>0</v>
      </c>
      <c r="AA112" s="34">
        <f>IF(F112&lt;2.5,3*VLOOKUP($AA$2,'Unit Price'!$B$3:$C$19,2,0),0)</f>
        <v>0</v>
      </c>
      <c r="AB112" s="34">
        <f>IF(F112&gt;2.5,6*VLOOKUP($AB$2,'Unit Price'!$B$3:$C$19,2,0),0)</f>
        <v>375000</v>
      </c>
      <c r="AC112" s="34">
        <f>IF(F112&gt;2.5,3*VLOOKUP($AC$2,'Unit Price'!$B$3:$C$19,2,0),0)</f>
        <v>216000</v>
      </c>
      <c r="AD112" s="36"/>
      <c r="AE112" s="46">
        <f t="shared" si="6"/>
        <v>2318500</v>
      </c>
      <c r="AF112" s="66">
        <f t="shared" si="7"/>
        <v>481500</v>
      </c>
    </row>
    <row r="113" spans="1:32">
      <c r="A113" s="25">
        <v>111</v>
      </c>
      <c r="B113" s="26" t="s">
        <v>243</v>
      </c>
      <c r="C113" s="26" t="s">
        <v>244</v>
      </c>
      <c r="D113" s="26" t="s">
        <v>37</v>
      </c>
      <c r="E113" s="26">
        <v>29.04</v>
      </c>
      <c r="F113" s="27">
        <v>3</v>
      </c>
      <c r="G113" s="26">
        <v>10</v>
      </c>
      <c r="H113" s="53">
        <v>3</v>
      </c>
      <c r="I113" s="59">
        <v>30</v>
      </c>
      <c r="J113" s="5">
        <f t="shared" si="4"/>
        <v>1</v>
      </c>
      <c r="K113" s="36">
        <v>2800000</v>
      </c>
      <c r="L113" s="37">
        <f t="shared" si="5"/>
        <v>2800000</v>
      </c>
      <c r="N113" s="34">
        <f>H113*VLOOKUP($N$2,'Unit Price'!$B$3:$C$19,2,0)</f>
        <v>54000</v>
      </c>
      <c r="O113" s="34">
        <f>1*VLOOKUP($O$2,'Unit Price'!$B$3:$C$19,2,0)</f>
        <v>10000</v>
      </c>
      <c r="P113" s="34">
        <f>1*VLOOKUP($P$2,'Unit Price'!$B$3:$C$19,2,0)</f>
        <v>8000</v>
      </c>
      <c r="Q113" s="34">
        <f>G113*2*VLOOKUP($Q$2,'Unit Price'!$B$3:$C$19,2,0)</f>
        <v>30000</v>
      </c>
      <c r="R113" s="34">
        <f>H113*3*VLOOKUP($R$2,'Unit Price'!$B$3:$C$19,2,0)</f>
        <v>22500</v>
      </c>
      <c r="S113" s="34">
        <f>IF(F113&lt;=2.2,3*VLOOKUP($S$2,'Unit Price'!$B$3:$C$19,2,0),5*VLOOKUP($S$2,'Unit Price'!$B$3:$C$19,2,0))</f>
        <v>50000</v>
      </c>
      <c r="T113" s="34">
        <f>IF(F113&lt;=2.06,VLOOKUP($T$2,'Unit Price'!$B$3:$C$19,2,0),0)</f>
        <v>0</v>
      </c>
      <c r="U113" s="34">
        <f>IF(F113&lt;=2.06,VLOOKUP($U$2,'Unit Price'!$B$3:$C$19,2,0),0)</f>
        <v>0</v>
      </c>
      <c r="V113" s="34">
        <f>IF(AND(F113&gt;2.06,F113&lt;2.5),VLOOKUP($V$2,'Unit Price'!$B$3:$C$19,2,0),0)</f>
        <v>0</v>
      </c>
      <c r="W113" s="34">
        <f>IF(AND(F113&gt;2.06,F113&lt;2.5),VLOOKUP($W$2,'Unit Price'!$B$3:$C$19,2,0),0)</f>
        <v>0</v>
      </c>
      <c r="X113" s="34">
        <f>IF(F113&gt;2.5,VLOOKUP($X$2,'Unit Price'!$B$3:$C$19,2,0),0)</f>
        <v>1200000</v>
      </c>
      <c r="Y113" s="34">
        <f>IF(F113&gt;2.5,VLOOKUP($Y$2,'Unit Price'!$B$3:$C$19,2,0),0)</f>
        <v>350000</v>
      </c>
      <c r="Z113" s="34">
        <f>IF(F113&lt;2.5,6*VLOOKUP($Z$2,'Unit Price'!$B$3:$C$19,2,0),0)</f>
        <v>0</v>
      </c>
      <c r="AA113" s="34">
        <f>IF(F113&lt;2.5,3*VLOOKUP($AA$2,'Unit Price'!$B$3:$C$19,2,0),0)</f>
        <v>0</v>
      </c>
      <c r="AB113" s="34">
        <f>IF(F113&gt;2.5,6*VLOOKUP($AB$2,'Unit Price'!$B$3:$C$19,2,0),0)</f>
        <v>375000</v>
      </c>
      <c r="AC113" s="34">
        <f>IF(F113&gt;2.5,3*VLOOKUP($AC$2,'Unit Price'!$B$3:$C$19,2,0),0)</f>
        <v>216000</v>
      </c>
      <c r="AD113" s="36"/>
      <c r="AE113" s="46">
        <f t="shared" si="6"/>
        <v>2315500</v>
      </c>
      <c r="AF113" s="66">
        <f t="shared" si="7"/>
        <v>484500</v>
      </c>
    </row>
    <row r="114" spans="1:32">
      <c r="A114" s="17">
        <v>112</v>
      </c>
      <c r="B114" s="5" t="s">
        <v>245</v>
      </c>
      <c r="C114" s="5" t="s">
        <v>246</v>
      </c>
      <c r="D114" s="5" t="s">
        <v>247</v>
      </c>
      <c r="E114" s="5">
        <v>3.6630000000000003</v>
      </c>
      <c r="F114" s="18">
        <v>3</v>
      </c>
      <c r="G114" s="5">
        <v>21</v>
      </c>
      <c r="H114" s="50">
        <v>14</v>
      </c>
      <c r="I114" s="58">
        <v>294</v>
      </c>
      <c r="J114" s="5">
        <f t="shared" si="4"/>
        <v>1</v>
      </c>
      <c r="K114" s="36">
        <v>2800000</v>
      </c>
      <c r="L114" s="37">
        <f t="shared" si="5"/>
        <v>2800000</v>
      </c>
      <c r="N114" s="34">
        <f>H114*VLOOKUP($N$2,'Unit Price'!$B$3:$C$19,2,0)</f>
        <v>252000</v>
      </c>
      <c r="O114" s="34">
        <f>1*VLOOKUP($O$2,'Unit Price'!$B$3:$C$19,2,0)</f>
        <v>10000</v>
      </c>
      <c r="P114" s="34">
        <f>1*VLOOKUP($P$2,'Unit Price'!$B$3:$C$19,2,0)</f>
        <v>8000</v>
      </c>
      <c r="Q114" s="34">
        <f>G114*2*VLOOKUP($Q$2,'Unit Price'!$B$3:$C$19,2,0)</f>
        <v>63000</v>
      </c>
      <c r="R114" s="34">
        <f>H114*3*VLOOKUP($R$2,'Unit Price'!$B$3:$C$19,2,0)</f>
        <v>105000</v>
      </c>
      <c r="S114" s="34">
        <f>IF(F114&lt;=2.2,3*VLOOKUP($S$2,'Unit Price'!$B$3:$C$19,2,0),5*VLOOKUP($S$2,'Unit Price'!$B$3:$C$19,2,0))</f>
        <v>50000</v>
      </c>
      <c r="T114" s="34">
        <f>IF(F114&lt;=2.06,VLOOKUP($T$2,'Unit Price'!$B$3:$C$19,2,0),0)</f>
        <v>0</v>
      </c>
      <c r="U114" s="34">
        <f>IF(F114&lt;=2.06,VLOOKUP($U$2,'Unit Price'!$B$3:$C$19,2,0),0)</f>
        <v>0</v>
      </c>
      <c r="V114" s="34">
        <f>IF(AND(F114&gt;2.06,F114&lt;2.5),VLOOKUP($V$2,'Unit Price'!$B$3:$C$19,2,0),0)</f>
        <v>0</v>
      </c>
      <c r="W114" s="34">
        <f>IF(AND(F114&gt;2.06,F114&lt;2.5),VLOOKUP($W$2,'Unit Price'!$B$3:$C$19,2,0),0)</f>
        <v>0</v>
      </c>
      <c r="X114" s="34">
        <f>IF(F114&gt;2.5,VLOOKUP($X$2,'Unit Price'!$B$3:$C$19,2,0),0)</f>
        <v>1200000</v>
      </c>
      <c r="Y114" s="34">
        <f>IF(F114&gt;2.5,VLOOKUP($Y$2,'Unit Price'!$B$3:$C$19,2,0),0)</f>
        <v>350000</v>
      </c>
      <c r="Z114" s="34">
        <f>IF(F114&lt;2.5,6*VLOOKUP($Z$2,'Unit Price'!$B$3:$C$19,2,0),0)</f>
        <v>0</v>
      </c>
      <c r="AA114" s="34">
        <f>IF(F114&lt;2.5,3*VLOOKUP($AA$2,'Unit Price'!$B$3:$C$19,2,0),0)</f>
        <v>0</v>
      </c>
      <c r="AB114" s="34">
        <f>IF(F114&gt;2.5,6*VLOOKUP($AB$2,'Unit Price'!$B$3:$C$19,2,0),0)</f>
        <v>375000</v>
      </c>
      <c r="AC114" s="34">
        <f>IF(F114&gt;2.5,3*VLOOKUP($AC$2,'Unit Price'!$B$3:$C$19,2,0),0)</f>
        <v>216000</v>
      </c>
      <c r="AD114" s="36"/>
      <c r="AE114" s="46">
        <f t="shared" si="6"/>
        <v>2629000</v>
      </c>
      <c r="AF114" s="66">
        <f t="shared" si="7"/>
        <v>171000</v>
      </c>
    </row>
    <row r="115" spans="1:32">
      <c r="A115" s="17">
        <v>113</v>
      </c>
      <c r="B115" s="5" t="s">
        <v>248</v>
      </c>
      <c r="C115" s="5" t="s">
        <v>249</v>
      </c>
      <c r="D115" s="5" t="s">
        <v>250</v>
      </c>
      <c r="E115" s="5">
        <v>1.395</v>
      </c>
      <c r="F115" s="18">
        <v>3</v>
      </c>
      <c r="G115" s="5">
        <v>31</v>
      </c>
      <c r="H115" s="50">
        <v>23</v>
      </c>
      <c r="I115" s="58">
        <v>713</v>
      </c>
      <c r="J115" s="5">
        <f t="shared" si="4"/>
        <v>1</v>
      </c>
      <c r="K115" s="36">
        <v>2800000</v>
      </c>
      <c r="L115" s="37">
        <f t="shared" si="5"/>
        <v>2800000</v>
      </c>
      <c r="N115" s="34">
        <f>H115*VLOOKUP($N$2,'Unit Price'!$B$3:$C$19,2,0)</f>
        <v>414000</v>
      </c>
      <c r="O115" s="34">
        <f>1*VLOOKUP($O$2,'Unit Price'!$B$3:$C$19,2,0)</f>
        <v>10000</v>
      </c>
      <c r="P115" s="34">
        <f>1*VLOOKUP($P$2,'Unit Price'!$B$3:$C$19,2,0)</f>
        <v>8000</v>
      </c>
      <c r="Q115" s="34">
        <f>G115*2*VLOOKUP($Q$2,'Unit Price'!$B$3:$C$19,2,0)</f>
        <v>93000</v>
      </c>
      <c r="R115" s="34">
        <f>H115*3*VLOOKUP($R$2,'Unit Price'!$B$3:$C$19,2,0)</f>
        <v>172500</v>
      </c>
      <c r="S115" s="34">
        <f>IF(F115&lt;=2.2,3*VLOOKUP($S$2,'Unit Price'!$B$3:$C$19,2,0),5*VLOOKUP($S$2,'Unit Price'!$B$3:$C$19,2,0))</f>
        <v>50000</v>
      </c>
      <c r="T115" s="34">
        <f>IF(F115&lt;=2.06,VLOOKUP($T$2,'Unit Price'!$B$3:$C$19,2,0),0)</f>
        <v>0</v>
      </c>
      <c r="U115" s="34">
        <f>IF(F115&lt;=2.06,VLOOKUP($U$2,'Unit Price'!$B$3:$C$19,2,0),0)</f>
        <v>0</v>
      </c>
      <c r="V115" s="34">
        <f>IF(AND(F115&gt;2.06,F115&lt;2.5),VLOOKUP($V$2,'Unit Price'!$B$3:$C$19,2,0),0)</f>
        <v>0</v>
      </c>
      <c r="W115" s="34">
        <f>IF(AND(F115&gt;2.06,F115&lt;2.5),VLOOKUP($W$2,'Unit Price'!$B$3:$C$19,2,0),0)</f>
        <v>0</v>
      </c>
      <c r="X115" s="34">
        <f>IF(F115&gt;2.5,VLOOKUP($X$2,'Unit Price'!$B$3:$C$19,2,0),0)</f>
        <v>1200000</v>
      </c>
      <c r="Y115" s="34">
        <f>IF(F115&gt;2.5,VLOOKUP($Y$2,'Unit Price'!$B$3:$C$19,2,0),0)</f>
        <v>350000</v>
      </c>
      <c r="Z115" s="34">
        <f>IF(F115&lt;2.5,6*VLOOKUP($Z$2,'Unit Price'!$B$3:$C$19,2,0),0)</f>
        <v>0</v>
      </c>
      <c r="AA115" s="34">
        <f>IF(F115&lt;2.5,3*VLOOKUP($AA$2,'Unit Price'!$B$3:$C$19,2,0),0)</f>
        <v>0</v>
      </c>
      <c r="AB115" s="34">
        <f>IF(F115&gt;2.5,6*VLOOKUP($AB$2,'Unit Price'!$B$3:$C$19,2,0),0)</f>
        <v>375000</v>
      </c>
      <c r="AC115" s="34">
        <f>IF(F115&gt;2.5,3*VLOOKUP($AC$2,'Unit Price'!$B$3:$C$19,2,0),0)</f>
        <v>216000</v>
      </c>
      <c r="AD115" s="36"/>
      <c r="AE115" s="46">
        <f t="shared" si="6"/>
        <v>2888500</v>
      </c>
      <c r="AF115" s="66">
        <f t="shared" si="7"/>
        <v>-88500</v>
      </c>
    </row>
    <row r="116" spans="1:32">
      <c r="A116" s="17">
        <v>114</v>
      </c>
      <c r="B116" s="5" t="s">
        <v>251</v>
      </c>
      <c r="C116" s="5" t="s">
        <v>252</v>
      </c>
      <c r="D116" s="5" t="s">
        <v>253</v>
      </c>
      <c r="E116" s="5">
        <v>6.3120000000000003</v>
      </c>
      <c r="F116" s="18">
        <v>3</v>
      </c>
      <c r="G116" s="5">
        <v>16</v>
      </c>
      <c r="H116" s="50">
        <v>11</v>
      </c>
      <c r="I116" s="58">
        <v>176</v>
      </c>
      <c r="J116" s="5">
        <f t="shared" si="4"/>
        <v>1</v>
      </c>
      <c r="K116" s="36">
        <v>2800000</v>
      </c>
      <c r="L116" s="37">
        <f t="shared" si="5"/>
        <v>2800000</v>
      </c>
      <c r="N116" s="34">
        <f>H116*VLOOKUP($N$2,'Unit Price'!$B$3:$C$19,2,0)</f>
        <v>198000</v>
      </c>
      <c r="O116" s="34">
        <f>1*VLOOKUP($O$2,'Unit Price'!$B$3:$C$19,2,0)</f>
        <v>10000</v>
      </c>
      <c r="P116" s="34">
        <f>1*VLOOKUP($P$2,'Unit Price'!$B$3:$C$19,2,0)</f>
        <v>8000</v>
      </c>
      <c r="Q116" s="34">
        <f>G116*2*VLOOKUP($Q$2,'Unit Price'!$B$3:$C$19,2,0)</f>
        <v>48000</v>
      </c>
      <c r="R116" s="34">
        <f>H116*3*VLOOKUP($R$2,'Unit Price'!$B$3:$C$19,2,0)</f>
        <v>82500</v>
      </c>
      <c r="S116" s="34">
        <f>IF(F116&lt;=2.2,3*VLOOKUP($S$2,'Unit Price'!$B$3:$C$19,2,0),5*VLOOKUP($S$2,'Unit Price'!$B$3:$C$19,2,0))</f>
        <v>50000</v>
      </c>
      <c r="T116" s="34">
        <f>IF(F116&lt;=2.06,VLOOKUP($T$2,'Unit Price'!$B$3:$C$19,2,0),0)</f>
        <v>0</v>
      </c>
      <c r="U116" s="34">
        <f>IF(F116&lt;=2.06,VLOOKUP($U$2,'Unit Price'!$B$3:$C$19,2,0),0)</f>
        <v>0</v>
      </c>
      <c r="V116" s="34">
        <f>IF(AND(F116&gt;2.06,F116&lt;2.5),VLOOKUP($V$2,'Unit Price'!$B$3:$C$19,2,0),0)</f>
        <v>0</v>
      </c>
      <c r="W116" s="34">
        <f>IF(AND(F116&gt;2.06,F116&lt;2.5),VLOOKUP($W$2,'Unit Price'!$B$3:$C$19,2,0),0)</f>
        <v>0</v>
      </c>
      <c r="X116" s="34">
        <f>IF(F116&gt;2.5,VLOOKUP($X$2,'Unit Price'!$B$3:$C$19,2,0),0)</f>
        <v>1200000</v>
      </c>
      <c r="Y116" s="34">
        <f>IF(F116&gt;2.5,VLOOKUP($Y$2,'Unit Price'!$B$3:$C$19,2,0),0)</f>
        <v>350000</v>
      </c>
      <c r="Z116" s="34">
        <f>IF(F116&lt;2.5,6*VLOOKUP($Z$2,'Unit Price'!$B$3:$C$19,2,0),0)</f>
        <v>0</v>
      </c>
      <c r="AA116" s="34">
        <f>IF(F116&lt;2.5,3*VLOOKUP($AA$2,'Unit Price'!$B$3:$C$19,2,0),0)</f>
        <v>0</v>
      </c>
      <c r="AB116" s="34">
        <f>IF(F116&gt;2.5,6*VLOOKUP($AB$2,'Unit Price'!$B$3:$C$19,2,0),0)</f>
        <v>375000</v>
      </c>
      <c r="AC116" s="34">
        <f>IF(F116&gt;2.5,3*VLOOKUP($AC$2,'Unit Price'!$B$3:$C$19,2,0),0)</f>
        <v>216000</v>
      </c>
      <c r="AD116" s="36"/>
      <c r="AE116" s="46">
        <f t="shared" si="6"/>
        <v>2537500</v>
      </c>
      <c r="AF116" s="66">
        <f t="shared" si="7"/>
        <v>262500</v>
      </c>
    </row>
    <row r="117" spans="1:32">
      <c r="A117" s="17">
        <v>115</v>
      </c>
      <c r="B117" s="5" t="s">
        <v>254</v>
      </c>
      <c r="C117" s="5" t="s">
        <v>255</v>
      </c>
      <c r="D117" s="5" t="s">
        <v>250</v>
      </c>
      <c r="E117" s="5">
        <v>6.5459999999999994</v>
      </c>
      <c r="F117" s="18">
        <v>3</v>
      </c>
      <c r="G117" s="5">
        <v>14</v>
      </c>
      <c r="H117" s="50">
        <v>15</v>
      </c>
      <c r="I117" s="58">
        <v>210</v>
      </c>
      <c r="J117" s="5">
        <f t="shared" si="4"/>
        <v>1</v>
      </c>
      <c r="K117" s="36">
        <v>2800000</v>
      </c>
      <c r="L117" s="37">
        <f t="shared" si="5"/>
        <v>2800000</v>
      </c>
      <c r="N117" s="34">
        <f>H117*VLOOKUP($N$2,'Unit Price'!$B$3:$C$19,2,0)</f>
        <v>270000</v>
      </c>
      <c r="O117" s="34">
        <f>1*VLOOKUP($O$2,'Unit Price'!$B$3:$C$19,2,0)</f>
        <v>10000</v>
      </c>
      <c r="P117" s="34">
        <f>1*VLOOKUP($P$2,'Unit Price'!$B$3:$C$19,2,0)</f>
        <v>8000</v>
      </c>
      <c r="Q117" s="34">
        <f>G117*2*VLOOKUP($Q$2,'Unit Price'!$B$3:$C$19,2,0)</f>
        <v>42000</v>
      </c>
      <c r="R117" s="34">
        <f>H117*3*VLOOKUP($R$2,'Unit Price'!$B$3:$C$19,2,0)</f>
        <v>112500</v>
      </c>
      <c r="S117" s="34">
        <f>IF(F117&lt;=2.2,3*VLOOKUP($S$2,'Unit Price'!$B$3:$C$19,2,0),5*VLOOKUP($S$2,'Unit Price'!$B$3:$C$19,2,0))</f>
        <v>50000</v>
      </c>
      <c r="T117" s="34">
        <f>IF(F117&lt;=2.06,VLOOKUP($T$2,'Unit Price'!$B$3:$C$19,2,0),0)</f>
        <v>0</v>
      </c>
      <c r="U117" s="34">
        <f>IF(F117&lt;=2.06,VLOOKUP($U$2,'Unit Price'!$B$3:$C$19,2,0),0)</f>
        <v>0</v>
      </c>
      <c r="V117" s="34">
        <f>IF(AND(F117&gt;2.06,F117&lt;2.5),VLOOKUP($V$2,'Unit Price'!$B$3:$C$19,2,0),0)</f>
        <v>0</v>
      </c>
      <c r="W117" s="34">
        <f>IF(AND(F117&gt;2.06,F117&lt;2.5),VLOOKUP($W$2,'Unit Price'!$B$3:$C$19,2,0),0)</f>
        <v>0</v>
      </c>
      <c r="X117" s="34">
        <f>IF(F117&gt;2.5,VLOOKUP($X$2,'Unit Price'!$B$3:$C$19,2,0),0)</f>
        <v>1200000</v>
      </c>
      <c r="Y117" s="34">
        <f>IF(F117&gt;2.5,VLOOKUP($Y$2,'Unit Price'!$B$3:$C$19,2,0),0)</f>
        <v>350000</v>
      </c>
      <c r="Z117" s="34">
        <f>IF(F117&lt;2.5,6*VLOOKUP($Z$2,'Unit Price'!$B$3:$C$19,2,0),0)</f>
        <v>0</v>
      </c>
      <c r="AA117" s="34">
        <f>IF(F117&lt;2.5,3*VLOOKUP($AA$2,'Unit Price'!$B$3:$C$19,2,0),0)</f>
        <v>0</v>
      </c>
      <c r="AB117" s="34">
        <f>IF(F117&gt;2.5,6*VLOOKUP($AB$2,'Unit Price'!$B$3:$C$19,2,0),0)</f>
        <v>375000</v>
      </c>
      <c r="AC117" s="34">
        <f>IF(F117&gt;2.5,3*VLOOKUP($AC$2,'Unit Price'!$B$3:$C$19,2,0),0)</f>
        <v>216000</v>
      </c>
      <c r="AD117" s="36"/>
      <c r="AE117" s="46">
        <f t="shared" si="6"/>
        <v>2633500</v>
      </c>
      <c r="AF117" s="66">
        <f t="shared" si="7"/>
        <v>166500</v>
      </c>
    </row>
    <row r="118" spans="1:32">
      <c r="A118" s="17">
        <v>116</v>
      </c>
      <c r="B118" s="5" t="s">
        <v>256</v>
      </c>
      <c r="C118" s="5" t="s">
        <v>257</v>
      </c>
      <c r="D118" s="5" t="s">
        <v>247</v>
      </c>
      <c r="E118" s="5">
        <v>7.5449999999999999</v>
      </c>
      <c r="F118" s="18">
        <v>3</v>
      </c>
      <c r="G118" s="5">
        <v>14</v>
      </c>
      <c r="H118" s="50">
        <v>9</v>
      </c>
      <c r="I118" s="58">
        <v>126</v>
      </c>
      <c r="J118" s="5">
        <f t="shared" si="4"/>
        <v>1</v>
      </c>
      <c r="K118" s="36">
        <v>2800000</v>
      </c>
      <c r="L118" s="37">
        <f t="shared" si="5"/>
        <v>2800000</v>
      </c>
      <c r="N118" s="34">
        <f>H118*VLOOKUP($N$2,'Unit Price'!$B$3:$C$19,2,0)</f>
        <v>162000</v>
      </c>
      <c r="O118" s="34">
        <f>1*VLOOKUP($O$2,'Unit Price'!$B$3:$C$19,2,0)</f>
        <v>10000</v>
      </c>
      <c r="P118" s="34">
        <f>1*VLOOKUP($P$2,'Unit Price'!$B$3:$C$19,2,0)</f>
        <v>8000</v>
      </c>
      <c r="Q118" s="34">
        <f>G118*2*VLOOKUP($Q$2,'Unit Price'!$B$3:$C$19,2,0)</f>
        <v>42000</v>
      </c>
      <c r="R118" s="34">
        <f>H118*3*VLOOKUP($R$2,'Unit Price'!$B$3:$C$19,2,0)</f>
        <v>67500</v>
      </c>
      <c r="S118" s="34">
        <f>IF(F118&lt;=2.2,3*VLOOKUP($S$2,'Unit Price'!$B$3:$C$19,2,0),5*VLOOKUP($S$2,'Unit Price'!$B$3:$C$19,2,0))</f>
        <v>50000</v>
      </c>
      <c r="T118" s="34">
        <f>IF(F118&lt;=2.06,VLOOKUP($T$2,'Unit Price'!$B$3:$C$19,2,0),0)</f>
        <v>0</v>
      </c>
      <c r="U118" s="34">
        <f>IF(F118&lt;=2.06,VLOOKUP($U$2,'Unit Price'!$B$3:$C$19,2,0),0)</f>
        <v>0</v>
      </c>
      <c r="V118" s="34">
        <f>IF(AND(F118&gt;2.06,F118&lt;2.5),VLOOKUP($V$2,'Unit Price'!$B$3:$C$19,2,0),0)</f>
        <v>0</v>
      </c>
      <c r="W118" s="34">
        <f>IF(AND(F118&gt;2.06,F118&lt;2.5),VLOOKUP($W$2,'Unit Price'!$B$3:$C$19,2,0),0)</f>
        <v>0</v>
      </c>
      <c r="X118" s="34">
        <f>IF(F118&gt;2.5,VLOOKUP($X$2,'Unit Price'!$B$3:$C$19,2,0),0)</f>
        <v>1200000</v>
      </c>
      <c r="Y118" s="34">
        <f>IF(F118&gt;2.5,VLOOKUP($Y$2,'Unit Price'!$B$3:$C$19,2,0),0)</f>
        <v>350000</v>
      </c>
      <c r="Z118" s="34">
        <f>IF(F118&lt;2.5,6*VLOOKUP($Z$2,'Unit Price'!$B$3:$C$19,2,0),0)</f>
        <v>0</v>
      </c>
      <c r="AA118" s="34">
        <f>IF(F118&lt;2.5,3*VLOOKUP($AA$2,'Unit Price'!$B$3:$C$19,2,0),0)</f>
        <v>0</v>
      </c>
      <c r="AB118" s="34">
        <f>IF(F118&gt;2.5,6*VLOOKUP($AB$2,'Unit Price'!$B$3:$C$19,2,0),0)</f>
        <v>375000</v>
      </c>
      <c r="AC118" s="34">
        <f>IF(F118&gt;2.5,3*VLOOKUP($AC$2,'Unit Price'!$B$3:$C$19,2,0),0)</f>
        <v>216000</v>
      </c>
      <c r="AD118" s="36"/>
      <c r="AE118" s="46">
        <f t="shared" si="6"/>
        <v>2480500</v>
      </c>
      <c r="AF118" s="66">
        <f t="shared" si="7"/>
        <v>319500</v>
      </c>
    </row>
    <row r="119" spans="1:32">
      <c r="A119" s="17">
        <v>117</v>
      </c>
      <c r="B119" s="5" t="s">
        <v>258</v>
      </c>
      <c r="C119" s="5" t="s">
        <v>259</v>
      </c>
      <c r="D119" s="5" t="s">
        <v>172</v>
      </c>
      <c r="E119" s="5">
        <v>15.2</v>
      </c>
      <c r="F119" s="18">
        <v>2</v>
      </c>
      <c r="G119" s="5">
        <v>7</v>
      </c>
      <c r="H119" s="50">
        <v>5</v>
      </c>
      <c r="I119" s="58">
        <v>35</v>
      </c>
      <c r="J119" s="5">
        <f t="shared" si="4"/>
        <v>0.65</v>
      </c>
      <c r="K119" s="36">
        <v>2800000</v>
      </c>
      <c r="L119" s="37">
        <f t="shared" si="5"/>
        <v>1820000</v>
      </c>
      <c r="N119" s="34">
        <f>H119*VLOOKUP($N$2,'Unit Price'!$B$3:$C$19,2,0)</f>
        <v>90000</v>
      </c>
      <c r="O119" s="34">
        <f>1*VLOOKUP($O$2,'Unit Price'!$B$3:$C$19,2,0)</f>
        <v>10000</v>
      </c>
      <c r="P119" s="34">
        <f>1*VLOOKUP($P$2,'Unit Price'!$B$3:$C$19,2,0)</f>
        <v>8000</v>
      </c>
      <c r="Q119" s="34">
        <f>G119*2*VLOOKUP($Q$2,'Unit Price'!$B$3:$C$19,2,0)</f>
        <v>21000</v>
      </c>
      <c r="R119" s="34">
        <f>H119*3*VLOOKUP($R$2,'Unit Price'!$B$3:$C$19,2,0)</f>
        <v>37500</v>
      </c>
      <c r="S119" s="34">
        <f>IF(F119&lt;=2.2,3*VLOOKUP($S$2,'Unit Price'!$B$3:$C$19,2,0),5*VLOOKUP($S$2,'Unit Price'!$B$3:$C$19,2,0))</f>
        <v>30000</v>
      </c>
      <c r="T119" s="34">
        <f>IF(F119&lt;=2.06,VLOOKUP($T$2,'Unit Price'!$B$3:$C$19,2,0),0)</f>
        <v>795000</v>
      </c>
      <c r="U119" s="34">
        <f>IF(F119&lt;=2.06,VLOOKUP($U$2,'Unit Price'!$B$3:$C$19,2,0),0)</f>
        <v>245000</v>
      </c>
      <c r="V119" s="34">
        <f>IF(AND(F119&gt;2.06,F119&lt;2.5),VLOOKUP($V$2,'Unit Price'!$B$3:$C$19,2,0),0)</f>
        <v>0</v>
      </c>
      <c r="W119" s="34">
        <f>IF(AND(F119&gt;2.06,F119&lt;2.5),VLOOKUP($W$2,'Unit Price'!$B$3:$C$19,2,0),0)</f>
        <v>0</v>
      </c>
      <c r="X119" s="34">
        <f>IF(F119&gt;2.5,VLOOKUP($X$2,'Unit Price'!$B$3:$C$19,2,0),0)</f>
        <v>0</v>
      </c>
      <c r="Y119" s="34">
        <f>IF(F119&gt;2.5,VLOOKUP($Y$2,'Unit Price'!$B$3:$C$19,2,0),0)</f>
        <v>0</v>
      </c>
      <c r="Z119" s="34">
        <f>IF(F119&lt;2.5,6*VLOOKUP($Z$2,'Unit Price'!$B$3:$C$19,2,0),0)</f>
        <v>132000</v>
      </c>
      <c r="AA119" s="34">
        <f>IF(F119&lt;2.5,3*VLOOKUP($AA$2,'Unit Price'!$B$3:$C$19,2,0),0)</f>
        <v>165000</v>
      </c>
      <c r="AB119" s="34">
        <f>IF(F119&gt;2.5,6*VLOOKUP($AB$2,'Unit Price'!$B$3:$C$19,2,0),0)</f>
        <v>0</v>
      </c>
      <c r="AC119" s="34">
        <f>IF(F119&gt;2.5,3*VLOOKUP($AC$2,'Unit Price'!$B$3:$C$19,2,0),0)</f>
        <v>0</v>
      </c>
      <c r="AD119" s="36"/>
      <c r="AE119" s="46">
        <f t="shared" si="6"/>
        <v>1533500</v>
      </c>
      <c r="AF119" s="66">
        <f t="shared" si="7"/>
        <v>286500</v>
      </c>
    </row>
    <row r="120" spans="1:32">
      <c r="A120" s="17">
        <v>118</v>
      </c>
      <c r="B120" s="5" t="s">
        <v>260</v>
      </c>
      <c r="C120" s="5" t="s">
        <v>261</v>
      </c>
      <c r="D120" s="5" t="s">
        <v>172</v>
      </c>
      <c r="E120" s="5">
        <v>8.452</v>
      </c>
      <c r="F120" s="18">
        <v>2</v>
      </c>
      <c r="G120" s="5">
        <v>9</v>
      </c>
      <c r="H120" s="50">
        <v>6</v>
      </c>
      <c r="I120" s="58">
        <v>54</v>
      </c>
      <c r="J120" s="5">
        <f t="shared" si="4"/>
        <v>0.65</v>
      </c>
      <c r="K120" s="36">
        <v>2800000</v>
      </c>
      <c r="L120" s="37">
        <f t="shared" si="5"/>
        <v>1820000</v>
      </c>
      <c r="N120" s="34">
        <f>H120*VLOOKUP($N$2,'Unit Price'!$B$3:$C$19,2,0)</f>
        <v>108000</v>
      </c>
      <c r="O120" s="34">
        <f>1*VLOOKUP($O$2,'Unit Price'!$B$3:$C$19,2,0)</f>
        <v>10000</v>
      </c>
      <c r="P120" s="34">
        <f>1*VLOOKUP($P$2,'Unit Price'!$B$3:$C$19,2,0)</f>
        <v>8000</v>
      </c>
      <c r="Q120" s="34">
        <f>G120*2*VLOOKUP($Q$2,'Unit Price'!$B$3:$C$19,2,0)</f>
        <v>27000</v>
      </c>
      <c r="R120" s="34">
        <f>H120*3*VLOOKUP($R$2,'Unit Price'!$B$3:$C$19,2,0)</f>
        <v>45000</v>
      </c>
      <c r="S120" s="34">
        <f>IF(F120&lt;=2.2,3*VLOOKUP($S$2,'Unit Price'!$B$3:$C$19,2,0),5*VLOOKUP($S$2,'Unit Price'!$B$3:$C$19,2,0))</f>
        <v>30000</v>
      </c>
      <c r="T120" s="34">
        <f>IF(F120&lt;=2.06,VLOOKUP($T$2,'Unit Price'!$B$3:$C$19,2,0),0)</f>
        <v>795000</v>
      </c>
      <c r="U120" s="34">
        <f>IF(F120&lt;=2.06,VLOOKUP($U$2,'Unit Price'!$B$3:$C$19,2,0),0)</f>
        <v>245000</v>
      </c>
      <c r="V120" s="34">
        <f>IF(AND(F120&gt;2.06,F120&lt;2.5),VLOOKUP($V$2,'Unit Price'!$B$3:$C$19,2,0),0)</f>
        <v>0</v>
      </c>
      <c r="W120" s="34">
        <f>IF(AND(F120&gt;2.06,F120&lt;2.5),VLOOKUP($W$2,'Unit Price'!$B$3:$C$19,2,0),0)</f>
        <v>0</v>
      </c>
      <c r="X120" s="34">
        <f>IF(F120&gt;2.5,VLOOKUP($X$2,'Unit Price'!$B$3:$C$19,2,0),0)</f>
        <v>0</v>
      </c>
      <c r="Y120" s="34">
        <f>IF(F120&gt;2.5,VLOOKUP($Y$2,'Unit Price'!$B$3:$C$19,2,0),0)</f>
        <v>0</v>
      </c>
      <c r="Z120" s="34">
        <f>IF(F120&lt;2.5,6*VLOOKUP($Z$2,'Unit Price'!$B$3:$C$19,2,0),0)</f>
        <v>132000</v>
      </c>
      <c r="AA120" s="34">
        <f>IF(F120&lt;2.5,3*VLOOKUP($AA$2,'Unit Price'!$B$3:$C$19,2,0),0)</f>
        <v>165000</v>
      </c>
      <c r="AB120" s="34">
        <f>IF(F120&gt;2.5,6*VLOOKUP($AB$2,'Unit Price'!$B$3:$C$19,2,0),0)</f>
        <v>0</v>
      </c>
      <c r="AC120" s="34">
        <f>IF(F120&gt;2.5,3*VLOOKUP($AC$2,'Unit Price'!$B$3:$C$19,2,0),0)</f>
        <v>0</v>
      </c>
      <c r="AD120" s="36"/>
      <c r="AE120" s="46">
        <f t="shared" si="6"/>
        <v>1565000</v>
      </c>
      <c r="AF120" s="66">
        <f t="shared" si="7"/>
        <v>255000</v>
      </c>
    </row>
    <row r="121" spans="1:32">
      <c r="A121" s="17">
        <v>119</v>
      </c>
      <c r="B121" s="5" t="s">
        <v>262</v>
      </c>
      <c r="C121" s="5" t="s">
        <v>263</v>
      </c>
      <c r="D121" s="5" t="s">
        <v>264</v>
      </c>
      <c r="E121" s="5">
        <v>1.6519999999999999</v>
      </c>
      <c r="F121" s="18">
        <v>2</v>
      </c>
      <c r="G121" s="5">
        <v>13</v>
      </c>
      <c r="H121" s="50">
        <v>18</v>
      </c>
      <c r="I121" s="58">
        <v>234</v>
      </c>
      <c r="J121" s="5">
        <f t="shared" si="4"/>
        <v>0.65</v>
      </c>
      <c r="K121" s="36">
        <v>2800000</v>
      </c>
      <c r="L121" s="37">
        <f t="shared" si="5"/>
        <v>1820000</v>
      </c>
      <c r="N121" s="34">
        <f>H121*VLOOKUP($N$2,'Unit Price'!$B$3:$C$19,2,0)</f>
        <v>324000</v>
      </c>
      <c r="O121" s="34">
        <f>1*VLOOKUP($O$2,'Unit Price'!$B$3:$C$19,2,0)</f>
        <v>10000</v>
      </c>
      <c r="P121" s="34">
        <f>1*VLOOKUP($P$2,'Unit Price'!$B$3:$C$19,2,0)</f>
        <v>8000</v>
      </c>
      <c r="Q121" s="34">
        <f>G121*2*VLOOKUP($Q$2,'Unit Price'!$B$3:$C$19,2,0)</f>
        <v>39000</v>
      </c>
      <c r="R121" s="34">
        <f>H121*3*VLOOKUP($R$2,'Unit Price'!$B$3:$C$19,2,0)</f>
        <v>135000</v>
      </c>
      <c r="S121" s="34">
        <f>IF(F121&lt;=2.2,3*VLOOKUP($S$2,'Unit Price'!$B$3:$C$19,2,0),5*VLOOKUP($S$2,'Unit Price'!$B$3:$C$19,2,0))</f>
        <v>30000</v>
      </c>
      <c r="T121" s="34">
        <f>IF(F121&lt;=2.06,VLOOKUP($T$2,'Unit Price'!$B$3:$C$19,2,0),0)</f>
        <v>795000</v>
      </c>
      <c r="U121" s="34">
        <f>IF(F121&lt;=2.06,VLOOKUP($U$2,'Unit Price'!$B$3:$C$19,2,0),0)</f>
        <v>245000</v>
      </c>
      <c r="V121" s="34">
        <f>IF(AND(F121&gt;2.06,F121&lt;2.5),VLOOKUP($V$2,'Unit Price'!$B$3:$C$19,2,0),0)</f>
        <v>0</v>
      </c>
      <c r="W121" s="34">
        <f>IF(AND(F121&gt;2.06,F121&lt;2.5),VLOOKUP($W$2,'Unit Price'!$B$3:$C$19,2,0),0)</f>
        <v>0</v>
      </c>
      <c r="X121" s="34">
        <f>IF(F121&gt;2.5,VLOOKUP($X$2,'Unit Price'!$B$3:$C$19,2,0),0)</f>
        <v>0</v>
      </c>
      <c r="Y121" s="34">
        <f>IF(F121&gt;2.5,VLOOKUP($Y$2,'Unit Price'!$B$3:$C$19,2,0),0)</f>
        <v>0</v>
      </c>
      <c r="Z121" s="34">
        <f>IF(F121&lt;2.5,6*VLOOKUP($Z$2,'Unit Price'!$B$3:$C$19,2,0),0)</f>
        <v>132000</v>
      </c>
      <c r="AA121" s="34">
        <f>IF(F121&lt;2.5,3*VLOOKUP($AA$2,'Unit Price'!$B$3:$C$19,2,0),0)</f>
        <v>165000</v>
      </c>
      <c r="AB121" s="34">
        <f>IF(F121&gt;2.5,6*VLOOKUP($AB$2,'Unit Price'!$B$3:$C$19,2,0),0)</f>
        <v>0</v>
      </c>
      <c r="AC121" s="34">
        <f>IF(F121&gt;2.5,3*VLOOKUP($AC$2,'Unit Price'!$B$3:$C$19,2,0),0)</f>
        <v>0</v>
      </c>
      <c r="AD121" s="36"/>
      <c r="AE121" s="46">
        <f t="shared" si="6"/>
        <v>1883000</v>
      </c>
      <c r="AF121" s="66">
        <f t="shared" si="7"/>
        <v>-63000</v>
      </c>
    </row>
    <row r="122" spans="1:32">
      <c r="A122" s="17">
        <v>120</v>
      </c>
      <c r="B122" s="5" t="s">
        <v>265</v>
      </c>
      <c r="C122" s="5" t="s">
        <v>266</v>
      </c>
      <c r="D122" s="5" t="s">
        <v>264</v>
      </c>
      <c r="E122" s="5">
        <v>2.2400000000000002</v>
      </c>
      <c r="F122" s="18">
        <v>2</v>
      </c>
      <c r="G122" s="5">
        <v>10</v>
      </c>
      <c r="H122" s="50">
        <v>16</v>
      </c>
      <c r="I122" s="58">
        <v>160</v>
      </c>
      <c r="J122" s="5">
        <f t="shared" si="4"/>
        <v>0.65</v>
      </c>
      <c r="K122" s="36">
        <v>2800000</v>
      </c>
      <c r="L122" s="37">
        <f t="shared" si="5"/>
        <v>1820000</v>
      </c>
      <c r="N122" s="34">
        <f>H122*VLOOKUP($N$2,'Unit Price'!$B$3:$C$19,2,0)</f>
        <v>288000</v>
      </c>
      <c r="O122" s="34">
        <f>1*VLOOKUP($O$2,'Unit Price'!$B$3:$C$19,2,0)</f>
        <v>10000</v>
      </c>
      <c r="P122" s="34">
        <f>1*VLOOKUP($P$2,'Unit Price'!$B$3:$C$19,2,0)</f>
        <v>8000</v>
      </c>
      <c r="Q122" s="34">
        <f>G122*2*VLOOKUP($Q$2,'Unit Price'!$B$3:$C$19,2,0)</f>
        <v>30000</v>
      </c>
      <c r="R122" s="34">
        <f>H122*3*VLOOKUP($R$2,'Unit Price'!$B$3:$C$19,2,0)</f>
        <v>120000</v>
      </c>
      <c r="S122" s="34">
        <f>IF(F122&lt;=2.2,3*VLOOKUP($S$2,'Unit Price'!$B$3:$C$19,2,0),5*VLOOKUP($S$2,'Unit Price'!$B$3:$C$19,2,0))</f>
        <v>30000</v>
      </c>
      <c r="T122" s="34">
        <f>IF(F122&lt;=2.06,VLOOKUP($T$2,'Unit Price'!$B$3:$C$19,2,0),0)</f>
        <v>795000</v>
      </c>
      <c r="U122" s="34">
        <f>IF(F122&lt;=2.06,VLOOKUP($U$2,'Unit Price'!$B$3:$C$19,2,0),0)</f>
        <v>245000</v>
      </c>
      <c r="V122" s="34">
        <f>IF(AND(F122&gt;2.06,F122&lt;2.5),VLOOKUP($V$2,'Unit Price'!$B$3:$C$19,2,0),0)</f>
        <v>0</v>
      </c>
      <c r="W122" s="34">
        <f>IF(AND(F122&gt;2.06,F122&lt;2.5),VLOOKUP($W$2,'Unit Price'!$B$3:$C$19,2,0),0)</f>
        <v>0</v>
      </c>
      <c r="X122" s="34">
        <f>IF(F122&gt;2.5,VLOOKUP($X$2,'Unit Price'!$B$3:$C$19,2,0),0)</f>
        <v>0</v>
      </c>
      <c r="Y122" s="34">
        <f>IF(F122&gt;2.5,VLOOKUP($Y$2,'Unit Price'!$B$3:$C$19,2,0),0)</f>
        <v>0</v>
      </c>
      <c r="Z122" s="34">
        <f>IF(F122&lt;2.5,6*VLOOKUP($Z$2,'Unit Price'!$B$3:$C$19,2,0),0)</f>
        <v>132000</v>
      </c>
      <c r="AA122" s="34">
        <f>IF(F122&lt;2.5,3*VLOOKUP($AA$2,'Unit Price'!$B$3:$C$19,2,0),0)</f>
        <v>165000</v>
      </c>
      <c r="AB122" s="34">
        <f>IF(F122&gt;2.5,6*VLOOKUP($AB$2,'Unit Price'!$B$3:$C$19,2,0),0)</f>
        <v>0</v>
      </c>
      <c r="AC122" s="34">
        <f>IF(F122&gt;2.5,3*VLOOKUP($AC$2,'Unit Price'!$B$3:$C$19,2,0),0)</f>
        <v>0</v>
      </c>
      <c r="AD122" s="36"/>
      <c r="AE122" s="46">
        <f t="shared" si="6"/>
        <v>1823000</v>
      </c>
      <c r="AF122" s="66">
        <f t="shared" si="7"/>
        <v>-3000</v>
      </c>
    </row>
    <row r="123" spans="1:32">
      <c r="A123" s="17">
        <v>121</v>
      </c>
      <c r="B123" s="5" t="s">
        <v>267</v>
      </c>
      <c r="C123" s="5" t="s">
        <v>268</v>
      </c>
      <c r="D123" s="5" t="s">
        <v>264</v>
      </c>
      <c r="E123" s="5">
        <v>3.2240000000000002</v>
      </c>
      <c r="F123" s="18">
        <v>2</v>
      </c>
      <c r="G123" s="5">
        <v>8</v>
      </c>
      <c r="H123" s="50">
        <v>13</v>
      </c>
      <c r="I123" s="58">
        <v>104</v>
      </c>
      <c r="J123" s="5">
        <f t="shared" si="4"/>
        <v>0.65</v>
      </c>
      <c r="K123" s="36">
        <v>2800000</v>
      </c>
      <c r="L123" s="37">
        <f t="shared" si="5"/>
        <v>1820000</v>
      </c>
      <c r="N123" s="34">
        <f>H123*VLOOKUP($N$2,'Unit Price'!$B$3:$C$19,2,0)</f>
        <v>234000</v>
      </c>
      <c r="O123" s="34">
        <f>1*VLOOKUP($O$2,'Unit Price'!$B$3:$C$19,2,0)</f>
        <v>10000</v>
      </c>
      <c r="P123" s="34">
        <f>1*VLOOKUP($P$2,'Unit Price'!$B$3:$C$19,2,0)</f>
        <v>8000</v>
      </c>
      <c r="Q123" s="34">
        <f>G123*2*VLOOKUP($Q$2,'Unit Price'!$B$3:$C$19,2,0)</f>
        <v>24000</v>
      </c>
      <c r="R123" s="34">
        <f>H123*3*VLOOKUP($R$2,'Unit Price'!$B$3:$C$19,2,0)</f>
        <v>97500</v>
      </c>
      <c r="S123" s="34">
        <f>IF(F123&lt;=2.2,3*VLOOKUP($S$2,'Unit Price'!$B$3:$C$19,2,0),5*VLOOKUP($S$2,'Unit Price'!$B$3:$C$19,2,0))</f>
        <v>30000</v>
      </c>
      <c r="T123" s="34">
        <f>IF(F123&lt;=2.06,VLOOKUP($T$2,'Unit Price'!$B$3:$C$19,2,0),0)</f>
        <v>795000</v>
      </c>
      <c r="U123" s="34">
        <f>IF(F123&lt;=2.06,VLOOKUP($U$2,'Unit Price'!$B$3:$C$19,2,0),0)</f>
        <v>245000</v>
      </c>
      <c r="V123" s="34">
        <f>IF(AND(F123&gt;2.06,F123&lt;2.5),VLOOKUP($V$2,'Unit Price'!$B$3:$C$19,2,0),0)</f>
        <v>0</v>
      </c>
      <c r="W123" s="34">
        <f>IF(AND(F123&gt;2.06,F123&lt;2.5),VLOOKUP($W$2,'Unit Price'!$B$3:$C$19,2,0),0)</f>
        <v>0</v>
      </c>
      <c r="X123" s="34">
        <f>IF(F123&gt;2.5,VLOOKUP($X$2,'Unit Price'!$B$3:$C$19,2,0),0)</f>
        <v>0</v>
      </c>
      <c r="Y123" s="34">
        <f>IF(F123&gt;2.5,VLOOKUP($Y$2,'Unit Price'!$B$3:$C$19,2,0),0)</f>
        <v>0</v>
      </c>
      <c r="Z123" s="34">
        <f>IF(F123&lt;2.5,6*VLOOKUP($Z$2,'Unit Price'!$B$3:$C$19,2,0),0)</f>
        <v>132000</v>
      </c>
      <c r="AA123" s="34">
        <f>IF(F123&lt;2.5,3*VLOOKUP($AA$2,'Unit Price'!$B$3:$C$19,2,0),0)</f>
        <v>165000</v>
      </c>
      <c r="AB123" s="34">
        <f>IF(F123&gt;2.5,6*VLOOKUP($AB$2,'Unit Price'!$B$3:$C$19,2,0),0)</f>
        <v>0</v>
      </c>
      <c r="AC123" s="34">
        <f>IF(F123&gt;2.5,3*VLOOKUP($AC$2,'Unit Price'!$B$3:$C$19,2,0),0)</f>
        <v>0</v>
      </c>
      <c r="AD123" s="36"/>
      <c r="AE123" s="46">
        <f t="shared" si="6"/>
        <v>1740500</v>
      </c>
      <c r="AF123" s="66">
        <f t="shared" si="7"/>
        <v>79500</v>
      </c>
    </row>
    <row r="124" spans="1:32">
      <c r="A124" s="17">
        <v>122</v>
      </c>
      <c r="B124" s="5" t="s">
        <v>269</v>
      </c>
      <c r="C124" s="5" t="s">
        <v>270</v>
      </c>
      <c r="D124" s="5" t="s">
        <v>264</v>
      </c>
      <c r="E124" s="5">
        <v>4.1639999999999997</v>
      </c>
      <c r="F124" s="18">
        <v>2</v>
      </c>
      <c r="G124" s="5">
        <v>7</v>
      </c>
      <c r="H124" s="50">
        <v>11</v>
      </c>
      <c r="I124" s="58">
        <v>77</v>
      </c>
      <c r="J124" s="5">
        <f t="shared" si="4"/>
        <v>0.65</v>
      </c>
      <c r="K124" s="36">
        <v>2800000</v>
      </c>
      <c r="L124" s="37">
        <f t="shared" si="5"/>
        <v>1820000</v>
      </c>
      <c r="N124" s="34">
        <f>H124*VLOOKUP($N$2,'Unit Price'!$B$3:$C$19,2,0)</f>
        <v>198000</v>
      </c>
      <c r="O124" s="34">
        <f>1*VLOOKUP($O$2,'Unit Price'!$B$3:$C$19,2,0)</f>
        <v>10000</v>
      </c>
      <c r="P124" s="34">
        <f>1*VLOOKUP($P$2,'Unit Price'!$B$3:$C$19,2,0)</f>
        <v>8000</v>
      </c>
      <c r="Q124" s="34">
        <f>G124*2*VLOOKUP($Q$2,'Unit Price'!$B$3:$C$19,2,0)</f>
        <v>21000</v>
      </c>
      <c r="R124" s="34">
        <f>H124*3*VLOOKUP($R$2,'Unit Price'!$B$3:$C$19,2,0)</f>
        <v>82500</v>
      </c>
      <c r="S124" s="34">
        <f>IF(F124&lt;=2.2,3*VLOOKUP($S$2,'Unit Price'!$B$3:$C$19,2,0),5*VLOOKUP($S$2,'Unit Price'!$B$3:$C$19,2,0))</f>
        <v>30000</v>
      </c>
      <c r="T124" s="34">
        <f>IF(F124&lt;=2.06,VLOOKUP($T$2,'Unit Price'!$B$3:$C$19,2,0),0)</f>
        <v>795000</v>
      </c>
      <c r="U124" s="34">
        <f>IF(F124&lt;=2.06,VLOOKUP($U$2,'Unit Price'!$B$3:$C$19,2,0),0)</f>
        <v>245000</v>
      </c>
      <c r="V124" s="34">
        <f>IF(AND(F124&gt;2.06,F124&lt;2.5),VLOOKUP($V$2,'Unit Price'!$B$3:$C$19,2,0),0)</f>
        <v>0</v>
      </c>
      <c r="W124" s="34">
        <f>IF(AND(F124&gt;2.06,F124&lt;2.5),VLOOKUP($W$2,'Unit Price'!$B$3:$C$19,2,0),0)</f>
        <v>0</v>
      </c>
      <c r="X124" s="34">
        <f>IF(F124&gt;2.5,VLOOKUP($X$2,'Unit Price'!$B$3:$C$19,2,0),0)</f>
        <v>0</v>
      </c>
      <c r="Y124" s="34">
        <f>IF(F124&gt;2.5,VLOOKUP($Y$2,'Unit Price'!$B$3:$C$19,2,0),0)</f>
        <v>0</v>
      </c>
      <c r="Z124" s="34">
        <f>IF(F124&lt;2.5,6*VLOOKUP($Z$2,'Unit Price'!$B$3:$C$19,2,0),0)</f>
        <v>132000</v>
      </c>
      <c r="AA124" s="34">
        <f>IF(F124&lt;2.5,3*VLOOKUP($AA$2,'Unit Price'!$B$3:$C$19,2,0),0)</f>
        <v>165000</v>
      </c>
      <c r="AB124" s="34">
        <f>IF(F124&gt;2.5,6*VLOOKUP($AB$2,'Unit Price'!$B$3:$C$19,2,0),0)</f>
        <v>0</v>
      </c>
      <c r="AC124" s="34">
        <f>IF(F124&gt;2.5,3*VLOOKUP($AC$2,'Unit Price'!$B$3:$C$19,2,0),0)</f>
        <v>0</v>
      </c>
      <c r="AD124" s="36"/>
      <c r="AE124" s="46">
        <f t="shared" si="6"/>
        <v>1686500</v>
      </c>
      <c r="AF124" s="66">
        <f t="shared" si="7"/>
        <v>133500</v>
      </c>
    </row>
    <row r="125" spans="1:32">
      <c r="A125" s="17">
        <v>123</v>
      </c>
      <c r="B125" s="5" t="s">
        <v>271</v>
      </c>
      <c r="C125" s="5" t="s">
        <v>272</v>
      </c>
      <c r="D125" s="5" t="s">
        <v>264</v>
      </c>
      <c r="E125" s="5">
        <v>5.5359999999999996</v>
      </c>
      <c r="F125" s="18">
        <v>2</v>
      </c>
      <c r="G125" s="5">
        <v>6</v>
      </c>
      <c r="H125" s="50">
        <v>9</v>
      </c>
      <c r="I125" s="58">
        <v>54</v>
      </c>
      <c r="J125" s="5">
        <f t="shared" si="4"/>
        <v>0.65</v>
      </c>
      <c r="K125" s="36">
        <v>2800000</v>
      </c>
      <c r="L125" s="37">
        <f t="shared" si="5"/>
        <v>1820000</v>
      </c>
      <c r="N125" s="34">
        <f>H125*VLOOKUP($N$2,'Unit Price'!$B$3:$C$19,2,0)</f>
        <v>162000</v>
      </c>
      <c r="O125" s="34">
        <f>1*VLOOKUP($O$2,'Unit Price'!$B$3:$C$19,2,0)</f>
        <v>10000</v>
      </c>
      <c r="P125" s="34">
        <f>1*VLOOKUP($P$2,'Unit Price'!$B$3:$C$19,2,0)</f>
        <v>8000</v>
      </c>
      <c r="Q125" s="34">
        <f>G125*2*VLOOKUP($Q$2,'Unit Price'!$B$3:$C$19,2,0)</f>
        <v>18000</v>
      </c>
      <c r="R125" s="34">
        <f>H125*3*VLOOKUP($R$2,'Unit Price'!$B$3:$C$19,2,0)</f>
        <v>67500</v>
      </c>
      <c r="S125" s="34">
        <f>IF(F125&lt;=2.2,3*VLOOKUP($S$2,'Unit Price'!$B$3:$C$19,2,0),5*VLOOKUP($S$2,'Unit Price'!$B$3:$C$19,2,0))</f>
        <v>30000</v>
      </c>
      <c r="T125" s="34">
        <f>IF(F125&lt;=2.06,VLOOKUP($T$2,'Unit Price'!$B$3:$C$19,2,0),0)</f>
        <v>795000</v>
      </c>
      <c r="U125" s="34">
        <f>IF(F125&lt;=2.06,VLOOKUP($U$2,'Unit Price'!$B$3:$C$19,2,0),0)</f>
        <v>245000</v>
      </c>
      <c r="V125" s="34">
        <f>IF(AND(F125&gt;2.06,F125&lt;2.5),VLOOKUP($V$2,'Unit Price'!$B$3:$C$19,2,0),0)</f>
        <v>0</v>
      </c>
      <c r="W125" s="34">
        <f>IF(AND(F125&gt;2.06,F125&lt;2.5),VLOOKUP($W$2,'Unit Price'!$B$3:$C$19,2,0),0)</f>
        <v>0</v>
      </c>
      <c r="X125" s="34">
        <f>IF(F125&gt;2.5,VLOOKUP($X$2,'Unit Price'!$B$3:$C$19,2,0),0)</f>
        <v>0</v>
      </c>
      <c r="Y125" s="34">
        <f>IF(F125&gt;2.5,VLOOKUP($Y$2,'Unit Price'!$B$3:$C$19,2,0),0)</f>
        <v>0</v>
      </c>
      <c r="Z125" s="34">
        <f>IF(F125&lt;2.5,6*VLOOKUP($Z$2,'Unit Price'!$B$3:$C$19,2,0),0)</f>
        <v>132000</v>
      </c>
      <c r="AA125" s="34">
        <f>IF(F125&lt;2.5,3*VLOOKUP($AA$2,'Unit Price'!$B$3:$C$19,2,0),0)</f>
        <v>165000</v>
      </c>
      <c r="AB125" s="34">
        <f>IF(F125&gt;2.5,6*VLOOKUP($AB$2,'Unit Price'!$B$3:$C$19,2,0),0)</f>
        <v>0</v>
      </c>
      <c r="AC125" s="34">
        <f>IF(F125&gt;2.5,3*VLOOKUP($AC$2,'Unit Price'!$B$3:$C$19,2,0),0)</f>
        <v>0</v>
      </c>
      <c r="AD125" s="36"/>
      <c r="AE125" s="46">
        <f t="shared" si="6"/>
        <v>1632500</v>
      </c>
      <c r="AF125" s="66">
        <f t="shared" si="7"/>
        <v>187500</v>
      </c>
    </row>
    <row r="126" spans="1:32">
      <c r="A126" s="17">
        <v>124</v>
      </c>
      <c r="B126" s="5" t="s">
        <v>273</v>
      </c>
      <c r="C126" s="5" t="s">
        <v>274</v>
      </c>
      <c r="D126" s="5" t="s">
        <v>264</v>
      </c>
      <c r="E126" s="5">
        <v>8.9339999999999993</v>
      </c>
      <c r="F126" s="18">
        <v>2</v>
      </c>
      <c r="G126" s="5">
        <v>5</v>
      </c>
      <c r="H126" s="50">
        <v>8</v>
      </c>
      <c r="I126" s="58">
        <v>40</v>
      </c>
      <c r="J126" s="5">
        <f t="shared" si="4"/>
        <v>0.65</v>
      </c>
      <c r="K126" s="36">
        <v>2800000</v>
      </c>
      <c r="L126" s="37">
        <f t="shared" si="5"/>
        <v>1820000</v>
      </c>
      <c r="N126" s="34">
        <f>H126*VLOOKUP($N$2,'Unit Price'!$B$3:$C$19,2,0)</f>
        <v>144000</v>
      </c>
      <c r="O126" s="34">
        <f>1*VLOOKUP($O$2,'Unit Price'!$B$3:$C$19,2,0)</f>
        <v>10000</v>
      </c>
      <c r="P126" s="34">
        <f>1*VLOOKUP($P$2,'Unit Price'!$B$3:$C$19,2,0)</f>
        <v>8000</v>
      </c>
      <c r="Q126" s="34">
        <f>G126*2*VLOOKUP($Q$2,'Unit Price'!$B$3:$C$19,2,0)</f>
        <v>15000</v>
      </c>
      <c r="R126" s="34">
        <f>H126*3*VLOOKUP($R$2,'Unit Price'!$B$3:$C$19,2,0)</f>
        <v>60000</v>
      </c>
      <c r="S126" s="34">
        <f>IF(F126&lt;=2.2,3*VLOOKUP($S$2,'Unit Price'!$B$3:$C$19,2,0),5*VLOOKUP($S$2,'Unit Price'!$B$3:$C$19,2,0))</f>
        <v>30000</v>
      </c>
      <c r="T126" s="34">
        <f>IF(F126&lt;=2.06,VLOOKUP($T$2,'Unit Price'!$B$3:$C$19,2,0),0)</f>
        <v>795000</v>
      </c>
      <c r="U126" s="34">
        <f>IF(F126&lt;=2.06,VLOOKUP($U$2,'Unit Price'!$B$3:$C$19,2,0),0)</f>
        <v>245000</v>
      </c>
      <c r="V126" s="34">
        <f>IF(AND(F126&gt;2.06,F126&lt;2.5),VLOOKUP($V$2,'Unit Price'!$B$3:$C$19,2,0),0)</f>
        <v>0</v>
      </c>
      <c r="W126" s="34">
        <f>IF(AND(F126&gt;2.06,F126&lt;2.5),VLOOKUP($W$2,'Unit Price'!$B$3:$C$19,2,0),0)</f>
        <v>0</v>
      </c>
      <c r="X126" s="34">
        <f>IF(F126&gt;2.5,VLOOKUP($X$2,'Unit Price'!$B$3:$C$19,2,0),0)</f>
        <v>0</v>
      </c>
      <c r="Y126" s="34">
        <f>IF(F126&gt;2.5,VLOOKUP($Y$2,'Unit Price'!$B$3:$C$19,2,0),0)</f>
        <v>0</v>
      </c>
      <c r="Z126" s="34">
        <f>IF(F126&lt;2.5,6*VLOOKUP($Z$2,'Unit Price'!$B$3:$C$19,2,0),0)</f>
        <v>132000</v>
      </c>
      <c r="AA126" s="34">
        <f>IF(F126&lt;2.5,3*VLOOKUP($AA$2,'Unit Price'!$B$3:$C$19,2,0),0)</f>
        <v>165000</v>
      </c>
      <c r="AB126" s="34">
        <f>IF(F126&gt;2.5,6*VLOOKUP($AB$2,'Unit Price'!$B$3:$C$19,2,0),0)</f>
        <v>0</v>
      </c>
      <c r="AC126" s="34">
        <f>IF(F126&gt;2.5,3*VLOOKUP($AC$2,'Unit Price'!$B$3:$C$19,2,0),0)</f>
        <v>0</v>
      </c>
      <c r="AD126" s="36"/>
      <c r="AE126" s="46">
        <f t="shared" si="6"/>
        <v>1604000</v>
      </c>
      <c r="AF126" s="66">
        <f t="shared" si="7"/>
        <v>216000</v>
      </c>
    </row>
    <row r="127" spans="1:32">
      <c r="A127" s="17">
        <v>125</v>
      </c>
      <c r="B127" s="5" t="s">
        <v>275</v>
      </c>
      <c r="C127" s="5" t="s">
        <v>276</v>
      </c>
      <c r="D127" s="5" t="s">
        <v>277</v>
      </c>
      <c r="E127" s="5">
        <v>14.894299999999999</v>
      </c>
      <c r="F127" s="18">
        <v>3</v>
      </c>
      <c r="G127" s="5">
        <v>10</v>
      </c>
      <c r="H127" s="50">
        <v>7</v>
      </c>
      <c r="I127" s="58">
        <v>70</v>
      </c>
      <c r="J127" s="5">
        <f t="shared" si="4"/>
        <v>1</v>
      </c>
      <c r="K127" s="36">
        <v>2800000</v>
      </c>
      <c r="L127" s="37">
        <f t="shared" si="5"/>
        <v>2800000</v>
      </c>
      <c r="N127" s="34">
        <f>H127*VLOOKUP($N$2,'Unit Price'!$B$3:$C$19,2,0)</f>
        <v>126000</v>
      </c>
      <c r="O127" s="34">
        <f>1*VLOOKUP($O$2,'Unit Price'!$B$3:$C$19,2,0)</f>
        <v>10000</v>
      </c>
      <c r="P127" s="34">
        <f>1*VLOOKUP($P$2,'Unit Price'!$B$3:$C$19,2,0)</f>
        <v>8000</v>
      </c>
      <c r="Q127" s="34">
        <f>G127*2*VLOOKUP($Q$2,'Unit Price'!$B$3:$C$19,2,0)</f>
        <v>30000</v>
      </c>
      <c r="R127" s="34">
        <f>H127*3*VLOOKUP($R$2,'Unit Price'!$B$3:$C$19,2,0)</f>
        <v>52500</v>
      </c>
      <c r="S127" s="34">
        <f>IF(F127&lt;=2.2,3*VLOOKUP($S$2,'Unit Price'!$B$3:$C$19,2,0),5*VLOOKUP($S$2,'Unit Price'!$B$3:$C$19,2,0))</f>
        <v>50000</v>
      </c>
      <c r="T127" s="34">
        <f>IF(F127&lt;=2.06,VLOOKUP($T$2,'Unit Price'!$B$3:$C$19,2,0),0)</f>
        <v>0</v>
      </c>
      <c r="U127" s="34">
        <f>IF(F127&lt;=2.06,VLOOKUP($U$2,'Unit Price'!$B$3:$C$19,2,0),0)</f>
        <v>0</v>
      </c>
      <c r="V127" s="34">
        <f>IF(AND(F127&gt;2.06,F127&lt;2.5),VLOOKUP($V$2,'Unit Price'!$B$3:$C$19,2,0),0)</f>
        <v>0</v>
      </c>
      <c r="W127" s="34">
        <f>IF(AND(F127&gt;2.06,F127&lt;2.5),VLOOKUP($W$2,'Unit Price'!$B$3:$C$19,2,0),0)</f>
        <v>0</v>
      </c>
      <c r="X127" s="34">
        <f>IF(F127&gt;2.5,VLOOKUP($X$2,'Unit Price'!$B$3:$C$19,2,0),0)</f>
        <v>1200000</v>
      </c>
      <c r="Y127" s="34">
        <f>IF(F127&gt;2.5,VLOOKUP($Y$2,'Unit Price'!$B$3:$C$19,2,0),0)</f>
        <v>350000</v>
      </c>
      <c r="Z127" s="34">
        <f>IF(F127&lt;2.5,6*VLOOKUP($Z$2,'Unit Price'!$B$3:$C$19,2,0),0)</f>
        <v>0</v>
      </c>
      <c r="AA127" s="34">
        <f>IF(F127&lt;2.5,3*VLOOKUP($AA$2,'Unit Price'!$B$3:$C$19,2,0),0)</f>
        <v>0</v>
      </c>
      <c r="AB127" s="34">
        <f>IF(F127&gt;2.5,6*VLOOKUP($AB$2,'Unit Price'!$B$3:$C$19,2,0),0)</f>
        <v>375000</v>
      </c>
      <c r="AC127" s="34">
        <f>IF(F127&gt;2.5,3*VLOOKUP($AC$2,'Unit Price'!$B$3:$C$19,2,0),0)</f>
        <v>216000</v>
      </c>
      <c r="AD127" s="36"/>
      <c r="AE127" s="46">
        <f t="shared" si="6"/>
        <v>2417500</v>
      </c>
      <c r="AF127" s="66">
        <f t="shared" si="7"/>
        <v>382500</v>
      </c>
    </row>
    <row r="128" spans="1:32">
      <c r="A128" s="17">
        <v>126</v>
      </c>
      <c r="B128" s="5" t="s">
        <v>278</v>
      </c>
      <c r="C128" s="5" t="s">
        <v>279</v>
      </c>
      <c r="D128" s="5" t="s">
        <v>277</v>
      </c>
      <c r="E128" s="5">
        <v>16.091999999999999</v>
      </c>
      <c r="F128" s="18">
        <v>2</v>
      </c>
      <c r="G128" s="5">
        <v>7</v>
      </c>
      <c r="H128" s="50">
        <v>5</v>
      </c>
      <c r="I128" s="58">
        <v>35</v>
      </c>
      <c r="J128" s="5">
        <f t="shared" si="4"/>
        <v>0.65</v>
      </c>
      <c r="K128" s="36">
        <v>2800000</v>
      </c>
      <c r="L128" s="37">
        <f t="shared" si="5"/>
        <v>1820000</v>
      </c>
      <c r="N128" s="34">
        <f>H128*VLOOKUP($N$2,'Unit Price'!$B$3:$C$19,2,0)</f>
        <v>90000</v>
      </c>
      <c r="O128" s="34">
        <f>1*VLOOKUP($O$2,'Unit Price'!$B$3:$C$19,2,0)</f>
        <v>10000</v>
      </c>
      <c r="P128" s="34">
        <f>1*VLOOKUP($P$2,'Unit Price'!$B$3:$C$19,2,0)</f>
        <v>8000</v>
      </c>
      <c r="Q128" s="34">
        <f>G128*2*VLOOKUP($Q$2,'Unit Price'!$B$3:$C$19,2,0)</f>
        <v>21000</v>
      </c>
      <c r="R128" s="34">
        <f>H128*3*VLOOKUP($R$2,'Unit Price'!$B$3:$C$19,2,0)</f>
        <v>37500</v>
      </c>
      <c r="S128" s="34">
        <f>IF(F128&lt;=2.2,3*VLOOKUP($S$2,'Unit Price'!$B$3:$C$19,2,0),5*VLOOKUP($S$2,'Unit Price'!$B$3:$C$19,2,0))</f>
        <v>30000</v>
      </c>
      <c r="T128" s="34">
        <f>IF(F128&lt;=2.06,VLOOKUP($T$2,'Unit Price'!$B$3:$C$19,2,0),0)</f>
        <v>795000</v>
      </c>
      <c r="U128" s="34">
        <f>IF(F128&lt;=2.06,VLOOKUP($U$2,'Unit Price'!$B$3:$C$19,2,0),0)</f>
        <v>245000</v>
      </c>
      <c r="V128" s="34">
        <f>IF(AND(F128&gt;2.06,F128&lt;2.5),VLOOKUP($V$2,'Unit Price'!$B$3:$C$19,2,0),0)</f>
        <v>0</v>
      </c>
      <c r="W128" s="34">
        <f>IF(AND(F128&gt;2.06,F128&lt;2.5),VLOOKUP($W$2,'Unit Price'!$B$3:$C$19,2,0),0)</f>
        <v>0</v>
      </c>
      <c r="X128" s="34">
        <f>IF(F128&gt;2.5,VLOOKUP($X$2,'Unit Price'!$B$3:$C$19,2,0),0)</f>
        <v>0</v>
      </c>
      <c r="Y128" s="34">
        <f>IF(F128&gt;2.5,VLOOKUP($Y$2,'Unit Price'!$B$3:$C$19,2,0),0)</f>
        <v>0</v>
      </c>
      <c r="Z128" s="34">
        <f>IF(F128&lt;2.5,6*VLOOKUP($Z$2,'Unit Price'!$B$3:$C$19,2,0),0)</f>
        <v>132000</v>
      </c>
      <c r="AA128" s="34">
        <f>IF(F128&lt;2.5,3*VLOOKUP($AA$2,'Unit Price'!$B$3:$C$19,2,0),0)</f>
        <v>165000</v>
      </c>
      <c r="AB128" s="34">
        <f>IF(F128&gt;2.5,6*VLOOKUP($AB$2,'Unit Price'!$B$3:$C$19,2,0),0)</f>
        <v>0</v>
      </c>
      <c r="AC128" s="34">
        <f>IF(F128&gt;2.5,3*VLOOKUP($AC$2,'Unit Price'!$B$3:$C$19,2,0),0)</f>
        <v>0</v>
      </c>
      <c r="AD128" s="36"/>
      <c r="AE128" s="46">
        <f t="shared" si="6"/>
        <v>1533500</v>
      </c>
      <c r="AF128" s="66">
        <f t="shared" si="7"/>
        <v>286500</v>
      </c>
    </row>
    <row r="129" spans="1:32">
      <c r="A129" s="17">
        <v>127</v>
      </c>
      <c r="B129" s="5" t="s">
        <v>280</v>
      </c>
      <c r="C129" s="5" t="s">
        <v>281</v>
      </c>
      <c r="D129" s="5" t="s">
        <v>277</v>
      </c>
      <c r="E129" s="5">
        <v>12.888</v>
      </c>
      <c r="F129" s="18">
        <v>2.7</v>
      </c>
      <c r="G129" s="5">
        <v>10</v>
      </c>
      <c r="H129" s="50">
        <v>7</v>
      </c>
      <c r="I129" s="58">
        <v>70</v>
      </c>
      <c r="J129" s="5">
        <f t="shared" si="4"/>
        <v>1</v>
      </c>
      <c r="K129" s="36">
        <v>2800000</v>
      </c>
      <c r="L129" s="37">
        <f t="shared" si="5"/>
        <v>2800000</v>
      </c>
      <c r="N129" s="34">
        <f>H129*VLOOKUP($N$2,'Unit Price'!$B$3:$C$19,2,0)</f>
        <v>126000</v>
      </c>
      <c r="O129" s="34">
        <f>1*VLOOKUP($O$2,'Unit Price'!$B$3:$C$19,2,0)</f>
        <v>10000</v>
      </c>
      <c r="P129" s="34">
        <f>1*VLOOKUP($P$2,'Unit Price'!$B$3:$C$19,2,0)</f>
        <v>8000</v>
      </c>
      <c r="Q129" s="34">
        <f>G129*2*VLOOKUP($Q$2,'Unit Price'!$B$3:$C$19,2,0)</f>
        <v>30000</v>
      </c>
      <c r="R129" s="34">
        <f>H129*3*VLOOKUP($R$2,'Unit Price'!$B$3:$C$19,2,0)</f>
        <v>52500</v>
      </c>
      <c r="S129" s="34">
        <f>IF(F129&lt;=2.2,3*VLOOKUP($S$2,'Unit Price'!$B$3:$C$19,2,0),5*VLOOKUP($S$2,'Unit Price'!$B$3:$C$19,2,0))</f>
        <v>50000</v>
      </c>
      <c r="T129" s="34">
        <f>IF(F129&lt;=2.06,VLOOKUP($T$2,'Unit Price'!$B$3:$C$19,2,0),0)</f>
        <v>0</v>
      </c>
      <c r="U129" s="34">
        <f>IF(F129&lt;=2.06,VLOOKUP($U$2,'Unit Price'!$B$3:$C$19,2,0),0)</f>
        <v>0</v>
      </c>
      <c r="V129" s="34">
        <f>IF(AND(F129&gt;2.06,F129&lt;2.5),VLOOKUP($V$2,'Unit Price'!$B$3:$C$19,2,0),0)</f>
        <v>0</v>
      </c>
      <c r="W129" s="34">
        <f>IF(AND(F129&gt;2.06,F129&lt;2.5),VLOOKUP($W$2,'Unit Price'!$B$3:$C$19,2,0),0)</f>
        <v>0</v>
      </c>
      <c r="X129" s="34">
        <f>IF(F129&gt;2.5,VLOOKUP($X$2,'Unit Price'!$B$3:$C$19,2,0),0)</f>
        <v>1200000</v>
      </c>
      <c r="Y129" s="34">
        <f>IF(F129&gt;2.5,VLOOKUP($Y$2,'Unit Price'!$B$3:$C$19,2,0),0)</f>
        <v>350000</v>
      </c>
      <c r="Z129" s="34">
        <f>IF(F129&lt;2.5,6*VLOOKUP($Z$2,'Unit Price'!$B$3:$C$19,2,0),0)</f>
        <v>0</v>
      </c>
      <c r="AA129" s="34">
        <f>IF(F129&lt;2.5,3*VLOOKUP($AA$2,'Unit Price'!$B$3:$C$19,2,0),0)</f>
        <v>0</v>
      </c>
      <c r="AB129" s="34">
        <f>IF(F129&gt;2.5,6*VLOOKUP($AB$2,'Unit Price'!$B$3:$C$19,2,0),0)</f>
        <v>375000</v>
      </c>
      <c r="AC129" s="34">
        <f>IF(F129&gt;2.5,3*VLOOKUP($AC$2,'Unit Price'!$B$3:$C$19,2,0),0)</f>
        <v>216000</v>
      </c>
      <c r="AD129" s="36"/>
      <c r="AE129" s="46">
        <f t="shared" si="6"/>
        <v>2417500</v>
      </c>
      <c r="AF129" s="66">
        <f t="shared" si="7"/>
        <v>382500</v>
      </c>
    </row>
    <row r="130" spans="1:32">
      <c r="A130" s="17">
        <v>128</v>
      </c>
      <c r="B130" s="5" t="s">
        <v>282</v>
      </c>
      <c r="C130" s="5" t="s">
        <v>283</v>
      </c>
      <c r="D130" s="5" t="s">
        <v>277</v>
      </c>
      <c r="E130" s="5">
        <v>15.3841</v>
      </c>
      <c r="F130" s="18">
        <v>2</v>
      </c>
      <c r="G130" s="5">
        <v>7</v>
      </c>
      <c r="H130" s="50">
        <v>5</v>
      </c>
      <c r="I130" s="58">
        <v>35</v>
      </c>
      <c r="J130" s="5">
        <f t="shared" si="4"/>
        <v>0.65</v>
      </c>
      <c r="K130" s="36">
        <v>2800000</v>
      </c>
      <c r="L130" s="37">
        <f t="shared" si="5"/>
        <v>1820000</v>
      </c>
      <c r="N130" s="34">
        <f>H130*VLOOKUP($N$2,'Unit Price'!$B$3:$C$19,2,0)</f>
        <v>90000</v>
      </c>
      <c r="O130" s="34">
        <f>1*VLOOKUP($O$2,'Unit Price'!$B$3:$C$19,2,0)</f>
        <v>10000</v>
      </c>
      <c r="P130" s="34">
        <f>1*VLOOKUP($P$2,'Unit Price'!$B$3:$C$19,2,0)</f>
        <v>8000</v>
      </c>
      <c r="Q130" s="34">
        <f>G130*2*VLOOKUP($Q$2,'Unit Price'!$B$3:$C$19,2,0)</f>
        <v>21000</v>
      </c>
      <c r="R130" s="34">
        <f>H130*3*VLOOKUP($R$2,'Unit Price'!$B$3:$C$19,2,0)</f>
        <v>37500</v>
      </c>
      <c r="S130" s="34">
        <f>IF(F130&lt;=2.2,3*VLOOKUP($S$2,'Unit Price'!$B$3:$C$19,2,0),5*VLOOKUP($S$2,'Unit Price'!$B$3:$C$19,2,0))</f>
        <v>30000</v>
      </c>
      <c r="T130" s="34">
        <f>IF(F130&lt;=2.06,VLOOKUP($T$2,'Unit Price'!$B$3:$C$19,2,0),0)</f>
        <v>795000</v>
      </c>
      <c r="U130" s="34">
        <f>IF(F130&lt;=2.06,VLOOKUP($U$2,'Unit Price'!$B$3:$C$19,2,0),0)</f>
        <v>245000</v>
      </c>
      <c r="V130" s="34">
        <f>IF(AND(F130&gt;2.06,F130&lt;2.5),VLOOKUP($V$2,'Unit Price'!$B$3:$C$19,2,0),0)</f>
        <v>0</v>
      </c>
      <c r="W130" s="34">
        <f>IF(AND(F130&gt;2.06,F130&lt;2.5),VLOOKUP($W$2,'Unit Price'!$B$3:$C$19,2,0),0)</f>
        <v>0</v>
      </c>
      <c r="X130" s="34">
        <f>IF(F130&gt;2.5,VLOOKUP($X$2,'Unit Price'!$B$3:$C$19,2,0),0)</f>
        <v>0</v>
      </c>
      <c r="Y130" s="34">
        <f>IF(F130&gt;2.5,VLOOKUP($Y$2,'Unit Price'!$B$3:$C$19,2,0),0)</f>
        <v>0</v>
      </c>
      <c r="Z130" s="34">
        <f>IF(F130&lt;2.5,6*VLOOKUP($Z$2,'Unit Price'!$B$3:$C$19,2,0),0)</f>
        <v>132000</v>
      </c>
      <c r="AA130" s="34">
        <f>IF(F130&lt;2.5,3*VLOOKUP($AA$2,'Unit Price'!$B$3:$C$19,2,0),0)</f>
        <v>165000</v>
      </c>
      <c r="AB130" s="34">
        <f>IF(F130&gt;2.5,6*VLOOKUP($AB$2,'Unit Price'!$B$3:$C$19,2,0),0)</f>
        <v>0</v>
      </c>
      <c r="AC130" s="34">
        <f>IF(F130&gt;2.5,3*VLOOKUP($AC$2,'Unit Price'!$B$3:$C$19,2,0),0)</f>
        <v>0</v>
      </c>
      <c r="AD130" s="36"/>
      <c r="AE130" s="46">
        <f t="shared" si="6"/>
        <v>1533500</v>
      </c>
      <c r="AF130" s="66">
        <f t="shared" si="7"/>
        <v>286500</v>
      </c>
    </row>
    <row r="131" spans="1:32">
      <c r="A131" s="17">
        <v>129</v>
      </c>
      <c r="B131" s="5" t="s">
        <v>284</v>
      </c>
      <c r="C131" s="5" t="s">
        <v>285</v>
      </c>
      <c r="D131" s="5" t="s">
        <v>286</v>
      </c>
      <c r="E131" s="5">
        <v>17.526</v>
      </c>
      <c r="F131" s="18">
        <v>3</v>
      </c>
      <c r="G131" s="5">
        <v>10</v>
      </c>
      <c r="H131" s="50">
        <v>7</v>
      </c>
      <c r="I131" s="58">
        <v>70</v>
      </c>
      <c r="J131" s="5">
        <f t="shared" si="4"/>
        <v>1</v>
      </c>
      <c r="K131" s="36">
        <v>2800000</v>
      </c>
      <c r="L131" s="37">
        <f t="shared" si="5"/>
        <v>2800000</v>
      </c>
      <c r="N131" s="34">
        <f>H131*VLOOKUP($N$2,'Unit Price'!$B$3:$C$19,2,0)</f>
        <v>126000</v>
      </c>
      <c r="O131" s="34">
        <f>1*VLOOKUP($O$2,'Unit Price'!$B$3:$C$19,2,0)</f>
        <v>10000</v>
      </c>
      <c r="P131" s="34">
        <f>1*VLOOKUP($P$2,'Unit Price'!$B$3:$C$19,2,0)</f>
        <v>8000</v>
      </c>
      <c r="Q131" s="34">
        <f>G131*2*VLOOKUP($Q$2,'Unit Price'!$B$3:$C$19,2,0)</f>
        <v>30000</v>
      </c>
      <c r="R131" s="34">
        <f>H131*3*VLOOKUP($R$2,'Unit Price'!$B$3:$C$19,2,0)</f>
        <v>52500</v>
      </c>
      <c r="S131" s="34">
        <f>IF(F131&lt;=2.2,3*VLOOKUP($S$2,'Unit Price'!$B$3:$C$19,2,0),5*VLOOKUP($S$2,'Unit Price'!$B$3:$C$19,2,0))</f>
        <v>50000</v>
      </c>
      <c r="T131" s="34">
        <f>IF(F131&lt;=2.06,VLOOKUP($T$2,'Unit Price'!$B$3:$C$19,2,0),0)</f>
        <v>0</v>
      </c>
      <c r="U131" s="34">
        <f>IF(F131&lt;=2.06,VLOOKUP($U$2,'Unit Price'!$B$3:$C$19,2,0),0)</f>
        <v>0</v>
      </c>
      <c r="V131" s="34">
        <f>IF(AND(F131&gt;2.06,F131&lt;2.5),VLOOKUP($V$2,'Unit Price'!$B$3:$C$19,2,0),0)</f>
        <v>0</v>
      </c>
      <c r="W131" s="34">
        <f>IF(AND(F131&gt;2.06,F131&lt;2.5),VLOOKUP($W$2,'Unit Price'!$B$3:$C$19,2,0),0)</f>
        <v>0</v>
      </c>
      <c r="X131" s="34">
        <f>IF(F131&gt;2.5,VLOOKUP($X$2,'Unit Price'!$B$3:$C$19,2,0),0)</f>
        <v>1200000</v>
      </c>
      <c r="Y131" s="34">
        <f>IF(F131&gt;2.5,VLOOKUP($Y$2,'Unit Price'!$B$3:$C$19,2,0),0)</f>
        <v>350000</v>
      </c>
      <c r="Z131" s="34">
        <f>IF(F131&lt;2.5,6*VLOOKUP($Z$2,'Unit Price'!$B$3:$C$19,2,0),0)</f>
        <v>0</v>
      </c>
      <c r="AA131" s="34">
        <f>IF(F131&lt;2.5,3*VLOOKUP($AA$2,'Unit Price'!$B$3:$C$19,2,0),0)</f>
        <v>0</v>
      </c>
      <c r="AB131" s="34">
        <f>IF(F131&gt;2.5,6*VLOOKUP($AB$2,'Unit Price'!$B$3:$C$19,2,0),0)</f>
        <v>375000</v>
      </c>
      <c r="AC131" s="34">
        <f>IF(F131&gt;2.5,3*VLOOKUP($AC$2,'Unit Price'!$B$3:$C$19,2,0),0)</f>
        <v>216000</v>
      </c>
      <c r="AD131" s="36"/>
      <c r="AE131" s="46">
        <f t="shared" si="6"/>
        <v>2417500</v>
      </c>
      <c r="AF131" s="66">
        <f t="shared" si="7"/>
        <v>382500</v>
      </c>
    </row>
    <row r="132" spans="1:32">
      <c r="A132" s="17">
        <v>130</v>
      </c>
      <c r="B132" s="5" t="s">
        <v>287</v>
      </c>
      <c r="C132" s="5" t="s">
        <v>288</v>
      </c>
      <c r="D132" s="5" t="s">
        <v>286</v>
      </c>
      <c r="E132" s="5">
        <v>18.1861</v>
      </c>
      <c r="F132" s="18">
        <v>2</v>
      </c>
      <c r="G132" s="5">
        <v>7</v>
      </c>
      <c r="H132" s="50">
        <v>4</v>
      </c>
      <c r="I132" s="58">
        <v>28</v>
      </c>
      <c r="J132" s="5">
        <f t="shared" ref="J132:J195" si="8">IF(F132&lt;=2.06,0.65,IF(AND(F132&gt;2.06,F132&lt;2.5),0.7,IF(F132&gt;=2.5,1,0)))</f>
        <v>0.65</v>
      </c>
      <c r="K132" s="36">
        <v>2800000</v>
      </c>
      <c r="L132" s="37">
        <f t="shared" ref="L132:L195" si="9">J132*K132</f>
        <v>1820000</v>
      </c>
      <c r="N132" s="34">
        <f>H132*VLOOKUP($N$2,'Unit Price'!$B$3:$C$19,2,0)</f>
        <v>72000</v>
      </c>
      <c r="O132" s="34">
        <f>1*VLOOKUP($O$2,'Unit Price'!$B$3:$C$19,2,0)</f>
        <v>10000</v>
      </c>
      <c r="P132" s="34">
        <f>1*VLOOKUP($P$2,'Unit Price'!$B$3:$C$19,2,0)</f>
        <v>8000</v>
      </c>
      <c r="Q132" s="34">
        <f>G132*2*VLOOKUP($Q$2,'Unit Price'!$B$3:$C$19,2,0)</f>
        <v>21000</v>
      </c>
      <c r="R132" s="34">
        <f>H132*3*VLOOKUP($R$2,'Unit Price'!$B$3:$C$19,2,0)</f>
        <v>30000</v>
      </c>
      <c r="S132" s="34">
        <f>IF(F132&lt;=2.2,3*VLOOKUP($S$2,'Unit Price'!$B$3:$C$19,2,0),5*VLOOKUP($S$2,'Unit Price'!$B$3:$C$19,2,0))</f>
        <v>30000</v>
      </c>
      <c r="T132" s="34">
        <f>IF(F132&lt;=2.06,VLOOKUP($T$2,'Unit Price'!$B$3:$C$19,2,0),0)</f>
        <v>795000</v>
      </c>
      <c r="U132" s="34">
        <f>IF(F132&lt;=2.06,VLOOKUP($U$2,'Unit Price'!$B$3:$C$19,2,0),0)</f>
        <v>245000</v>
      </c>
      <c r="V132" s="34">
        <f>IF(AND(F132&gt;2.06,F132&lt;2.5),VLOOKUP($V$2,'Unit Price'!$B$3:$C$19,2,0),0)</f>
        <v>0</v>
      </c>
      <c r="W132" s="34">
        <f>IF(AND(F132&gt;2.06,F132&lt;2.5),VLOOKUP($W$2,'Unit Price'!$B$3:$C$19,2,0),0)</f>
        <v>0</v>
      </c>
      <c r="X132" s="34">
        <f>IF(F132&gt;2.5,VLOOKUP($X$2,'Unit Price'!$B$3:$C$19,2,0),0)</f>
        <v>0</v>
      </c>
      <c r="Y132" s="34">
        <f>IF(F132&gt;2.5,VLOOKUP($Y$2,'Unit Price'!$B$3:$C$19,2,0),0)</f>
        <v>0</v>
      </c>
      <c r="Z132" s="34">
        <f>IF(F132&lt;2.5,6*VLOOKUP($Z$2,'Unit Price'!$B$3:$C$19,2,0),0)</f>
        <v>132000</v>
      </c>
      <c r="AA132" s="34">
        <f>IF(F132&lt;2.5,3*VLOOKUP($AA$2,'Unit Price'!$B$3:$C$19,2,0),0)</f>
        <v>165000</v>
      </c>
      <c r="AB132" s="34">
        <f>IF(F132&gt;2.5,6*VLOOKUP($AB$2,'Unit Price'!$B$3:$C$19,2,0),0)</f>
        <v>0</v>
      </c>
      <c r="AC132" s="34">
        <f>IF(F132&gt;2.5,3*VLOOKUP($AC$2,'Unit Price'!$B$3:$C$19,2,0),0)</f>
        <v>0</v>
      </c>
      <c r="AD132" s="36"/>
      <c r="AE132" s="46">
        <f t="shared" ref="AE132:AE195" si="10">SUM(N132:AD132)</f>
        <v>1508000</v>
      </c>
      <c r="AF132" s="66">
        <f t="shared" ref="AF132:AF195" si="11">L132-AE132</f>
        <v>312000</v>
      </c>
    </row>
    <row r="133" spans="1:32">
      <c r="A133" s="17">
        <v>131</v>
      </c>
      <c r="B133" s="5" t="s">
        <v>289</v>
      </c>
      <c r="C133" s="5" t="s">
        <v>290</v>
      </c>
      <c r="D133" s="5" t="s">
        <v>291</v>
      </c>
      <c r="E133" s="5">
        <v>2.1006</v>
      </c>
      <c r="F133" s="18">
        <v>2</v>
      </c>
      <c r="G133" s="5">
        <v>16</v>
      </c>
      <c r="H133" s="50">
        <v>11</v>
      </c>
      <c r="I133" s="58">
        <v>176</v>
      </c>
      <c r="J133" s="5">
        <f t="shared" si="8"/>
        <v>0.65</v>
      </c>
      <c r="K133" s="36">
        <v>2800000</v>
      </c>
      <c r="L133" s="37">
        <f t="shared" si="9"/>
        <v>1820000</v>
      </c>
      <c r="N133" s="34">
        <f>H133*VLOOKUP($N$2,'Unit Price'!$B$3:$C$19,2,0)</f>
        <v>198000</v>
      </c>
      <c r="O133" s="34">
        <f>1*VLOOKUP($O$2,'Unit Price'!$B$3:$C$19,2,0)</f>
        <v>10000</v>
      </c>
      <c r="P133" s="34">
        <f>1*VLOOKUP($P$2,'Unit Price'!$B$3:$C$19,2,0)</f>
        <v>8000</v>
      </c>
      <c r="Q133" s="34">
        <f>G133*2*VLOOKUP($Q$2,'Unit Price'!$B$3:$C$19,2,0)</f>
        <v>48000</v>
      </c>
      <c r="R133" s="34">
        <f>H133*3*VLOOKUP($R$2,'Unit Price'!$B$3:$C$19,2,0)</f>
        <v>82500</v>
      </c>
      <c r="S133" s="34">
        <f>IF(F133&lt;=2.2,3*VLOOKUP($S$2,'Unit Price'!$B$3:$C$19,2,0),5*VLOOKUP($S$2,'Unit Price'!$B$3:$C$19,2,0))</f>
        <v>30000</v>
      </c>
      <c r="T133" s="34">
        <f>IF(F133&lt;=2.06,VLOOKUP($T$2,'Unit Price'!$B$3:$C$19,2,0),0)</f>
        <v>795000</v>
      </c>
      <c r="U133" s="34">
        <f>IF(F133&lt;=2.06,VLOOKUP($U$2,'Unit Price'!$B$3:$C$19,2,0),0)</f>
        <v>245000</v>
      </c>
      <c r="V133" s="34">
        <f>IF(AND(F133&gt;2.06,F133&lt;2.5),VLOOKUP($V$2,'Unit Price'!$B$3:$C$19,2,0),0)</f>
        <v>0</v>
      </c>
      <c r="W133" s="34">
        <f>IF(AND(F133&gt;2.06,F133&lt;2.5),VLOOKUP($W$2,'Unit Price'!$B$3:$C$19,2,0),0)</f>
        <v>0</v>
      </c>
      <c r="X133" s="34">
        <f>IF(F133&gt;2.5,VLOOKUP($X$2,'Unit Price'!$B$3:$C$19,2,0),0)</f>
        <v>0</v>
      </c>
      <c r="Y133" s="34">
        <f>IF(F133&gt;2.5,VLOOKUP($Y$2,'Unit Price'!$B$3:$C$19,2,0),0)</f>
        <v>0</v>
      </c>
      <c r="Z133" s="34">
        <f>IF(F133&lt;2.5,6*VLOOKUP($Z$2,'Unit Price'!$B$3:$C$19,2,0),0)</f>
        <v>132000</v>
      </c>
      <c r="AA133" s="34">
        <f>IF(F133&lt;2.5,3*VLOOKUP($AA$2,'Unit Price'!$B$3:$C$19,2,0),0)</f>
        <v>165000</v>
      </c>
      <c r="AB133" s="34">
        <f>IF(F133&gt;2.5,6*VLOOKUP($AB$2,'Unit Price'!$B$3:$C$19,2,0),0)</f>
        <v>0</v>
      </c>
      <c r="AC133" s="34">
        <f>IF(F133&gt;2.5,3*VLOOKUP($AC$2,'Unit Price'!$B$3:$C$19,2,0),0)</f>
        <v>0</v>
      </c>
      <c r="AD133" s="36"/>
      <c r="AE133" s="46">
        <f t="shared" si="10"/>
        <v>1713500</v>
      </c>
      <c r="AF133" s="66">
        <f t="shared" si="11"/>
        <v>106500</v>
      </c>
    </row>
    <row r="134" spans="1:32">
      <c r="A134" s="17">
        <v>132</v>
      </c>
      <c r="B134" s="5" t="s">
        <v>292</v>
      </c>
      <c r="C134" s="5" t="s">
        <v>293</v>
      </c>
      <c r="D134" s="5" t="s">
        <v>291</v>
      </c>
      <c r="E134" s="5">
        <v>2.6082000000000001</v>
      </c>
      <c r="F134" s="18">
        <v>2</v>
      </c>
      <c r="G134" s="5">
        <v>14</v>
      </c>
      <c r="H134" s="50">
        <v>10</v>
      </c>
      <c r="I134" s="58">
        <v>140</v>
      </c>
      <c r="J134" s="5">
        <f t="shared" si="8"/>
        <v>0.65</v>
      </c>
      <c r="K134" s="36">
        <v>2800000</v>
      </c>
      <c r="L134" s="37">
        <f t="shared" si="9"/>
        <v>1820000</v>
      </c>
      <c r="N134" s="34">
        <f>H134*VLOOKUP($N$2,'Unit Price'!$B$3:$C$19,2,0)</f>
        <v>180000</v>
      </c>
      <c r="O134" s="34">
        <f>1*VLOOKUP($O$2,'Unit Price'!$B$3:$C$19,2,0)</f>
        <v>10000</v>
      </c>
      <c r="P134" s="34">
        <f>1*VLOOKUP($P$2,'Unit Price'!$B$3:$C$19,2,0)</f>
        <v>8000</v>
      </c>
      <c r="Q134" s="34">
        <f>G134*2*VLOOKUP($Q$2,'Unit Price'!$B$3:$C$19,2,0)</f>
        <v>42000</v>
      </c>
      <c r="R134" s="34">
        <f>H134*3*VLOOKUP($R$2,'Unit Price'!$B$3:$C$19,2,0)</f>
        <v>75000</v>
      </c>
      <c r="S134" s="34">
        <f>IF(F134&lt;=2.2,3*VLOOKUP($S$2,'Unit Price'!$B$3:$C$19,2,0),5*VLOOKUP($S$2,'Unit Price'!$B$3:$C$19,2,0))</f>
        <v>30000</v>
      </c>
      <c r="T134" s="34">
        <f>IF(F134&lt;=2.06,VLOOKUP($T$2,'Unit Price'!$B$3:$C$19,2,0),0)</f>
        <v>795000</v>
      </c>
      <c r="U134" s="34">
        <f>IF(F134&lt;=2.06,VLOOKUP($U$2,'Unit Price'!$B$3:$C$19,2,0),0)</f>
        <v>245000</v>
      </c>
      <c r="V134" s="34">
        <f>IF(AND(F134&gt;2.06,F134&lt;2.5),VLOOKUP($V$2,'Unit Price'!$B$3:$C$19,2,0),0)</f>
        <v>0</v>
      </c>
      <c r="W134" s="34">
        <f>IF(AND(F134&gt;2.06,F134&lt;2.5),VLOOKUP($W$2,'Unit Price'!$B$3:$C$19,2,0),0)</f>
        <v>0</v>
      </c>
      <c r="X134" s="34">
        <f>IF(F134&gt;2.5,VLOOKUP($X$2,'Unit Price'!$B$3:$C$19,2,0),0)</f>
        <v>0</v>
      </c>
      <c r="Y134" s="34">
        <f>IF(F134&gt;2.5,VLOOKUP($Y$2,'Unit Price'!$B$3:$C$19,2,0),0)</f>
        <v>0</v>
      </c>
      <c r="Z134" s="34">
        <f>IF(F134&lt;2.5,6*VLOOKUP($Z$2,'Unit Price'!$B$3:$C$19,2,0),0)</f>
        <v>132000</v>
      </c>
      <c r="AA134" s="34">
        <f>IF(F134&lt;2.5,3*VLOOKUP($AA$2,'Unit Price'!$B$3:$C$19,2,0),0)</f>
        <v>165000</v>
      </c>
      <c r="AB134" s="34">
        <f>IF(F134&gt;2.5,6*VLOOKUP($AB$2,'Unit Price'!$B$3:$C$19,2,0),0)</f>
        <v>0</v>
      </c>
      <c r="AC134" s="34">
        <f>IF(F134&gt;2.5,3*VLOOKUP($AC$2,'Unit Price'!$B$3:$C$19,2,0),0)</f>
        <v>0</v>
      </c>
      <c r="AD134" s="36"/>
      <c r="AE134" s="46">
        <f t="shared" si="10"/>
        <v>1682000</v>
      </c>
      <c r="AF134" s="66">
        <f t="shared" si="11"/>
        <v>138000</v>
      </c>
    </row>
    <row r="135" spans="1:32">
      <c r="A135" s="17">
        <v>133</v>
      </c>
      <c r="B135" s="5" t="s">
        <v>294</v>
      </c>
      <c r="C135" s="5" t="s">
        <v>295</v>
      </c>
      <c r="D135" s="5" t="s">
        <v>291</v>
      </c>
      <c r="E135" s="5">
        <v>2.0137</v>
      </c>
      <c r="F135" s="18">
        <v>2</v>
      </c>
      <c r="G135" s="5">
        <v>16</v>
      </c>
      <c r="H135" s="50">
        <v>11</v>
      </c>
      <c r="I135" s="58">
        <v>176</v>
      </c>
      <c r="J135" s="5">
        <f t="shared" si="8"/>
        <v>0.65</v>
      </c>
      <c r="K135" s="36">
        <v>2800000</v>
      </c>
      <c r="L135" s="37">
        <f t="shared" si="9"/>
        <v>1820000</v>
      </c>
      <c r="N135" s="34">
        <f>H135*VLOOKUP($N$2,'Unit Price'!$B$3:$C$19,2,0)</f>
        <v>198000</v>
      </c>
      <c r="O135" s="34">
        <f>1*VLOOKUP($O$2,'Unit Price'!$B$3:$C$19,2,0)</f>
        <v>10000</v>
      </c>
      <c r="P135" s="34">
        <f>1*VLOOKUP($P$2,'Unit Price'!$B$3:$C$19,2,0)</f>
        <v>8000</v>
      </c>
      <c r="Q135" s="34">
        <f>G135*2*VLOOKUP($Q$2,'Unit Price'!$B$3:$C$19,2,0)</f>
        <v>48000</v>
      </c>
      <c r="R135" s="34">
        <f>H135*3*VLOOKUP($R$2,'Unit Price'!$B$3:$C$19,2,0)</f>
        <v>82500</v>
      </c>
      <c r="S135" s="34">
        <f>IF(F135&lt;=2.2,3*VLOOKUP($S$2,'Unit Price'!$B$3:$C$19,2,0),5*VLOOKUP($S$2,'Unit Price'!$B$3:$C$19,2,0))</f>
        <v>30000</v>
      </c>
      <c r="T135" s="34">
        <f>IF(F135&lt;=2.06,VLOOKUP($T$2,'Unit Price'!$B$3:$C$19,2,0),0)</f>
        <v>795000</v>
      </c>
      <c r="U135" s="34">
        <f>IF(F135&lt;=2.06,VLOOKUP($U$2,'Unit Price'!$B$3:$C$19,2,0),0)</f>
        <v>245000</v>
      </c>
      <c r="V135" s="34">
        <f>IF(AND(F135&gt;2.06,F135&lt;2.5),VLOOKUP($V$2,'Unit Price'!$B$3:$C$19,2,0),0)</f>
        <v>0</v>
      </c>
      <c r="W135" s="34">
        <f>IF(AND(F135&gt;2.06,F135&lt;2.5),VLOOKUP($W$2,'Unit Price'!$B$3:$C$19,2,0),0)</f>
        <v>0</v>
      </c>
      <c r="X135" s="34">
        <f>IF(F135&gt;2.5,VLOOKUP($X$2,'Unit Price'!$B$3:$C$19,2,0),0)</f>
        <v>0</v>
      </c>
      <c r="Y135" s="34">
        <f>IF(F135&gt;2.5,VLOOKUP($Y$2,'Unit Price'!$B$3:$C$19,2,0),0)</f>
        <v>0</v>
      </c>
      <c r="Z135" s="34">
        <f>IF(F135&lt;2.5,6*VLOOKUP($Z$2,'Unit Price'!$B$3:$C$19,2,0),0)</f>
        <v>132000</v>
      </c>
      <c r="AA135" s="34">
        <f>IF(F135&lt;2.5,3*VLOOKUP($AA$2,'Unit Price'!$B$3:$C$19,2,0),0)</f>
        <v>165000</v>
      </c>
      <c r="AB135" s="34">
        <f>IF(F135&gt;2.5,6*VLOOKUP($AB$2,'Unit Price'!$B$3:$C$19,2,0),0)</f>
        <v>0</v>
      </c>
      <c r="AC135" s="34">
        <f>IF(F135&gt;2.5,3*VLOOKUP($AC$2,'Unit Price'!$B$3:$C$19,2,0),0)</f>
        <v>0</v>
      </c>
      <c r="AD135" s="36"/>
      <c r="AE135" s="46">
        <f t="shared" si="10"/>
        <v>1713500</v>
      </c>
      <c r="AF135" s="66">
        <f t="shared" si="11"/>
        <v>106500</v>
      </c>
    </row>
    <row r="136" spans="1:32">
      <c r="A136" s="17">
        <v>134</v>
      </c>
      <c r="B136" s="5" t="s">
        <v>296</v>
      </c>
      <c r="C136" s="5" t="s">
        <v>297</v>
      </c>
      <c r="D136" s="5" t="s">
        <v>291</v>
      </c>
      <c r="E136" s="5">
        <v>2.4348999999999998</v>
      </c>
      <c r="F136" s="18">
        <v>2</v>
      </c>
      <c r="G136" s="5">
        <v>14</v>
      </c>
      <c r="H136" s="50">
        <v>10</v>
      </c>
      <c r="I136" s="58">
        <v>140</v>
      </c>
      <c r="J136" s="5">
        <f t="shared" si="8"/>
        <v>0.65</v>
      </c>
      <c r="K136" s="36">
        <v>2800000</v>
      </c>
      <c r="L136" s="37">
        <f t="shared" si="9"/>
        <v>1820000</v>
      </c>
      <c r="N136" s="34">
        <f>H136*VLOOKUP($N$2,'Unit Price'!$B$3:$C$19,2,0)</f>
        <v>180000</v>
      </c>
      <c r="O136" s="34">
        <f>1*VLOOKUP($O$2,'Unit Price'!$B$3:$C$19,2,0)</f>
        <v>10000</v>
      </c>
      <c r="P136" s="34">
        <f>1*VLOOKUP($P$2,'Unit Price'!$B$3:$C$19,2,0)</f>
        <v>8000</v>
      </c>
      <c r="Q136" s="34">
        <f>G136*2*VLOOKUP($Q$2,'Unit Price'!$B$3:$C$19,2,0)</f>
        <v>42000</v>
      </c>
      <c r="R136" s="34">
        <f>H136*3*VLOOKUP($R$2,'Unit Price'!$B$3:$C$19,2,0)</f>
        <v>75000</v>
      </c>
      <c r="S136" s="34">
        <f>IF(F136&lt;=2.2,3*VLOOKUP($S$2,'Unit Price'!$B$3:$C$19,2,0),5*VLOOKUP($S$2,'Unit Price'!$B$3:$C$19,2,0))</f>
        <v>30000</v>
      </c>
      <c r="T136" s="34">
        <f>IF(F136&lt;=2.06,VLOOKUP($T$2,'Unit Price'!$B$3:$C$19,2,0),0)</f>
        <v>795000</v>
      </c>
      <c r="U136" s="34">
        <f>IF(F136&lt;=2.06,VLOOKUP($U$2,'Unit Price'!$B$3:$C$19,2,0),0)</f>
        <v>245000</v>
      </c>
      <c r="V136" s="34">
        <f>IF(AND(F136&gt;2.06,F136&lt;2.5),VLOOKUP($V$2,'Unit Price'!$B$3:$C$19,2,0),0)</f>
        <v>0</v>
      </c>
      <c r="W136" s="34">
        <f>IF(AND(F136&gt;2.06,F136&lt;2.5),VLOOKUP($W$2,'Unit Price'!$B$3:$C$19,2,0),0)</f>
        <v>0</v>
      </c>
      <c r="X136" s="34">
        <f>IF(F136&gt;2.5,VLOOKUP($X$2,'Unit Price'!$B$3:$C$19,2,0),0)</f>
        <v>0</v>
      </c>
      <c r="Y136" s="34">
        <f>IF(F136&gt;2.5,VLOOKUP($Y$2,'Unit Price'!$B$3:$C$19,2,0),0)</f>
        <v>0</v>
      </c>
      <c r="Z136" s="34">
        <f>IF(F136&lt;2.5,6*VLOOKUP($Z$2,'Unit Price'!$B$3:$C$19,2,0),0)</f>
        <v>132000</v>
      </c>
      <c r="AA136" s="34">
        <f>IF(F136&lt;2.5,3*VLOOKUP($AA$2,'Unit Price'!$B$3:$C$19,2,0),0)</f>
        <v>165000</v>
      </c>
      <c r="AB136" s="34">
        <f>IF(F136&gt;2.5,6*VLOOKUP($AB$2,'Unit Price'!$B$3:$C$19,2,0),0)</f>
        <v>0</v>
      </c>
      <c r="AC136" s="34">
        <f>IF(F136&gt;2.5,3*VLOOKUP($AC$2,'Unit Price'!$B$3:$C$19,2,0),0)</f>
        <v>0</v>
      </c>
      <c r="AD136" s="36"/>
      <c r="AE136" s="46">
        <f t="shared" si="10"/>
        <v>1682000</v>
      </c>
      <c r="AF136" s="66">
        <f t="shared" si="11"/>
        <v>138000</v>
      </c>
    </row>
    <row r="137" spans="1:32">
      <c r="A137" s="17">
        <v>135</v>
      </c>
      <c r="B137" s="5" t="s">
        <v>298</v>
      </c>
      <c r="C137" s="5" t="s">
        <v>299</v>
      </c>
      <c r="D137" s="5" t="s">
        <v>291</v>
      </c>
      <c r="E137" s="5">
        <v>3.6736</v>
      </c>
      <c r="F137" s="18">
        <v>2</v>
      </c>
      <c r="G137" s="5">
        <v>12</v>
      </c>
      <c r="H137" s="50">
        <v>8</v>
      </c>
      <c r="I137" s="58">
        <v>96</v>
      </c>
      <c r="J137" s="5">
        <f t="shared" si="8"/>
        <v>0.65</v>
      </c>
      <c r="K137" s="36">
        <v>2800000</v>
      </c>
      <c r="L137" s="37">
        <f t="shared" si="9"/>
        <v>1820000</v>
      </c>
      <c r="N137" s="34">
        <f>H137*VLOOKUP($N$2,'Unit Price'!$B$3:$C$19,2,0)</f>
        <v>144000</v>
      </c>
      <c r="O137" s="34">
        <f>1*VLOOKUP($O$2,'Unit Price'!$B$3:$C$19,2,0)</f>
        <v>10000</v>
      </c>
      <c r="P137" s="34">
        <f>1*VLOOKUP($P$2,'Unit Price'!$B$3:$C$19,2,0)</f>
        <v>8000</v>
      </c>
      <c r="Q137" s="34">
        <f>G137*2*VLOOKUP($Q$2,'Unit Price'!$B$3:$C$19,2,0)</f>
        <v>36000</v>
      </c>
      <c r="R137" s="34">
        <f>H137*3*VLOOKUP($R$2,'Unit Price'!$B$3:$C$19,2,0)</f>
        <v>60000</v>
      </c>
      <c r="S137" s="34">
        <f>IF(F137&lt;=2.2,3*VLOOKUP($S$2,'Unit Price'!$B$3:$C$19,2,0),5*VLOOKUP($S$2,'Unit Price'!$B$3:$C$19,2,0))</f>
        <v>30000</v>
      </c>
      <c r="T137" s="34">
        <f>IF(F137&lt;=2.06,VLOOKUP($T$2,'Unit Price'!$B$3:$C$19,2,0),0)</f>
        <v>795000</v>
      </c>
      <c r="U137" s="34">
        <f>IF(F137&lt;=2.06,VLOOKUP($U$2,'Unit Price'!$B$3:$C$19,2,0),0)</f>
        <v>245000</v>
      </c>
      <c r="V137" s="34">
        <f>IF(AND(F137&gt;2.06,F137&lt;2.5),VLOOKUP($V$2,'Unit Price'!$B$3:$C$19,2,0),0)</f>
        <v>0</v>
      </c>
      <c r="W137" s="34">
        <f>IF(AND(F137&gt;2.06,F137&lt;2.5),VLOOKUP($W$2,'Unit Price'!$B$3:$C$19,2,0),0)</f>
        <v>0</v>
      </c>
      <c r="X137" s="34">
        <f>IF(F137&gt;2.5,VLOOKUP($X$2,'Unit Price'!$B$3:$C$19,2,0),0)</f>
        <v>0</v>
      </c>
      <c r="Y137" s="34">
        <f>IF(F137&gt;2.5,VLOOKUP($Y$2,'Unit Price'!$B$3:$C$19,2,0),0)</f>
        <v>0</v>
      </c>
      <c r="Z137" s="34">
        <f>IF(F137&lt;2.5,6*VLOOKUP($Z$2,'Unit Price'!$B$3:$C$19,2,0),0)</f>
        <v>132000</v>
      </c>
      <c r="AA137" s="34">
        <f>IF(F137&lt;2.5,3*VLOOKUP($AA$2,'Unit Price'!$B$3:$C$19,2,0),0)</f>
        <v>165000</v>
      </c>
      <c r="AB137" s="34">
        <f>IF(F137&gt;2.5,6*VLOOKUP($AB$2,'Unit Price'!$B$3:$C$19,2,0),0)</f>
        <v>0</v>
      </c>
      <c r="AC137" s="34">
        <f>IF(F137&gt;2.5,3*VLOOKUP($AC$2,'Unit Price'!$B$3:$C$19,2,0),0)</f>
        <v>0</v>
      </c>
      <c r="AD137" s="36"/>
      <c r="AE137" s="46">
        <f t="shared" si="10"/>
        <v>1625000</v>
      </c>
      <c r="AF137" s="66">
        <f t="shared" si="11"/>
        <v>195000</v>
      </c>
    </row>
    <row r="138" spans="1:32">
      <c r="A138" s="17">
        <v>136</v>
      </c>
      <c r="B138" s="5" t="s">
        <v>300</v>
      </c>
      <c r="C138" s="5" t="s">
        <v>301</v>
      </c>
      <c r="D138" s="5" t="s">
        <v>291</v>
      </c>
      <c r="E138" s="5">
        <v>4.3167999999999997</v>
      </c>
      <c r="F138" s="18">
        <v>2</v>
      </c>
      <c r="G138" s="5">
        <v>11</v>
      </c>
      <c r="H138" s="50">
        <v>7</v>
      </c>
      <c r="I138" s="58">
        <v>77</v>
      </c>
      <c r="J138" s="5">
        <f t="shared" si="8"/>
        <v>0.65</v>
      </c>
      <c r="K138" s="36">
        <v>2800000</v>
      </c>
      <c r="L138" s="37">
        <f t="shared" si="9"/>
        <v>1820000</v>
      </c>
      <c r="N138" s="34">
        <f>H138*VLOOKUP($N$2,'Unit Price'!$B$3:$C$19,2,0)</f>
        <v>126000</v>
      </c>
      <c r="O138" s="34">
        <f>1*VLOOKUP($O$2,'Unit Price'!$B$3:$C$19,2,0)</f>
        <v>10000</v>
      </c>
      <c r="P138" s="34">
        <f>1*VLOOKUP($P$2,'Unit Price'!$B$3:$C$19,2,0)</f>
        <v>8000</v>
      </c>
      <c r="Q138" s="34">
        <f>G138*2*VLOOKUP($Q$2,'Unit Price'!$B$3:$C$19,2,0)</f>
        <v>33000</v>
      </c>
      <c r="R138" s="34">
        <f>H138*3*VLOOKUP($R$2,'Unit Price'!$B$3:$C$19,2,0)</f>
        <v>52500</v>
      </c>
      <c r="S138" s="34">
        <f>IF(F138&lt;=2.2,3*VLOOKUP($S$2,'Unit Price'!$B$3:$C$19,2,0),5*VLOOKUP($S$2,'Unit Price'!$B$3:$C$19,2,0))</f>
        <v>30000</v>
      </c>
      <c r="T138" s="34">
        <f>IF(F138&lt;=2.06,VLOOKUP($T$2,'Unit Price'!$B$3:$C$19,2,0),0)</f>
        <v>795000</v>
      </c>
      <c r="U138" s="34">
        <f>IF(F138&lt;=2.06,VLOOKUP($U$2,'Unit Price'!$B$3:$C$19,2,0),0)</f>
        <v>245000</v>
      </c>
      <c r="V138" s="34">
        <f>IF(AND(F138&gt;2.06,F138&lt;2.5),VLOOKUP($V$2,'Unit Price'!$B$3:$C$19,2,0),0)</f>
        <v>0</v>
      </c>
      <c r="W138" s="34">
        <f>IF(AND(F138&gt;2.06,F138&lt;2.5),VLOOKUP($W$2,'Unit Price'!$B$3:$C$19,2,0),0)</f>
        <v>0</v>
      </c>
      <c r="X138" s="34">
        <f>IF(F138&gt;2.5,VLOOKUP($X$2,'Unit Price'!$B$3:$C$19,2,0),0)</f>
        <v>0</v>
      </c>
      <c r="Y138" s="34">
        <f>IF(F138&gt;2.5,VLOOKUP($Y$2,'Unit Price'!$B$3:$C$19,2,0),0)</f>
        <v>0</v>
      </c>
      <c r="Z138" s="34">
        <f>IF(F138&lt;2.5,6*VLOOKUP($Z$2,'Unit Price'!$B$3:$C$19,2,0),0)</f>
        <v>132000</v>
      </c>
      <c r="AA138" s="34">
        <f>IF(F138&lt;2.5,3*VLOOKUP($AA$2,'Unit Price'!$B$3:$C$19,2,0),0)</f>
        <v>165000</v>
      </c>
      <c r="AB138" s="34">
        <f>IF(F138&gt;2.5,6*VLOOKUP($AB$2,'Unit Price'!$B$3:$C$19,2,0),0)</f>
        <v>0</v>
      </c>
      <c r="AC138" s="34">
        <f>IF(F138&gt;2.5,3*VLOOKUP($AC$2,'Unit Price'!$B$3:$C$19,2,0),0)</f>
        <v>0</v>
      </c>
      <c r="AD138" s="36"/>
      <c r="AE138" s="46">
        <f t="shared" si="10"/>
        <v>1596500</v>
      </c>
      <c r="AF138" s="66">
        <f t="shared" si="11"/>
        <v>223500</v>
      </c>
    </row>
    <row r="139" spans="1:32">
      <c r="A139" s="17">
        <v>137</v>
      </c>
      <c r="B139" s="5" t="s">
        <v>302</v>
      </c>
      <c r="C139" s="5" t="s">
        <v>303</v>
      </c>
      <c r="D139" s="5" t="s">
        <v>291</v>
      </c>
      <c r="E139" s="5">
        <v>4.6196999999999999</v>
      </c>
      <c r="F139" s="18">
        <v>2</v>
      </c>
      <c r="G139" s="5">
        <v>9</v>
      </c>
      <c r="H139" s="50">
        <v>7</v>
      </c>
      <c r="I139" s="58">
        <v>63</v>
      </c>
      <c r="J139" s="5">
        <f t="shared" si="8"/>
        <v>0.65</v>
      </c>
      <c r="K139" s="36">
        <v>2800000</v>
      </c>
      <c r="L139" s="37">
        <f t="shared" si="9"/>
        <v>1820000</v>
      </c>
      <c r="N139" s="34">
        <f>H139*VLOOKUP($N$2,'Unit Price'!$B$3:$C$19,2,0)</f>
        <v>126000</v>
      </c>
      <c r="O139" s="34">
        <f>1*VLOOKUP($O$2,'Unit Price'!$B$3:$C$19,2,0)</f>
        <v>10000</v>
      </c>
      <c r="P139" s="34">
        <f>1*VLOOKUP($P$2,'Unit Price'!$B$3:$C$19,2,0)</f>
        <v>8000</v>
      </c>
      <c r="Q139" s="34">
        <f>G139*2*VLOOKUP($Q$2,'Unit Price'!$B$3:$C$19,2,0)</f>
        <v>27000</v>
      </c>
      <c r="R139" s="34">
        <f>H139*3*VLOOKUP($R$2,'Unit Price'!$B$3:$C$19,2,0)</f>
        <v>52500</v>
      </c>
      <c r="S139" s="34">
        <f>IF(F139&lt;=2.2,3*VLOOKUP($S$2,'Unit Price'!$B$3:$C$19,2,0),5*VLOOKUP($S$2,'Unit Price'!$B$3:$C$19,2,0))</f>
        <v>30000</v>
      </c>
      <c r="T139" s="34">
        <f>IF(F139&lt;=2.06,VLOOKUP($T$2,'Unit Price'!$B$3:$C$19,2,0),0)</f>
        <v>795000</v>
      </c>
      <c r="U139" s="34">
        <f>IF(F139&lt;=2.06,VLOOKUP($U$2,'Unit Price'!$B$3:$C$19,2,0),0)</f>
        <v>245000</v>
      </c>
      <c r="V139" s="34">
        <f>IF(AND(F139&gt;2.06,F139&lt;2.5),VLOOKUP($V$2,'Unit Price'!$B$3:$C$19,2,0),0)</f>
        <v>0</v>
      </c>
      <c r="W139" s="34">
        <f>IF(AND(F139&gt;2.06,F139&lt;2.5),VLOOKUP($W$2,'Unit Price'!$B$3:$C$19,2,0),0)</f>
        <v>0</v>
      </c>
      <c r="X139" s="34">
        <f>IF(F139&gt;2.5,VLOOKUP($X$2,'Unit Price'!$B$3:$C$19,2,0),0)</f>
        <v>0</v>
      </c>
      <c r="Y139" s="34">
        <f>IF(F139&gt;2.5,VLOOKUP($Y$2,'Unit Price'!$B$3:$C$19,2,0),0)</f>
        <v>0</v>
      </c>
      <c r="Z139" s="34">
        <f>IF(F139&lt;2.5,6*VLOOKUP($Z$2,'Unit Price'!$B$3:$C$19,2,0),0)</f>
        <v>132000</v>
      </c>
      <c r="AA139" s="34">
        <f>IF(F139&lt;2.5,3*VLOOKUP($AA$2,'Unit Price'!$B$3:$C$19,2,0),0)</f>
        <v>165000</v>
      </c>
      <c r="AB139" s="34">
        <f>IF(F139&gt;2.5,6*VLOOKUP($AB$2,'Unit Price'!$B$3:$C$19,2,0),0)</f>
        <v>0</v>
      </c>
      <c r="AC139" s="34">
        <f>IF(F139&gt;2.5,3*VLOOKUP($AC$2,'Unit Price'!$B$3:$C$19,2,0),0)</f>
        <v>0</v>
      </c>
      <c r="AD139" s="36"/>
      <c r="AE139" s="46">
        <f t="shared" si="10"/>
        <v>1590500</v>
      </c>
      <c r="AF139" s="66">
        <f t="shared" si="11"/>
        <v>229500</v>
      </c>
    </row>
    <row r="140" spans="1:32">
      <c r="A140" s="17">
        <v>138</v>
      </c>
      <c r="B140" s="5" t="s">
        <v>304</v>
      </c>
      <c r="C140" s="5" t="s">
        <v>305</v>
      </c>
      <c r="D140" s="5" t="s">
        <v>291</v>
      </c>
      <c r="E140" s="5">
        <v>5.5500999999999996</v>
      </c>
      <c r="F140" s="18">
        <v>2</v>
      </c>
      <c r="G140" s="5">
        <v>8</v>
      </c>
      <c r="H140" s="50">
        <v>6</v>
      </c>
      <c r="I140" s="58">
        <v>48</v>
      </c>
      <c r="J140" s="5">
        <f t="shared" si="8"/>
        <v>0.65</v>
      </c>
      <c r="K140" s="36">
        <v>2800000</v>
      </c>
      <c r="L140" s="37">
        <f t="shared" si="9"/>
        <v>1820000</v>
      </c>
      <c r="N140" s="34">
        <f>H140*VLOOKUP($N$2,'Unit Price'!$B$3:$C$19,2,0)</f>
        <v>108000</v>
      </c>
      <c r="O140" s="34">
        <f>1*VLOOKUP($O$2,'Unit Price'!$B$3:$C$19,2,0)</f>
        <v>10000</v>
      </c>
      <c r="P140" s="34">
        <f>1*VLOOKUP($P$2,'Unit Price'!$B$3:$C$19,2,0)</f>
        <v>8000</v>
      </c>
      <c r="Q140" s="34">
        <f>G140*2*VLOOKUP($Q$2,'Unit Price'!$B$3:$C$19,2,0)</f>
        <v>24000</v>
      </c>
      <c r="R140" s="34">
        <f>H140*3*VLOOKUP($R$2,'Unit Price'!$B$3:$C$19,2,0)</f>
        <v>45000</v>
      </c>
      <c r="S140" s="34">
        <f>IF(F140&lt;=2.2,3*VLOOKUP($S$2,'Unit Price'!$B$3:$C$19,2,0),5*VLOOKUP($S$2,'Unit Price'!$B$3:$C$19,2,0))</f>
        <v>30000</v>
      </c>
      <c r="T140" s="34">
        <f>IF(F140&lt;=2.06,VLOOKUP($T$2,'Unit Price'!$B$3:$C$19,2,0),0)</f>
        <v>795000</v>
      </c>
      <c r="U140" s="34">
        <f>IF(F140&lt;=2.06,VLOOKUP($U$2,'Unit Price'!$B$3:$C$19,2,0),0)</f>
        <v>245000</v>
      </c>
      <c r="V140" s="34">
        <f>IF(AND(F140&gt;2.06,F140&lt;2.5),VLOOKUP($V$2,'Unit Price'!$B$3:$C$19,2,0),0)</f>
        <v>0</v>
      </c>
      <c r="W140" s="34">
        <f>IF(AND(F140&gt;2.06,F140&lt;2.5),VLOOKUP($W$2,'Unit Price'!$B$3:$C$19,2,0),0)</f>
        <v>0</v>
      </c>
      <c r="X140" s="34">
        <f>IF(F140&gt;2.5,VLOOKUP($X$2,'Unit Price'!$B$3:$C$19,2,0),0)</f>
        <v>0</v>
      </c>
      <c r="Y140" s="34">
        <f>IF(F140&gt;2.5,VLOOKUP($Y$2,'Unit Price'!$B$3:$C$19,2,0),0)</f>
        <v>0</v>
      </c>
      <c r="Z140" s="34">
        <f>IF(F140&lt;2.5,6*VLOOKUP($Z$2,'Unit Price'!$B$3:$C$19,2,0),0)</f>
        <v>132000</v>
      </c>
      <c r="AA140" s="34">
        <f>IF(F140&lt;2.5,3*VLOOKUP($AA$2,'Unit Price'!$B$3:$C$19,2,0),0)</f>
        <v>165000</v>
      </c>
      <c r="AB140" s="34">
        <f>IF(F140&gt;2.5,6*VLOOKUP($AB$2,'Unit Price'!$B$3:$C$19,2,0),0)</f>
        <v>0</v>
      </c>
      <c r="AC140" s="34">
        <f>IF(F140&gt;2.5,3*VLOOKUP($AC$2,'Unit Price'!$B$3:$C$19,2,0),0)</f>
        <v>0</v>
      </c>
      <c r="AD140" s="36"/>
      <c r="AE140" s="46">
        <f t="shared" si="10"/>
        <v>1562000</v>
      </c>
      <c r="AF140" s="66">
        <f t="shared" si="11"/>
        <v>258000</v>
      </c>
    </row>
    <row r="141" spans="1:32">
      <c r="A141" s="17">
        <v>139</v>
      </c>
      <c r="B141" s="5" t="s">
        <v>306</v>
      </c>
      <c r="C141" s="5" t="s">
        <v>307</v>
      </c>
      <c r="D141" s="5" t="s">
        <v>291</v>
      </c>
      <c r="E141" s="5">
        <v>8.3181999999999992</v>
      </c>
      <c r="F141" s="18">
        <v>2</v>
      </c>
      <c r="G141" s="5">
        <v>6</v>
      </c>
      <c r="H141" s="50">
        <v>5</v>
      </c>
      <c r="I141" s="58">
        <v>30</v>
      </c>
      <c r="J141" s="5">
        <f t="shared" si="8"/>
        <v>0.65</v>
      </c>
      <c r="K141" s="36">
        <v>2800000</v>
      </c>
      <c r="L141" s="37">
        <f t="shared" si="9"/>
        <v>1820000</v>
      </c>
      <c r="N141" s="34">
        <f>H141*VLOOKUP($N$2,'Unit Price'!$B$3:$C$19,2,0)</f>
        <v>90000</v>
      </c>
      <c r="O141" s="34">
        <f>1*VLOOKUP($O$2,'Unit Price'!$B$3:$C$19,2,0)</f>
        <v>10000</v>
      </c>
      <c r="P141" s="34">
        <f>1*VLOOKUP($P$2,'Unit Price'!$B$3:$C$19,2,0)</f>
        <v>8000</v>
      </c>
      <c r="Q141" s="34">
        <f>G141*2*VLOOKUP($Q$2,'Unit Price'!$B$3:$C$19,2,0)</f>
        <v>18000</v>
      </c>
      <c r="R141" s="34">
        <f>H141*3*VLOOKUP($R$2,'Unit Price'!$B$3:$C$19,2,0)</f>
        <v>37500</v>
      </c>
      <c r="S141" s="34">
        <f>IF(F141&lt;=2.2,3*VLOOKUP($S$2,'Unit Price'!$B$3:$C$19,2,0),5*VLOOKUP($S$2,'Unit Price'!$B$3:$C$19,2,0))</f>
        <v>30000</v>
      </c>
      <c r="T141" s="34">
        <f>IF(F141&lt;=2.06,VLOOKUP($T$2,'Unit Price'!$B$3:$C$19,2,0),0)</f>
        <v>795000</v>
      </c>
      <c r="U141" s="34">
        <f>IF(F141&lt;=2.06,VLOOKUP($U$2,'Unit Price'!$B$3:$C$19,2,0),0)</f>
        <v>245000</v>
      </c>
      <c r="V141" s="34">
        <f>IF(AND(F141&gt;2.06,F141&lt;2.5),VLOOKUP($V$2,'Unit Price'!$B$3:$C$19,2,0),0)</f>
        <v>0</v>
      </c>
      <c r="W141" s="34">
        <f>IF(AND(F141&gt;2.06,F141&lt;2.5),VLOOKUP($W$2,'Unit Price'!$B$3:$C$19,2,0),0)</f>
        <v>0</v>
      </c>
      <c r="X141" s="34">
        <f>IF(F141&gt;2.5,VLOOKUP($X$2,'Unit Price'!$B$3:$C$19,2,0),0)</f>
        <v>0</v>
      </c>
      <c r="Y141" s="34">
        <f>IF(F141&gt;2.5,VLOOKUP($Y$2,'Unit Price'!$B$3:$C$19,2,0),0)</f>
        <v>0</v>
      </c>
      <c r="Z141" s="34">
        <f>IF(F141&lt;2.5,6*VLOOKUP($Z$2,'Unit Price'!$B$3:$C$19,2,0),0)</f>
        <v>132000</v>
      </c>
      <c r="AA141" s="34">
        <f>IF(F141&lt;2.5,3*VLOOKUP($AA$2,'Unit Price'!$B$3:$C$19,2,0),0)</f>
        <v>165000</v>
      </c>
      <c r="AB141" s="34">
        <f>IF(F141&gt;2.5,6*VLOOKUP($AB$2,'Unit Price'!$B$3:$C$19,2,0),0)</f>
        <v>0</v>
      </c>
      <c r="AC141" s="34">
        <f>IF(F141&gt;2.5,3*VLOOKUP($AC$2,'Unit Price'!$B$3:$C$19,2,0),0)</f>
        <v>0</v>
      </c>
      <c r="AD141" s="36"/>
      <c r="AE141" s="46">
        <f t="shared" si="10"/>
        <v>1530500</v>
      </c>
      <c r="AF141" s="66">
        <f t="shared" si="11"/>
        <v>289500</v>
      </c>
    </row>
    <row r="142" spans="1:32">
      <c r="A142" s="17">
        <v>140</v>
      </c>
      <c r="B142" s="5" t="s">
        <v>308</v>
      </c>
      <c r="C142" s="5" t="s">
        <v>309</v>
      </c>
      <c r="D142" s="5" t="s">
        <v>291</v>
      </c>
      <c r="E142" s="5">
        <v>9.9646000000000008</v>
      </c>
      <c r="F142" s="18">
        <v>2</v>
      </c>
      <c r="G142" s="5">
        <v>5</v>
      </c>
      <c r="H142" s="50">
        <v>4</v>
      </c>
      <c r="I142" s="58">
        <v>20</v>
      </c>
      <c r="J142" s="5">
        <f t="shared" si="8"/>
        <v>0.65</v>
      </c>
      <c r="K142" s="36">
        <v>2800000</v>
      </c>
      <c r="L142" s="37">
        <f t="shared" si="9"/>
        <v>1820000</v>
      </c>
      <c r="N142" s="34">
        <f>H142*VLOOKUP($N$2,'Unit Price'!$B$3:$C$19,2,0)</f>
        <v>72000</v>
      </c>
      <c r="O142" s="34">
        <f>1*VLOOKUP($O$2,'Unit Price'!$B$3:$C$19,2,0)</f>
        <v>10000</v>
      </c>
      <c r="P142" s="34">
        <f>1*VLOOKUP($P$2,'Unit Price'!$B$3:$C$19,2,0)</f>
        <v>8000</v>
      </c>
      <c r="Q142" s="34">
        <f>G142*2*VLOOKUP($Q$2,'Unit Price'!$B$3:$C$19,2,0)</f>
        <v>15000</v>
      </c>
      <c r="R142" s="34">
        <f>H142*3*VLOOKUP($R$2,'Unit Price'!$B$3:$C$19,2,0)</f>
        <v>30000</v>
      </c>
      <c r="S142" s="34">
        <f>IF(F142&lt;=2.2,3*VLOOKUP($S$2,'Unit Price'!$B$3:$C$19,2,0),5*VLOOKUP($S$2,'Unit Price'!$B$3:$C$19,2,0))</f>
        <v>30000</v>
      </c>
      <c r="T142" s="34">
        <f>IF(F142&lt;=2.06,VLOOKUP($T$2,'Unit Price'!$B$3:$C$19,2,0),0)</f>
        <v>795000</v>
      </c>
      <c r="U142" s="34">
        <f>IF(F142&lt;=2.06,VLOOKUP($U$2,'Unit Price'!$B$3:$C$19,2,0),0)</f>
        <v>245000</v>
      </c>
      <c r="V142" s="34">
        <f>IF(AND(F142&gt;2.06,F142&lt;2.5),VLOOKUP($V$2,'Unit Price'!$B$3:$C$19,2,0),0)</f>
        <v>0</v>
      </c>
      <c r="W142" s="34">
        <f>IF(AND(F142&gt;2.06,F142&lt;2.5),VLOOKUP($W$2,'Unit Price'!$B$3:$C$19,2,0),0)</f>
        <v>0</v>
      </c>
      <c r="X142" s="34">
        <f>IF(F142&gt;2.5,VLOOKUP($X$2,'Unit Price'!$B$3:$C$19,2,0),0)</f>
        <v>0</v>
      </c>
      <c r="Y142" s="34">
        <f>IF(F142&gt;2.5,VLOOKUP($Y$2,'Unit Price'!$B$3:$C$19,2,0),0)</f>
        <v>0</v>
      </c>
      <c r="Z142" s="34">
        <f>IF(F142&lt;2.5,6*VLOOKUP($Z$2,'Unit Price'!$B$3:$C$19,2,0),0)</f>
        <v>132000</v>
      </c>
      <c r="AA142" s="34">
        <f>IF(F142&lt;2.5,3*VLOOKUP($AA$2,'Unit Price'!$B$3:$C$19,2,0),0)</f>
        <v>165000</v>
      </c>
      <c r="AB142" s="34">
        <f>IF(F142&gt;2.5,6*VLOOKUP($AB$2,'Unit Price'!$B$3:$C$19,2,0),0)</f>
        <v>0</v>
      </c>
      <c r="AC142" s="34">
        <f>IF(F142&gt;2.5,3*VLOOKUP($AC$2,'Unit Price'!$B$3:$C$19,2,0),0)</f>
        <v>0</v>
      </c>
      <c r="AD142" s="36"/>
      <c r="AE142" s="46">
        <f t="shared" si="10"/>
        <v>1502000</v>
      </c>
      <c r="AF142" s="66">
        <f t="shared" si="11"/>
        <v>318000</v>
      </c>
    </row>
    <row r="143" spans="1:32">
      <c r="A143" s="17">
        <v>141</v>
      </c>
      <c r="B143" s="5" t="s">
        <v>310</v>
      </c>
      <c r="C143" s="5" t="s">
        <v>311</v>
      </c>
      <c r="D143" s="5" t="s">
        <v>291</v>
      </c>
      <c r="E143" s="5">
        <v>2.8300999999999998</v>
      </c>
      <c r="F143" s="18">
        <v>2</v>
      </c>
      <c r="G143" s="5">
        <v>16</v>
      </c>
      <c r="H143" s="50">
        <v>11</v>
      </c>
      <c r="I143" s="58">
        <v>176</v>
      </c>
      <c r="J143" s="5">
        <f t="shared" si="8"/>
        <v>0.65</v>
      </c>
      <c r="K143" s="36">
        <v>2800000</v>
      </c>
      <c r="L143" s="37">
        <f t="shared" si="9"/>
        <v>1820000</v>
      </c>
      <c r="N143" s="34">
        <f>H143*VLOOKUP($N$2,'Unit Price'!$B$3:$C$19,2,0)</f>
        <v>198000</v>
      </c>
      <c r="O143" s="34">
        <f>1*VLOOKUP($O$2,'Unit Price'!$B$3:$C$19,2,0)</f>
        <v>10000</v>
      </c>
      <c r="P143" s="34">
        <f>1*VLOOKUP($P$2,'Unit Price'!$B$3:$C$19,2,0)</f>
        <v>8000</v>
      </c>
      <c r="Q143" s="34">
        <f>G143*2*VLOOKUP($Q$2,'Unit Price'!$B$3:$C$19,2,0)</f>
        <v>48000</v>
      </c>
      <c r="R143" s="34">
        <f>H143*3*VLOOKUP($R$2,'Unit Price'!$B$3:$C$19,2,0)</f>
        <v>82500</v>
      </c>
      <c r="S143" s="34">
        <f>IF(F143&lt;=2.2,3*VLOOKUP($S$2,'Unit Price'!$B$3:$C$19,2,0),5*VLOOKUP($S$2,'Unit Price'!$B$3:$C$19,2,0))</f>
        <v>30000</v>
      </c>
      <c r="T143" s="34">
        <f>IF(F143&lt;=2.06,VLOOKUP($T$2,'Unit Price'!$B$3:$C$19,2,0),0)</f>
        <v>795000</v>
      </c>
      <c r="U143" s="34">
        <f>IF(F143&lt;=2.06,VLOOKUP($U$2,'Unit Price'!$B$3:$C$19,2,0),0)</f>
        <v>245000</v>
      </c>
      <c r="V143" s="34">
        <f>IF(AND(F143&gt;2.06,F143&lt;2.5),VLOOKUP($V$2,'Unit Price'!$B$3:$C$19,2,0),0)</f>
        <v>0</v>
      </c>
      <c r="W143" s="34">
        <f>IF(AND(F143&gt;2.06,F143&lt;2.5),VLOOKUP($W$2,'Unit Price'!$B$3:$C$19,2,0),0)</f>
        <v>0</v>
      </c>
      <c r="X143" s="34">
        <f>IF(F143&gt;2.5,VLOOKUP($X$2,'Unit Price'!$B$3:$C$19,2,0),0)</f>
        <v>0</v>
      </c>
      <c r="Y143" s="34">
        <f>IF(F143&gt;2.5,VLOOKUP($Y$2,'Unit Price'!$B$3:$C$19,2,0),0)</f>
        <v>0</v>
      </c>
      <c r="Z143" s="34">
        <f>IF(F143&lt;2.5,6*VLOOKUP($Z$2,'Unit Price'!$B$3:$C$19,2,0),0)</f>
        <v>132000</v>
      </c>
      <c r="AA143" s="34">
        <f>IF(F143&lt;2.5,3*VLOOKUP($AA$2,'Unit Price'!$B$3:$C$19,2,0),0)</f>
        <v>165000</v>
      </c>
      <c r="AB143" s="34">
        <f>IF(F143&gt;2.5,6*VLOOKUP($AB$2,'Unit Price'!$B$3:$C$19,2,0),0)</f>
        <v>0</v>
      </c>
      <c r="AC143" s="34">
        <f>IF(F143&gt;2.5,3*VLOOKUP($AC$2,'Unit Price'!$B$3:$C$19,2,0),0)</f>
        <v>0</v>
      </c>
      <c r="AD143" s="36"/>
      <c r="AE143" s="46">
        <f t="shared" si="10"/>
        <v>1713500</v>
      </c>
      <c r="AF143" s="66">
        <f t="shared" si="11"/>
        <v>106500</v>
      </c>
    </row>
    <row r="144" spans="1:32">
      <c r="A144" s="17">
        <v>142</v>
      </c>
      <c r="B144" s="5" t="s">
        <v>312</v>
      </c>
      <c r="C144" s="5" t="s">
        <v>313</v>
      </c>
      <c r="D144" s="5" t="s">
        <v>291</v>
      </c>
      <c r="E144" s="5">
        <v>2.2145000000000001</v>
      </c>
      <c r="F144" s="18">
        <v>2</v>
      </c>
      <c r="G144" s="5">
        <v>14</v>
      </c>
      <c r="H144" s="50">
        <v>10</v>
      </c>
      <c r="I144" s="58">
        <v>140</v>
      </c>
      <c r="J144" s="5">
        <f t="shared" si="8"/>
        <v>0.65</v>
      </c>
      <c r="K144" s="36">
        <v>2800000</v>
      </c>
      <c r="L144" s="37">
        <f t="shared" si="9"/>
        <v>1820000</v>
      </c>
      <c r="N144" s="34">
        <f>H144*VLOOKUP($N$2,'Unit Price'!$B$3:$C$19,2,0)</f>
        <v>180000</v>
      </c>
      <c r="O144" s="34">
        <f>1*VLOOKUP($O$2,'Unit Price'!$B$3:$C$19,2,0)</f>
        <v>10000</v>
      </c>
      <c r="P144" s="34">
        <f>1*VLOOKUP($P$2,'Unit Price'!$B$3:$C$19,2,0)</f>
        <v>8000</v>
      </c>
      <c r="Q144" s="34">
        <f>G144*2*VLOOKUP($Q$2,'Unit Price'!$B$3:$C$19,2,0)</f>
        <v>42000</v>
      </c>
      <c r="R144" s="34">
        <f>H144*3*VLOOKUP($R$2,'Unit Price'!$B$3:$C$19,2,0)</f>
        <v>75000</v>
      </c>
      <c r="S144" s="34">
        <f>IF(F144&lt;=2.2,3*VLOOKUP($S$2,'Unit Price'!$B$3:$C$19,2,0),5*VLOOKUP($S$2,'Unit Price'!$B$3:$C$19,2,0))</f>
        <v>30000</v>
      </c>
      <c r="T144" s="34">
        <f>IF(F144&lt;=2.06,VLOOKUP($T$2,'Unit Price'!$B$3:$C$19,2,0),0)</f>
        <v>795000</v>
      </c>
      <c r="U144" s="34">
        <f>IF(F144&lt;=2.06,VLOOKUP($U$2,'Unit Price'!$B$3:$C$19,2,0),0)</f>
        <v>245000</v>
      </c>
      <c r="V144" s="34">
        <f>IF(AND(F144&gt;2.06,F144&lt;2.5),VLOOKUP($V$2,'Unit Price'!$B$3:$C$19,2,0),0)</f>
        <v>0</v>
      </c>
      <c r="W144" s="34">
        <f>IF(AND(F144&gt;2.06,F144&lt;2.5),VLOOKUP($W$2,'Unit Price'!$B$3:$C$19,2,0),0)</f>
        <v>0</v>
      </c>
      <c r="X144" s="34">
        <f>IF(F144&gt;2.5,VLOOKUP($X$2,'Unit Price'!$B$3:$C$19,2,0),0)</f>
        <v>0</v>
      </c>
      <c r="Y144" s="34">
        <f>IF(F144&gt;2.5,VLOOKUP($Y$2,'Unit Price'!$B$3:$C$19,2,0),0)</f>
        <v>0</v>
      </c>
      <c r="Z144" s="34">
        <f>IF(F144&lt;2.5,6*VLOOKUP($Z$2,'Unit Price'!$B$3:$C$19,2,0),0)</f>
        <v>132000</v>
      </c>
      <c r="AA144" s="34">
        <f>IF(F144&lt;2.5,3*VLOOKUP($AA$2,'Unit Price'!$B$3:$C$19,2,0),0)</f>
        <v>165000</v>
      </c>
      <c r="AB144" s="34">
        <f>IF(F144&gt;2.5,6*VLOOKUP($AB$2,'Unit Price'!$B$3:$C$19,2,0),0)</f>
        <v>0</v>
      </c>
      <c r="AC144" s="34">
        <f>IF(F144&gt;2.5,3*VLOOKUP($AC$2,'Unit Price'!$B$3:$C$19,2,0),0)</f>
        <v>0</v>
      </c>
      <c r="AD144" s="36"/>
      <c r="AE144" s="46">
        <f t="shared" si="10"/>
        <v>1682000</v>
      </c>
      <c r="AF144" s="66">
        <f t="shared" si="11"/>
        <v>138000</v>
      </c>
    </row>
    <row r="145" spans="1:32">
      <c r="A145" s="17">
        <v>143</v>
      </c>
      <c r="B145" s="5" t="s">
        <v>314</v>
      </c>
      <c r="C145" s="5" t="s">
        <v>315</v>
      </c>
      <c r="D145" s="5" t="s">
        <v>291</v>
      </c>
      <c r="E145" s="5">
        <v>3.7254999999999998</v>
      </c>
      <c r="F145" s="18">
        <v>2</v>
      </c>
      <c r="G145" s="5">
        <v>16</v>
      </c>
      <c r="H145" s="50">
        <v>11</v>
      </c>
      <c r="I145" s="58">
        <v>176</v>
      </c>
      <c r="J145" s="5">
        <f t="shared" si="8"/>
        <v>0.65</v>
      </c>
      <c r="K145" s="36">
        <v>2800000</v>
      </c>
      <c r="L145" s="37">
        <f t="shared" si="9"/>
        <v>1820000</v>
      </c>
      <c r="N145" s="34">
        <f>H145*VLOOKUP($N$2,'Unit Price'!$B$3:$C$19,2,0)</f>
        <v>198000</v>
      </c>
      <c r="O145" s="34">
        <f>1*VLOOKUP($O$2,'Unit Price'!$B$3:$C$19,2,0)</f>
        <v>10000</v>
      </c>
      <c r="P145" s="34">
        <f>1*VLOOKUP($P$2,'Unit Price'!$B$3:$C$19,2,0)</f>
        <v>8000</v>
      </c>
      <c r="Q145" s="34">
        <f>G145*2*VLOOKUP($Q$2,'Unit Price'!$B$3:$C$19,2,0)</f>
        <v>48000</v>
      </c>
      <c r="R145" s="34">
        <f>H145*3*VLOOKUP($R$2,'Unit Price'!$B$3:$C$19,2,0)</f>
        <v>82500</v>
      </c>
      <c r="S145" s="34">
        <f>IF(F145&lt;=2.2,3*VLOOKUP($S$2,'Unit Price'!$B$3:$C$19,2,0),5*VLOOKUP($S$2,'Unit Price'!$B$3:$C$19,2,0))</f>
        <v>30000</v>
      </c>
      <c r="T145" s="34">
        <f>IF(F145&lt;=2.06,VLOOKUP($T$2,'Unit Price'!$B$3:$C$19,2,0),0)</f>
        <v>795000</v>
      </c>
      <c r="U145" s="34">
        <f>IF(F145&lt;=2.06,VLOOKUP($U$2,'Unit Price'!$B$3:$C$19,2,0),0)</f>
        <v>245000</v>
      </c>
      <c r="V145" s="34">
        <f>IF(AND(F145&gt;2.06,F145&lt;2.5),VLOOKUP($V$2,'Unit Price'!$B$3:$C$19,2,0),0)</f>
        <v>0</v>
      </c>
      <c r="W145" s="34">
        <f>IF(AND(F145&gt;2.06,F145&lt;2.5),VLOOKUP($W$2,'Unit Price'!$B$3:$C$19,2,0),0)</f>
        <v>0</v>
      </c>
      <c r="X145" s="34">
        <f>IF(F145&gt;2.5,VLOOKUP($X$2,'Unit Price'!$B$3:$C$19,2,0),0)</f>
        <v>0</v>
      </c>
      <c r="Y145" s="34">
        <f>IF(F145&gt;2.5,VLOOKUP($Y$2,'Unit Price'!$B$3:$C$19,2,0),0)</f>
        <v>0</v>
      </c>
      <c r="Z145" s="34">
        <f>IF(F145&lt;2.5,6*VLOOKUP($Z$2,'Unit Price'!$B$3:$C$19,2,0),0)</f>
        <v>132000</v>
      </c>
      <c r="AA145" s="34">
        <f>IF(F145&lt;2.5,3*VLOOKUP($AA$2,'Unit Price'!$B$3:$C$19,2,0),0)</f>
        <v>165000</v>
      </c>
      <c r="AB145" s="34">
        <f>IF(F145&gt;2.5,6*VLOOKUP($AB$2,'Unit Price'!$B$3:$C$19,2,0),0)</f>
        <v>0</v>
      </c>
      <c r="AC145" s="34">
        <f>IF(F145&gt;2.5,3*VLOOKUP($AC$2,'Unit Price'!$B$3:$C$19,2,0),0)</f>
        <v>0</v>
      </c>
      <c r="AD145" s="36"/>
      <c r="AE145" s="46">
        <f t="shared" si="10"/>
        <v>1713500</v>
      </c>
      <c r="AF145" s="66">
        <f t="shared" si="11"/>
        <v>106500</v>
      </c>
    </row>
    <row r="146" spans="1:32">
      <c r="A146" s="17">
        <v>144</v>
      </c>
      <c r="B146" s="5" t="s">
        <v>316</v>
      </c>
      <c r="C146" s="5" t="s">
        <v>317</v>
      </c>
      <c r="D146" s="5" t="s">
        <v>291</v>
      </c>
      <c r="E146" s="5">
        <v>2.633</v>
      </c>
      <c r="F146" s="18">
        <v>2</v>
      </c>
      <c r="G146" s="5">
        <v>14</v>
      </c>
      <c r="H146" s="50">
        <v>10</v>
      </c>
      <c r="I146" s="58">
        <v>140</v>
      </c>
      <c r="J146" s="5">
        <f t="shared" si="8"/>
        <v>0.65</v>
      </c>
      <c r="K146" s="36">
        <v>2800000</v>
      </c>
      <c r="L146" s="37">
        <f t="shared" si="9"/>
        <v>1820000</v>
      </c>
      <c r="N146" s="34">
        <f>H146*VLOOKUP($N$2,'Unit Price'!$B$3:$C$19,2,0)</f>
        <v>180000</v>
      </c>
      <c r="O146" s="34">
        <f>1*VLOOKUP($O$2,'Unit Price'!$B$3:$C$19,2,0)</f>
        <v>10000</v>
      </c>
      <c r="P146" s="34">
        <f>1*VLOOKUP($P$2,'Unit Price'!$B$3:$C$19,2,0)</f>
        <v>8000</v>
      </c>
      <c r="Q146" s="34">
        <f>G146*2*VLOOKUP($Q$2,'Unit Price'!$B$3:$C$19,2,0)</f>
        <v>42000</v>
      </c>
      <c r="R146" s="34">
        <f>H146*3*VLOOKUP($R$2,'Unit Price'!$B$3:$C$19,2,0)</f>
        <v>75000</v>
      </c>
      <c r="S146" s="34">
        <f>IF(F146&lt;=2.2,3*VLOOKUP($S$2,'Unit Price'!$B$3:$C$19,2,0),5*VLOOKUP($S$2,'Unit Price'!$B$3:$C$19,2,0))</f>
        <v>30000</v>
      </c>
      <c r="T146" s="34">
        <f>IF(F146&lt;=2.06,VLOOKUP($T$2,'Unit Price'!$B$3:$C$19,2,0),0)</f>
        <v>795000</v>
      </c>
      <c r="U146" s="34">
        <f>IF(F146&lt;=2.06,VLOOKUP($U$2,'Unit Price'!$B$3:$C$19,2,0),0)</f>
        <v>245000</v>
      </c>
      <c r="V146" s="34">
        <f>IF(AND(F146&gt;2.06,F146&lt;2.5),VLOOKUP($V$2,'Unit Price'!$B$3:$C$19,2,0),0)</f>
        <v>0</v>
      </c>
      <c r="W146" s="34">
        <f>IF(AND(F146&gt;2.06,F146&lt;2.5),VLOOKUP($W$2,'Unit Price'!$B$3:$C$19,2,0),0)</f>
        <v>0</v>
      </c>
      <c r="X146" s="34">
        <f>IF(F146&gt;2.5,VLOOKUP($X$2,'Unit Price'!$B$3:$C$19,2,0),0)</f>
        <v>0</v>
      </c>
      <c r="Y146" s="34">
        <f>IF(F146&gt;2.5,VLOOKUP($Y$2,'Unit Price'!$B$3:$C$19,2,0),0)</f>
        <v>0</v>
      </c>
      <c r="Z146" s="34">
        <f>IF(F146&lt;2.5,6*VLOOKUP($Z$2,'Unit Price'!$B$3:$C$19,2,0),0)</f>
        <v>132000</v>
      </c>
      <c r="AA146" s="34">
        <f>IF(F146&lt;2.5,3*VLOOKUP($AA$2,'Unit Price'!$B$3:$C$19,2,0),0)</f>
        <v>165000</v>
      </c>
      <c r="AB146" s="34">
        <f>IF(F146&gt;2.5,6*VLOOKUP($AB$2,'Unit Price'!$B$3:$C$19,2,0),0)</f>
        <v>0</v>
      </c>
      <c r="AC146" s="34">
        <f>IF(F146&gt;2.5,3*VLOOKUP($AC$2,'Unit Price'!$B$3:$C$19,2,0),0)</f>
        <v>0</v>
      </c>
      <c r="AD146" s="36"/>
      <c r="AE146" s="46">
        <f t="shared" si="10"/>
        <v>1682000</v>
      </c>
      <c r="AF146" s="66">
        <f t="shared" si="11"/>
        <v>138000</v>
      </c>
    </row>
    <row r="147" spans="1:32">
      <c r="A147" s="17">
        <v>145</v>
      </c>
      <c r="B147" s="5" t="s">
        <v>318</v>
      </c>
      <c r="C147" s="5" t="s">
        <v>319</v>
      </c>
      <c r="D147" s="5" t="s">
        <v>291</v>
      </c>
      <c r="E147" s="5">
        <v>3.9474</v>
      </c>
      <c r="F147" s="18">
        <v>2</v>
      </c>
      <c r="G147" s="5">
        <v>12</v>
      </c>
      <c r="H147" s="50">
        <v>8</v>
      </c>
      <c r="I147" s="58">
        <v>96</v>
      </c>
      <c r="J147" s="5">
        <f t="shared" si="8"/>
        <v>0.65</v>
      </c>
      <c r="K147" s="36">
        <v>2800000</v>
      </c>
      <c r="L147" s="37">
        <f t="shared" si="9"/>
        <v>1820000</v>
      </c>
      <c r="N147" s="34">
        <f>H147*VLOOKUP($N$2,'Unit Price'!$B$3:$C$19,2,0)</f>
        <v>144000</v>
      </c>
      <c r="O147" s="34">
        <f>1*VLOOKUP($O$2,'Unit Price'!$B$3:$C$19,2,0)</f>
        <v>10000</v>
      </c>
      <c r="P147" s="34">
        <f>1*VLOOKUP($P$2,'Unit Price'!$B$3:$C$19,2,0)</f>
        <v>8000</v>
      </c>
      <c r="Q147" s="34">
        <f>G147*2*VLOOKUP($Q$2,'Unit Price'!$B$3:$C$19,2,0)</f>
        <v>36000</v>
      </c>
      <c r="R147" s="34">
        <f>H147*3*VLOOKUP($R$2,'Unit Price'!$B$3:$C$19,2,0)</f>
        <v>60000</v>
      </c>
      <c r="S147" s="34">
        <f>IF(F147&lt;=2.2,3*VLOOKUP($S$2,'Unit Price'!$B$3:$C$19,2,0),5*VLOOKUP($S$2,'Unit Price'!$B$3:$C$19,2,0))</f>
        <v>30000</v>
      </c>
      <c r="T147" s="34">
        <f>IF(F147&lt;=2.06,VLOOKUP($T$2,'Unit Price'!$B$3:$C$19,2,0),0)</f>
        <v>795000</v>
      </c>
      <c r="U147" s="34">
        <f>IF(F147&lt;=2.06,VLOOKUP($U$2,'Unit Price'!$B$3:$C$19,2,0),0)</f>
        <v>245000</v>
      </c>
      <c r="V147" s="34">
        <f>IF(AND(F147&gt;2.06,F147&lt;2.5),VLOOKUP($V$2,'Unit Price'!$B$3:$C$19,2,0),0)</f>
        <v>0</v>
      </c>
      <c r="W147" s="34">
        <f>IF(AND(F147&gt;2.06,F147&lt;2.5),VLOOKUP($W$2,'Unit Price'!$B$3:$C$19,2,0),0)</f>
        <v>0</v>
      </c>
      <c r="X147" s="34">
        <f>IF(F147&gt;2.5,VLOOKUP($X$2,'Unit Price'!$B$3:$C$19,2,0),0)</f>
        <v>0</v>
      </c>
      <c r="Y147" s="34">
        <f>IF(F147&gt;2.5,VLOOKUP($Y$2,'Unit Price'!$B$3:$C$19,2,0),0)</f>
        <v>0</v>
      </c>
      <c r="Z147" s="34">
        <f>IF(F147&lt;2.5,6*VLOOKUP($Z$2,'Unit Price'!$B$3:$C$19,2,0),0)</f>
        <v>132000</v>
      </c>
      <c r="AA147" s="34">
        <f>IF(F147&lt;2.5,3*VLOOKUP($AA$2,'Unit Price'!$B$3:$C$19,2,0),0)</f>
        <v>165000</v>
      </c>
      <c r="AB147" s="34">
        <f>IF(F147&gt;2.5,6*VLOOKUP($AB$2,'Unit Price'!$B$3:$C$19,2,0),0)</f>
        <v>0</v>
      </c>
      <c r="AC147" s="34">
        <f>IF(F147&gt;2.5,3*VLOOKUP($AC$2,'Unit Price'!$B$3:$C$19,2,0),0)</f>
        <v>0</v>
      </c>
      <c r="AD147" s="36"/>
      <c r="AE147" s="46">
        <f t="shared" si="10"/>
        <v>1625000</v>
      </c>
      <c r="AF147" s="66">
        <f t="shared" si="11"/>
        <v>195000</v>
      </c>
    </row>
    <row r="148" spans="1:32">
      <c r="A148" s="17">
        <v>146</v>
      </c>
      <c r="B148" s="5" t="s">
        <v>320</v>
      </c>
      <c r="C148" s="5" t="s">
        <v>321</v>
      </c>
      <c r="D148" s="5" t="s">
        <v>291</v>
      </c>
      <c r="E148" s="5">
        <v>4.5994999999999999</v>
      </c>
      <c r="F148" s="18">
        <v>2</v>
      </c>
      <c r="G148" s="5">
        <v>11</v>
      </c>
      <c r="H148" s="50">
        <v>7</v>
      </c>
      <c r="I148" s="58">
        <v>77</v>
      </c>
      <c r="J148" s="5">
        <f t="shared" si="8"/>
        <v>0.65</v>
      </c>
      <c r="K148" s="36">
        <v>2800000</v>
      </c>
      <c r="L148" s="37">
        <f t="shared" si="9"/>
        <v>1820000</v>
      </c>
      <c r="N148" s="34">
        <f>H148*VLOOKUP($N$2,'Unit Price'!$B$3:$C$19,2,0)</f>
        <v>126000</v>
      </c>
      <c r="O148" s="34">
        <f>1*VLOOKUP($O$2,'Unit Price'!$B$3:$C$19,2,0)</f>
        <v>10000</v>
      </c>
      <c r="P148" s="34">
        <f>1*VLOOKUP($P$2,'Unit Price'!$B$3:$C$19,2,0)</f>
        <v>8000</v>
      </c>
      <c r="Q148" s="34">
        <f>G148*2*VLOOKUP($Q$2,'Unit Price'!$B$3:$C$19,2,0)</f>
        <v>33000</v>
      </c>
      <c r="R148" s="34">
        <f>H148*3*VLOOKUP($R$2,'Unit Price'!$B$3:$C$19,2,0)</f>
        <v>52500</v>
      </c>
      <c r="S148" s="34">
        <f>IF(F148&lt;=2.2,3*VLOOKUP($S$2,'Unit Price'!$B$3:$C$19,2,0),5*VLOOKUP($S$2,'Unit Price'!$B$3:$C$19,2,0))</f>
        <v>30000</v>
      </c>
      <c r="T148" s="34">
        <f>IF(F148&lt;=2.06,VLOOKUP($T$2,'Unit Price'!$B$3:$C$19,2,0),0)</f>
        <v>795000</v>
      </c>
      <c r="U148" s="34">
        <f>IF(F148&lt;=2.06,VLOOKUP($U$2,'Unit Price'!$B$3:$C$19,2,0),0)</f>
        <v>245000</v>
      </c>
      <c r="V148" s="34">
        <f>IF(AND(F148&gt;2.06,F148&lt;2.5),VLOOKUP($V$2,'Unit Price'!$B$3:$C$19,2,0),0)</f>
        <v>0</v>
      </c>
      <c r="W148" s="34">
        <f>IF(AND(F148&gt;2.06,F148&lt;2.5),VLOOKUP($W$2,'Unit Price'!$B$3:$C$19,2,0),0)</f>
        <v>0</v>
      </c>
      <c r="X148" s="34">
        <f>IF(F148&gt;2.5,VLOOKUP($X$2,'Unit Price'!$B$3:$C$19,2,0),0)</f>
        <v>0</v>
      </c>
      <c r="Y148" s="34">
        <f>IF(F148&gt;2.5,VLOOKUP($Y$2,'Unit Price'!$B$3:$C$19,2,0),0)</f>
        <v>0</v>
      </c>
      <c r="Z148" s="34">
        <f>IF(F148&lt;2.5,6*VLOOKUP($Z$2,'Unit Price'!$B$3:$C$19,2,0),0)</f>
        <v>132000</v>
      </c>
      <c r="AA148" s="34">
        <f>IF(F148&lt;2.5,3*VLOOKUP($AA$2,'Unit Price'!$B$3:$C$19,2,0),0)</f>
        <v>165000</v>
      </c>
      <c r="AB148" s="34">
        <f>IF(F148&gt;2.5,6*VLOOKUP($AB$2,'Unit Price'!$B$3:$C$19,2,0),0)</f>
        <v>0</v>
      </c>
      <c r="AC148" s="34">
        <f>IF(F148&gt;2.5,3*VLOOKUP($AC$2,'Unit Price'!$B$3:$C$19,2,0),0)</f>
        <v>0</v>
      </c>
      <c r="AD148" s="36"/>
      <c r="AE148" s="46">
        <f t="shared" si="10"/>
        <v>1596500</v>
      </c>
      <c r="AF148" s="66">
        <f t="shared" si="11"/>
        <v>223500</v>
      </c>
    </row>
    <row r="149" spans="1:32">
      <c r="A149" s="19">
        <v>147</v>
      </c>
      <c r="B149" s="20" t="s">
        <v>322</v>
      </c>
      <c r="C149" s="20" t="s">
        <v>323</v>
      </c>
      <c r="D149" s="20" t="s">
        <v>324</v>
      </c>
      <c r="E149" s="20">
        <v>1.6435</v>
      </c>
      <c r="F149" s="21">
        <v>3</v>
      </c>
      <c r="G149" s="20">
        <v>31</v>
      </c>
      <c r="H149" s="51">
        <v>9</v>
      </c>
      <c r="I149" s="58">
        <v>279</v>
      </c>
      <c r="J149" s="5">
        <f t="shared" si="8"/>
        <v>1</v>
      </c>
      <c r="K149" s="36">
        <v>2800000</v>
      </c>
      <c r="L149" s="37">
        <f t="shared" si="9"/>
        <v>2800000</v>
      </c>
      <c r="N149" s="34">
        <f>H149*VLOOKUP($N$2,'Unit Price'!$B$3:$C$19,2,0)</f>
        <v>162000</v>
      </c>
      <c r="O149" s="34">
        <f>1*VLOOKUP($O$2,'Unit Price'!$B$3:$C$19,2,0)</f>
        <v>10000</v>
      </c>
      <c r="P149" s="34">
        <f>1*VLOOKUP($P$2,'Unit Price'!$B$3:$C$19,2,0)</f>
        <v>8000</v>
      </c>
      <c r="Q149" s="34">
        <f>G149*2*VLOOKUP($Q$2,'Unit Price'!$B$3:$C$19,2,0)</f>
        <v>93000</v>
      </c>
      <c r="R149" s="34">
        <f>H149*3*VLOOKUP($R$2,'Unit Price'!$B$3:$C$19,2,0)</f>
        <v>67500</v>
      </c>
      <c r="S149" s="34">
        <f>IF(F149&lt;=2.2,3*VLOOKUP($S$2,'Unit Price'!$B$3:$C$19,2,0),5*VLOOKUP($S$2,'Unit Price'!$B$3:$C$19,2,0))</f>
        <v>50000</v>
      </c>
      <c r="T149" s="34">
        <f>IF(F149&lt;=2.06,VLOOKUP($T$2,'Unit Price'!$B$3:$C$19,2,0),0)</f>
        <v>0</v>
      </c>
      <c r="U149" s="34">
        <f>IF(F149&lt;=2.06,VLOOKUP($U$2,'Unit Price'!$B$3:$C$19,2,0),0)</f>
        <v>0</v>
      </c>
      <c r="V149" s="34">
        <f>IF(AND(F149&gt;2.06,F149&lt;2.5),VLOOKUP($V$2,'Unit Price'!$B$3:$C$19,2,0),0)</f>
        <v>0</v>
      </c>
      <c r="W149" s="34">
        <f>IF(AND(F149&gt;2.06,F149&lt;2.5),VLOOKUP($W$2,'Unit Price'!$B$3:$C$19,2,0),0)</f>
        <v>0</v>
      </c>
      <c r="X149" s="34">
        <f>IF(F149&gt;2.5,VLOOKUP($X$2,'Unit Price'!$B$3:$C$19,2,0),0)</f>
        <v>1200000</v>
      </c>
      <c r="Y149" s="34">
        <f>IF(F149&gt;2.5,VLOOKUP($Y$2,'Unit Price'!$B$3:$C$19,2,0),0)</f>
        <v>350000</v>
      </c>
      <c r="Z149" s="34">
        <f>IF(F149&lt;2.5,6*VLOOKUP($Z$2,'Unit Price'!$B$3:$C$19,2,0),0)</f>
        <v>0</v>
      </c>
      <c r="AA149" s="34">
        <f>IF(F149&lt;2.5,3*VLOOKUP($AA$2,'Unit Price'!$B$3:$C$19,2,0),0)</f>
        <v>0</v>
      </c>
      <c r="AB149" s="34">
        <f>IF(F149&gt;2.5,6*VLOOKUP($AB$2,'Unit Price'!$B$3:$C$19,2,0),0)</f>
        <v>375000</v>
      </c>
      <c r="AC149" s="34">
        <f>IF(F149&gt;2.5,3*VLOOKUP($AC$2,'Unit Price'!$B$3:$C$19,2,0),0)</f>
        <v>216000</v>
      </c>
      <c r="AD149" s="36"/>
      <c r="AE149" s="46">
        <f t="shared" si="10"/>
        <v>2531500</v>
      </c>
      <c r="AF149" s="66">
        <f t="shared" si="11"/>
        <v>268500</v>
      </c>
    </row>
    <row r="150" spans="1:32">
      <c r="A150" s="19">
        <v>148</v>
      </c>
      <c r="B150" s="20" t="s">
        <v>325</v>
      </c>
      <c r="C150" s="20" t="s">
        <v>326</v>
      </c>
      <c r="D150" s="20" t="s">
        <v>324</v>
      </c>
      <c r="E150" s="20">
        <v>2.3748999999999998</v>
      </c>
      <c r="F150" s="21">
        <v>3</v>
      </c>
      <c r="G150" s="20">
        <v>26</v>
      </c>
      <c r="H150" s="51">
        <v>8</v>
      </c>
      <c r="I150" s="58">
        <v>208</v>
      </c>
      <c r="J150" s="5">
        <f t="shared" si="8"/>
        <v>1</v>
      </c>
      <c r="K150" s="36">
        <v>2800000</v>
      </c>
      <c r="L150" s="37">
        <f t="shared" si="9"/>
        <v>2800000</v>
      </c>
      <c r="N150" s="34">
        <f>H150*VLOOKUP($N$2,'Unit Price'!$B$3:$C$19,2,0)</f>
        <v>144000</v>
      </c>
      <c r="O150" s="34">
        <f>1*VLOOKUP($O$2,'Unit Price'!$B$3:$C$19,2,0)</f>
        <v>10000</v>
      </c>
      <c r="P150" s="34">
        <f>1*VLOOKUP($P$2,'Unit Price'!$B$3:$C$19,2,0)</f>
        <v>8000</v>
      </c>
      <c r="Q150" s="34">
        <f>G150*2*VLOOKUP($Q$2,'Unit Price'!$B$3:$C$19,2,0)</f>
        <v>78000</v>
      </c>
      <c r="R150" s="34">
        <f>H150*3*VLOOKUP($R$2,'Unit Price'!$B$3:$C$19,2,0)</f>
        <v>60000</v>
      </c>
      <c r="S150" s="34">
        <f>IF(F150&lt;=2.2,3*VLOOKUP($S$2,'Unit Price'!$B$3:$C$19,2,0),5*VLOOKUP($S$2,'Unit Price'!$B$3:$C$19,2,0))</f>
        <v>50000</v>
      </c>
      <c r="T150" s="34">
        <f>IF(F150&lt;=2.06,VLOOKUP($T$2,'Unit Price'!$B$3:$C$19,2,0),0)</f>
        <v>0</v>
      </c>
      <c r="U150" s="34">
        <f>IF(F150&lt;=2.06,VLOOKUP($U$2,'Unit Price'!$B$3:$C$19,2,0),0)</f>
        <v>0</v>
      </c>
      <c r="V150" s="34">
        <f>IF(AND(F150&gt;2.06,F150&lt;2.5),VLOOKUP($V$2,'Unit Price'!$B$3:$C$19,2,0),0)</f>
        <v>0</v>
      </c>
      <c r="W150" s="34">
        <f>IF(AND(F150&gt;2.06,F150&lt;2.5),VLOOKUP($W$2,'Unit Price'!$B$3:$C$19,2,0),0)</f>
        <v>0</v>
      </c>
      <c r="X150" s="34">
        <f>IF(F150&gt;2.5,VLOOKUP($X$2,'Unit Price'!$B$3:$C$19,2,0),0)</f>
        <v>1200000</v>
      </c>
      <c r="Y150" s="34">
        <f>IF(F150&gt;2.5,VLOOKUP($Y$2,'Unit Price'!$B$3:$C$19,2,0),0)</f>
        <v>350000</v>
      </c>
      <c r="Z150" s="34">
        <f>IF(F150&lt;2.5,6*VLOOKUP($Z$2,'Unit Price'!$B$3:$C$19,2,0),0)</f>
        <v>0</v>
      </c>
      <c r="AA150" s="34">
        <f>IF(F150&lt;2.5,3*VLOOKUP($AA$2,'Unit Price'!$B$3:$C$19,2,0),0)</f>
        <v>0</v>
      </c>
      <c r="AB150" s="34">
        <f>IF(F150&gt;2.5,6*VLOOKUP($AB$2,'Unit Price'!$B$3:$C$19,2,0),0)</f>
        <v>375000</v>
      </c>
      <c r="AC150" s="34">
        <f>IF(F150&gt;2.5,3*VLOOKUP($AC$2,'Unit Price'!$B$3:$C$19,2,0),0)</f>
        <v>216000</v>
      </c>
      <c r="AD150" s="36"/>
      <c r="AE150" s="46">
        <f t="shared" si="10"/>
        <v>2491000</v>
      </c>
      <c r="AF150" s="66">
        <f t="shared" si="11"/>
        <v>309000</v>
      </c>
    </row>
    <row r="151" spans="1:32">
      <c r="A151" s="19">
        <v>149</v>
      </c>
      <c r="B151" s="20" t="s">
        <v>327</v>
      </c>
      <c r="C151" s="20" t="s">
        <v>328</v>
      </c>
      <c r="D151" s="20" t="s">
        <v>49</v>
      </c>
      <c r="E151" s="20">
        <v>3.7341000000000006</v>
      </c>
      <c r="F151" s="21">
        <v>3</v>
      </c>
      <c r="G151" s="20">
        <v>11</v>
      </c>
      <c r="H151" s="51">
        <v>8</v>
      </c>
      <c r="I151" s="58">
        <v>88</v>
      </c>
      <c r="J151" s="5">
        <f t="shared" si="8"/>
        <v>1</v>
      </c>
      <c r="K151" s="36">
        <v>2800000</v>
      </c>
      <c r="L151" s="37">
        <f t="shared" si="9"/>
        <v>2800000</v>
      </c>
      <c r="N151" s="34">
        <f>H151*VLOOKUP($N$2,'Unit Price'!$B$3:$C$19,2,0)</f>
        <v>144000</v>
      </c>
      <c r="O151" s="34">
        <f>1*VLOOKUP($O$2,'Unit Price'!$B$3:$C$19,2,0)</f>
        <v>10000</v>
      </c>
      <c r="P151" s="34">
        <f>1*VLOOKUP($P$2,'Unit Price'!$B$3:$C$19,2,0)</f>
        <v>8000</v>
      </c>
      <c r="Q151" s="34">
        <f>G151*2*VLOOKUP($Q$2,'Unit Price'!$B$3:$C$19,2,0)</f>
        <v>33000</v>
      </c>
      <c r="R151" s="34">
        <f>H151*3*VLOOKUP($R$2,'Unit Price'!$B$3:$C$19,2,0)</f>
        <v>60000</v>
      </c>
      <c r="S151" s="34">
        <f>IF(F151&lt;=2.2,3*VLOOKUP($S$2,'Unit Price'!$B$3:$C$19,2,0),5*VLOOKUP($S$2,'Unit Price'!$B$3:$C$19,2,0))</f>
        <v>50000</v>
      </c>
      <c r="T151" s="34">
        <f>IF(F151&lt;=2.06,VLOOKUP($T$2,'Unit Price'!$B$3:$C$19,2,0),0)</f>
        <v>0</v>
      </c>
      <c r="U151" s="34">
        <f>IF(F151&lt;=2.06,VLOOKUP($U$2,'Unit Price'!$B$3:$C$19,2,0),0)</f>
        <v>0</v>
      </c>
      <c r="V151" s="34">
        <f>IF(AND(F151&gt;2.06,F151&lt;2.5),VLOOKUP($V$2,'Unit Price'!$B$3:$C$19,2,0),0)</f>
        <v>0</v>
      </c>
      <c r="W151" s="34">
        <f>IF(AND(F151&gt;2.06,F151&lt;2.5),VLOOKUP($W$2,'Unit Price'!$B$3:$C$19,2,0),0)</f>
        <v>0</v>
      </c>
      <c r="X151" s="34">
        <f>IF(F151&gt;2.5,VLOOKUP($X$2,'Unit Price'!$B$3:$C$19,2,0),0)</f>
        <v>1200000</v>
      </c>
      <c r="Y151" s="34">
        <f>IF(F151&gt;2.5,VLOOKUP($Y$2,'Unit Price'!$B$3:$C$19,2,0),0)</f>
        <v>350000</v>
      </c>
      <c r="Z151" s="34">
        <f>IF(F151&lt;2.5,6*VLOOKUP($Z$2,'Unit Price'!$B$3:$C$19,2,0),0)</f>
        <v>0</v>
      </c>
      <c r="AA151" s="34">
        <f>IF(F151&lt;2.5,3*VLOOKUP($AA$2,'Unit Price'!$B$3:$C$19,2,0),0)</f>
        <v>0</v>
      </c>
      <c r="AB151" s="34">
        <f>IF(F151&gt;2.5,6*VLOOKUP($AB$2,'Unit Price'!$B$3:$C$19,2,0),0)</f>
        <v>375000</v>
      </c>
      <c r="AC151" s="34">
        <f>IF(F151&gt;2.5,3*VLOOKUP($AC$2,'Unit Price'!$B$3:$C$19,2,0),0)</f>
        <v>216000</v>
      </c>
      <c r="AD151" s="36"/>
      <c r="AE151" s="46">
        <f t="shared" si="10"/>
        <v>2446000</v>
      </c>
      <c r="AF151" s="66">
        <f t="shared" si="11"/>
        <v>354000</v>
      </c>
    </row>
    <row r="152" spans="1:32">
      <c r="A152" s="19">
        <v>150</v>
      </c>
      <c r="B152" s="20" t="s">
        <v>329</v>
      </c>
      <c r="C152" s="20" t="s">
        <v>330</v>
      </c>
      <c r="D152" s="20" t="s">
        <v>49</v>
      </c>
      <c r="E152" s="20">
        <v>4.1877000000000004</v>
      </c>
      <c r="F152" s="21">
        <v>3</v>
      </c>
      <c r="G152" s="20">
        <v>10</v>
      </c>
      <c r="H152" s="51">
        <v>7</v>
      </c>
      <c r="I152" s="58">
        <v>70</v>
      </c>
      <c r="J152" s="5">
        <f t="shared" si="8"/>
        <v>1</v>
      </c>
      <c r="K152" s="36">
        <v>2800000</v>
      </c>
      <c r="L152" s="37">
        <f t="shared" si="9"/>
        <v>2800000</v>
      </c>
      <c r="N152" s="34">
        <f>H152*VLOOKUP($N$2,'Unit Price'!$B$3:$C$19,2,0)</f>
        <v>126000</v>
      </c>
      <c r="O152" s="34">
        <f>1*VLOOKUP($O$2,'Unit Price'!$B$3:$C$19,2,0)</f>
        <v>10000</v>
      </c>
      <c r="P152" s="34">
        <f>1*VLOOKUP($P$2,'Unit Price'!$B$3:$C$19,2,0)</f>
        <v>8000</v>
      </c>
      <c r="Q152" s="34">
        <f>G152*2*VLOOKUP($Q$2,'Unit Price'!$B$3:$C$19,2,0)</f>
        <v>30000</v>
      </c>
      <c r="R152" s="34">
        <f>H152*3*VLOOKUP($R$2,'Unit Price'!$B$3:$C$19,2,0)</f>
        <v>52500</v>
      </c>
      <c r="S152" s="34">
        <f>IF(F152&lt;=2.2,3*VLOOKUP($S$2,'Unit Price'!$B$3:$C$19,2,0),5*VLOOKUP($S$2,'Unit Price'!$B$3:$C$19,2,0))</f>
        <v>50000</v>
      </c>
      <c r="T152" s="34">
        <f>IF(F152&lt;=2.06,VLOOKUP($T$2,'Unit Price'!$B$3:$C$19,2,0),0)</f>
        <v>0</v>
      </c>
      <c r="U152" s="34">
        <f>IF(F152&lt;=2.06,VLOOKUP($U$2,'Unit Price'!$B$3:$C$19,2,0),0)</f>
        <v>0</v>
      </c>
      <c r="V152" s="34">
        <f>IF(AND(F152&gt;2.06,F152&lt;2.5),VLOOKUP($V$2,'Unit Price'!$B$3:$C$19,2,0),0)</f>
        <v>0</v>
      </c>
      <c r="W152" s="34">
        <f>IF(AND(F152&gt;2.06,F152&lt;2.5),VLOOKUP($W$2,'Unit Price'!$B$3:$C$19,2,0),0)</f>
        <v>0</v>
      </c>
      <c r="X152" s="34">
        <f>IF(F152&gt;2.5,VLOOKUP($X$2,'Unit Price'!$B$3:$C$19,2,0),0)</f>
        <v>1200000</v>
      </c>
      <c r="Y152" s="34">
        <f>IF(F152&gt;2.5,VLOOKUP($Y$2,'Unit Price'!$B$3:$C$19,2,0),0)</f>
        <v>350000</v>
      </c>
      <c r="Z152" s="34">
        <f>IF(F152&lt;2.5,6*VLOOKUP($Z$2,'Unit Price'!$B$3:$C$19,2,0),0)</f>
        <v>0</v>
      </c>
      <c r="AA152" s="34">
        <f>IF(F152&lt;2.5,3*VLOOKUP($AA$2,'Unit Price'!$B$3:$C$19,2,0),0)</f>
        <v>0</v>
      </c>
      <c r="AB152" s="34">
        <f>IF(F152&gt;2.5,6*VLOOKUP($AB$2,'Unit Price'!$B$3:$C$19,2,0),0)</f>
        <v>375000</v>
      </c>
      <c r="AC152" s="34">
        <f>IF(F152&gt;2.5,3*VLOOKUP($AC$2,'Unit Price'!$B$3:$C$19,2,0),0)</f>
        <v>216000</v>
      </c>
      <c r="AD152" s="36"/>
      <c r="AE152" s="46">
        <f t="shared" si="10"/>
        <v>2417500</v>
      </c>
      <c r="AF152" s="66">
        <f t="shared" si="11"/>
        <v>382500</v>
      </c>
    </row>
    <row r="153" spans="1:32">
      <c r="A153" s="19">
        <v>151</v>
      </c>
      <c r="B153" s="20" t="s">
        <v>331</v>
      </c>
      <c r="C153" s="20" t="s">
        <v>332</v>
      </c>
      <c r="D153" s="20" t="s">
        <v>49</v>
      </c>
      <c r="E153" s="20">
        <v>7.0389000000000008</v>
      </c>
      <c r="F153" s="21">
        <v>3</v>
      </c>
      <c r="G153" s="20">
        <v>8</v>
      </c>
      <c r="H153" s="51">
        <v>5</v>
      </c>
      <c r="I153" s="58">
        <v>40</v>
      </c>
      <c r="J153" s="5">
        <f t="shared" si="8"/>
        <v>1</v>
      </c>
      <c r="K153" s="36">
        <v>2800000</v>
      </c>
      <c r="L153" s="37">
        <f t="shared" si="9"/>
        <v>2800000</v>
      </c>
      <c r="N153" s="34">
        <f>H153*VLOOKUP($N$2,'Unit Price'!$B$3:$C$19,2,0)</f>
        <v>90000</v>
      </c>
      <c r="O153" s="34">
        <f>1*VLOOKUP($O$2,'Unit Price'!$B$3:$C$19,2,0)</f>
        <v>10000</v>
      </c>
      <c r="P153" s="34">
        <f>1*VLOOKUP($P$2,'Unit Price'!$B$3:$C$19,2,0)</f>
        <v>8000</v>
      </c>
      <c r="Q153" s="34">
        <f>G153*2*VLOOKUP($Q$2,'Unit Price'!$B$3:$C$19,2,0)</f>
        <v>24000</v>
      </c>
      <c r="R153" s="34">
        <f>H153*3*VLOOKUP($R$2,'Unit Price'!$B$3:$C$19,2,0)</f>
        <v>37500</v>
      </c>
      <c r="S153" s="34">
        <f>IF(F153&lt;=2.2,3*VLOOKUP($S$2,'Unit Price'!$B$3:$C$19,2,0),5*VLOOKUP($S$2,'Unit Price'!$B$3:$C$19,2,0))</f>
        <v>50000</v>
      </c>
      <c r="T153" s="34">
        <f>IF(F153&lt;=2.06,VLOOKUP($T$2,'Unit Price'!$B$3:$C$19,2,0),0)</f>
        <v>0</v>
      </c>
      <c r="U153" s="34">
        <f>IF(F153&lt;=2.06,VLOOKUP($U$2,'Unit Price'!$B$3:$C$19,2,0),0)</f>
        <v>0</v>
      </c>
      <c r="V153" s="34">
        <f>IF(AND(F153&gt;2.06,F153&lt;2.5),VLOOKUP($V$2,'Unit Price'!$B$3:$C$19,2,0),0)</f>
        <v>0</v>
      </c>
      <c r="W153" s="34">
        <f>IF(AND(F153&gt;2.06,F153&lt;2.5),VLOOKUP($W$2,'Unit Price'!$B$3:$C$19,2,0),0)</f>
        <v>0</v>
      </c>
      <c r="X153" s="34">
        <f>IF(F153&gt;2.5,VLOOKUP($X$2,'Unit Price'!$B$3:$C$19,2,0),0)</f>
        <v>1200000</v>
      </c>
      <c r="Y153" s="34">
        <f>IF(F153&gt;2.5,VLOOKUP($Y$2,'Unit Price'!$B$3:$C$19,2,0),0)</f>
        <v>350000</v>
      </c>
      <c r="Z153" s="34">
        <f>IF(F153&lt;2.5,6*VLOOKUP($Z$2,'Unit Price'!$B$3:$C$19,2,0),0)</f>
        <v>0</v>
      </c>
      <c r="AA153" s="34">
        <f>IF(F153&lt;2.5,3*VLOOKUP($AA$2,'Unit Price'!$B$3:$C$19,2,0),0)</f>
        <v>0</v>
      </c>
      <c r="AB153" s="34">
        <f>IF(F153&gt;2.5,6*VLOOKUP($AB$2,'Unit Price'!$B$3:$C$19,2,0),0)</f>
        <v>375000</v>
      </c>
      <c r="AC153" s="34">
        <f>IF(F153&gt;2.5,3*VLOOKUP($AC$2,'Unit Price'!$B$3:$C$19,2,0),0)</f>
        <v>216000</v>
      </c>
      <c r="AD153" s="36"/>
      <c r="AE153" s="46">
        <f t="shared" si="10"/>
        <v>2360500</v>
      </c>
      <c r="AF153" s="66">
        <f t="shared" si="11"/>
        <v>439500</v>
      </c>
    </row>
    <row r="154" spans="1:32">
      <c r="A154" s="19">
        <v>152</v>
      </c>
      <c r="B154" s="20" t="s">
        <v>333</v>
      </c>
      <c r="C154" s="20" t="s">
        <v>334</v>
      </c>
      <c r="D154" s="20" t="s">
        <v>49</v>
      </c>
      <c r="E154" s="20">
        <v>7.5815999999999999</v>
      </c>
      <c r="F154" s="21">
        <v>3</v>
      </c>
      <c r="G154" s="20">
        <v>7</v>
      </c>
      <c r="H154" s="51">
        <v>5</v>
      </c>
      <c r="I154" s="58">
        <v>35</v>
      </c>
      <c r="J154" s="5">
        <f t="shared" si="8"/>
        <v>1</v>
      </c>
      <c r="K154" s="36">
        <v>2800000</v>
      </c>
      <c r="L154" s="37">
        <f t="shared" si="9"/>
        <v>2800000</v>
      </c>
      <c r="N154" s="34">
        <f>H154*VLOOKUP($N$2,'Unit Price'!$B$3:$C$19,2,0)</f>
        <v>90000</v>
      </c>
      <c r="O154" s="34">
        <f>1*VLOOKUP($O$2,'Unit Price'!$B$3:$C$19,2,0)</f>
        <v>10000</v>
      </c>
      <c r="P154" s="34">
        <f>1*VLOOKUP($P$2,'Unit Price'!$B$3:$C$19,2,0)</f>
        <v>8000</v>
      </c>
      <c r="Q154" s="34">
        <f>G154*2*VLOOKUP($Q$2,'Unit Price'!$B$3:$C$19,2,0)</f>
        <v>21000</v>
      </c>
      <c r="R154" s="34">
        <f>H154*3*VLOOKUP($R$2,'Unit Price'!$B$3:$C$19,2,0)</f>
        <v>37500</v>
      </c>
      <c r="S154" s="34">
        <f>IF(F154&lt;=2.2,3*VLOOKUP($S$2,'Unit Price'!$B$3:$C$19,2,0),5*VLOOKUP($S$2,'Unit Price'!$B$3:$C$19,2,0))</f>
        <v>50000</v>
      </c>
      <c r="T154" s="34">
        <f>IF(F154&lt;=2.06,VLOOKUP($T$2,'Unit Price'!$B$3:$C$19,2,0),0)</f>
        <v>0</v>
      </c>
      <c r="U154" s="34">
        <f>IF(F154&lt;=2.06,VLOOKUP($U$2,'Unit Price'!$B$3:$C$19,2,0),0)</f>
        <v>0</v>
      </c>
      <c r="V154" s="34">
        <f>IF(AND(F154&gt;2.06,F154&lt;2.5),VLOOKUP($V$2,'Unit Price'!$B$3:$C$19,2,0),0)</f>
        <v>0</v>
      </c>
      <c r="W154" s="34">
        <f>IF(AND(F154&gt;2.06,F154&lt;2.5),VLOOKUP($W$2,'Unit Price'!$B$3:$C$19,2,0),0)</f>
        <v>0</v>
      </c>
      <c r="X154" s="34">
        <f>IF(F154&gt;2.5,VLOOKUP($X$2,'Unit Price'!$B$3:$C$19,2,0),0)</f>
        <v>1200000</v>
      </c>
      <c r="Y154" s="34">
        <f>IF(F154&gt;2.5,VLOOKUP($Y$2,'Unit Price'!$B$3:$C$19,2,0),0)</f>
        <v>350000</v>
      </c>
      <c r="Z154" s="34">
        <f>IF(F154&lt;2.5,6*VLOOKUP($Z$2,'Unit Price'!$B$3:$C$19,2,0),0)</f>
        <v>0</v>
      </c>
      <c r="AA154" s="34">
        <f>IF(F154&lt;2.5,3*VLOOKUP($AA$2,'Unit Price'!$B$3:$C$19,2,0),0)</f>
        <v>0</v>
      </c>
      <c r="AB154" s="34">
        <f>IF(F154&gt;2.5,6*VLOOKUP($AB$2,'Unit Price'!$B$3:$C$19,2,0),0)</f>
        <v>375000</v>
      </c>
      <c r="AC154" s="34">
        <f>IF(F154&gt;2.5,3*VLOOKUP($AC$2,'Unit Price'!$B$3:$C$19,2,0),0)</f>
        <v>216000</v>
      </c>
      <c r="AD154" s="36"/>
      <c r="AE154" s="46">
        <f t="shared" si="10"/>
        <v>2357500</v>
      </c>
      <c r="AF154" s="66">
        <f t="shared" si="11"/>
        <v>442500</v>
      </c>
    </row>
    <row r="155" spans="1:32">
      <c r="A155" s="19">
        <v>153</v>
      </c>
      <c r="B155" s="20" t="s">
        <v>335</v>
      </c>
      <c r="C155" s="20" t="s">
        <v>336</v>
      </c>
      <c r="D155" s="20" t="s">
        <v>49</v>
      </c>
      <c r="E155" s="20">
        <v>4.4271000000000003</v>
      </c>
      <c r="F155" s="21">
        <v>3</v>
      </c>
      <c r="G155" s="20">
        <v>11</v>
      </c>
      <c r="H155" s="51">
        <v>8</v>
      </c>
      <c r="I155" s="58">
        <v>88</v>
      </c>
      <c r="J155" s="5">
        <f t="shared" si="8"/>
        <v>1</v>
      </c>
      <c r="K155" s="36">
        <v>2800000</v>
      </c>
      <c r="L155" s="37">
        <f t="shared" si="9"/>
        <v>2800000</v>
      </c>
      <c r="N155" s="34">
        <f>H155*VLOOKUP($N$2,'Unit Price'!$B$3:$C$19,2,0)</f>
        <v>144000</v>
      </c>
      <c r="O155" s="34">
        <f>1*VLOOKUP($O$2,'Unit Price'!$B$3:$C$19,2,0)</f>
        <v>10000</v>
      </c>
      <c r="P155" s="34">
        <f>1*VLOOKUP($P$2,'Unit Price'!$B$3:$C$19,2,0)</f>
        <v>8000</v>
      </c>
      <c r="Q155" s="34">
        <f>G155*2*VLOOKUP($Q$2,'Unit Price'!$B$3:$C$19,2,0)</f>
        <v>33000</v>
      </c>
      <c r="R155" s="34">
        <f>H155*3*VLOOKUP($R$2,'Unit Price'!$B$3:$C$19,2,0)</f>
        <v>60000</v>
      </c>
      <c r="S155" s="34">
        <f>IF(F155&lt;=2.2,3*VLOOKUP($S$2,'Unit Price'!$B$3:$C$19,2,0),5*VLOOKUP($S$2,'Unit Price'!$B$3:$C$19,2,0))</f>
        <v>50000</v>
      </c>
      <c r="T155" s="34">
        <f>IF(F155&lt;=2.06,VLOOKUP($T$2,'Unit Price'!$B$3:$C$19,2,0),0)</f>
        <v>0</v>
      </c>
      <c r="U155" s="34">
        <f>IF(F155&lt;=2.06,VLOOKUP($U$2,'Unit Price'!$B$3:$C$19,2,0),0)</f>
        <v>0</v>
      </c>
      <c r="V155" s="34">
        <f>IF(AND(F155&gt;2.06,F155&lt;2.5),VLOOKUP($V$2,'Unit Price'!$B$3:$C$19,2,0),0)</f>
        <v>0</v>
      </c>
      <c r="W155" s="34">
        <f>IF(AND(F155&gt;2.06,F155&lt;2.5),VLOOKUP($W$2,'Unit Price'!$B$3:$C$19,2,0),0)</f>
        <v>0</v>
      </c>
      <c r="X155" s="34">
        <f>IF(F155&gt;2.5,VLOOKUP($X$2,'Unit Price'!$B$3:$C$19,2,0),0)</f>
        <v>1200000</v>
      </c>
      <c r="Y155" s="34">
        <f>IF(F155&gt;2.5,VLOOKUP($Y$2,'Unit Price'!$B$3:$C$19,2,0),0)</f>
        <v>350000</v>
      </c>
      <c r="Z155" s="34">
        <f>IF(F155&lt;2.5,6*VLOOKUP($Z$2,'Unit Price'!$B$3:$C$19,2,0),0)</f>
        <v>0</v>
      </c>
      <c r="AA155" s="34">
        <f>IF(F155&lt;2.5,3*VLOOKUP($AA$2,'Unit Price'!$B$3:$C$19,2,0),0)</f>
        <v>0</v>
      </c>
      <c r="AB155" s="34">
        <f>IF(F155&gt;2.5,6*VLOOKUP($AB$2,'Unit Price'!$B$3:$C$19,2,0),0)</f>
        <v>375000</v>
      </c>
      <c r="AC155" s="34">
        <f>IF(F155&gt;2.5,3*VLOOKUP($AC$2,'Unit Price'!$B$3:$C$19,2,0),0)</f>
        <v>216000</v>
      </c>
      <c r="AD155" s="36"/>
      <c r="AE155" s="46">
        <f t="shared" si="10"/>
        <v>2446000</v>
      </c>
      <c r="AF155" s="66">
        <f t="shared" si="11"/>
        <v>354000</v>
      </c>
    </row>
    <row r="156" spans="1:32">
      <c r="A156" s="19">
        <v>154</v>
      </c>
      <c r="B156" s="20" t="s">
        <v>337</v>
      </c>
      <c r="C156" s="20" t="s">
        <v>338</v>
      </c>
      <c r="D156" s="20" t="s">
        <v>49</v>
      </c>
      <c r="E156" s="20">
        <v>5.7340999999999998</v>
      </c>
      <c r="F156" s="21">
        <v>3</v>
      </c>
      <c r="G156" s="20">
        <v>10</v>
      </c>
      <c r="H156" s="51">
        <v>7</v>
      </c>
      <c r="I156" s="58">
        <v>70</v>
      </c>
      <c r="J156" s="5">
        <f t="shared" si="8"/>
        <v>1</v>
      </c>
      <c r="K156" s="36">
        <v>2800000</v>
      </c>
      <c r="L156" s="37">
        <f t="shared" si="9"/>
        <v>2800000</v>
      </c>
      <c r="N156" s="34">
        <f>H156*VLOOKUP($N$2,'Unit Price'!$B$3:$C$19,2,0)</f>
        <v>126000</v>
      </c>
      <c r="O156" s="34">
        <f>1*VLOOKUP($O$2,'Unit Price'!$B$3:$C$19,2,0)</f>
        <v>10000</v>
      </c>
      <c r="P156" s="34">
        <f>1*VLOOKUP($P$2,'Unit Price'!$B$3:$C$19,2,0)</f>
        <v>8000</v>
      </c>
      <c r="Q156" s="34">
        <f>G156*2*VLOOKUP($Q$2,'Unit Price'!$B$3:$C$19,2,0)</f>
        <v>30000</v>
      </c>
      <c r="R156" s="34">
        <f>H156*3*VLOOKUP($R$2,'Unit Price'!$B$3:$C$19,2,0)</f>
        <v>52500</v>
      </c>
      <c r="S156" s="34">
        <f>IF(F156&lt;=2.2,3*VLOOKUP($S$2,'Unit Price'!$B$3:$C$19,2,0),5*VLOOKUP($S$2,'Unit Price'!$B$3:$C$19,2,0))</f>
        <v>50000</v>
      </c>
      <c r="T156" s="34">
        <f>IF(F156&lt;=2.06,VLOOKUP($T$2,'Unit Price'!$B$3:$C$19,2,0),0)</f>
        <v>0</v>
      </c>
      <c r="U156" s="34">
        <f>IF(F156&lt;=2.06,VLOOKUP($U$2,'Unit Price'!$B$3:$C$19,2,0),0)</f>
        <v>0</v>
      </c>
      <c r="V156" s="34">
        <f>IF(AND(F156&gt;2.06,F156&lt;2.5),VLOOKUP($V$2,'Unit Price'!$B$3:$C$19,2,0),0)</f>
        <v>0</v>
      </c>
      <c r="W156" s="34">
        <f>IF(AND(F156&gt;2.06,F156&lt;2.5),VLOOKUP($W$2,'Unit Price'!$B$3:$C$19,2,0),0)</f>
        <v>0</v>
      </c>
      <c r="X156" s="34">
        <f>IF(F156&gt;2.5,VLOOKUP($X$2,'Unit Price'!$B$3:$C$19,2,0),0)</f>
        <v>1200000</v>
      </c>
      <c r="Y156" s="34">
        <f>IF(F156&gt;2.5,VLOOKUP($Y$2,'Unit Price'!$B$3:$C$19,2,0),0)</f>
        <v>350000</v>
      </c>
      <c r="Z156" s="34">
        <f>IF(F156&lt;2.5,6*VLOOKUP($Z$2,'Unit Price'!$B$3:$C$19,2,0),0)</f>
        <v>0</v>
      </c>
      <c r="AA156" s="34">
        <f>IF(F156&lt;2.5,3*VLOOKUP($AA$2,'Unit Price'!$B$3:$C$19,2,0),0)</f>
        <v>0</v>
      </c>
      <c r="AB156" s="34">
        <f>IF(F156&gt;2.5,6*VLOOKUP($AB$2,'Unit Price'!$B$3:$C$19,2,0),0)</f>
        <v>375000</v>
      </c>
      <c r="AC156" s="34">
        <f>IF(F156&gt;2.5,3*VLOOKUP($AC$2,'Unit Price'!$B$3:$C$19,2,0),0)</f>
        <v>216000</v>
      </c>
      <c r="AD156" s="36"/>
      <c r="AE156" s="46">
        <f t="shared" si="10"/>
        <v>2417500</v>
      </c>
      <c r="AF156" s="66">
        <f t="shared" si="11"/>
        <v>382500</v>
      </c>
    </row>
    <row r="157" spans="1:32">
      <c r="A157" s="19">
        <v>155</v>
      </c>
      <c r="B157" s="20" t="s">
        <v>339</v>
      </c>
      <c r="C157" s="20" t="s">
        <v>340</v>
      </c>
      <c r="D157" s="20" t="s">
        <v>49</v>
      </c>
      <c r="E157" s="20">
        <v>8.2863000000000007</v>
      </c>
      <c r="F157" s="21">
        <v>3</v>
      </c>
      <c r="G157" s="20">
        <v>8</v>
      </c>
      <c r="H157" s="51">
        <v>5</v>
      </c>
      <c r="I157" s="58">
        <v>40</v>
      </c>
      <c r="J157" s="5">
        <f t="shared" si="8"/>
        <v>1</v>
      </c>
      <c r="K157" s="36">
        <v>2800000</v>
      </c>
      <c r="L157" s="37">
        <f t="shared" si="9"/>
        <v>2800000</v>
      </c>
      <c r="N157" s="34">
        <f>H157*VLOOKUP($N$2,'Unit Price'!$B$3:$C$19,2,0)</f>
        <v>90000</v>
      </c>
      <c r="O157" s="34">
        <f>1*VLOOKUP($O$2,'Unit Price'!$B$3:$C$19,2,0)</f>
        <v>10000</v>
      </c>
      <c r="P157" s="34">
        <f>1*VLOOKUP($P$2,'Unit Price'!$B$3:$C$19,2,0)</f>
        <v>8000</v>
      </c>
      <c r="Q157" s="34">
        <f>G157*2*VLOOKUP($Q$2,'Unit Price'!$B$3:$C$19,2,0)</f>
        <v>24000</v>
      </c>
      <c r="R157" s="34">
        <f>H157*3*VLOOKUP($R$2,'Unit Price'!$B$3:$C$19,2,0)</f>
        <v>37500</v>
      </c>
      <c r="S157" s="34">
        <f>IF(F157&lt;=2.2,3*VLOOKUP($S$2,'Unit Price'!$B$3:$C$19,2,0),5*VLOOKUP($S$2,'Unit Price'!$B$3:$C$19,2,0))</f>
        <v>50000</v>
      </c>
      <c r="T157" s="34">
        <f>IF(F157&lt;=2.06,VLOOKUP($T$2,'Unit Price'!$B$3:$C$19,2,0),0)</f>
        <v>0</v>
      </c>
      <c r="U157" s="34">
        <f>IF(F157&lt;=2.06,VLOOKUP($U$2,'Unit Price'!$B$3:$C$19,2,0),0)</f>
        <v>0</v>
      </c>
      <c r="V157" s="34">
        <f>IF(AND(F157&gt;2.06,F157&lt;2.5),VLOOKUP($V$2,'Unit Price'!$B$3:$C$19,2,0),0)</f>
        <v>0</v>
      </c>
      <c r="W157" s="34">
        <f>IF(AND(F157&gt;2.06,F157&lt;2.5),VLOOKUP($W$2,'Unit Price'!$B$3:$C$19,2,0),0)</f>
        <v>0</v>
      </c>
      <c r="X157" s="34">
        <f>IF(F157&gt;2.5,VLOOKUP($X$2,'Unit Price'!$B$3:$C$19,2,0),0)</f>
        <v>1200000</v>
      </c>
      <c r="Y157" s="34">
        <f>IF(F157&gt;2.5,VLOOKUP($Y$2,'Unit Price'!$B$3:$C$19,2,0),0)</f>
        <v>350000</v>
      </c>
      <c r="Z157" s="34">
        <f>IF(F157&lt;2.5,6*VLOOKUP($Z$2,'Unit Price'!$B$3:$C$19,2,0),0)</f>
        <v>0</v>
      </c>
      <c r="AA157" s="34">
        <f>IF(F157&lt;2.5,3*VLOOKUP($AA$2,'Unit Price'!$B$3:$C$19,2,0),0)</f>
        <v>0</v>
      </c>
      <c r="AB157" s="34">
        <f>IF(F157&gt;2.5,6*VLOOKUP($AB$2,'Unit Price'!$B$3:$C$19,2,0),0)</f>
        <v>375000</v>
      </c>
      <c r="AC157" s="34">
        <f>IF(F157&gt;2.5,3*VLOOKUP($AC$2,'Unit Price'!$B$3:$C$19,2,0),0)</f>
        <v>216000</v>
      </c>
      <c r="AD157" s="36"/>
      <c r="AE157" s="46">
        <f t="shared" si="10"/>
        <v>2360500</v>
      </c>
      <c r="AF157" s="66">
        <f t="shared" si="11"/>
        <v>439500</v>
      </c>
    </row>
    <row r="158" spans="1:32">
      <c r="A158" s="19">
        <v>156</v>
      </c>
      <c r="B158" s="20" t="s">
        <v>341</v>
      </c>
      <c r="C158" s="20" t="s">
        <v>342</v>
      </c>
      <c r="D158" s="20" t="s">
        <v>49</v>
      </c>
      <c r="E158" s="20">
        <v>10.976800000000001</v>
      </c>
      <c r="F158" s="21">
        <v>3</v>
      </c>
      <c r="G158" s="20">
        <v>7</v>
      </c>
      <c r="H158" s="51">
        <v>5</v>
      </c>
      <c r="I158" s="58">
        <v>35</v>
      </c>
      <c r="J158" s="5">
        <f t="shared" si="8"/>
        <v>1</v>
      </c>
      <c r="K158" s="36">
        <v>2800000</v>
      </c>
      <c r="L158" s="37">
        <f t="shared" si="9"/>
        <v>2800000</v>
      </c>
      <c r="N158" s="34">
        <f>H158*VLOOKUP($N$2,'Unit Price'!$B$3:$C$19,2,0)</f>
        <v>90000</v>
      </c>
      <c r="O158" s="34">
        <f>1*VLOOKUP($O$2,'Unit Price'!$B$3:$C$19,2,0)</f>
        <v>10000</v>
      </c>
      <c r="P158" s="34">
        <f>1*VLOOKUP($P$2,'Unit Price'!$B$3:$C$19,2,0)</f>
        <v>8000</v>
      </c>
      <c r="Q158" s="34">
        <f>G158*2*VLOOKUP($Q$2,'Unit Price'!$B$3:$C$19,2,0)</f>
        <v>21000</v>
      </c>
      <c r="R158" s="34">
        <f>H158*3*VLOOKUP($R$2,'Unit Price'!$B$3:$C$19,2,0)</f>
        <v>37500</v>
      </c>
      <c r="S158" s="34">
        <f>IF(F158&lt;=2.2,3*VLOOKUP($S$2,'Unit Price'!$B$3:$C$19,2,0),5*VLOOKUP($S$2,'Unit Price'!$B$3:$C$19,2,0))</f>
        <v>50000</v>
      </c>
      <c r="T158" s="34">
        <f>IF(F158&lt;=2.06,VLOOKUP($T$2,'Unit Price'!$B$3:$C$19,2,0),0)</f>
        <v>0</v>
      </c>
      <c r="U158" s="34">
        <f>IF(F158&lt;=2.06,VLOOKUP($U$2,'Unit Price'!$B$3:$C$19,2,0),0)</f>
        <v>0</v>
      </c>
      <c r="V158" s="34">
        <f>IF(AND(F158&gt;2.06,F158&lt;2.5),VLOOKUP($V$2,'Unit Price'!$B$3:$C$19,2,0),0)</f>
        <v>0</v>
      </c>
      <c r="W158" s="34">
        <f>IF(AND(F158&gt;2.06,F158&lt;2.5),VLOOKUP($W$2,'Unit Price'!$B$3:$C$19,2,0),0)</f>
        <v>0</v>
      </c>
      <c r="X158" s="34">
        <f>IF(F158&gt;2.5,VLOOKUP($X$2,'Unit Price'!$B$3:$C$19,2,0),0)</f>
        <v>1200000</v>
      </c>
      <c r="Y158" s="34">
        <f>IF(F158&gt;2.5,VLOOKUP($Y$2,'Unit Price'!$B$3:$C$19,2,0),0)</f>
        <v>350000</v>
      </c>
      <c r="Z158" s="34">
        <f>IF(F158&lt;2.5,6*VLOOKUP($Z$2,'Unit Price'!$B$3:$C$19,2,0),0)</f>
        <v>0</v>
      </c>
      <c r="AA158" s="34">
        <f>IF(F158&lt;2.5,3*VLOOKUP($AA$2,'Unit Price'!$B$3:$C$19,2,0),0)</f>
        <v>0</v>
      </c>
      <c r="AB158" s="34">
        <f>IF(F158&gt;2.5,6*VLOOKUP($AB$2,'Unit Price'!$B$3:$C$19,2,0),0)</f>
        <v>375000</v>
      </c>
      <c r="AC158" s="34">
        <f>IF(F158&gt;2.5,3*VLOOKUP($AC$2,'Unit Price'!$B$3:$C$19,2,0),0)</f>
        <v>216000</v>
      </c>
      <c r="AD158" s="36"/>
      <c r="AE158" s="46">
        <f t="shared" si="10"/>
        <v>2357500</v>
      </c>
      <c r="AF158" s="66">
        <f t="shared" si="11"/>
        <v>442500</v>
      </c>
    </row>
    <row r="159" spans="1:32">
      <c r="A159" s="19">
        <v>157</v>
      </c>
      <c r="B159" s="20" t="s">
        <v>343</v>
      </c>
      <c r="C159" s="20" t="s">
        <v>344</v>
      </c>
      <c r="D159" s="20" t="s">
        <v>345</v>
      </c>
      <c r="E159" s="20">
        <v>1.26</v>
      </c>
      <c r="F159" s="21">
        <v>2</v>
      </c>
      <c r="G159" s="20">
        <v>16</v>
      </c>
      <c r="H159" s="51">
        <v>11</v>
      </c>
      <c r="I159" s="58">
        <v>176</v>
      </c>
      <c r="J159" s="5">
        <f t="shared" si="8"/>
        <v>0.65</v>
      </c>
      <c r="K159" s="36">
        <v>2800000</v>
      </c>
      <c r="L159" s="37">
        <f t="shared" si="9"/>
        <v>1820000</v>
      </c>
      <c r="N159" s="34">
        <f>H159*VLOOKUP($N$2,'Unit Price'!$B$3:$C$19,2,0)</f>
        <v>198000</v>
      </c>
      <c r="O159" s="34">
        <f>1*VLOOKUP($O$2,'Unit Price'!$B$3:$C$19,2,0)</f>
        <v>10000</v>
      </c>
      <c r="P159" s="34">
        <f>1*VLOOKUP($P$2,'Unit Price'!$B$3:$C$19,2,0)</f>
        <v>8000</v>
      </c>
      <c r="Q159" s="34">
        <f>G159*2*VLOOKUP($Q$2,'Unit Price'!$B$3:$C$19,2,0)</f>
        <v>48000</v>
      </c>
      <c r="R159" s="34">
        <f>H159*3*VLOOKUP($R$2,'Unit Price'!$B$3:$C$19,2,0)</f>
        <v>82500</v>
      </c>
      <c r="S159" s="34">
        <f>IF(F159&lt;=2.2,3*VLOOKUP($S$2,'Unit Price'!$B$3:$C$19,2,0),5*VLOOKUP($S$2,'Unit Price'!$B$3:$C$19,2,0))</f>
        <v>30000</v>
      </c>
      <c r="T159" s="34">
        <f>IF(F159&lt;=2.06,VLOOKUP($T$2,'Unit Price'!$B$3:$C$19,2,0),0)</f>
        <v>795000</v>
      </c>
      <c r="U159" s="34">
        <f>IF(F159&lt;=2.06,VLOOKUP($U$2,'Unit Price'!$B$3:$C$19,2,0),0)</f>
        <v>245000</v>
      </c>
      <c r="V159" s="34">
        <f>IF(AND(F159&gt;2.06,F159&lt;2.5),VLOOKUP($V$2,'Unit Price'!$B$3:$C$19,2,0),0)</f>
        <v>0</v>
      </c>
      <c r="W159" s="34">
        <f>IF(AND(F159&gt;2.06,F159&lt;2.5),VLOOKUP($W$2,'Unit Price'!$B$3:$C$19,2,0),0)</f>
        <v>0</v>
      </c>
      <c r="X159" s="34">
        <f>IF(F159&gt;2.5,VLOOKUP($X$2,'Unit Price'!$B$3:$C$19,2,0),0)</f>
        <v>0</v>
      </c>
      <c r="Y159" s="34">
        <f>IF(F159&gt;2.5,VLOOKUP($Y$2,'Unit Price'!$B$3:$C$19,2,0),0)</f>
        <v>0</v>
      </c>
      <c r="Z159" s="34">
        <f>IF(F159&lt;2.5,6*VLOOKUP($Z$2,'Unit Price'!$B$3:$C$19,2,0),0)</f>
        <v>132000</v>
      </c>
      <c r="AA159" s="34">
        <f>IF(F159&lt;2.5,3*VLOOKUP($AA$2,'Unit Price'!$B$3:$C$19,2,0),0)</f>
        <v>165000</v>
      </c>
      <c r="AB159" s="34">
        <f>IF(F159&gt;2.5,6*VLOOKUP($AB$2,'Unit Price'!$B$3:$C$19,2,0),0)</f>
        <v>0</v>
      </c>
      <c r="AC159" s="34">
        <f>IF(F159&gt;2.5,3*VLOOKUP($AC$2,'Unit Price'!$B$3:$C$19,2,0),0)</f>
        <v>0</v>
      </c>
      <c r="AD159" s="36"/>
      <c r="AE159" s="46">
        <f t="shared" si="10"/>
        <v>1713500</v>
      </c>
      <c r="AF159" s="66">
        <f t="shared" si="11"/>
        <v>106500</v>
      </c>
    </row>
    <row r="160" spans="1:32">
      <c r="A160" s="19">
        <v>158</v>
      </c>
      <c r="B160" s="20" t="s">
        <v>346</v>
      </c>
      <c r="C160" s="20" t="s">
        <v>347</v>
      </c>
      <c r="D160" s="20" t="s">
        <v>345</v>
      </c>
      <c r="E160" s="20">
        <v>2.13</v>
      </c>
      <c r="F160" s="21">
        <v>3</v>
      </c>
      <c r="G160" s="20">
        <v>16</v>
      </c>
      <c r="H160" s="51">
        <v>11</v>
      </c>
      <c r="I160" s="58">
        <v>176</v>
      </c>
      <c r="J160" s="5">
        <f t="shared" si="8"/>
        <v>1</v>
      </c>
      <c r="K160" s="36">
        <v>2800000</v>
      </c>
      <c r="L160" s="37">
        <f t="shared" si="9"/>
        <v>2800000</v>
      </c>
      <c r="N160" s="34">
        <f>H160*VLOOKUP($N$2,'Unit Price'!$B$3:$C$19,2,0)</f>
        <v>198000</v>
      </c>
      <c r="O160" s="34">
        <f>1*VLOOKUP($O$2,'Unit Price'!$B$3:$C$19,2,0)</f>
        <v>10000</v>
      </c>
      <c r="P160" s="34">
        <f>1*VLOOKUP($P$2,'Unit Price'!$B$3:$C$19,2,0)</f>
        <v>8000</v>
      </c>
      <c r="Q160" s="34">
        <f>G160*2*VLOOKUP($Q$2,'Unit Price'!$B$3:$C$19,2,0)</f>
        <v>48000</v>
      </c>
      <c r="R160" s="34">
        <f>H160*3*VLOOKUP($R$2,'Unit Price'!$B$3:$C$19,2,0)</f>
        <v>82500</v>
      </c>
      <c r="S160" s="34">
        <f>IF(F160&lt;=2.2,3*VLOOKUP($S$2,'Unit Price'!$B$3:$C$19,2,0),5*VLOOKUP($S$2,'Unit Price'!$B$3:$C$19,2,0))</f>
        <v>50000</v>
      </c>
      <c r="T160" s="34">
        <f>IF(F160&lt;=2.06,VLOOKUP($T$2,'Unit Price'!$B$3:$C$19,2,0),0)</f>
        <v>0</v>
      </c>
      <c r="U160" s="34">
        <f>IF(F160&lt;=2.06,VLOOKUP($U$2,'Unit Price'!$B$3:$C$19,2,0),0)</f>
        <v>0</v>
      </c>
      <c r="V160" s="34">
        <f>IF(AND(F160&gt;2.06,F160&lt;2.5),VLOOKUP($V$2,'Unit Price'!$B$3:$C$19,2,0),0)</f>
        <v>0</v>
      </c>
      <c r="W160" s="34">
        <f>IF(AND(F160&gt;2.06,F160&lt;2.5),VLOOKUP($W$2,'Unit Price'!$B$3:$C$19,2,0),0)</f>
        <v>0</v>
      </c>
      <c r="X160" s="34">
        <f>IF(F160&gt;2.5,VLOOKUP($X$2,'Unit Price'!$B$3:$C$19,2,0),0)</f>
        <v>1200000</v>
      </c>
      <c r="Y160" s="34">
        <f>IF(F160&gt;2.5,VLOOKUP($Y$2,'Unit Price'!$B$3:$C$19,2,0),0)</f>
        <v>350000</v>
      </c>
      <c r="Z160" s="34">
        <f>IF(F160&lt;2.5,6*VLOOKUP($Z$2,'Unit Price'!$B$3:$C$19,2,0),0)</f>
        <v>0</v>
      </c>
      <c r="AA160" s="34">
        <f>IF(F160&lt;2.5,3*VLOOKUP($AA$2,'Unit Price'!$B$3:$C$19,2,0),0)</f>
        <v>0</v>
      </c>
      <c r="AB160" s="34">
        <f>IF(F160&gt;2.5,6*VLOOKUP($AB$2,'Unit Price'!$B$3:$C$19,2,0),0)</f>
        <v>375000</v>
      </c>
      <c r="AC160" s="34">
        <f>IF(F160&gt;2.5,3*VLOOKUP($AC$2,'Unit Price'!$B$3:$C$19,2,0),0)</f>
        <v>216000</v>
      </c>
      <c r="AD160" s="36"/>
      <c r="AE160" s="46">
        <f t="shared" si="10"/>
        <v>2537500</v>
      </c>
      <c r="AF160" s="66">
        <f t="shared" si="11"/>
        <v>262500</v>
      </c>
    </row>
    <row r="161" spans="1:32">
      <c r="A161" s="19">
        <v>159</v>
      </c>
      <c r="B161" s="20" t="s">
        <v>348</v>
      </c>
      <c r="C161" s="20" t="s">
        <v>349</v>
      </c>
      <c r="D161" s="20" t="s">
        <v>345</v>
      </c>
      <c r="E161" s="20">
        <v>2.68</v>
      </c>
      <c r="F161" s="21">
        <v>3</v>
      </c>
      <c r="G161" s="20">
        <v>14</v>
      </c>
      <c r="H161" s="51">
        <v>9</v>
      </c>
      <c r="I161" s="58">
        <v>126</v>
      </c>
      <c r="J161" s="5">
        <f t="shared" si="8"/>
        <v>1</v>
      </c>
      <c r="K161" s="36">
        <v>2800000</v>
      </c>
      <c r="L161" s="37">
        <f t="shared" si="9"/>
        <v>2800000</v>
      </c>
      <c r="N161" s="34">
        <f>H161*VLOOKUP($N$2,'Unit Price'!$B$3:$C$19,2,0)</f>
        <v>162000</v>
      </c>
      <c r="O161" s="34">
        <f>1*VLOOKUP($O$2,'Unit Price'!$B$3:$C$19,2,0)</f>
        <v>10000</v>
      </c>
      <c r="P161" s="34">
        <f>1*VLOOKUP($P$2,'Unit Price'!$B$3:$C$19,2,0)</f>
        <v>8000</v>
      </c>
      <c r="Q161" s="34">
        <f>G161*2*VLOOKUP($Q$2,'Unit Price'!$B$3:$C$19,2,0)</f>
        <v>42000</v>
      </c>
      <c r="R161" s="34">
        <f>H161*3*VLOOKUP($R$2,'Unit Price'!$B$3:$C$19,2,0)</f>
        <v>67500</v>
      </c>
      <c r="S161" s="34">
        <f>IF(F161&lt;=2.2,3*VLOOKUP($S$2,'Unit Price'!$B$3:$C$19,2,0),5*VLOOKUP($S$2,'Unit Price'!$B$3:$C$19,2,0))</f>
        <v>50000</v>
      </c>
      <c r="T161" s="34">
        <f>IF(F161&lt;=2.06,VLOOKUP($T$2,'Unit Price'!$B$3:$C$19,2,0),0)</f>
        <v>0</v>
      </c>
      <c r="U161" s="34">
        <f>IF(F161&lt;=2.06,VLOOKUP($U$2,'Unit Price'!$B$3:$C$19,2,0),0)</f>
        <v>0</v>
      </c>
      <c r="V161" s="34">
        <f>IF(AND(F161&gt;2.06,F161&lt;2.5),VLOOKUP($V$2,'Unit Price'!$B$3:$C$19,2,0),0)</f>
        <v>0</v>
      </c>
      <c r="W161" s="34">
        <f>IF(AND(F161&gt;2.06,F161&lt;2.5),VLOOKUP($W$2,'Unit Price'!$B$3:$C$19,2,0),0)</f>
        <v>0</v>
      </c>
      <c r="X161" s="34">
        <f>IF(F161&gt;2.5,VLOOKUP($X$2,'Unit Price'!$B$3:$C$19,2,0),0)</f>
        <v>1200000</v>
      </c>
      <c r="Y161" s="34">
        <f>IF(F161&gt;2.5,VLOOKUP($Y$2,'Unit Price'!$B$3:$C$19,2,0),0)</f>
        <v>350000</v>
      </c>
      <c r="Z161" s="34">
        <f>IF(F161&lt;2.5,6*VLOOKUP($Z$2,'Unit Price'!$B$3:$C$19,2,0),0)</f>
        <v>0</v>
      </c>
      <c r="AA161" s="34">
        <f>IF(F161&lt;2.5,3*VLOOKUP($AA$2,'Unit Price'!$B$3:$C$19,2,0),0)</f>
        <v>0</v>
      </c>
      <c r="AB161" s="34">
        <f>IF(F161&gt;2.5,6*VLOOKUP($AB$2,'Unit Price'!$B$3:$C$19,2,0),0)</f>
        <v>375000</v>
      </c>
      <c r="AC161" s="34">
        <f>IF(F161&gt;2.5,3*VLOOKUP($AC$2,'Unit Price'!$B$3:$C$19,2,0),0)</f>
        <v>216000</v>
      </c>
      <c r="AD161" s="36"/>
      <c r="AE161" s="46">
        <f t="shared" si="10"/>
        <v>2480500</v>
      </c>
      <c r="AF161" s="66">
        <f t="shared" si="11"/>
        <v>319500</v>
      </c>
    </row>
    <row r="162" spans="1:32">
      <c r="A162" s="19">
        <v>160</v>
      </c>
      <c r="B162" s="20" t="s">
        <v>350</v>
      </c>
      <c r="C162" s="20" t="s">
        <v>351</v>
      </c>
      <c r="D162" s="20" t="s">
        <v>345</v>
      </c>
      <c r="E162" s="20">
        <v>4</v>
      </c>
      <c r="F162" s="21">
        <v>3</v>
      </c>
      <c r="G162" s="20">
        <v>11</v>
      </c>
      <c r="H162" s="51">
        <v>8</v>
      </c>
      <c r="I162" s="58">
        <v>88</v>
      </c>
      <c r="J162" s="5">
        <f t="shared" si="8"/>
        <v>1</v>
      </c>
      <c r="K162" s="36">
        <v>2800000</v>
      </c>
      <c r="L162" s="37">
        <f t="shared" si="9"/>
        <v>2800000</v>
      </c>
      <c r="N162" s="34">
        <f>H162*VLOOKUP($N$2,'Unit Price'!$B$3:$C$19,2,0)</f>
        <v>144000</v>
      </c>
      <c r="O162" s="34">
        <f>1*VLOOKUP($O$2,'Unit Price'!$B$3:$C$19,2,0)</f>
        <v>10000</v>
      </c>
      <c r="P162" s="34">
        <f>1*VLOOKUP($P$2,'Unit Price'!$B$3:$C$19,2,0)</f>
        <v>8000</v>
      </c>
      <c r="Q162" s="34">
        <f>G162*2*VLOOKUP($Q$2,'Unit Price'!$B$3:$C$19,2,0)</f>
        <v>33000</v>
      </c>
      <c r="R162" s="34">
        <f>H162*3*VLOOKUP($R$2,'Unit Price'!$B$3:$C$19,2,0)</f>
        <v>60000</v>
      </c>
      <c r="S162" s="34">
        <f>IF(F162&lt;=2.2,3*VLOOKUP($S$2,'Unit Price'!$B$3:$C$19,2,0),5*VLOOKUP($S$2,'Unit Price'!$B$3:$C$19,2,0))</f>
        <v>50000</v>
      </c>
      <c r="T162" s="34">
        <f>IF(F162&lt;=2.06,VLOOKUP($T$2,'Unit Price'!$B$3:$C$19,2,0),0)</f>
        <v>0</v>
      </c>
      <c r="U162" s="34">
        <f>IF(F162&lt;=2.06,VLOOKUP($U$2,'Unit Price'!$B$3:$C$19,2,0),0)</f>
        <v>0</v>
      </c>
      <c r="V162" s="34">
        <f>IF(AND(F162&gt;2.06,F162&lt;2.5),VLOOKUP($V$2,'Unit Price'!$B$3:$C$19,2,0),0)</f>
        <v>0</v>
      </c>
      <c r="W162" s="34">
        <f>IF(AND(F162&gt;2.06,F162&lt;2.5),VLOOKUP($W$2,'Unit Price'!$B$3:$C$19,2,0),0)</f>
        <v>0</v>
      </c>
      <c r="X162" s="34">
        <f>IF(F162&gt;2.5,VLOOKUP($X$2,'Unit Price'!$B$3:$C$19,2,0),0)</f>
        <v>1200000</v>
      </c>
      <c r="Y162" s="34">
        <f>IF(F162&gt;2.5,VLOOKUP($Y$2,'Unit Price'!$B$3:$C$19,2,0),0)</f>
        <v>350000</v>
      </c>
      <c r="Z162" s="34">
        <f>IF(F162&lt;2.5,6*VLOOKUP($Z$2,'Unit Price'!$B$3:$C$19,2,0),0)</f>
        <v>0</v>
      </c>
      <c r="AA162" s="34">
        <f>IF(F162&lt;2.5,3*VLOOKUP($AA$2,'Unit Price'!$B$3:$C$19,2,0),0)</f>
        <v>0</v>
      </c>
      <c r="AB162" s="34">
        <f>IF(F162&gt;2.5,6*VLOOKUP($AB$2,'Unit Price'!$B$3:$C$19,2,0),0)</f>
        <v>375000</v>
      </c>
      <c r="AC162" s="34">
        <f>IF(F162&gt;2.5,3*VLOOKUP($AC$2,'Unit Price'!$B$3:$C$19,2,0),0)</f>
        <v>216000</v>
      </c>
      <c r="AD162" s="36"/>
      <c r="AE162" s="46">
        <f t="shared" si="10"/>
        <v>2446000</v>
      </c>
      <c r="AF162" s="66">
        <f t="shared" si="11"/>
        <v>354000</v>
      </c>
    </row>
    <row r="163" spans="1:32">
      <c r="A163" s="19">
        <v>161</v>
      </c>
      <c r="B163" s="20" t="s">
        <v>352</v>
      </c>
      <c r="C163" s="20" t="s">
        <v>353</v>
      </c>
      <c r="D163" s="20" t="s">
        <v>345</v>
      </c>
      <c r="E163" s="20">
        <v>5.5</v>
      </c>
      <c r="F163" s="21">
        <v>3</v>
      </c>
      <c r="G163" s="20">
        <v>9</v>
      </c>
      <c r="H163" s="51">
        <v>6</v>
      </c>
      <c r="I163" s="58">
        <v>54</v>
      </c>
      <c r="J163" s="5">
        <f t="shared" si="8"/>
        <v>1</v>
      </c>
      <c r="K163" s="36">
        <v>2800000</v>
      </c>
      <c r="L163" s="37">
        <f t="shared" si="9"/>
        <v>2800000</v>
      </c>
      <c r="N163" s="34">
        <f>H163*VLOOKUP($N$2,'Unit Price'!$B$3:$C$19,2,0)</f>
        <v>108000</v>
      </c>
      <c r="O163" s="34">
        <f>1*VLOOKUP($O$2,'Unit Price'!$B$3:$C$19,2,0)</f>
        <v>10000</v>
      </c>
      <c r="P163" s="34">
        <f>1*VLOOKUP($P$2,'Unit Price'!$B$3:$C$19,2,0)</f>
        <v>8000</v>
      </c>
      <c r="Q163" s="34">
        <f>G163*2*VLOOKUP($Q$2,'Unit Price'!$B$3:$C$19,2,0)</f>
        <v>27000</v>
      </c>
      <c r="R163" s="34">
        <f>H163*3*VLOOKUP($R$2,'Unit Price'!$B$3:$C$19,2,0)</f>
        <v>45000</v>
      </c>
      <c r="S163" s="34">
        <f>IF(F163&lt;=2.2,3*VLOOKUP($S$2,'Unit Price'!$B$3:$C$19,2,0),5*VLOOKUP($S$2,'Unit Price'!$B$3:$C$19,2,0))</f>
        <v>50000</v>
      </c>
      <c r="T163" s="34">
        <f>IF(F163&lt;=2.06,VLOOKUP($T$2,'Unit Price'!$B$3:$C$19,2,0),0)</f>
        <v>0</v>
      </c>
      <c r="U163" s="34">
        <f>IF(F163&lt;=2.06,VLOOKUP($U$2,'Unit Price'!$B$3:$C$19,2,0),0)</f>
        <v>0</v>
      </c>
      <c r="V163" s="34">
        <f>IF(AND(F163&gt;2.06,F163&lt;2.5),VLOOKUP($V$2,'Unit Price'!$B$3:$C$19,2,0),0)</f>
        <v>0</v>
      </c>
      <c r="W163" s="34">
        <f>IF(AND(F163&gt;2.06,F163&lt;2.5),VLOOKUP($W$2,'Unit Price'!$B$3:$C$19,2,0),0)</f>
        <v>0</v>
      </c>
      <c r="X163" s="34">
        <f>IF(F163&gt;2.5,VLOOKUP($X$2,'Unit Price'!$B$3:$C$19,2,0),0)</f>
        <v>1200000</v>
      </c>
      <c r="Y163" s="34">
        <f>IF(F163&gt;2.5,VLOOKUP($Y$2,'Unit Price'!$B$3:$C$19,2,0),0)</f>
        <v>350000</v>
      </c>
      <c r="Z163" s="34">
        <f>IF(F163&lt;2.5,6*VLOOKUP($Z$2,'Unit Price'!$B$3:$C$19,2,0),0)</f>
        <v>0</v>
      </c>
      <c r="AA163" s="34">
        <f>IF(F163&lt;2.5,3*VLOOKUP($AA$2,'Unit Price'!$B$3:$C$19,2,0),0)</f>
        <v>0</v>
      </c>
      <c r="AB163" s="34">
        <f>IF(F163&gt;2.5,6*VLOOKUP($AB$2,'Unit Price'!$B$3:$C$19,2,0),0)</f>
        <v>375000</v>
      </c>
      <c r="AC163" s="34">
        <f>IF(F163&gt;2.5,3*VLOOKUP($AC$2,'Unit Price'!$B$3:$C$19,2,0),0)</f>
        <v>216000</v>
      </c>
      <c r="AD163" s="36"/>
      <c r="AE163" s="46">
        <f t="shared" si="10"/>
        <v>2389000</v>
      </c>
      <c r="AF163" s="66">
        <f t="shared" si="11"/>
        <v>411000</v>
      </c>
    </row>
    <row r="164" spans="1:32">
      <c r="A164" s="19">
        <v>162</v>
      </c>
      <c r="B164" s="20" t="s">
        <v>354</v>
      </c>
      <c r="C164" s="20" t="s">
        <v>355</v>
      </c>
      <c r="D164" s="20" t="s">
        <v>345</v>
      </c>
      <c r="E164" s="20">
        <v>5.508</v>
      </c>
      <c r="F164" s="21">
        <v>3</v>
      </c>
      <c r="G164" s="20">
        <v>7</v>
      </c>
      <c r="H164" s="51">
        <v>5</v>
      </c>
      <c r="I164" s="58">
        <v>35</v>
      </c>
      <c r="J164" s="5">
        <f t="shared" si="8"/>
        <v>1</v>
      </c>
      <c r="K164" s="36">
        <v>2800000</v>
      </c>
      <c r="L164" s="37">
        <f t="shared" si="9"/>
        <v>2800000</v>
      </c>
      <c r="N164" s="34">
        <f>H164*VLOOKUP($N$2,'Unit Price'!$B$3:$C$19,2,0)</f>
        <v>90000</v>
      </c>
      <c r="O164" s="34">
        <f>1*VLOOKUP($O$2,'Unit Price'!$B$3:$C$19,2,0)</f>
        <v>10000</v>
      </c>
      <c r="P164" s="34">
        <f>1*VLOOKUP($P$2,'Unit Price'!$B$3:$C$19,2,0)</f>
        <v>8000</v>
      </c>
      <c r="Q164" s="34">
        <f>G164*2*VLOOKUP($Q$2,'Unit Price'!$B$3:$C$19,2,0)</f>
        <v>21000</v>
      </c>
      <c r="R164" s="34">
        <f>H164*3*VLOOKUP($R$2,'Unit Price'!$B$3:$C$19,2,0)</f>
        <v>37500</v>
      </c>
      <c r="S164" s="34">
        <f>IF(F164&lt;=2.2,3*VLOOKUP($S$2,'Unit Price'!$B$3:$C$19,2,0),5*VLOOKUP($S$2,'Unit Price'!$B$3:$C$19,2,0))</f>
        <v>50000</v>
      </c>
      <c r="T164" s="34">
        <f>IF(F164&lt;=2.06,VLOOKUP($T$2,'Unit Price'!$B$3:$C$19,2,0),0)</f>
        <v>0</v>
      </c>
      <c r="U164" s="34">
        <f>IF(F164&lt;=2.06,VLOOKUP($U$2,'Unit Price'!$B$3:$C$19,2,0),0)</f>
        <v>0</v>
      </c>
      <c r="V164" s="34">
        <f>IF(AND(F164&gt;2.06,F164&lt;2.5),VLOOKUP($V$2,'Unit Price'!$B$3:$C$19,2,0),0)</f>
        <v>0</v>
      </c>
      <c r="W164" s="34">
        <f>IF(AND(F164&gt;2.06,F164&lt;2.5),VLOOKUP($W$2,'Unit Price'!$B$3:$C$19,2,0),0)</f>
        <v>0</v>
      </c>
      <c r="X164" s="34">
        <f>IF(F164&gt;2.5,VLOOKUP($X$2,'Unit Price'!$B$3:$C$19,2,0),0)</f>
        <v>1200000</v>
      </c>
      <c r="Y164" s="34">
        <f>IF(F164&gt;2.5,VLOOKUP($Y$2,'Unit Price'!$B$3:$C$19,2,0),0)</f>
        <v>350000</v>
      </c>
      <c r="Z164" s="34">
        <f>IF(F164&lt;2.5,6*VLOOKUP($Z$2,'Unit Price'!$B$3:$C$19,2,0),0)</f>
        <v>0</v>
      </c>
      <c r="AA164" s="34">
        <f>IF(F164&lt;2.5,3*VLOOKUP($AA$2,'Unit Price'!$B$3:$C$19,2,0),0)</f>
        <v>0</v>
      </c>
      <c r="AB164" s="34">
        <f>IF(F164&gt;2.5,6*VLOOKUP($AB$2,'Unit Price'!$B$3:$C$19,2,0),0)</f>
        <v>375000</v>
      </c>
      <c r="AC164" s="34">
        <f>IF(F164&gt;2.5,3*VLOOKUP($AC$2,'Unit Price'!$B$3:$C$19,2,0),0)</f>
        <v>216000</v>
      </c>
      <c r="AD164" s="36"/>
      <c r="AE164" s="46">
        <f t="shared" si="10"/>
        <v>2357500</v>
      </c>
      <c r="AF164" s="66">
        <f t="shared" si="11"/>
        <v>442500</v>
      </c>
    </row>
    <row r="165" spans="1:32">
      <c r="A165" s="19">
        <v>163</v>
      </c>
      <c r="B165" s="20" t="s">
        <v>356</v>
      </c>
      <c r="C165" s="20" t="s">
        <v>357</v>
      </c>
      <c r="D165" s="20" t="s">
        <v>345</v>
      </c>
      <c r="E165" s="20">
        <v>9.6959999999999997</v>
      </c>
      <c r="F165" s="21">
        <v>3</v>
      </c>
      <c r="G165" s="20">
        <v>6</v>
      </c>
      <c r="H165" s="51">
        <v>4</v>
      </c>
      <c r="I165" s="58">
        <v>24</v>
      </c>
      <c r="J165" s="5">
        <f t="shared" si="8"/>
        <v>1</v>
      </c>
      <c r="K165" s="36">
        <v>2800000</v>
      </c>
      <c r="L165" s="37">
        <f t="shared" si="9"/>
        <v>2800000</v>
      </c>
      <c r="N165" s="34">
        <f>H165*VLOOKUP($N$2,'Unit Price'!$B$3:$C$19,2,0)</f>
        <v>72000</v>
      </c>
      <c r="O165" s="34">
        <f>1*VLOOKUP($O$2,'Unit Price'!$B$3:$C$19,2,0)</f>
        <v>10000</v>
      </c>
      <c r="P165" s="34">
        <f>1*VLOOKUP($P$2,'Unit Price'!$B$3:$C$19,2,0)</f>
        <v>8000</v>
      </c>
      <c r="Q165" s="34">
        <f>G165*2*VLOOKUP($Q$2,'Unit Price'!$B$3:$C$19,2,0)</f>
        <v>18000</v>
      </c>
      <c r="R165" s="34">
        <f>H165*3*VLOOKUP($R$2,'Unit Price'!$B$3:$C$19,2,0)</f>
        <v>30000</v>
      </c>
      <c r="S165" s="34">
        <f>IF(F165&lt;=2.2,3*VLOOKUP($S$2,'Unit Price'!$B$3:$C$19,2,0),5*VLOOKUP($S$2,'Unit Price'!$B$3:$C$19,2,0))</f>
        <v>50000</v>
      </c>
      <c r="T165" s="34">
        <f>IF(F165&lt;=2.06,VLOOKUP($T$2,'Unit Price'!$B$3:$C$19,2,0),0)</f>
        <v>0</v>
      </c>
      <c r="U165" s="34">
        <f>IF(F165&lt;=2.06,VLOOKUP($U$2,'Unit Price'!$B$3:$C$19,2,0),0)</f>
        <v>0</v>
      </c>
      <c r="V165" s="34">
        <f>IF(AND(F165&gt;2.06,F165&lt;2.5),VLOOKUP($V$2,'Unit Price'!$B$3:$C$19,2,0),0)</f>
        <v>0</v>
      </c>
      <c r="W165" s="34">
        <f>IF(AND(F165&gt;2.06,F165&lt;2.5),VLOOKUP($W$2,'Unit Price'!$B$3:$C$19,2,0),0)</f>
        <v>0</v>
      </c>
      <c r="X165" s="34">
        <f>IF(F165&gt;2.5,VLOOKUP($X$2,'Unit Price'!$B$3:$C$19,2,0),0)</f>
        <v>1200000</v>
      </c>
      <c r="Y165" s="34">
        <f>IF(F165&gt;2.5,VLOOKUP($Y$2,'Unit Price'!$B$3:$C$19,2,0),0)</f>
        <v>350000</v>
      </c>
      <c r="Z165" s="34">
        <f>IF(F165&lt;2.5,6*VLOOKUP($Z$2,'Unit Price'!$B$3:$C$19,2,0),0)</f>
        <v>0</v>
      </c>
      <c r="AA165" s="34">
        <f>IF(F165&lt;2.5,3*VLOOKUP($AA$2,'Unit Price'!$B$3:$C$19,2,0),0)</f>
        <v>0</v>
      </c>
      <c r="AB165" s="34">
        <f>IF(F165&gt;2.5,6*VLOOKUP($AB$2,'Unit Price'!$B$3:$C$19,2,0),0)</f>
        <v>375000</v>
      </c>
      <c r="AC165" s="34">
        <f>IF(F165&gt;2.5,3*VLOOKUP($AC$2,'Unit Price'!$B$3:$C$19,2,0),0)</f>
        <v>216000</v>
      </c>
      <c r="AD165" s="36"/>
      <c r="AE165" s="46">
        <f t="shared" si="10"/>
        <v>2329000</v>
      </c>
      <c r="AF165" s="66">
        <f t="shared" si="11"/>
        <v>471000</v>
      </c>
    </row>
    <row r="166" spans="1:32">
      <c r="A166" s="19">
        <v>164</v>
      </c>
      <c r="B166" s="20" t="s">
        <v>358</v>
      </c>
      <c r="C166" s="20" t="s">
        <v>359</v>
      </c>
      <c r="D166" s="20" t="s">
        <v>345</v>
      </c>
      <c r="E166" s="20">
        <v>13.9</v>
      </c>
      <c r="F166" s="21">
        <v>3</v>
      </c>
      <c r="G166" s="20">
        <v>5</v>
      </c>
      <c r="H166" s="51">
        <v>3</v>
      </c>
      <c r="I166" s="58">
        <v>15</v>
      </c>
      <c r="J166" s="5">
        <f t="shared" si="8"/>
        <v>1</v>
      </c>
      <c r="K166" s="36">
        <v>2800000</v>
      </c>
      <c r="L166" s="37">
        <f t="shared" si="9"/>
        <v>2800000</v>
      </c>
      <c r="N166" s="34">
        <f>H166*VLOOKUP($N$2,'Unit Price'!$B$3:$C$19,2,0)</f>
        <v>54000</v>
      </c>
      <c r="O166" s="34">
        <f>1*VLOOKUP($O$2,'Unit Price'!$B$3:$C$19,2,0)</f>
        <v>10000</v>
      </c>
      <c r="P166" s="34">
        <f>1*VLOOKUP($P$2,'Unit Price'!$B$3:$C$19,2,0)</f>
        <v>8000</v>
      </c>
      <c r="Q166" s="34">
        <f>G166*2*VLOOKUP($Q$2,'Unit Price'!$B$3:$C$19,2,0)</f>
        <v>15000</v>
      </c>
      <c r="R166" s="34">
        <f>H166*3*VLOOKUP($R$2,'Unit Price'!$B$3:$C$19,2,0)</f>
        <v>22500</v>
      </c>
      <c r="S166" s="34">
        <f>IF(F166&lt;=2.2,3*VLOOKUP($S$2,'Unit Price'!$B$3:$C$19,2,0),5*VLOOKUP($S$2,'Unit Price'!$B$3:$C$19,2,0))</f>
        <v>50000</v>
      </c>
      <c r="T166" s="34">
        <f>IF(F166&lt;=2.06,VLOOKUP($T$2,'Unit Price'!$B$3:$C$19,2,0),0)</f>
        <v>0</v>
      </c>
      <c r="U166" s="34">
        <f>IF(F166&lt;=2.06,VLOOKUP($U$2,'Unit Price'!$B$3:$C$19,2,0),0)</f>
        <v>0</v>
      </c>
      <c r="V166" s="34">
        <f>IF(AND(F166&gt;2.06,F166&lt;2.5),VLOOKUP($V$2,'Unit Price'!$B$3:$C$19,2,0),0)</f>
        <v>0</v>
      </c>
      <c r="W166" s="34">
        <f>IF(AND(F166&gt;2.06,F166&lt;2.5),VLOOKUP($W$2,'Unit Price'!$B$3:$C$19,2,0),0)</f>
        <v>0</v>
      </c>
      <c r="X166" s="34">
        <f>IF(F166&gt;2.5,VLOOKUP($X$2,'Unit Price'!$B$3:$C$19,2,0),0)</f>
        <v>1200000</v>
      </c>
      <c r="Y166" s="34">
        <f>IF(F166&gt;2.5,VLOOKUP($Y$2,'Unit Price'!$B$3:$C$19,2,0),0)</f>
        <v>350000</v>
      </c>
      <c r="Z166" s="34">
        <f>IF(F166&lt;2.5,6*VLOOKUP($Z$2,'Unit Price'!$B$3:$C$19,2,0),0)</f>
        <v>0</v>
      </c>
      <c r="AA166" s="34">
        <f>IF(F166&lt;2.5,3*VLOOKUP($AA$2,'Unit Price'!$B$3:$C$19,2,0),0)</f>
        <v>0</v>
      </c>
      <c r="AB166" s="34">
        <f>IF(F166&gt;2.5,6*VLOOKUP($AB$2,'Unit Price'!$B$3:$C$19,2,0),0)</f>
        <v>375000</v>
      </c>
      <c r="AC166" s="34">
        <f>IF(F166&gt;2.5,3*VLOOKUP($AC$2,'Unit Price'!$B$3:$C$19,2,0),0)</f>
        <v>216000</v>
      </c>
      <c r="AD166" s="36"/>
      <c r="AE166" s="46">
        <f t="shared" si="10"/>
        <v>2300500</v>
      </c>
      <c r="AF166" s="66">
        <f t="shared" si="11"/>
        <v>499500</v>
      </c>
    </row>
    <row r="167" spans="1:32">
      <c r="A167" s="19">
        <v>165</v>
      </c>
      <c r="B167" s="20" t="s">
        <v>360</v>
      </c>
      <c r="C167" s="20" t="s">
        <v>361</v>
      </c>
      <c r="D167" s="20" t="s">
        <v>345</v>
      </c>
      <c r="E167" s="20">
        <v>1.73</v>
      </c>
      <c r="F167" s="21">
        <v>3</v>
      </c>
      <c r="G167" s="20">
        <v>14</v>
      </c>
      <c r="H167" s="51">
        <v>10</v>
      </c>
      <c r="I167" s="58">
        <v>140</v>
      </c>
      <c r="J167" s="5">
        <f t="shared" si="8"/>
        <v>1</v>
      </c>
      <c r="K167" s="36">
        <v>2800000</v>
      </c>
      <c r="L167" s="37">
        <f t="shared" si="9"/>
        <v>2800000</v>
      </c>
      <c r="N167" s="34">
        <f>H167*VLOOKUP($N$2,'Unit Price'!$B$3:$C$19,2,0)</f>
        <v>180000</v>
      </c>
      <c r="O167" s="34">
        <f>1*VLOOKUP($O$2,'Unit Price'!$B$3:$C$19,2,0)</f>
        <v>10000</v>
      </c>
      <c r="P167" s="34">
        <f>1*VLOOKUP($P$2,'Unit Price'!$B$3:$C$19,2,0)</f>
        <v>8000</v>
      </c>
      <c r="Q167" s="34">
        <f>G167*2*VLOOKUP($Q$2,'Unit Price'!$B$3:$C$19,2,0)</f>
        <v>42000</v>
      </c>
      <c r="R167" s="34">
        <f>H167*3*VLOOKUP($R$2,'Unit Price'!$B$3:$C$19,2,0)</f>
        <v>75000</v>
      </c>
      <c r="S167" s="34">
        <f>IF(F167&lt;=2.2,3*VLOOKUP($S$2,'Unit Price'!$B$3:$C$19,2,0),5*VLOOKUP($S$2,'Unit Price'!$B$3:$C$19,2,0))</f>
        <v>50000</v>
      </c>
      <c r="T167" s="34">
        <f>IF(F167&lt;=2.06,VLOOKUP($T$2,'Unit Price'!$B$3:$C$19,2,0),0)</f>
        <v>0</v>
      </c>
      <c r="U167" s="34">
        <f>IF(F167&lt;=2.06,VLOOKUP($U$2,'Unit Price'!$B$3:$C$19,2,0),0)</f>
        <v>0</v>
      </c>
      <c r="V167" s="34">
        <f>IF(AND(F167&gt;2.06,F167&lt;2.5),VLOOKUP($V$2,'Unit Price'!$B$3:$C$19,2,0),0)</f>
        <v>0</v>
      </c>
      <c r="W167" s="34">
        <f>IF(AND(F167&gt;2.06,F167&lt;2.5),VLOOKUP($W$2,'Unit Price'!$B$3:$C$19,2,0),0)</f>
        <v>0</v>
      </c>
      <c r="X167" s="34">
        <f>IF(F167&gt;2.5,VLOOKUP($X$2,'Unit Price'!$B$3:$C$19,2,0),0)</f>
        <v>1200000</v>
      </c>
      <c r="Y167" s="34">
        <f>IF(F167&gt;2.5,VLOOKUP($Y$2,'Unit Price'!$B$3:$C$19,2,0),0)</f>
        <v>350000</v>
      </c>
      <c r="Z167" s="34">
        <f>IF(F167&lt;2.5,6*VLOOKUP($Z$2,'Unit Price'!$B$3:$C$19,2,0),0)</f>
        <v>0</v>
      </c>
      <c r="AA167" s="34">
        <f>IF(F167&lt;2.5,3*VLOOKUP($AA$2,'Unit Price'!$B$3:$C$19,2,0),0)</f>
        <v>0</v>
      </c>
      <c r="AB167" s="34">
        <f>IF(F167&gt;2.5,6*VLOOKUP($AB$2,'Unit Price'!$B$3:$C$19,2,0),0)</f>
        <v>375000</v>
      </c>
      <c r="AC167" s="34">
        <f>IF(F167&gt;2.5,3*VLOOKUP($AC$2,'Unit Price'!$B$3:$C$19,2,0),0)</f>
        <v>216000</v>
      </c>
      <c r="AD167" s="36"/>
      <c r="AE167" s="46">
        <f t="shared" si="10"/>
        <v>2506000</v>
      </c>
      <c r="AF167" s="66">
        <f t="shared" si="11"/>
        <v>294000</v>
      </c>
    </row>
    <row r="168" spans="1:32">
      <c r="A168" s="19">
        <v>166</v>
      </c>
      <c r="B168" s="20" t="s">
        <v>362</v>
      </c>
      <c r="C168" s="20" t="s">
        <v>363</v>
      </c>
      <c r="D168" s="20" t="s">
        <v>345</v>
      </c>
      <c r="E168" s="20">
        <v>2.7</v>
      </c>
      <c r="F168" s="21">
        <v>3</v>
      </c>
      <c r="G168" s="20">
        <v>13</v>
      </c>
      <c r="H168" s="51">
        <v>9</v>
      </c>
      <c r="I168" s="58">
        <v>117</v>
      </c>
      <c r="J168" s="5">
        <f t="shared" si="8"/>
        <v>1</v>
      </c>
      <c r="K168" s="36">
        <v>2800000</v>
      </c>
      <c r="L168" s="37">
        <f t="shared" si="9"/>
        <v>2800000</v>
      </c>
      <c r="N168" s="34">
        <f>H168*VLOOKUP($N$2,'Unit Price'!$B$3:$C$19,2,0)</f>
        <v>162000</v>
      </c>
      <c r="O168" s="34">
        <f>1*VLOOKUP($O$2,'Unit Price'!$B$3:$C$19,2,0)</f>
        <v>10000</v>
      </c>
      <c r="P168" s="34">
        <f>1*VLOOKUP($P$2,'Unit Price'!$B$3:$C$19,2,0)</f>
        <v>8000</v>
      </c>
      <c r="Q168" s="34">
        <f>G168*2*VLOOKUP($Q$2,'Unit Price'!$B$3:$C$19,2,0)</f>
        <v>39000</v>
      </c>
      <c r="R168" s="34">
        <f>H168*3*VLOOKUP($R$2,'Unit Price'!$B$3:$C$19,2,0)</f>
        <v>67500</v>
      </c>
      <c r="S168" s="34">
        <f>IF(F168&lt;=2.2,3*VLOOKUP($S$2,'Unit Price'!$B$3:$C$19,2,0),5*VLOOKUP($S$2,'Unit Price'!$B$3:$C$19,2,0))</f>
        <v>50000</v>
      </c>
      <c r="T168" s="34">
        <f>IF(F168&lt;=2.06,VLOOKUP($T$2,'Unit Price'!$B$3:$C$19,2,0),0)</f>
        <v>0</v>
      </c>
      <c r="U168" s="34">
        <f>IF(F168&lt;=2.06,VLOOKUP($U$2,'Unit Price'!$B$3:$C$19,2,0),0)</f>
        <v>0</v>
      </c>
      <c r="V168" s="34">
        <f>IF(AND(F168&gt;2.06,F168&lt;2.5),VLOOKUP($V$2,'Unit Price'!$B$3:$C$19,2,0),0)</f>
        <v>0</v>
      </c>
      <c r="W168" s="34">
        <f>IF(AND(F168&gt;2.06,F168&lt;2.5),VLOOKUP($W$2,'Unit Price'!$B$3:$C$19,2,0),0)</f>
        <v>0</v>
      </c>
      <c r="X168" s="34">
        <f>IF(F168&gt;2.5,VLOOKUP($X$2,'Unit Price'!$B$3:$C$19,2,0),0)</f>
        <v>1200000</v>
      </c>
      <c r="Y168" s="34">
        <f>IF(F168&gt;2.5,VLOOKUP($Y$2,'Unit Price'!$B$3:$C$19,2,0),0)</f>
        <v>350000</v>
      </c>
      <c r="Z168" s="34">
        <f>IF(F168&lt;2.5,6*VLOOKUP($Z$2,'Unit Price'!$B$3:$C$19,2,0),0)</f>
        <v>0</v>
      </c>
      <c r="AA168" s="34">
        <f>IF(F168&lt;2.5,3*VLOOKUP($AA$2,'Unit Price'!$B$3:$C$19,2,0),0)</f>
        <v>0</v>
      </c>
      <c r="AB168" s="34">
        <f>IF(F168&gt;2.5,6*VLOOKUP($AB$2,'Unit Price'!$B$3:$C$19,2,0),0)</f>
        <v>375000</v>
      </c>
      <c r="AC168" s="34">
        <f>IF(F168&gt;2.5,3*VLOOKUP($AC$2,'Unit Price'!$B$3:$C$19,2,0),0)</f>
        <v>216000</v>
      </c>
      <c r="AD168" s="36"/>
      <c r="AE168" s="46">
        <f t="shared" si="10"/>
        <v>2477500</v>
      </c>
      <c r="AF168" s="66">
        <f t="shared" si="11"/>
        <v>322500</v>
      </c>
    </row>
    <row r="169" spans="1:32">
      <c r="A169" s="19">
        <v>167</v>
      </c>
      <c r="B169" s="20" t="s">
        <v>364</v>
      </c>
      <c r="C169" s="20" t="s">
        <v>365</v>
      </c>
      <c r="D169" s="20" t="s">
        <v>345</v>
      </c>
      <c r="E169" s="20">
        <v>3.35</v>
      </c>
      <c r="F169" s="21">
        <v>3</v>
      </c>
      <c r="G169" s="20">
        <v>9</v>
      </c>
      <c r="H169" s="51">
        <v>6</v>
      </c>
      <c r="I169" s="58">
        <v>54</v>
      </c>
      <c r="J169" s="5">
        <f t="shared" si="8"/>
        <v>1</v>
      </c>
      <c r="K169" s="36">
        <v>2800000</v>
      </c>
      <c r="L169" s="37">
        <f t="shared" si="9"/>
        <v>2800000</v>
      </c>
      <c r="N169" s="34">
        <f>H169*VLOOKUP($N$2,'Unit Price'!$B$3:$C$19,2,0)</f>
        <v>108000</v>
      </c>
      <c r="O169" s="34">
        <f>1*VLOOKUP($O$2,'Unit Price'!$B$3:$C$19,2,0)</f>
        <v>10000</v>
      </c>
      <c r="P169" s="34">
        <f>1*VLOOKUP($P$2,'Unit Price'!$B$3:$C$19,2,0)</f>
        <v>8000</v>
      </c>
      <c r="Q169" s="34">
        <f>G169*2*VLOOKUP($Q$2,'Unit Price'!$B$3:$C$19,2,0)</f>
        <v>27000</v>
      </c>
      <c r="R169" s="34">
        <f>H169*3*VLOOKUP($R$2,'Unit Price'!$B$3:$C$19,2,0)</f>
        <v>45000</v>
      </c>
      <c r="S169" s="34">
        <f>IF(F169&lt;=2.2,3*VLOOKUP($S$2,'Unit Price'!$B$3:$C$19,2,0),5*VLOOKUP($S$2,'Unit Price'!$B$3:$C$19,2,0))</f>
        <v>50000</v>
      </c>
      <c r="T169" s="34">
        <f>IF(F169&lt;=2.06,VLOOKUP($T$2,'Unit Price'!$B$3:$C$19,2,0),0)</f>
        <v>0</v>
      </c>
      <c r="U169" s="34">
        <f>IF(F169&lt;=2.06,VLOOKUP($U$2,'Unit Price'!$B$3:$C$19,2,0),0)</f>
        <v>0</v>
      </c>
      <c r="V169" s="34">
        <f>IF(AND(F169&gt;2.06,F169&lt;2.5),VLOOKUP($V$2,'Unit Price'!$B$3:$C$19,2,0),0)</f>
        <v>0</v>
      </c>
      <c r="W169" s="34">
        <f>IF(AND(F169&gt;2.06,F169&lt;2.5),VLOOKUP($W$2,'Unit Price'!$B$3:$C$19,2,0),0)</f>
        <v>0</v>
      </c>
      <c r="X169" s="34">
        <f>IF(F169&gt;2.5,VLOOKUP($X$2,'Unit Price'!$B$3:$C$19,2,0),0)</f>
        <v>1200000</v>
      </c>
      <c r="Y169" s="34">
        <f>IF(F169&gt;2.5,VLOOKUP($Y$2,'Unit Price'!$B$3:$C$19,2,0),0)</f>
        <v>350000</v>
      </c>
      <c r="Z169" s="34">
        <f>IF(F169&lt;2.5,6*VLOOKUP($Z$2,'Unit Price'!$B$3:$C$19,2,0),0)</f>
        <v>0</v>
      </c>
      <c r="AA169" s="34">
        <f>IF(F169&lt;2.5,3*VLOOKUP($AA$2,'Unit Price'!$B$3:$C$19,2,0),0)</f>
        <v>0</v>
      </c>
      <c r="AB169" s="34">
        <f>IF(F169&gt;2.5,6*VLOOKUP($AB$2,'Unit Price'!$B$3:$C$19,2,0),0)</f>
        <v>375000</v>
      </c>
      <c r="AC169" s="34">
        <f>IF(F169&gt;2.5,3*VLOOKUP($AC$2,'Unit Price'!$B$3:$C$19,2,0),0)</f>
        <v>216000</v>
      </c>
      <c r="AD169" s="36"/>
      <c r="AE169" s="46">
        <f t="shared" si="10"/>
        <v>2389000</v>
      </c>
      <c r="AF169" s="66">
        <f t="shared" si="11"/>
        <v>411000</v>
      </c>
    </row>
    <row r="170" spans="1:32">
      <c r="A170" s="19">
        <v>168</v>
      </c>
      <c r="B170" s="20" t="s">
        <v>366</v>
      </c>
      <c r="C170" s="20" t="s">
        <v>367</v>
      </c>
      <c r="D170" s="20" t="s">
        <v>368</v>
      </c>
      <c r="E170" s="20">
        <v>1.26</v>
      </c>
      <c r="F170" s="21">
        <v>5.6</v>
      </c>
      <c r="G170" s="20">
        <v>19</v>
      </c>
      <c r="H170" s="51">
        <v>13</v>
      </c>
      <c r="I170" s="58">
        <v>247</v>
      </c>
      <c r="J170" s="5">
        <f t="shared" si="8"/>
        <v>1</v>
      </c>
      <c r="K170" s="36">
        <v>2800000</v>
      </c>
      <c r="L170" s="37">
        <f t="shared" si="9"/>
        <v>2800000</v>
      </c>
      <c r="N170" s="34">
        <f>H170*VLOOKUP($N$2,'Unit Price'!$B$3:$C$19,2,0)</f>
        <v>234000</v>
      </c>
      <c r="O170" s="34">
        <f>1*VLOOKUP($O$2,'Unit Price'!$B$3:$C$19,2,0)</f>
        <v>10000</v>
      </c>
      <c r="P170" s="34">
        <f>1*VLOOKUP($P$2,'Unit Price'!$B$3:$C$19,2,0)</f>
        <v>8000</v>
      </c>
      <c r="Q170" s="34">
        <f>G170*2*VLOOKUP($Q$2,'Unit Price'!$B$3:$C$19,2,0)</f>
        <v>57000</v>
      </c>
      <c r="R170" s="34">
        <f>H170*3*VLOOKUP($R$2,'Unit Price'!$B$3:$C$19,2,0)</f>
        <v>97500</v>
      </c>
      <c r="S170" s="34">
        <f>IF(F170&lt;=2.2,3*VLOOKUP($S$2,'Unit Price'!$B$3:$C$19,2,0),5*VLOOKUP($S$2,'Unit Price'!$B$3:$C$19,2,0))</f>
        <v>50000</v>
      </c>
      <c r="T170" s="34">
        <f>IF(F170&lt;=2.06,VLOOKUP($T$2,'Unit Price'!$B$3:$C$19,2,0),0)</f>
        <v>0</v>
      </c>
      <c r="U170" s="34">
        <f>IF(F170&lt;=2.06,VLOOKUP($U$2,'Unit Price'!$B$3:$C$19,2,0),0)</f>
        <v>0</v>
      </c>
      <c r="V170" s="34">
        <f>IF(AND(F170&gt;2.06,F170&lt;2.5),VLOOKUP($V$2,'Unit Price'!$B$3:$C$19,2,0),0)</f>
        <v>0</v>
      </c>
      <c r="W170" s="34">
        <f>IF(AND(F170&gt;2.06,F170&lt;2.5),VLOOKUP($W$2,'Unit Price'!$B$3:$C$19,2,0),0)</f>
        <v>0</v>
      </c>
      <c r="X170" s="34">
        <f>IF(F170&gt;2.5,VLOOKUP($X$2,'Unit Price'!$B$3:$C$19,2,0),0)</f>
        <v>1200000</v>
      </c>
      <c r="Y170" s="34">
        <f>IF(F170&gt;2.5,VLOOKUP($Y$2,'Unit Price'!$B$3:$C$19,2,0),0)</f>
        <v>350000</v>
      </c>
      <c r="Z170" s="34">
        <f>IF(F170&lt;2.5,6*VLOOKUP($Z$2,'Unit Price'!$B$3:$C$19,2,0),0)</f>
        <v>0</v>
      </c>
      <c r="AA170" s="34">
        <f>IF(F170&lt;2.5,3*VLOOKUP($AA$2,'Unit Price'!$B$3:$C$19,2,0),0)</f>
        <v>0</v>
      </c>
      <c r="AB170" s="34">
        <f>IF(F170&gt;2.5,6*VLOOKUP($AB$2,'Unit Price'!$B$3:$C$19,2,0),0)</f>
        <v>375000</v>
      </c>
      <c r="AC170" s="34">
        <f>IF(F170&gt;2.5,3*VLOOKUP($AC$2,'Unit Price'!$B$3:$C$19,2,0),0)</f>
        <v>216000</v>
      </c>
      <c r="AD170" s="36"/>
      <c r="AE170" s="46">
        <f t="shared" si="10"/>
        <v>2597500</v>
      </c>
      <c r="AF170" s="66">
        <f t="shared" si="11"/>
        <v>202500</v>
      </c>
    </row>
    <row r="171" spans="1:32">
      <c r="A171" s="19">
        <v>169</v>
      </c>
      <c r="B171" s="20" t="s">
        <v>369</v>
      </c>
      <c r="C171" s="20" t="s">
        <v>370</v>
      </c>
      <c r="D171" s="20" t="s">
        <v>368</v>
      </c>
      <c r="E171" s="20">
        <v>2.13</v>
      </c>
      <c r="F171" s="21">
        <v>5.6</v>
      </c>
      <c r="G171" s="20">
        <v>16</v>
      </c>
      <c r="H171" s="51">
        <v>11</v>
      </c>
      <c r="I171" s="58">
        <v>176</v>
      </c>
      <c r="J171" s="5">
        <f t="shared" si="8"/>
        <v>1</v>
      </c>
      <c r="K171" s="36">
        <v>2800000</v>
      </c>
      <c r="L171" s="37">
        <f t="shared" si="9"/>
        <v>2800000</v>
      </c>
      <c r="N171" s="34">
        <f>H171*VLOOKUP($N$2,'Unit Price'!$B$3:$C$19,2,0)</f>
        <v>198000</v>
      </c>
      <c r="O171" s="34">
        <f>1*VLOOKUP($O$2,'Unit Price'!$B$3:$C$19,2,0)</f>
        <v>10000</v>
      </c>
      <c r="P171" s="34">
        <f>1*VLOOKUP($P$2,'Unit Price'!$B$3:$C$19,2,0)</f>
        <v>8000</v>
      </c>
      <c r="Q171" s="34">
        <f>G171*2*VLOOKUP($Q$2,'Unit Price'!$B$3:$C$19,2,0)</f>
        <v>48000</v>
      </c>
      <c r="R171" s="34">
        <f>H171*3*VLOOKUP($R$2,'Unit Price'!$B$3:$C$19,2,0)</f>
        <v>82500</v>
      </c>
      <c r="S171" s="34">
        <f>IF(F171&lt;=2.2,3*VLOOKUP($S$2,'Unit Price'!$B$3:$C$19,2,0),5*VLOOKUP($S$2,'Unit Price'!$B$3:$C$19,2,0))</f>
        <v>50000</v>
      </c>
      <c r="T171" s="34">
        <f>IF(F171&lt;=2.06,VLOOKUP($T$2,'Unit Price'!$B$3:$C$19,2,0),0)</f>
        <v>0</v>
      </c>
      <c r="U171" s="34">
        <f>IF(F171&lt;=2.06,VLOOKUP($U$2,'Unit Price'!$B$3:$C$19,2,0),0)</f>
        <v>0</v>
      </c>
      <c r="V171" s="34">
        <f>IF(AND(F171&gt;2.06,F171&lt;2.5),VLOOKUP($V$2,'Unit Price'!$B$3:$C$19,2,0),0)</f>
        <v>0</v>
      </c>
      <c r="W171" s="34">
        <f>IF(AND(F171&gt;2.06,F171&lt;2.5),VLOOKUP($W$2,'Unit Price'!$B$3:$C$19,2,0),0)</f>
        <v>0</v>
      </c>
      <c r="X171" s="34">
        <f>IF(F171&gt;2.5,VLOOKUP($X$2,'Unit Price'!$B$3:$C$19,2,0),0)</f>
        <v>1200000</v>
      </c>
      <c r="Y171" s="34">
        <f>IF(F171&gt;2.5,VLOOKUP($Y$2,'Unit Price'!$B$3:$C$19,2,0),0)</f>
        <v>350000</v>
      </c>
      <c r="Z171" s="34">
        <f>IF(F171&lt;2.5,6*VLOOKUP($Z$2,'Unit Price'!$B$3:$C$19,2,0),0)</f>
        <v>0</v>
      </c>
      <c r="AA171" s="34">
        <f>IF(F171&lt;2.5,3*VLOOKUP($AA$2,'Unit Price'!$B$3:$C$19,2,0),0)</f>
        <v>0</v>
      </c>
      <c r="AB171" s="34">
        <f>IF(F171&gt;2.5,6*VLOOKUP($AB$2,'Unit Price'!$B$3:$C$19,2,0),0)</f>
        <v>375000</v>
      </c>
      <c r="AC171" s="34">
        <f>IF(F171&gt;2.5,3*VLOOKUP($AC$2,'Unit Price'!$B$3:$C$19,2,0),0)</f>
        <v>216000</v>
      </c>
      <c r="AD171" s="36"/>
      <c r="AE171" s="46">
        <f t="shared" si="10"/>
        <v>2537500</v>
      </c>
      <c r="AF171" s="66">
        <f t="shared" si="11"/>
        <v>262500</v>
      </c>
    </row>
    <row r="172" spans="1:32">
      <c r="A172" s="19">
        <v>170</v>
      </c>
      <c r="B172" s="20" t="s">
        <v>371</v>
      </c>
      <c r="C172" s="20" t="s">
        <v>372</v>
      </c>
      <c r="D172" s="20" t="s">
        <v>368</v>
      </c>
      <c r="E172" s="20">
        <v>2.68</v>
      </c>
      <c r="F172" s="21">
        <v>5.6</v>
      </c>
      <c r="G172" s="20">
        <v>14</v>
      </c>
      <c r="H172" s="51">
        <v>9</v>
      </c>
      <c r="I172" s="58">
        <v>126</v>
      </c>
      <c r="J172" s="5">
        <f t="shared" si="8"/>
        <v>1</v>
      </c>
      <c r="K172" s="36">
        <v>2800000</v>
      </c>
      <c r="L172" s="37">
        <f t="shared" si="9"/>
        <v>2800000</v>
      </c>
      <c r="N172" s="34">
        <f>H172*VLOOKUP($N$2,'Unit Price'!$B$3:$C$19,2,0)</f>
        <v>162000</v>
      </c>
      <c r="O172" s="34">
        <f>1*VLOOKUP($O$2,'Unit Price'!$B$3:$C$19,2,0)</f>
        <v>10000</v>
      </c>
      <c r="P172" s="34">
        <f>1*VLOOKUP($P$2,'Unit Price'!$B$3:$C$19,2,0)</f>
        <v>8000</v>
      </c>
      <c r="Q172" s="34">
        <f>G172*2*VLOOKUP($Q$2,'Unit Price'!$B$3:$C$19,2,0)</f>
        <v>42000</v>
      </c>
      <c r="R172" s="34">
        <f>H172*3*VLOOKUP($R$2,'Unit Price'!$B$3:$C$19,2,0)</f>
        <v>67500</v>
      </c>
      <c r="S172" s="34">
        <f>IF(F172&lt;=2.2,3*VLOOKUP($S$2,'Unit Price'!$B$3:$C$19,2,0),5*VLOOKUP($S$2,'Unit Price'!$B$3:$C$19,2,0))</f>
        <v>50000</v>
      </c>
      <c r="T172" s="34">
        <f>IF(F172&lt;=2.06,VLOOKUP($T$2,'Unit Price'!$B$3:$C$19,2,0),0)</f>
        <v>0</v>
      </c>
      <c r="U172" s="34">
        <f>IF(F172&lt;=2.06,VLOOKUP($U$2,'Unit Price'!$B$3:$C$19,2,0),0)</f>
        <v>0</v>
      </c>
      <c r="V172" s="34">
        <f>IF(AND(F172&gt;2.06,F172&lt;2.5),VLOOKUP($V$2,'Unit Price'!$B$3:$C$19,2,0),0)</f>
        <v>0</v>
      </c>
      <c r="W172" s="34">
        <f>IF(AND(F172&gt;2.06,F172&lt;2.5),VLOOKUP($W$2,'Unit Price'!$B$3:$C$19,2,0),0)</f>
        <v>0</v>
      </c>
      <c r="X172" s="34">
        <f>IF(F172&gt;2.5,VLOOKUP($X$2,'Unit Price'!$B$3:$C$19,2,0),0)</f>
        <v>1200000</v>
      </c>
      <c r="Y172" s="34">
        <f>IF(F172&gt;2.5,VLOOKUP($Y$2,'Unit Price'!$B$3:$C$19,2,0),0)</f>
        <v>350000</v>
      </c>
      <c r="Z172" s="34">
        <f>IF(F172&lt;2.5,6*VLOOKUP($Z$2,'Unit Price'!$B$3:$C$19,2,0),0)</f>
        <v>0</v>
      </c>
      <c r="AA172" s="34">
        <f>IF(F172&lt;2.5,3*VLOOKUP($AA$2,'Unit Price'!$B$3:$C$19,2,0),0)</f>
        <v>0</v>
      </c>
      <c r="AB172" s="34">
        <f>IF(F172&gt;2.5,6*VLOOKUP($AB$2,'Unit Price'!$B$3:$C$19,2,0),0)</f>
        <v>375000</v>
      </c>
      <c r="AC172" s="34">
        <f>IF(F172&gt;2.5,3*VLOOKUP($AC$2,'Unit Price'!$B$3:$C$19,2,0),0)</f>
        <v>216000</v>
      </c>
      <c r="AD172" s="36"/>
      <c r="AE172" s="46">
        <f t="shared" si="10"/>
        <v>2480500</v>
      </c>
      <c r="AF172" s="66">
        <f t="shared" si="11"/>
        <v>319500</v>
      </c>
    </row>
    <row r="173" spans="1:32">
      <c r="A173" s="19">
        <v>171</v>
      </c>
      <c r="B173" s="20" t="s">
        <v>373</v>
      </c>
      <c r="C173" s="20" t="s">
        <v>374</v>
      </c>
      <c r="D173" s="20" t="s">
        <v>368</v>
      </c>
      <c r="E173" s="20">
        <v>4</v>
      </c>
      <c r="F173" s="21">
        <v>5.6</v>
      </c>
      <c r="G173" s="20">
        <v>11</v>
      </c>
      <c r="H173" s="51">
        <v>8</v>
      </c>
      <c r="I173" s="58">
        <v>88</v>
      </c>
      <c r="J173" s="5">
        <f t="shared" si="8"/>
        <v>1</v>
      </c>
      <c r="K173" s="36">
        <v>2800000</v>
      </c>
      <c r="L173" s="37">
        <f t="shared" si="9"/>
        <v>2800000</v>
      </c>
      <c r="N173" s="34">
        <f>H173*VLOOKUP($N$2,'Unit Price'!$B$3:$C$19,2,0)</f>
        <v>144000</v>
      </c>
      <c r="O173" s="34">
        <f>1*VLOOKUP($O$2,'Unit Price'!$B$3:$C$19,2,0)</f>
        <v>10000</v>
      </c>
      <c r="P173" s="34">
        <f>1*VLOOKUP($P$2,'Unit Price'!$B$3:$C$19,2,0)</f>
        <v>8000</v>
      </c>
      <c r="Q173" s="34">
        <f>G173*2*VLOOKUP($Q$2,'Unit Price'!$B$3:$C$19,2,0)</f>
        <v>33000</v>
      </c>
      <c r="R173" s="34">
        <f>H173*3*VLOOKUP($R$2,'Unit Price'!$B$3:$C$19,2,0)</f>
        <v>60000</v>
      </c>
      <c r="S173" s="34">
        <f>IF(F173&lt;=2.2,3*VLOOKUP($S$2,'Unit Price'!$B$3:$C$19,2,0),5*VLOOKUP($S$2,'Unit Price'!$B$3:$C$19,2,0))</f>
        <v>50000</v>
      </c>
      <c r="T173" s="34">
        <f>IF(F173&lt;=2.06,VLOOKUP($T$2,'Unit Price'!$B$3:$C$19,2,0),0)</f>
        <v>0</v>
      </c>
      <c r="U173" s="34">
        <f>IF(F173&lt;=2.06,VLOOKUP($U$2,'Unit Price'!$B$3:$C$19,2,0),0)</f>
        <v>0</v>
      </c>
      <c r="V173" s="34">
        <f>IF(AND(F173&gt;2.06,F173&lt;2.5),VLOOKUP($V$2,'Unit Price'!$B$3:$C$19,2,0),0)</f>
        <v>0</v>
      </c>
      <c r="W173" s="34">
        <f>IF(AND(F173&gt;2.06,F173&lt;2.5),VLOOKUP($W$2,'Unit Price'!$B$3:$C$19,2,0),0)</f>
        <v>0</v>
      </c>
      <c r="X173" s="34">
        <f>IF(F173&gt;2.5,VLOOKUP($X$2,'Unit Price'!$B$3:$C$19,2,0),0)</f>
        <v>1200000</v>
      </c>
      <c r="Y173" s="34">
        <f>IF(F173&gt;2.5,VLOOKUP($Y$2,'Unit Price'!$B$3:$C$19,2,0),0)</f>
        <v>350000</v>
      </c>
      <c r="Z173" s="34">
        <f>IF(F173&lt;2.5,6*VLOOKUP($Z$2,'Unit Price'!$B$3:$C$19,2,0),0)</f>
        <v>0</v>
      </c>
      <c r="AA173" s="34">
        <f>IF(F173&lt;2.5,3*VLOOKUP($AA$2,'Unit Price'!$B$3:$C$19,2,0),0)</f>
        <v>0</v>
      </c>
      <c r="AB173" s="34">
        <f>IF(F173&gt;2.5,6*VLOOKUP($AB$2,'Unit Price'!$B$3:$C$19,2,0),0)</f>
        <v>375000</v>
      </c>
      <c r="AC173" s="34">
        <f>IF(F173&gt;2.5,3*VLOOKUP($AC$2,'Unit Price'!$B$3:$C$19,2,0),0)</f>
        <v>216000</v>
      </c>
      <c r="AD173" s="36"/>
      <c r="AE173" s="46">
        <f t="shared" si="10"/>
        <v>2446000</v>
      </c>
      <c r="AF173" s="66">
        <f t="shared" si="11"/>
        <v>354000</v>
      </c>
    </row>
    <row r="174" spans="1:32">
      <c r="A174" s="19">
        <v>172</v>
      </c>
      <c r="B174" s="20" t="s">
        <v>375</v>
      </c>
      <c r="C174" s="20" t="s">
        <v>376</v>
      </c>
      <c r="D174" s="20" t="s">
        <v>368</v>
      </c>
      <c r="E174" s="20">
        <v>5.5</v>
      </c>
      <c r="F174" s="21">
        <v>5.6</v>
      </c>
      <c r="G174" s="20">
        <v>9</v>
      </c>
      <c r="H174" s="51">
        <v>6</v>
      </c>
      <c r="I174" s="58">
        <v>54</v>
      </c>
      <c r="J174" s="5">
        <f t="shared" si="8"/>
        <v>1</v>
      </c>
      <c r="K174" s="36">
        <v>2800000</v>
      </c>
      <c r="L174" s="37">
        <f t="shared" si="9"/>
        <v>2800000</v>
      </c>
      <c r="N174" s="34">
        <f>H174*VLOOKUP($N$2,'Unit Price'!$B$3:$C$19,2,0)</f>
        <v>108000</v>
      </c>
      <c r="O174" s="34">
        <f>1*VLOOKUP($O$2,'Unit Price'!$B$3:$C$19,2,0)</f>
        <v>10000</v>
      </c>
      <c r="P174" s="34">
        <f>1*VLOOKUP($P$2,'Unit Price'!$B$3:$C$19,2,0)</f>
        <v>8000</v>
      </c>
      <c r="Q174" s="34">
        <f>G174*2*VLOOKUP($Q$2,'Unit Price'!$B$3:$C$19,2,0)</f>
        <v>27000</v>
      </c>
      <c r="R174" s="34">
        <f>H174*3*VLOOKUP($R$2,'Unit Price'!$B$3:$C$19,2,0)</f>
        <v>45000</v>
      </c>
      <c r="S174" s="34">
        <f>IF(F174&lt;=2.2,3*VLOOKUP($S$2,'Unit Price'!$B$3:$C$19,2,0),5*VLOOKUP($S$2,'Unit Price'!$B$3:$C$19,2,0))</f>
        <v>50000</v>
      </c>
      <c r="T174" s="34">
        <f>IF(F174&lt;=2.06,VLOOKUP($T$2,'Unit Price'!$B$3:$C$19,2,0),0)</f>
        <v>0</v>
      </c>
      <c r="U174" s="34">
        <f>IF(F174&lt;=2.06,VLOOKUP($U$2,'Unit Price'!$B$3:$C$19,2,0),0)</f>
        <v>0</v>
      </c>
      <c r="V174" s="34">
        <f>IF(AND(F174&gt;2.06,F174&lt;2.5),VLOOKUP($V$2,'Unit Price'!$B$3:$C$19,2,0),0)</f>
        <v>0</v>
      </c>
      <c r="W174" s="34">
        <f>IF(AND(F174&gt;2.06,F174&lt;2.5),VLOOKUP($W$2,'Unit Price'!$B$3:$C$19,2,0),0)</f>
        <v>0</v>
      </c>
      <c r="X174" s="34">
        <f>IF(F174&gt;2.5,VLOOKUP($X$2,'Unit Price'!$B$3:$C$19,2,0),0)</f>
        <v>1200000</v>
      </c>
      <c r="Y174" s="34">
        <f>IF(F174&gt;2.5,VLOOKUP($Y$2,'Unit Price'!$B$3:$C$19,2,0),0)</f>
        <v>350000</v>
      </c>
      <c r="Z174" s="34">
        <f>IF(F174&lt;2.5,6*VLOOKUP($Z$2,'Unit Price'!$B$3:$C$19,2,0),0)</f>
        <v>0</v>
      </c>
      <c r="AA174" s="34">
        <f>IF(F174&lt;2.5,3*VLOOKUP($AA$2,'Unit Price'!$B$3:$C$19,2,0),0)</f>
        <v>0</v>
      </c>
      <c r="AB174" s="34">
        <f>IF(F174&gt;2.5,6*VLOOKUP($AB$2,'Unit Price'!$B$3:$C$19,2,0),0)</f>
        <v>375000</v>
      </c>
      <c r="AC174" s="34">
        <f>IF(F174&gt;2.5,3*VLOOKUP($AC$2,'Unit Price'!$B$3:$C$19,2,0),0)</f>
        <v>216000</v>
      </c>
      <c r="AD174" s="36"/>
      <c r="AE174" s="46">
        <f t="shared" si="10"/>
        <v>2389000</v>
      </c>
      <c r="AF174" s="66">
        <f t="shared" si="11"/>
        <v>411000</v>
      </c>
    </row>
    <row r="175" spans="1:32">
      <c r="A175" s="19">
        <v>173</v>
      </c>
      <c r="B175" s="20" t="s">
        <v>377</v>
      </c>
      <c r="C175" s="20" t="s">
        <v>378</v>
      </c>
      <c r="D175" s="20" t="s">
        <v>368</v>
      </c>
      <c r="E175" s="20">
        <v>5.508</v>
      </c>
      <c r="F175" s="21">
        <v>5.6</v>
      </c>
      <c r="G175" s="20">
        <v>7</v>
      </c>
      <c r="H175" s="51">
        <v>5</v>
      </c>
      <c r="I175" s="58">
        <v>35</v>
      </c>
      <c r="J175" s="5">
        <f t="shared" si="8"/>
        <v>1</v>
      </c>
      <c r="K175" s="36">
        <v>2800000</v>
      </c>
      <c r="L175" s="37">
        <f t="shared" si="9"/>
        <v>2800000</v>
      </c>
      <c r="N175" s="34">
        <f>H175*VLOOKUP($N$2,'Unit Price'!$B$3:$C$19,2,0)</f>
        <v>90000</v>
      </c>
      <c r="O175" s="34">
        <f>1*VLOOKUP($O$2,'Unit Price'!$B$3:$C$19,2,0)</f>
        <v>10000</v>
      </c>
      <c r="P175" s="34">
        <f>1*VLOOKUP($P$2,'Unit Price'!$B$3:$C$19,2,0)</f>
        <v>8000</v>
      </c>
      <c r="Q175" s="34">
        <f>G175*2*VLOOKUP($Q$2,'Unit Price'!$B$3:$C$19,2,0)</f>
        <v>21000</v>
      </c>
      <c r="R175" s="34">
        <f>H175*3*VLOOKUP($R$2,'Unit Price'!$B$3:$C$19,2,0)</f>
        <v>37500</v>
      </c>
      <c r="S175" s="34">
        <f>IF(F175&lt;=2.2,3*VLOOKUP($S$2,'Unit Price'!$B$3:$C$19,2,0),5*VLOOKUP($S$2,'Unit Price'!$B$3:$C$19,2,0))</f>
        <v>50000</v>
      </c>
      <c r="T175" s="34">
        <f>IF(F175&lt;=2.06,VLOOKUP($T$2,'Unit Price'!$B$3:$C$19,2,0),0)</f>
        <v>0</v>
      </c>
      <c r="U175" s="34">
        <f>IF(F175&lt;=2.06,VLOOKUP($U$2,'Unit Price'!$B$3:$C$19,2,0),0)</f>
        <v>0</v>
      </c>
      <c r="V175" s="34">
        <f>IF(AND(F175&gt;2.06,F175&lt;2.5),VLOOKUP($V$2,'Unit Price'!$B$3:$C$19,2,0),0)</f>
        <v>0</v>
      </c>
      <c r="W175" s="34">
        <f>IF(AND(F175&gt;2.06,F175&lt;2.5),VLOOKUP($W$2,'Unit Price'!$B$3:$C$19,2,0),0)</f>
        <v>0</v>
      </c>
      <c r="X175" s="34">
        <f>IF(F175&gt;2.5,VLOOKUP($X$2,'Unit Price'!$B$3:$C$19,2,0),0)</f>
        <v>1200000</v>
      </c>
      <c r="Y175" s="34">
        <f>IF(F175&gt;2.5,VLOOKUP($Y$2,'Unit Price'!$B$3:$C$19,2,0),0)</f>
        <v>350000</v>
      </c>
      <c r="Z175" s="34">
        <f>IF(F175&lt;2.5,6*VLOOKUP($Z$2,'Unit Price'!$B$3:$C$19,2,0),0)</f>
        <v>0</v>
      </c>
      <c r="AA175" s="34">
        <f>IF(F175&lt;2.5,3*VLOOKUP($AA$2,'Unit Price'!$B$3:$C$19,2,0),0)</f>
        <v>0</v>
      </c>
      <c r="AB175" s="34">
        <f>IF(F175&gt;2.5,6*VLOOKUP($AB$2,'Unit Price'!$B$3:$C$19,2,0),0)</f>
        <v>375000</v>
      </c>
      <c r="AC175" s="34">
        <f>IF(F175&gt;2.5,3*VLOOKUP($AC$2,'Unit Price'!$B$3:$C$19,2,0),0)</f>
        <v>216000</v>
      </c>
      <c r="AD175" s="36"/>
      <c r="AE175" s="46">
        <f t="shared" si="10"/>
        <v>2357500</v>
      </c>
      <c r="AF175" s="66">
        <f t="shared" si="11"/>
        <v>442500</v>
      </c>
    </row>
    <row r="176" spans="1:32">
      <c r="A176" s="19">
        <v>174</v>
      </c>
      <c r="B176" s="20" t="s">
        <v>379</v>
      </c>
      <c r="C176" s="20" t="s">
        <v>380</v>
      </c>
      <c r="D176" s="20" t="s">
        <v>368</v>
      </c>
      <c r="E176" s="20">
        <v>9.6959999999999997</v>
      </c>
      <c r="F176" s="21">
        <v>5.6</v>
      </c>
      <c r="G176" s="20">
        <v>6</v>
      </c>
      <c r="H176" s="51">
        <v>4</v>
      </c>
      <c r="I176" s="58">
        <v>24</v>
      </c>
      <c r="J176" s="5">
        <f t="shared" si="8"/>
        <v>1</v>
      </c>
      <c r="K176" s="36">
        <v>2800000</v>
      </c>
      <c r="L176" s="37">
        <f t="shared" si="9"/>
        <v>2800000</v>
      </c>
      <c r="N176" s="34">
        <f>H176*VLOOKUP($N$2,'Unit Price'!$B$3:$C$19,2,0)</f>
        <v>72000</v>
      </c>
      <c r="O176" s="34">
        <f>1*VLOOKUP($O$2,'Unit Price'!$B$3:$C$19,2,0)</f>
        <v>10000</v>
      </c>
      <c r="P176" s="34">
        <f>1*VLOOKUP($P$2,'Unit Price'!$B$3:$C$19,2,0)</f>
        <v>8000</v>
      </c>
      <c r="Q176" s="34">
        <f>G176*2*VLOOKUP($Q$2,'Unit Price'!$B$3:$C$19,2,0)</f>
        <v>18000</v>
      </c>
      <c r="R176" s="34">
        <f>H176*3*VLOOKUP($R$2,'Unit Price'!$B$3:$C$19,2,0)</f>
        <v>30000</v>
      </c>
      <c r="S176" s="34">
        <f>IF(F176&lt;=2.2,3*VLOOKUP($S$2,'Unit Price'!$B$3:$C$19,2,0),5*VLOOKUP($S$2,'Unit Price'!$B$3:$C$19,2,0))</f>
        <v>50000</v>
      </c>
      <c r="T176" s="34">
        <f>IF(F176&lt;=2.06,VLOOKUP($T$2,'Unit Price'!$B$3:$C$19,2,0),0)</f>
        <v>0</v>
      </c>
      <c r="U176" s="34">
        <f>IF(F176&lt;=2.06,VLOOKUP($U$2,'Unit Price'!$B$3:$C$19,2,0),0)</f>
        <v>0</v>
      </c>
      <c r="V176" s="34">
        <f>IF(AND(F176&gt;2.06,F176&lt;2.5),VLOOKUP($V$2,'Unit Price'!$B$3:$C$19,2,0),0)</f>
        <v>0</v>
      </c>
      <c r="W176" s="34">
        <f>IF(AND(F176&gt;2.06,F176&lt;2.5),VLOOKUP($W$2,'Unit Price'!$B$3:$C$19,2,0),0)</f>
        <v>0</v>
      </c>
      <c r="X176" s="34">
        <f>IF(F176&gt;2.5,VLOOKUP($X$2,'Unit Price'!$B$3:$C$19,2,0),0)</f>
        <v>1200000</v>
      </c>
      <c r="Y176" s="34">
        <f>IF(F176&gt;2.5,VLOOKUP($Y$2,'Unit Price'!$B$3:$C$19,2,0),0)</f>
        <v>350000</v>
      </c>
      <c r="Z176" s="34">
        <f>IF(F176&lt;2.5,6*VLOOKUP($Z$2,'Unit Price'!$B$3:$C$19,2,0),0)</f>
        <v>0</v>
      </c>
      <c r="AA176" s="34">
        <f>IF(F176&lt;2.5,3*VLOOKUP($AA$2,'Unit Price'!$B$3:$C$19,2,0),0)</f>
        <v>0</v>
      </c>
      <c r="AB176" s="34">
        <f>IF(F176&gt;2.5,6*VLOOKUP($AB$2,'Unit Price'!$B$3:$C$19,2,0),0)</f>
        <v>375000</v>
      </c>
      <c r="AC176" s="34">
        <f>IF(F176&gt;2.5,3*VLOOKUP($AC$2,'Unit Price'!$B$3:$C$19,2,0),0)</f>
        <v>216000</v>
      </c>
      <c r="AD176" s="36"/>
      <c r="AE176" s="46">
        <f t="shared" si="10"/>
        <v>2329000</v>
      </c>
      <c r="AF176" s="66">
        <f t="shared" si="11"/>
        <v>471000</v>
      </c>
    </row>
    <row r="177" spans="1:32">
      <c r="A177" s="19">
        <v>175</v>
      </c>
      <c r="B177" s="20" t="s">
        <v>381</v>
      </c>
      <c r="C177" s="20" t="s">
        <v>382</v>
      </c>
      <c r="D177" s="20" t="s">
        <v>368</v>
      </c>
      <c r="E177" s="20">
        <v>13.9</v>
      </c>
      <c r="F177" s="21">
        <v>5.6</v>
      </c>
      <c r="G177" s="20">
        <v>5</v>
      </c>
      <c r="H177" s="51">
        <v>3</v>
      </c>
      <c r="I177" s="58">
        <v>15</v>
      </c>
      <c r="J177" s="5">
        <f t="shared" si="8"/>
        <v>1</v>
      </c>
      <c r="K177" s="36">
        <v>2800000</v>
      </c>
      <c r="L177" s="37">
        <f t="shared" si="9"/>
        <v>2800000</v>
      </c>
      <c r="N177" s="34">
        <f>H177*VLOOKUP($N$2,'Unit Price'!$B$3:$C$19,2,0)</f>
        <v>54000</v>
      </c>
      <c r="O177" s="34">
        <f>1*VLOOKUP($O$2,'Unit Price'!$B$3:$C$19,2,0)</f>
        <v>10000</v>
      </c>
      <c r="P177" s="34">
        <f>1*VLOOKUP($P$2,'Unit Price'!$B$3:$C$19,2,0)</f>
        <v>8000</v>
      </c>
      <c r="Q177" s="34">
        <f>G177*2*VLOOKUP($Q$2,'Unit Price'!$B$3:$C$19,2,0)</f>
        <v>15000</v>
      </c>
      <c r="R177" s="34">
        <f>H177*3*VLOOKUP($R$2,'Unit Price'!$B$3:$C$19,2,0)</f>
        <v>22500</v>
      </c>
      <c r="S177" s="34">
        <f>IF(F177&lt;=2.2,3*VLOOKUP($S$2,'Unit Price'!$B$3:$C$19,2,0),5*VLOOKUP($S$2,'Unit Price'!$B$3:$C$19,2,0))</f>
        <v>50000</v>
      </c>
      <c r="T177" s="34">
        <f>IF(F177&lt;=2.06,VLOOKUP($T$2,'Unit Price'!$B$3:$C$19,2,0),0)</f>
        <v>0</v>
      </c>
      <c r="U177" s="34">
        <f>IF(F177&lt;=2.06,VLOOKUP($U$2,'Unit Price'!$B$3:$C$19,2,0),0)</f>
        <v>0</v>
      </c>
      <c r="V177" s="34">
        <f>IF(AND(F177&gt;2.06,F177&lt;2.5),VLOOKUP($V$2,'Unit Price'!$B$3:$C$19,2,0),0)</f>
        <v>0</v>
      </c>
      <c r="W177" s="34">
        <f>IF(AND(F177&gt;2.06,F177&lt;2.5),VLOOKUP($W$2,'Unit Price'!$B$3:$C$19,2,0),0)</f>
        <v>0</v>
      </c>
      <c r="X177" s="34">
        <f>IF(F177&gt;2.5,VLOOKUP($X$2,'Unit Price'!$B$3:$C$19,2,0),0)</f>
        <v>1200000</v>
      </c>
      <c r="Y177" s="34">
        <f>IF(F177&gt;2.5,VLOOKUP($Y$2,'Unit Price'!$B$3:$C$19,2,0),0)</f>
        <v>350000</v>
      </c>
      <c r="Z177" s="34">
        <f>IF(F177&lt;2.5,6*VLOOKUP($Z$2,'Unit Price'!$B$3:$C$19,2,0),0)</f>
        <v>0</v>
      </c>
      <c r="AA177" s="34">
        <f>IF(F177&lt;2.5,3*VLOOKUP($AA$2,'Unit Price'!$B$3:$C$19,2,0),0)</f>
        <v>0</v>
      </c>
      <c r="AB177" s="34">
        <f>IF(F177&gt;2.5,6*VLOOKUP($AB$2,'Unit Price'!$B$3:$C$19,2,0),0)</f>
        <v>375000</v>
      </c>
      <c r="AC177" s="34">
        <f>IF(F177&gt;2.5,3*VLOOKUP($AC$2,'Unit Price'!$B$3:$C$19,2,0),0)</f>
        <v>216000</v>
      </c>
      <c r="AD177" s="36"/>
      <c r="AE177" s="46">
        <f t="shared" si="10"/>
        <v>2300500</v>
      </c>
      <c r="AF177" s="66">
        <f t="shared" si="11"/>
        <v>499500</v>
      </c>
    </row>
    <row r="178" spans="1:32">
      <c r="A178" s="19">
        <v>176</v>
      </c>
      <c r="B178" s="20" t="s">
        <v>383</v>
      </c>
      <c r="C178" s="20" t="s">
        <v>384</v>
      </c>
      <c r="D178" s="20" t="s">
        <v>368</v>
      </c>
      <c r="E178" s="20">
        <v>1.73</v>
      </c>
      <c r="F178" s="21">
        <v>5.6</v>
      </c>
      <c r="G178" s="20">
        <v>14</v>
      </c>
      <c r="H178" s="51">
        <v>10</v>
      </c>
      <c r="I178" s="58">
        <v>140</v>
      </c>
      <c r="J178" s="5">
        <f t="shared" si="8"/>
        <v>1</v>
      </c>
      <c r="K178" s="36">
        <v>2800000</v>
      </c>
      <c r="L178" s="37">
        <f t="shared" si="9"/>
        <v>2800000</v>
      </c>
      <c r="N178" s="34">
        <f>H178*VLOOKUP($N$2,'Unit Price'!$B$3:$C$19,2,0)</f>
        <v>180000</v>
      </c>
      <c r="O178" s="34">
        <f>1*VLOOKUP($O$2,'Unit Price'!$B$3:$C$19,2,0)</f>
        <v>10000</v>
      </c>
      <c r="P178" s="34">
        <f>1*VLOOKUP($P$2,'Unit Price'!$B$3:$C$19,2,0)</f>
        <v>8000</v>
      </c>
      <c r="Q178" s="34">
        <f>G178*2*VLOOKUP($Q$2,'Unit Price'!$B$3:$C$19,2,0)</f>
        <v>42000</v>
      </c>
      <c r="R178" s="34">
        <f>H178*3*VLOOKUP($R$2,'Unit Price'!$B$3:$C$19,2,0)</f>
        <v>75000</v>
      </c>
      <c r="S178" s="34">
        <f>IF(F178&lt;=2.2,3*VLOOKUP($S$2,'Unit Price'!$B$3:$C$19,2,0),5*VLOOKUP($S$2,'Unit Price'!$B$3:$C$19,2,0))</f>
        <v>50000</v>
      </c>
      <c r="T178" s="34">
        <f>IF(F178&lt;=2.06,VLOOKUP($T$2,'Unit Price'!$B$3:$C$19,2,0),0)</f>
        <v>0</v>
      </c>
      <c r="U178" s="34">
        <f>IF(F178&lt;=2.06,VLOOKUP($U$2,'Unit Price'!$B$3:$C$19,2,0),0)</f>
        <v>0</v>
      </c>
      <c r="V178" s="34">
        <f>IF(AND(F178&gt;2.06,F178&lt;2.5),VLOOKUP($V$2,'Unit Price'!$B$3:$C$19,2,0),0)</f>
        <v>0</v>
      </c>
      <c r="W178" s="34">
        <f>IF(AND(F178&gt;2.06,F178&lt;2.5),VLOOKUP($W$2,'Unit Price'!$B$3:$C$19,2,0),0)</f>
        <v>0</v>
      </c>
      <c r="X178" s="34">
        <f>IF(F178&gt;2.5,VLOOKUP($X$2,'Unit Price'!$B$3:$C$19,2,0),0)</f>
        <v>1200000</v>
      </c>
      <c r="Y178" s="34">
        <f>IF(F178&gt;2.5,VLOOKUP($Y$2,'Unit Price'!$B$3:$C$19,2,0),0)</f>
        <v>350000</v>
      </c>
      <c r="Z178" s="34">
        <f>IF(F178&lt;2.5,6*VLOOKUP($Z$2,'Unit Price'!$B$3:$C$19,2,0),0)</f>
        <v>0</v>
      </c>
      <c r="AA178" s="34">
        <f>IF(F178&lt;2.5,3*VLOOKUP($AA$2,'Unit Price'!$B$3:$C$19,2,0),0)</f>
        <v>0</v>
      </c>
      <c r="AB178" s="34">
        <f>IF(F178&gt;2.5,6*VLOOKUP($AB$2,'Unit Price'!$B$3:$C$19,2,0),0)</f>
        <v>375000</v>
      </c>
      <c r="AC178" s="34">
        <f>IF(F178&gt;2.5,3*VLOOKUP($AC$2,'Unit Price'!$B$3:$C$19,2,0),0)</f>
        <v>216000</v>
      </c>
      <c r="AD178" s="36"/>
      <c r="AE178" s="46">
        <f t="shared" si="10"/>
        <v>2506000</v>
      </c>
      <c r="AF178" s="66">
        <f t="shared" si="11"/>
        <v>294000</v>
      </c>
    </row>
    <row r="179" spans="1:32">
      <c r="A179" s="19">
        <v>177</v>
      </c>
      <c r="B179" s="20" t="s">
        <v>385</v>
      </c>
      <c r="C179" s="20" t="s">
        <v>386</v>
      </c>
      <c r="D179" s="20" t="s">
        <v>368</v>
      </c>
      <c r="E179" s="20">
        <v>2.7</v>
      </c>
      <c r="F179" s="21">
        <v>5.6</v>
      </c>
      <c r="G179" s="20">
        <v>13</v>
      </c>
      <c r="H179" s="51">
        <v>9</v>
      </c>
      <c r="I179" s="58">
        <v>117</v>
      </c>
      <c r="J179" s="5">
        <f t="shared" si="8"/>
        <v>1</v>
      </c>
      <c r="K179" s="36">
        <v>2800000</v>
      </c>
      <c r="L179" s="37">
        <f t="shared" si="9"/>
        <v>2800000</v>
      </c>
      <c r="N179" s="34">
        <f>H179*VLOOKUP($N$2,'Unit Price'!$B$3:$C$19,2,0)</f>
        <v>162000</v>
      </c>
      <c r="O179" s="34">
        <f>1*VLOOKUP($O$2,'Unit Price'!$B$3:$C$19,2,0)</f>
        <v>10000</v>
      </c>
      <c r="P179" s="34">
        <f>1*VLOOKUP($P$2,'Unit Price'!$B$3:$C$19,2,0)</f>
        <v>8000</v>
      </c>
      <c r="Q179" s="34">
        <f>G179*2*VLOOKUP($Q$2,'Unit Price'!$B$3:$C$19,2,0)</f>
        <v>39000</v>
      </c>
      <c r="R179" s="34">
        <f>H179*3*VLOOKUP($R$2,'Unit Price'!$B$3:$C$19,2,0)</f>
        <v>67500</v>
      </c>
      <c r="S179" s="34">
        <f>IF(F179&lt;=2.2,3*VLOOKUP($S$2,'Unit Price'!$B$3:$C$19,2,0),5*VLOOKUP($S$2,'Unit Price'!$B$3:$C$19,2,0))</f>
        <v>50000</v>
      </c>
      <c r="T179" s="34">
        <f>IF(F179&lt;=2.06,VLOOKUP($T$2,'Unit Price'!$B$3:$C$19,2,0),0)</f>
        <v>0</v>
      </c>
      <c r="U179" s="34">
        <f>IF(F179&lt;=2.06,VLOOKUP($U$2,'Unit Price'!$B$3:$C$19,2,0),0)</f>
        <v>0</v>
      </c>
      <c r="V179" s="34">
        <f>IF(AND(F179&gt;2.06,F179&lt;2.5),VLOOKUP($V$2,'Unit Price'!$B$3:$C$19,2,0),0)</f>
        <v>0</v>
      </c>
      <c r="W179" s="34">
        <f>IF(AND(F179&gt;2.06,F179&lt;2.5),VLOOKUP($W$2,'Unit Price'!$B$3:$C$19,2,0),0)</f>
        <v>0</v>
      </c>
      <c r="X179" s="34">
        <f>IF(F179&gt;2.5,VLOOKUP($X$2,'Unit Price'!$B$3:$C$19,2,0),0)</f>
        <v>1200000</v>
      </c>
      <c r="Y179" s="34">
        <f>IF(F179&gt;2.5,VLOOKUP($Y$2,'Unit Price'!$B$3:$C$19,2,0),0)</f>
        <v>350000</v>
      </c>
      <c r="Z179" s="34">
        <f>IF(F179&lt;2.5,6*VLOOKUP($Z$2,'Unit Price'!$B$3:$C$19,2,0),0)</f>
        <v>0</v>
      </c>
      <c r="AA179" s="34">
        <f>IF(F179&lt;2.5,3*VLOOKUP($AA$2,'Unit Price'!$B$3:$C$19,2,0),0)</f>
        <v>0</v>
      </c>
      <c r="AB179" s="34">
        <f>IF(F179&gt;2.5,6*VLOOKUP($AB$2,'Unit Price'!$B$3:$C$19,2,0),0)</f>
        <v>375000</v>
      </c>
      <c r="AC179" s="34">
        <f>IF(F179&gt;2.5,3*VLOOKUP($AC$2,'Unit Price'!$B$3:$C$19,2,0),0)</f>
        <v>216000</v>
      </c>
      <c r="AD179" s="36"/>
      <c r="AE179" s="46">
        <f t="shared" si="10"/>
        <v>2477500</v>
      </c>
      <c r="AF179" s="66">
        <f t="shared" si="11"/>
        <v>322500</v>
      </c>
    </row>
    <row r="180" spans="1:32">
      <c r="A180" s="19">
        <v>178</v>
      </c>
      <c r="B180" s="20" t="s">
        <v>387</v>
      </c>
      <c r="C180" s="20" t="s">
        <v>388</v>
      </c>
      <c r="D180" s="20" t="s">
        <v>368</v>
      </c>
      <c r="E180" s="20">
        <v>3.35</v>
      </c>
      <c r="F180" s="21">
        <v>5.6</v>
      </c>
      <c r="G180" s="20">
        <v>9</v>
      </c>
      <c r="H180" s="51">
        <v>6</v>
      </c>
      <c r="I180" s="58">
        <v>54</v>
      </c>
      <c r="J180" s="5">
        <f t="shared" si="8"/>
        <v>1</v>
      </c>
      <c r="K180" s="36">
        <v>2800000</v>
      </c>
      <c r="L180" s="37">
        <f t="shared" si="9"/>
        <v>2800000</v>
      </c>
      <c r="N180" s="34">
        <f>H180*VLOOKUP($N$2,'Unit Price'!$B$3:$C$19,2,0)</f>
        <v>108000</v>
      </c>
      <c r="O180" s="34">
        <f>1*VLOOKUP($O$2,'Unit Price'!$B$3:$C$19,2,0)</f>
        <v>10000</v>
      </c>
      <c r="P180" s="34">
        <f>1*VLOOKUP($P$2,'Unit Price'!$B$3:$C$19,2,0)</f>
        <v>8000</v>
      </c>
      <c r="Q180" s="34">
        <f>G180*2*VLOOKUP($Q$2,'Unit Price'!$B$3:$C$19,2,0)</f>
        <v>27000</v>
      </c>
      <c r="R180" s="34">
        <f>H180*3*VLOOKUP($R$2,'Unit Price'!$B$3:$C$19,2,0)</f>
        <v>45000</v>
      </c>
      <c r="S180" s="34">
        <f>IF(F180&lt;=2.2,3*VLOOKUP($S$2,'Unit Price'!$B$3:$C$19,2,0),5*VLOOKUP($S$2,'Unit Price'!$B$3:$C$19,2,0))</f>
        <v>50000</v>
      </c>
      <c r="T180" s="34">
        <f>IF(F180&lt;=2.06,VLOOKUP($T$2,'Unit Price'!$B$3:$C$19,2,0),0)</f>
        <v>0</v>
      </c>
      <c r="U180" s="34">
        <f>IF(F180&lt;=2.06,VLOOKUP($U$2,'Unit Price'!$B$3:$C$19,2,0),0)</f>
        <v>0</v>
      </c>
      <c r="V180" s="34">
        <f>IF(AND(F180&gt;2.06,F180&lt;2.5),VLOOKUP($V$2,'Unit Price'!$B$3:$C$19,2,0),0)</f>
        <v>0</v>
      </c>
      <c r="W180" s="34">
        <f>IF(AND(F180&gt;2.06,F180&lt;2.5),VLOOKUP($W$2,'Unit Price'!$B$3:$C$19,2,0),0)</f>
        <v>0</v>
      </c>
      <c r="X180" s="34">
        <f>IF(F180&gt;2.5,VLOOKUP($X$2,'Unit Price'!$B$3:$C$19,2,0),0)</f>
        <v>1200000</v>
      </c>
      <c r="Y180" s="34">
        <f>IF(F180&gt;2.5,VLOOKUP($Y$2,'Unit Price'!$B$3:$C$19,2,0),0)</f>
        <v>350000</v>
      </c>
      <c r="Z180" s="34">
        <f>IF(F180&lt;2.5,6*VLOOKUP($Z$2,'Unit Price'!$B$3:$C$19,2,0),0)</f>
        <v>0</v>
      </c>
      <c r="AA180" s="34">
        <f>IF(F180&lt;2.5,3*VLOOKUP($AA$2,'Unit Price'!$B$3:$C$19,2,0),0)</f>
        <v>0</v>
      </c>
      <c r="AB180" s="34">
        <f>IF(F180&gt;2.5,6*VLOOKUP($AB$2,'Unit Price'!$B$3:$C$19,2,0),0)</f>
        <v>375000</v>
      </c>
      <c r="AC180" s="34">
        <f>IF(F180&gt;2.5,3*VLOOKUP($AC$2,'Unit Price'!$B$3:$C$19,2,0),0)</f>
        <v>216000</v>
      </c>
      <c r="AD180" s="36"/>
      <c r="AE180" s="46">
        <f t="shared" si="10"/>
        <v>2389000</v>
      </c>
      <c r="AF180" s="66">
        <f t="shared" si="11"/>
        <v>411000</v>
      </c>
    </row>
    <row r="181" spans="1:32">
      <c r="A181" s="19">
        <v>179</v>
      </c>
      <c r="B181" s="20" t="s">
        <v>389</v>
      </c>
      <c r="C181" s="20" t="s">
        <v>390</v>
      </c>
      <c r="D181" s="20" t="s">
        <v>368</v>
      </c>
      <c r="E181" s="20">
        <v>4.17</v>
      </c>
      <c r="F181" s="21">
        <v>5.6</v>
      </c>
      <c r="G181" s="20">
        <v>8</v>
      </c>
      <c r="H181" s="51">
        <v>5</v>
      </c>
      <c r="I181" s="58">
        <v>40</v>
      </c>
      <c r="J181" s="5">
        <f t="shared" si="8"/>
        <v>1</v>
      </c>
      <c r="K181" s="36">
        <v>2800000</v>
      </c>
      <c r="L181" s="37">
        <f t="shared" si="9"/>
        <v>2800000</v>
      </c>
      <c r="N181" s="34">
        <f>H181*VLOOKUP($N$2,'Unit Price'!$B$3:$C$19,2,0)</f>
        <v>90000</v>
      </c>
      <c r="O181" s="34">
        <f>1*VLOOKUP($O$2,'Unit Price'!$B$3:$C$19,2,0)</f>
        <v>10000</v>
      </c>
      <c r="P181" s="34">
        <f>1*VLOOKUP($P$2,'Unit Price'!$B$3:$C$19,2,0)</f>
        <v>8000</v>
      </c>
      <c r="Q181" s="34">
        <f>G181*2*VLOOKUP($Q$2,'Unit Price'!$B$3:$C$19,2,0)</f>
        <v>24000</v>
      </c>
      <c r="R181" s="34">
        <f>H181*3*VLOOKUP($R$2,'Unit Price'!$B$3:$C$19,2,0)</f>
        <v>37500</v>
      </c>
      <c r="S181" s="34">
        <f>IF(F181&lt;=2.2,3*VLOOKUP($S$2,'Unit Price'!$B$3:$C$19,2,0),5*VLOOKUP($S$2,'Unit Price'!$B$3:$C$19,2,0))</f>
        <v>50000</v>
      </c>
      <c r="T181" s="34">
        <f>IF(F181&lt;=2.06,VLOOKUP($T$2,'Unit Price'!$B$3:$C$19,2,0),0)</f>
        <v>0</v>
      </c>
      <c r="U181" s="34">
        <f>IF(F181&lt;=2.06,VLOOKUP($U$2,'Unit Price'!$B$3:$C$19,2,0),0)</f>
        <v>0</v>
      </c>
      <c r="V181" s="34">
        <f>IF(AND(F181&gt;2.06,F181&lt;2.5),VLOOKUP($V$2,'Unit Price'!$B$3:$C$19,2,0),0)</f>
        <v>0</v>
      </c>
      <c r="W181" s="34">
        <f>IF(AND(F181&gt;2.06,F181&lt;2.5),VLOOKUP($W$2,'Unit Price'!$B$3:$C$19,2,0),0)</f>
        <v>0</v>
      </c>
      <c r="X181" s="34">
        <f>IF(F181&gt;2.5,VLOOKUP($X$2,'Unit Price'!$B$3:$C$19,2,0),0)</f>
        <v>1200000</v>
      </c>
      <c r="Y181" s="34">
        <f>IF(F181&gt;2.5,VLOOKUP($Y$2,'Unit Price'!$B$3:$C$19,2,0),0)</f>
        <v>350000</v>
      </c>
      <c r="Z181" s="34">
        <f>IF(F181&lt;2.5,6*VLOOKUP($Z$2,'Unit Price'!$B$3:$C$19,2,0),0)</f>
        <v>0</v>
      </c>
      <c r="AA181" s="34">
        <f>IF(F181&lt;2.5,3*VLOOKUP($AA$2,'Unit Price'!$B$3:$C$19,2,0),0)</f>
        <v>0</v>
      </c>
      <c r="AB181" s="34">
        <f>IF(F181&gt;2.5,6*VLOOKUP($AB$2,'Unit Price'!$B$3:$C$19,2,0),0)</f>
        <v>375000</v>
      </c>
      <c r="AC181" s="34">
        <f>IF(F181&gt;2.5,3*VLOOKUP($AC$2,'Unit Price'!$B$3:$C$19,2,0),0)</f>
        <v>216000</v>
      </c>
      <c r="AD181" s="36"/>
      <c r="AE181" s="46">
        <f t="shared" si="10"/>
        <v>2360500</v>
      </c>
      <c r="AF181" s="66">
        <f t="shared" si="11"/>
        <v>439500</v>
      </c>
    </row>
    <row r="182" spans="1:32">
      <c r="A182" s="19">
        <v>180</v>
      </c>
      <c r="B182" s="20" t="s">
        <v>391</v>
      </c>
      <c r="C182" s="20" t="s">
        <v>392</v>
      </c>
      <c r="D182" s="20" t="s">
        <v>368</v>
      </c>
      <c r="E182" s="20">
        <v>6.3289999999999997</v>
      </c>
      <c r="F182" s="21">
        <v>5.6</v>
      </c>
      <c r="G182" s="20">
        <v>6</v>
      </c>
      <c r="H182" s="51">
        <v>4</v>
      </c>
      <c r="I182" s="58">
        <v>24</v>
      </c>
      <c r="J182" s="5">
        <f t="shared" si="8"/>
        <v>1</v>
      </c>
      <c r="K182" s="36">
        <v>2800000</v>
      </c>
      <c r="L182" s="37">
        <f t="shared" si="9"/>
        <v>2800000</v>
      </c>
      <c r="N182" s="34">
        <f>H182*VLOOKUP($N$2,'Unit Price'!$B$3:$C$19,2,0)</f>
        <v>72000</v>
      </c>
      <c r="O182" s="34">
        <f>1*VLOOKUP($O$2,'Unit Price'!$B$3:$C$19,2,0)</f>
        <v>10000</v>
      </c>
      <c r="P182" s="34">
        <f>1*VLOOKUP($P$2,'Unit Price'!$B$3:$C$19,2,0)</f>
        <v>8000</v>
      </c>
      <c r="Q182" s="34">
        <f>G182*2*VLOOKUP($Q$2,'Unit Price'!$B$3:$C$19,2,0)</f>
        <v>18000</v>
      </c>
      <c r="R182" s="34">
        <f>H182*3*VLOOKUP($R$2,'Unit Price'!$B$3:$C$19,2,0)</f>
        <v>30000</v>
      </c>
      <c r="S182" s="34">
        <f>IF(F182&lt;=2.2,3*VLOOKUP($S$2,'Unit Price'!$B$3:$C$19,2,0),5*VLOOKUP($S$2,'Unit Price'!$B$3:$C$19,2,0))</f>
        <v>50000</v>
      </c>
      <c r="T182" s="34">
        <f>IF(F182&lt;=2.06,VLOOKUP($T$2,'Unit Price'!$B$3:$C$19,2,0),0)</f>
        <v>0</v>
      </c>
      <c r="U182" s="34">
        <f>IF(F182&lt;=2.06,VLOOKUP($U$2,'Unit Price'!$B$3:$C$19,2,0),0)</f>
        <v>0</v>
      </c>
      <c r="V182" s="34">
        <f>IF(AND(F182&gt;2.06,F182&lt;2.5),VLOOKUP($V$2,'Unit Price'!$B$3:$C$19,2,0),0)</f>
        <v>0</v>
      </c>
      <c r="W182" s="34">
        <f>IF(AND(F182&gt;2.06,F182&lt;2.5),VLOOKUP($W$2,'Unit Price'!$B$3:$C$19,2,0),0)</f>
        <v>0</v>
      </c>
      <c r="X182" s="34">
        <f>IF(F182&gt;2.5,VLOOKUP($X$2,'Unit Price'!$B$3:$C$19,2,0),0)</f>
        <v>1200000</v>
      </c>
      <c r="Y182" s="34">
        <f>IF(F182&gt;2.5,VLOOKUP($Y$2,'Unit Price'!$B$3:$C$19,2,0),0)</f>
        <v>350000</v>
      </c>
      <c r="Z182" s="34">
        <f>IF(F182&lt;2.5,6*VLOOKUP($Z$2,'Unit Price'!$B$3:$C$19,2,0),0)</f>
        <v>0</v>
      </c>
      <c r="AA182" s="34">
        <f>IF(F182&lt;2.5,3*VLOOKUP($AA$2,'Unit Price'!$B$3:$C$19,2,0),0)</f>
        <v>0</v>
      </c>
      <c r="AB182" s="34">
        <f>IF(F182&gt;2.5,6*VLOOKUP($AB$2,'Unit Price'!$B$3:$C$19,2,0),0)</f>
        <v>375000</v>
      </c>
      <c r="AC182" s="34">
        <f>IF(F182&gt;2.5,3*VLOOKUP($AC$2,'Unit Price'!$B$3:$C$19,2,0),0)</f>
        <v>216000</v>
      </c>
      <c r="AD182" s="36"/>
      <c r="AE182" s="46">
        <f t="shared" si="10"/>
        <v>2329000</v>
      </c>
      <c r="AF182" s="66">
        <f t="shared" si="11"/>
        <v>471000</v>
      </c>
    </row>
    <row r="183" spans="1:32">
      <c r="A183" s="19">
        <v>181</v>
      </c>
      <c r="B183" s="20" t="s">
        <v>393</v>
      </c>
      <c r="C183" s="20" t="s">
        <v>394</v>
      </c>
      <c r="D183" s="20" t="s">
        <v>368</v>
      </c>
      <c r="E183" s="20">
        <v>9.1999999999999993</v>
      </c>
      <c r="F183" s="21">
        <v>5.6</v>
      </c>
      <c r="G183" s="20">
        <v>5</v>
      </c>
      <c r="H183" s="51">
        <v>3</v>
      </c>
      <c r="I183" s="58">
        <v>15</v>
      </c>
      <c r="J183" s="5">
        <f t="shared" si="8"/>
        <v>1</v>
      </c>
      <c r="K183" s="36">
        <v>2800000</v>
      </c>
      <c r="L183" s="37">
        <f t="shared" si="9"/>
        <v>2800000</v>
      </c>
      <c r="N183" s="34">
        <f>H183*VLOOKUP($N$2,'Unit Price'!$B$3:$C$19,2,0)</f>
        <v>54000</v>
      </c>
      <c r="O183" s="34">
        <f>1*VLOOKUP($O$2,'Unit Price'!$B$3:$C$19,2,0)</f>
        <v>10000</v>
      </c>
      <c r="P183" s="34">
        <f>1*VLOOKUP($P$2,'Unit Price'!$B$3:$C$19,2,0)</f>
        <v>8000</v>
      </c>
      <c r="Q183" s="34">
        <f>G183*2*VLOOKUP($Q$2,'Unit Price'!$B$3:$C$19,2,0)</f>
        <v>15000</v>
      </c>
      <c r="R183" s="34">
        <f>H183*3*VLOOKUP($R$2,'Unit Price'!$B$3:$C$19,2,0)</f>
        <v>22500</v>
      </c>
      <c r="S183" s="34">
        <f>IF(F183&lt;=2.2,3*VLOOKUP($S$2,'Unit Price'!$B$3:$C$19,2,0),5*VLOOKUP($S$2,'Unit Price'!$B$3:$C$19,2,0))</f>
        <v>50000</v>
      </c>
      <c r="T183" s="34">
        <f>IF(F183&lt;=2.06,VLOOKUP($T$2,'Unit Price'!$B$3:$C$19,2,0),0)</f>
        <v>0</v>
      </c>
      <c r="U183" s="34">
        <f>IF(F183&lt;=2.06,VLOOKUP($U$2,'Unit Price'!$B$3:$C$19,2,0),0)</f>
        <v>0</v>
      </c>
      <c r="V183" s="34">
        <f>IF(AND(F183&gt;2.06,F183&lt;2.5),VLOOKUP($V$2,'Unit Price'!$B$3:$C$19,2,0),0)</f>
        <v>0</v>
      </c>
      <c r="W183" s="34">
        <f>IF(AND(F183&gt;2.06,F183&lt;2.5),VLOOKUP($W$2,'Unit Price'!$B$3:$C$19,2,0),0)</f>
        <v>0</v>
      </c>
      <c r="X183" s="34">
        <f>IF(F183&gt;2.5,VLOOKUP($X$2,'Unit Price'!$B$3:$C$19,2,0),0)</f>
        <v>1200000</v>
      </c>
      <c r="Y183" s="34">
        <f>IF(F183&gt;2.5,VLOOKUP($Y$2,'Unit Price'!$B$3:$C$19,2,0),0)</f>
        <v>350000</v>
      </c>
      <c r="Z183" s="34">
        <f>IF(F183&lt;2.5,6*VLOOKUP($Z$2,'Unit Price'!$B$3:$C$19,2,0),0)</f>
        <v>0</v>
      </c>
      <c r="AA183" s="34">
        <f>IF(F183&lt;2.5,3*VLOOKUP($AA$2,'Unit Price'!$B$3:$C$19,2,0),0)</f>
        <v>0</v>
      </c>
      <c r="AB183" s="34">
        <f>IF(F183&gt;2.5,6*VLOOKUP($AB$2,'Unit Price'!$B$3:$C$19,2,0),0)</f>
        <v>375000</v>
      </c>
      <c r="AC183" s="34">
        <f>IF(F183&gt;2.5,3*VLOOKUP($AC$2,'Unit Price'!$B$3:$C$19,2,0),0)</f>
        <v>216000</v>
      </c>
      <c r="AD183" s="36"/>
      <c r="AE183" s="46">
        <f t="shared" si="10"/>
        <v>2300500</v>
      </c>
      <c r="AF183" s="66">
        <f t="shared" si="11"/>
        <v>499500</v>
      </c>
    </row>
    <row r="184" spans="1:32">
      <c r="A184" s="19">
        <v>182</v>
      </c>
      <c r="B184" s="20" t="s">
        <v>395</v>
      </c>
      <c r="C184" s="20" t="s">
        <v>396</v>
      </c>
      <c r="D184" s="20" t="s">
        <v>368</v>
      </c>
      <c r="E184" s="20">
        <v>2.5499999999999998</v>
      </c>
      <c r="F184" s="21">
        <v>5.6</v>
      </c>
      <c r="G184" s="20">
        <v>11</v>
      </c>
      <c r="H184" s="51">
        <v>7</v>
      </c>
      <c r="I184" s="58">
        <v>77</v>
      </c>
      <c r="J184" s="5">
        <f t="shared" si="8"/>
        <v>1</v>
      </c>
      <c r="K184" s="36">
        <v>2800000</v>
      </c>
      <c r="L184" s="37">
        <f t="shared" si="9"/>
        <v>2800000</v>
      </c>
      <c r="N184" s="34">
        <f>H184*VLOOKUP($N$2,'Unit Price'!$B$3:$C$19,2,0)</f>
        <v>126000</v>
      </c>
      <c r="O184" s="34">
        <f>1*VLOOKUP($O$2,'Unit Price'!$B$3:$C$19,2,0)</f>
        <v>10000</v>
      </c>
      <c r="P184" s="34">
        <f>1*VLOOKUP($P$2,'Unit Price'!$B$3:$C$19,2,0)</f>
        <v>8000</v>
      </c>
      <c r="Q184" s="34">
        <f>G184*2*VLOOKUP($Q$2,'Unit Price'!$B$3:$C$19,2,0)</f>
        <v>33000</v>
      </c>
      <c r="R184" s="34">
        <f>H184*3*VLOOKUP($R$2,'Unit Price'!$B$3:$C$19,2,0)</f>
        <v>52500</v>
      </c>
      <c r="S184" s="34">
        <f>IF(F184&lt;=2.2,3*VLOOKUP($S$2,'Unit Price'!$B$3:$C$19,2,0),5*VLOOKUP($S$2,'Unit Price'!$B$3:$C$19,2,0))</f>
        <v>50000</v>
      </c>
      <c r="T184" s="34">
        <f>IF(F184&lt;=2.06,VLOOKUP($T$2,'Unit Price'!$B$3:$C$19,2,0),0)</f>
        <v>0</v>
      </c>
      <c r="U184" s="34">
        <f>IF(F184&lt;=2.06,VLOOKUP($U$2,'Unit Price'!$B$3:$C$19,2,0),0)</f>
        <v>0</v>
      </c>
      <c r="V184" s="34">
        <f>IF(AND(F184&gt;2.06,F184&lt;2.5),VLOOKUP($V$2,'Unit Price'!$B$3:$C$19,2,0),0)</f>
        <v>0</v>
      </c>
      <c r="W184" s="34">
        <f>IF(AND(F184&gt;2.06,F184&lt;2.5),VLOOKUP($W$2,'Unit Price'!$B$3:$C$19,2,0),0)</f>
        <v>0</v>
      </c>
      <c r="X184" s="34">
        <f>IF(F184&gt;2.5,VLOOKUP($X$2,'Unit Price'!$B$3:$C$19,2,0),0)</f>
        <v>1200000</v>
      </c>
      <c r="Y184" s="34">
        <f>IF(F184&gt;2.5,VLOOKUP($Y$2,'Unit Price'!$B$3:$C$19,2,0),0)</f>
        <v>350000</v>
      </c>
      <c r="Z184" s="34">
        <f>IF(F184&lt;2.5,6*VLOOKUP($Z$2,'Unit Price'!$B$3:$C$19,2,0),0)</f>
        <v>0</v>
      </c>
      <c r="AA184" s="34">
        <f>IF(F184&lt;2.5,3*VLOOKUP($AA$2,'Unit Price'!$B$3:$C$19,2,0),0)</f>
        <v>0</v>
      </c>
      <c r="AB184" s="34">
        <f>IF(F184&gt;2.5,6*VLOOKUP($AB$2,'Unit Price'!$B$3:$C$19,2,0),0)</f>
        <v>375000</v>
      </c>
      <c r="AC184" s="34">
        <f>IF(F184&gt;2.5,3*VLOOKUP($AC$2,'Unit Price'!$B$3:$C$19,2,0),0)</f>
        <v>216000</v>
      </c>
      <c r="AD184" s="36"/>
      <c r="AE184" s="46">
        <f t="shared" si="10"/>
        <v>2420500</v>
      </c>
      <c r="AF184" s="66">
        <f t="shared" si="11"/>
        <v>379500</v>
      </c>
    </row>
    <row r="185" spans="1:32">
      <c r="A185" s="19">
        <v>183</v>
      </c>
      <c r="B185" s="20" t="s">
        <v>397</v>
      </c>
      <c r="C185" s="20" t="s">
        <v>398</v>
      </c>
      <c r="D185" s="20" t="s">
        <v>368</v>
      </c>
      <c r="E185" s="20">
        <v>3.34</v>
      </c>
      <c r="F185" s="21">
        <v>5.6</v>
      </c>
      <c r="G185" s="20">
        <v>8</v>
      </c>
      <c r="H185" s="51">
        <v>6</v>
      </c>
      <c r="I185" s="58">
        <v>48</v>
      </c>
      <c r="J185" s="5">
        <f t="shared" si="8"/>
        <v>1</v>
      </c>
      <c r="K185" s="36">
        <v>2800000</v>
      </c>
      <c r="L185" s="37">
        <f t="shared" si="9"/>
        <v>2800000</v>
      </c>
      <c r="N185" s="34">
        <f>H185*VLOOKUP($N$2,'Unit Price'!$B$3:$C$19,2,0)</f>
        <v>108000</v>
      </c>
      <c r="O185" s="34">
        <f>1*VLOOKUP($O$2,'Unit Price'!$B$3:$C$19,2,0)</f>
        <v>10000</v>
      </c>
      <c r="P185" s="34">
        <f>1*VLOOKUP($P$2,'Unit Price'!$B$3:$C$19,2,0)</f>
        <v>8000</v>
      </c>
      <c r="Q185" s="34">
        <f>G185*2*VLOOKUP($Q$2,'Unit Price'!$B$3:$C$19,2,0)</f>
        <v>24000</v>
      </c>
      <c r="R185" s="34">
        <f>H185*3*VLOOKUP($R$2,'Unit Price'!$B$3:$C$19,2,0)</f>
        <v>45000</v>
      </c>
      <c r="S185" s="34">
        <f>IF(F185&lt;=2.2,3*VLOOKUP($S$2,'Unit Price'!$B$3:$C$19,2,0),5*VLOOKUP($S$2,'Unit Price'!$B$3:$C$19,2,0))</f>
        <v>50000</v>
      </c>
      <c r="T185" s="34">
        <f>IF(F185&lt;=2.06,VLOOKUP($T$2,'Unit Price'!$B$3:$C$19,2,0),0)</f>
        <v>0</v>
      </c>
      <c r="U185" s="34">
        <f>IF(F185&lt;=2.06,VLOOKUP($U$2,'Unit Price'!$B$3:$C$19,2,0),0)</f>
        <v>0</v>
      </c>
      <c r="V185" s="34">
        <f>IF(AND(F185&gt;2.06,F185&lt;2.5),VLOOKUP($V$2,'Unit Price'!$B$3:$C$19,2,0),0)</f>
        <v>0</v>
      </c>
      <c r="W185" s="34">
        <f>IF(AND(F185&gt;2.06,F185&lt;2.5),VLOOKUP($W$2,'Unit Price'!$B$3:$C$19,2,0),0)</f>
        <v>0</v>
      </c>
      <c r="X185" s="34">
        <f>IF(F185&gt;2.5,VLOOKUP($X$2,'Unit Price'!$B$3:$C$19,2,0),0)</f>
        <v>1200000</v>
      </c>
      <c r="Y185" s="34">
        <f>IF(F185&gt;2.5,VLOOKUP($Y$2,'Unit Price'!$B$3:$C$19,2,0),0)</f>
        <v>350000</v>
      </c>
      <c r="Z185" s="34">
        <f>IF(F185&lt;2.5,6*VLOOKUP($Z$2,'Unit Price'!$B$3:$C$19,2,0),0)</f>
        <v>0</v>
      </c>
      <c r="AA185" s="34">
        <f>IF(F185&lt;2.5,3*VLOOKUP($AA$2,'Unit Price'!$B$3:$C$19,2,0),0)</f>
        <v>0</v>
      </c>
      <c r="AB185" s="34">
        <f>IF(F185&gt;2.5,6*VLOOKUP($AB$2,'Unit Price'!$B$3:$C$19,2,0),0)</f>
        <v>375000</v>
      </c>
      <c r="AC185" s="34">
        <f>IF(F185&gt;2.5,3*VLOOKUP($AC$2,'Unit Price'!$B$3:$C$19,2,0),0)</f>
        <v>216000</v>
      </c>
      <c r="AD185" s="36"/>
      <c r="AE185" s="46">
        <f t="shared" si="10"/>
        <v>2386000</v>
      </c>
      <c r="AF185" s="66">
        <f t="shared" si="11"/>
        <v>414000</v>
      </c>
    </row>
    <row r="186" spans="1:32">
      <c r="A186" s="19">
        <v>184</v>
      </c>
      <c r="B186" s="20" t="s">
        <v>399</v>
      </c>
      <c r="C186" s="20" t="s">
        <v>400</v>
      </c>
      <c r="D186" s="20" t="s">
        <v>368</v>
      </c>
      <c r="E186" s="20">
        <v>4.13</v>
      </c>
      <c r="F186" s="21">
        <v>5.6</v>
      </c>
      <c r="G186" s="20">
        <v>7</v>
      </c>
      <c r="H186" s="51">
        <v>5</v>
      </c>
      <c r="I186" s="58">
        <v>35</v>
      </c>
      <c r="J186" s="5">
        <f t="shared" si="8"/>
        <v>1</v>
      </c>
      <c r="K186" s="36">
        <v>2800000</v>
      </c>
      <c r="L186" s="37">
        <f t="shared" si="9"/>
        <v>2800000</v>
      </c>
      <c r="N186" s="34">
        <f>H186*VLOOKUP($N$2,'Unit Price'!$B$3:$C$19,2,0)</f>
        <v>90000</v>
      </c>
      <c r="O186" s="34">
        <f>1*VLOOKUP($O$2,'Unit Price'!$B$3:$C$19,2,0)</f>
        <v>10000</v>
      </c>
      <c r="P186" s="34">
        <f>1*VLOOKUP($P$2,'Unit Price'!$B$3:$C$19,2,0)</f>
        <v>8000</v>
      </c>
      <c r="Q186" s="34">
        <f>G186*2*VLOOKUP($Q$2,'Unit Price'!$B$3:$C$19,2,0)</f>
        <v>21000</v>
      </c>
      <c r="R186" s="34">
        <f>H186*3*VLOOKUP($R$2,'Unit Price'!$B$3:$C$19,2,0)</f>
        <v>37500</v>
      </c>
      <c r="S186" s="34">
        <f>IF(F186&lt;=2.2,3*VLOOKUP($S$2,'Unit Price'!$B$3:$C$19,2,0),5*VLOOKUP($S$2,'Unit Price'!$B$3:$C$19,2,0))</f>
        <v>50000</v>
      </c>
      <c r="T186" s="34">
        <f>IF(F186&lt;=2.06,VLOOKUP($T$2,'Unit Price'!$B$3:$C$19,2,0),0)</f>
        <v>0</v>
      </c>
      <c r="U186" s="34">
        <f>IF(F186&lt;=2.06,VLOOKUP($U$2,'Unit Price'!$B$3:$C$19,2,0),0)</f>
        <v>0</v>
      </c>
      <c r="V186" s="34">
        <f>IF(AND(F186&gt;2.06,F186&lt;2.5),VLOOKUP($V$2,'Unit Price'!$B$3:$C$19,2,0),0)</f>
        <v>0</v>
      </c>
      <c r="W186" s="34">
        <f>IF(AND(F186&gt;2.06,F186&lt;2.5),VLOOKUP($W$2,'Unit Price'!$B$3:$C$19,2,0),0)</f>
        <v>0</v>
      </c>
      <c r="X186" s="34">
        <f>IF(F186&gt;2.5,VLOOKUP($X$2,'Unit Price'!$B$3:$C$19,2,0),0)</f>
        <v>1200000</v>
      </c>
      <c r="Y186" s="34">
        <f>IF(F186&gt;2.5,VLOOKUP($Y$2,'Unit Price'!$B$3:$C$19,2,0),0)</f>
        <v>350000</v>
      </c>
      <c r="Z186" s="34">
        <f>IF(F186&lt;2.5,6*VLOOKUP($Z$2,'Unit Price'!$B$3:$C$19,2,0),0)</f>
        <v>0</v>
      </c>
      <c r="AA186" s="34">
        <f>IF(F186&lt;2.5,3*VLOOKUP($AA$2,'Unit Price'!$B$3:$C$19,2,0),0)</f>
        <v>0</v>
      </c>
      <c r="AB186" s="34">
        <f>IF(F186&gt;2.5,6*VLOOKUP($AB$2,'Unit Price'!$B$3:$C$19,2,0),0)</f>
        <v>375000</v>
      </c>
      <c r="AC186" s="34">
        <f>IF(F186&gt;2.5,3*VLOOKUP($AC$2,'Unit Price'!$B$3:$C$19,2,0),0)</f>
        <v>216000</v>
      </c>
      <c r="AD186" s="36"/>
      <c r="AE186" s="46">
        <f t="shared" si="10"/>
        <v>2357500</v>
      </c>
      <c r="AF186" s="66">
        <f t="shared" si="11"/>
        <v>442500</v>
      </c>
    </row>
    <row r="187" spans="1:32">
      <c r="A187" s="19">
        <v>185</v>
      </c>
      <c r="B187" s="20" t="s">
        <v>401</v>
      </c>
      <c r="C187" s="20" t="s">
        <v>402</v>
      </c>
      <c r="D187" s="20" t="s">
        <v>368</v>
      </c>
      <c r="E187" s="20">
        <v>7.11</v>
      </c>
      <c r="F187" s="21">
        <v>5.6</v>
      </c>
      <c r="G187" s="20">
        <v>5</v>
      </c>
      <c r="H187" s="51">
        <v>3</v>
      </c>
      <c r="I187" s="58">
        <v>15</v>
      </c>
      <c r="J187" s="5">
        <f t="shared" si="8"/>
        <v>1</v>
      </c>
      <c r="K187" s="36">
        <v>2800000</v>
      </c>
      <c r="L187" s="37">
        <f t="shared" si="9"/>
        <v>2800000</v>
      </c>
      <c r="N187" s="34">
        <f>H187*VLOOKUP($N$2,'Unit Price'!$B$3:$C$19,2,0)</f>
        <v>54000</v>
      </c>
      <c r="O187" s="34">
        <f>1*VLOOKUP($O$2,'Unit Price'!$B$3:$C$19,2,0)</f>
        <v>10000</v>
      </c>
      <c r="P187" s="34">
        <f>1*VLOOKUP($P$2,'Unit Price'!$B$3:$C$19,2,0)</f>
        <v>8000</v>
      </c>
      <c r="Q187" s="34">
        <f>G187*2*VLOOKUP($Q$2,'Unit Price'!$B$3:$C$19,2,0)</f>
        <v>15000</v>
      </c>
      <c r="R187" s="34">
        <f>H187*3*VLOOKUP($R$2,'Unit Price'!$B$3:$C$19,2,0)</f>
        <v>22500</v>
      </c>
      <c r="S187" s="34">
        <f>IF(F187&lt;=2.2,3*VLOOKUP($S$2,'Unit Price'!$B$3:$C$19,2,0),5*VLOOKUP($S$2,'Unit Price'!$B$3:$C$19,2,0))</f>
        <v>50000</v>
      </c>
      <c r="T187" s="34">
        <f>IF(F187&lt;=2.06,VLOOKUP($T$2,'Unit Price'!$B$3:$C$19,2,0),0)</f>
        <v>0</v>
      </c>
      <c r="U187" s="34">
        <f>IF(F187&lt;=2.06,VLOOKUP($U$2,'Unit Price'!$B$3:$C$19,2,0),0)</f>
        <v>0</v>
      </c>
      <c r="V187" s="34">
        <f>IF(AND(F187&gt;2.06,F187&lt;2.5),VLOOKUP($V$2,'Unit Price'!$B$3:$C$19,2,0),0)</f>
        <v>0</v>
      </c>
      <c r="W187" s="34">
        <f>IF(AND(F187&gt;2.06,F187&lt;2.5),VLOOKUP($W$2,'Unit Price'!$B$3:$C$19,2,0),0)</f>
        <v>0</v>
      </c>
      <c r="X187" s="34">
        <f>IF(F187&gt;2.5,VLOOKUP($X$2,'Unit Price'!$B$3:$C$19,2,0),0)</f>
        <v>1200000</v>
      </c>
      <c r="Y187" s="34">
        <f>IF(F187&gt;2.5,VLOOKUP($Y$2,'Unit Price'!$B$3:$C$19,2,0),0)</f>
        <v>350000</v>
      </c>
      <c r="Z187" s="34">
        <f>IF(F187&lt;2.5,6*VLOOKUP($Z$2,'Unit Price'!$B$3:$C$19,2,0),0)</f>
        <v>0</v>
      </c>
      <c r="AA187" s="34">
        <f>IF(F187&lt;2.5,3*VLOOKUP($AA$2,'Unit Price'!$B$3:$C$19,2,0),0)</f>
        <v>0</v>
      </c>
      <c r="AB187" s="34">
        <f>IF(F187&gt;2.5,6*VLOOKUP($AB$2,'Unit Price'!$B$3:$C$19,2,0),0)</f>
        <v>375000</v>
      </c>
      <c r="AC187" s="34">
        <f>IF(F187&gt;2.5,3*VLOOKUP($AC$2,'Unit Price'!$B$3:$C$19,2,0),0)</f>
        <v>216000</v>
      </c>
      <c r="AD187" s="36"/>
      <c r="AE187" s="46">
        <f t="shared" si="10"/>
        <v>2300500</v>
      </c>
      <c r="AF187" s="66">
        <f t="shared" si="11"/>
        <v>499500</v>
      </c>
    </row>
    <row r="188" spans="1:32">
      <c r="A188" s="19">
        <v>186</v>
      </c>
      <c r="B188" s="20" t="s">
        <v>403</v>
      </c>
      <c r="C188" s="20" t="s">
        <v>404</v>
      </c>
      <c r="D188" s="20" t="s">
        <v>368</v>
      </c>
      <c r="E188" s="20">
        <v>8.6999999999999993</v>
      </c>
      <c r="F188" s="21">
        <v>5.6</v>
      </c>
      <c r="G188" s="20">
        <v>4</v>
      </c>
      <c r="H188" s="51">
        <v>3</v>
      </c>
      <c r="I188" s="58">
        <v>12</v>
      </c>
      <c r="J188" s="5">
        <f t="shared" si="8"/>
        <v>1</v>
      </c>
      <c r="K188" s="36">
        <v>2800000</v>
      </c>
      <c r="L188" s="37">
        <f t="shared" si="9"/>
        <v>2800000</v>
      </c>
      <c r="N188" s="34">
        <f>H188*VLOOKUP($N$2,'Unit Price'!$B$3:$C$19,2,0)</f>
        <v>54000</v>
      </c>
      <c r="O188" s="34">
        <f>1*VLOOKUP($O$2,'Unit Price'!$B$3:$C$19,2,0)</f>
        <v>10000</v>
      </c>
      <c r="P188" s="34">
        <f>1*VLOOKUP($P$2,'Unit Price'!$B$3:$C$19,2,0)</f>
        <v>8000</v>
      </c>
      <c r="Q188" s="34">
        <f>G188*2*VLOOKUP($Q$2,'Unit Price'!$B$3:$C$19,2,0)</f>
        <v>12000</v>
      </c>
      <c r="R188" s="34">
        <f>H188*3*VLOOKUP($R$2,'Unit Price'!$B$3:$C$19,2,0)</f>
        <v>22500</v>
      </c>
      <c r="S188" s="34">
        <f>IF(F188&lt;=2.2,3*VLOOKUP($S$2,'Unit Price'!$B$3:$C$19,2,0),5*VLOOKUP($S$2,'Unit Price'!$B$3:$C$19,2,0))</f>
        <v>50000</v>
      </c>
      <c r="T188" s="34">
        <f>IF(F188&lt;=2.06,VLOOKUP($T$2,'Unit Price'!$B$3:$C$19,2,0),0)</f>
        <v>0</v>
      </c>
      <c r="U188" s="34">
        <f>IF(F188&lt;=2.06,VLOOKUP($U$2,'Unit Price'!$B$3:$C$19,2,0),0)</f>
        <v>0</v>
      </c>
      <c r="V188" s="34">
        <f>IF(AND(F188&gt;2.06,F188&lt;2.5),VLOOKUP($V$2,'Unit Price'!$B$3:$C$19,2,0),0)</f>
        <v>0</v>
      </c>
      <c r="W188" s="34">
        <f>IF(AND(F188&gt;2.06,F188&lt;2.5),VLOOKUP($W$2,'Unit Price'!$B$3:$C$19,2,0),0)</f>
        <v>0</v>
      </c>
      <c r="X188" s="34">
        <f>IF(F188&gt;2.5,VLOOKUP($X$2,'Unit Price'!$B$3:$C$19,2,0),0)</f>
        <v>1200000</v>
      </c>
      <c r="Y188" s="34">
        <f>IF(F188&gt;2.5,VLOOKUP($Y$2,'Unit Price'!$B$3:$C$19,2,0),0)</f>
        <v>350000</v>
      </c>
      <c r="Z188" s="34">
        <f>IF(F188&lt;2.5,6*VLOOKUP($Z$2,'Unit Price'!$B$3:$C$19,2,0),0)</f>
        <v>0</v>
      </c>
      <c r="AA188" s="34">
        <f>IF(F188&lt;2.5,3*VLOOKUP($AA$2,'Unit Price'!$B$3:$C$19,2,0),0)</f>
        <v>0</v>
      </c>
      <c r="AB188" s="34">
        <f>IF(F188&gt;2.5,6*VLOOKUP($AB$2,'Unit Price'!$B$3:$C$19,2,0),0)</f>
        <v>375000</v>
      </c>
      <c r="AC188" s="34">
        <f>IF(F188&gt;2.5,3*VLOOKUP($AC$2,'Unit Price'!$B$3:$C$19,2,0),0)</f>
        <v>216000</v>
      </c>
      <c r="AD188" s="36"/>
      <c r="AE188" s="46">
        <f t="shared" si="10"/>
        <v>2297500</v>
      </c>
      <c r="AF188" s="66">
        <f t="shared" si="11"/>
        <v>502500</v>
      </c>
    </row>
    <row r="189" spans="1:32">
      <c r="A189" s="17">
        <v>187</v>
      </c>
      <c r="B189" s="5" t="s">
        <v>405</v>
      </c>
      <c r="C189" s="5" t="s">
        <v>406</v>
      </c>
      <c r="D189" s="5" t="s">
        <v>12</v>
      </c>
      <c r="E189" s="5">
        <v>4.0734000000000004</v>
      </c>
      <c r="F189" s="18">
        <v>2</v>
      </c>
      <c r="G189" s="5">
        <v>7</v>
      </c>
      <c r="H189" s="50">
        <v>11</v>
      </c>
      <c r="I189" s="58">
        <v>77</v>
      </c>
      <c r="J189" s="5">
        <f t="shared" si="8"/>
        <v>0.65</v>
      </c>
      <c r="K189" s="36">
        <v>2800000</v>
      </c>
      <c r="L189" s="37">
        <f t="shared" si="9"/>
        <v>1820000</v>
      </c>
      <c r="N189" s="34">
        <f>H189*VLOOKUP($N$2,'Unit Price'!$B$3:$C$19,2,0)</f>
        <v>198000</v>
      </c>
      <c r="O189" s="34">
        <f>1*VLOOKUP($O$2,'Unit Price'!$B$3:$C$19,2,0)</f>
        <v>10000</v>
      </c>
      <c r="P189" s="34">
        <f>1*VLOOKUP($P$2,'Unit Price'!$B$3:$C$19,2,0)</f>
        <v>8000</v>
      </c>
      <c r="Q189" s="34">
        <f>G189*2*VLOOKUP($Q$2,'Unit Price'!$B$3:$C$19,2,0)</f>
        <v>21000</v>
      </c>
      <c r="R189" s="34">
        <f>H189*3*VLOOKUP($R$2,'Unit Price'!$B$3:$C$19,2,0)</f>
        <v>82500</v>
      </c>
      <c r="S189" s="34">
        <f>IF(F189&lt;=2.2,3*VLOOKUP($S$2,'Unit Price'!$B$3:$C$19,2,0),5*VLOOKUP($S$2,'Unit Price'!$B$3:$C$19,2,0))</f>
        <v>30000</v>
      </c>
      <c r="T189" s="34">
        <f>IF(F189&lt;=2.06,VLOOKUP($T$2,'Unit Price'!$B$3:$C$19,2,0),0)</f>
        <v>795000</v>
      </c>
      <c r="U189" s="34">
        <f>IF(F189&lt;=2.06,VLOOKUP($U$2,'Unit Price'!$B$3:$C$19,2,0),0)</f>
        <v>245000</v>
      </c>
      <c r="V189" s="34">
        <f>IF(AND(F189&gt;2.06,F189&lt;2.5),VLOOKUP($V$2,'Unit Price'!$B$3:$C$19,2,0),0)</f>
        <v>0</v>
      </c>
      <c r="W189" s="34">
        <f>IF(AND(F189&gt;2.06,F189&lt;2.5),VLOOKUP($W$2,'Unit Price'!$B$3:$C$19,2,0),0)</f>
        <v>0</v>
      </c>
      <c r="X189" s="34">
        <f>IF(F189&gt;2.5,VLOOKUP($X$2,'Unit Price'!$B$3:$C$19,2,0),0)</f>
        <v>0</v>
      </c>
      <c r="Y189" s="34">
        <f>IF(F189&gt;2.5,VLOOKUP($Y$2,'Unit Price'!$B$3:$C$19,2,0),0)</f>
        <v>0</v>
      </c>
      <c r="Z189" s="34">
        <f>IF(F189&lt;2.5,6*VLOOKUP($Z$2,'Unit Price'!$B$3:$C$19,2,0),0)</f>
        <v>132000</v>
      </c>
      <c r="AA189" s="34">
        <f>IF(F189&lt;2.5,3*VLOOKUP($AA$2,'Unit Price'!$B$3:$C$19,2,0),0)</f>
        <v>165000</v>
      </c>
      <c r="AB189" s="34">
        <f>IF(F189&gt;2.5,6*VLOOKUP($AB$2,'Unit Price'!$B$3:$C$19,2,0),0)</f>
        <v>0</v>
      </c>
      <c r="AC189" s="34">
        <f>IF(F189&gt;2.5,3*VLOOKUP($AC$2,'Unit Price'!$B$3:$C$19,2,0),0)</f>
        <v>0</v>
      </c>
      <c r="AD189" s="36"/>
      <c r="AE189" s="46">
        <f t="shared" si="10"/>
        <v>1686500</v>
      </c>
      <c r="AF189" s="66">
        <f t="shared" si="11"/>
        <v>133500</v>
      </c>
    </row>
    <row r="190" spans="1:32">
      <c r="A190" s="17">
        <v>188</v>
      </c>
      <c r="B190" s="5" t="s">
        <v>407</v>
      </c>
      <c r="C190" s="5" t="s">
        <v>408</v>
      </c>
      <c r="D190" s="5" t="s">
        <v>12</v>
      </c>
      <c r="E190" s="5">
        <v>1.5448</v>
      </c>
      <c r="F190" s="18">
        <v>2</v>
      </c>
      <c r="G190" s="5">
        <v>14</v>
      </c>
      <c r="H190" s="50">
        <v>21</v>
      </c>
      <c r="I190" s="58">
        <v>294</v>
      </c>
      <c r="J190" s="5">
        <f t="shared" si="8"/>
        <v>0.65</v>
      </c>
      <c r="K190" s="36">
        <v>2800000</v>
      </c>
      <c r="L190" s="37">
        <f t="shared" si="9"/>
        <v>1820000</v>
      </c>
      <c r="N190" s="34">
        <f>H190*VLOOKUP($N$2,'Unit Price'!$B$3:$C$19,2,0)</f>
        <v>378000</v>
      </c>
      <c r="O190" s="34">
        <f>1*VLOOKUP($O$2,'Unit Price'!$B$3:$C$19,2,0)</f>
        <v>10000</v>
      </c>
      <c r="P190" s="34">
        <f>1*VLOOKUP($P$2,'Unit Price'!$B$3:$C$19,2,0)</f>
        <v>8000</v>
      </c>
      <c r="Q190" s="34">
        <f>G190*2*VLOOKUP($Q$2,'Unit Price'!$B$3:$C$19,2,0)</f>
        <v>42000</v>
      </c>
      <c r="R190" s="34">
        <f>H190*3*VLOOKUP($R$2,'Unit Price'!$B$3:$C$19,2,0)</f>
        <v>157500</v>
      </c>
      <c r="S190" s="34">
        <f>IF(F190&lt;=2.2,3*VLOOKUP($S$2,'Unit Price'!$B$3:$C$19,2,0),5*VLOOKUP($S$2,'Unit Price'!$B$3:$C$19,2,0))</f>
        <v>30000</v>
      </c>
      <c r="T190" s="34">
        <f>IF(F190&lt;=2.06,VLOOKUP($T$2,'Unit Price'!$B$3:$C$19,2,0),0)</f>
        <v>795000</v>
      </c>
      <c r="U190" s="34">
        <f>IF(F190&lt;=2.06,VLOOKUP($U$2,'Unit Price'!$B$3:$C$19,2,0),0)</f>
        <v>245000</v>
      </c>
      <c r="V190" s="34">
        <f>IF(AND(F190&gt;2.06,F190&lt;2.5),VLOOKUP($V$2,'Unit Price'!$B$3:$C$19,2,0),0)</f>
        <v>0</v>
      </c>
      <c r="W190" s="34">
        <f>IF(AND(F190&gt;2.06,F190&lt;2.5),VLOOKUP($W$2,'Unit Price'!$B$3:$C$19,2,0),0)</f>
        <v>0</v>
      </c>
      <c r="X190" s="34">
        <f>IF(F190&gt;2.5,VLOOKUP($X$2,'Unit Price'!$B$3:$C$19,2,0),0)</f>
        <v>0</v>
      </c>
      <c r="Y190" s="34">
        <f>IF(F190&gt;2.5,VLOOKUP($Y$2,'Unit Price'!$B$3:$C$19,2,0),0)</f>
        <v>0</v>
      </c>
      <c r="Z190" s="34">
        <f>IF(F190&lt;2.5,6*VLOOKUP($Z$2,'Unit Price'!$B$3:$C$19,2,0),0)</f>
        <v>132000</v>
      </c>
      <c r="AA190" s="34">
        <f>IF(F190&lt;2.5,3*VLOOKUP($AA$2,'Unit Price'!$B$3:$C$19,2,0),0)</f>
        <v>165000</v>
      </c>
      <c r="AB190" s="34">
        <f>IF(F190&gt;2.5,6*VLOOKUP($AB$2,'Unit Price'!$B$3:$C$19,2,0),0)</f>
        <v>0</v>
      </c>
      <c r="AC190" s="34">
        <f>IF(F190&gt;2.5,3*VLOOKUP($AC$2,'Unit Price'!$B$3:$C$19,2,0),0)</f>
        <v>0</v>
      </c>
      <c r="AD190" s="36"/>
      <c r="AE190" s="46">
        <f t="shared" si="10"/>
        <v>1962500</v>
      </c>
      <c r="AF190" s="66">
        <f t="shared" si="11"/>
        <v>-142500</v>
      </c>
    </row>
    <row r="191" spans="1:32">
      <c r="A191" s="17">
        <v>189</v>
      </c>
      <c r="B191" s="5" t="s">
        <v>409</v>
      </c>
      <c r="C191" s="5" t="s">
        <v>410</v>
      </c>
      <c r="D191" s="5" t="s">
        <v>12</v>
      </c>
      <c r="E191" s="5">
        <v>3.3391999999999999</v>
      </c>
      <c r="F191" s="18">
        <v>2</v>
      </c>
      <c r="G191" s="5">
        <v>8</v>
      </c>
      <c r="H191" s="50">
        <v>11</v>
      </c>
      <c r="I191" s="58">
        <v>88</v>
      </c>
      <c r="J191" s="5">
        <f t="shared" si="8"/>
        <v>0.65</v>
      </c>
      <c r="K191" s="36">
        <v>2800000</v>
      </c>
      <c r="L191" s="37">
        <f t="shared" si="9"/>
        <v>1820000</v>
      </c>
      <c r="N191" s="34">
        <f>H191*VLOOKUP($N$2,'Unit Price'!$B$3:$C$19,2,0)</f>
        <v>198000</v>
      </c>
      <c r="O191" s="34">
        <f>1*VLOOKUP($O$2,'Unit Price'!$B$3:$C$19,2,0)</f>
        <v>10000</v>
      </c>
      <c r="P191" s="34">
        <f>1*VLOOKUP($P$2,'Unit Price'!$B$3:$C$19,2,0)</f>
        <v>8000</v>
      </c>
      <c r="Q191" s="34">
        <f>G191*2*VLOOKUP($Q$2,'Unit Price'!$B$3:$C$19,2,0)</f>
        <v>24000</v>
      </c>
      <c r="R191" s="34">
        <f>H191*3*VLOOKUP($R$2,'Unit Price'!$B$3:$C$19,2,0)</f>
        <v>82500</v>
      </c>
      <c r="S191" s="34">
        <f>IF(F191&lt;=2.2,3*VLOOKUP($S$2,'Unit Price'!$B$3:$C$19,2,0),5*VLOOKUP($S$2,'Unit Price'!$B$3:$C$19,2,0))</f>
        <v>30000</v>
      </c>
      <c r="T191" s="34">
        <f>IF(F191&lt;=2.06,VLOOKUP($T$2,'Unit Price'!$B$3:$C$19,2,0),0)</f>
        <v>795000</v>
      </c>
      <c r="U191" s="34">
        <f>IF(F191&lt;=2.06,VLOOKUP($U$2,'Unit Price'!$B$3:$C$19,2,0),0)</f>
        <v>245000</v>
      </c>
      <c r="V191" s="34">
        <f>IF(AND(F191&gt;2.06,F191&lt;2.5),VLOOKUP($V$2,'Unit Price'!$B$3:$C$19,2,0),0)</f>
        <v>0</v>
      </c>
      <c r="W191" s="34">
        <f>IF(AND(F191&gt;2.06,F191&lt;2.5),VLOOKUP($W$2,'Unit Price'!$B$3:$C$19,2,0),0)</f>
        <v>0</v>
      </c>
      <c r="X191" s="34">
        <f>IF(F191&gt;2.5,VLOOKUP($X$2,'Unit Price'!$B$3:$C$19,2,0),0)</f>
        <v>0</v>
      </c>
      <c r="Y191" s="34">
        <f>IF(F191&gt;2.5,VLOOKUP($Y$2,'Unit Price'!$B$3:$C$19,2,0),0)</f>
        <v>0</v>
      </c>
      <c r="Z191" s="34">
        <f>IF(F191&lt;2.5,6*VLOOKUP($Z$2,'Unit Price'!$B$3:$C$19,2,0),0)</f>
        <v>132000</v>
      </c>
      <c r="AA191" s="34">
        <f>IF(F191&lt;2.5,3*VLOOKUP($AA$2,'Unit Price'!$B$3:$C$19,2,0),0)</f>
        <v>165000</v>
      </c>
      <c r="AB191" s="34">
        <f>IF(F191&gt;2.5,6*VLOOKUP($AB$2,'Unit Price'!$B$3:$C$19,2,0),0)</f>
        <v>0</v>
      </c>
      <c r="AC191" s="34">
        <f>IF(F191&gt;2.5,3*VLOOKUP($AC$2,'Unit Price'!$B$3:$C$19,2,0),0)</f>
        <v>0</v>
      </c>
      <c r="AD191" s="36"/>
      <c r="AE191" s="46">
        <f t="shared" si="10"/>
        <v>1689500</v>
      </c>
      <c r="AF191" s="66">
        <f t="shared" si="11"/>
        <v>130500</v>
      </c>
    </row>
    <row r="192" spans="1:32">
      <c r="A192" s="17">
        <v>190</v>
      </c>
      <c r="B192" s="5" t="s">
        <v>411</v>
      </c>
      <c r="C192" s="5" t="s">
        <v>412</v>
      </c>
      <c r="D192" s="5" t="s">
        <v>12</v>
      </c>
      <c r="E192" s="5">
        <v>5.6307</v>
      </c>
      <c r="F192" s="18">
        <v>2</v>
      </c>
      <c r="G192" s="5">
        <v>10</v>
      </c>
      <c r="H192" s="50">
        <v>10</v>
      </c>
      <c r="I192" s="58">
        <v>100</v>
      </c>
      <c r="J192" s="5">
        <f t="shared" si="8"/>
        <v>0.65</v>
      </c>
      <c r="K192" s="36">
        <v>2800000</v>
      </c>
      <c r="L192" s="37">
        <f t="shared" si="9"/>
        <v>1820000</v>
      </c>
      <c r="N192" s="34">
        <f>H192*VLOOKUP($N$2,'Unit Price'!$B$3:$C$19,2,0)</f>
        <v>180000</v>
      </c>
      <c r="O192" s="34">
        <f>1*VLOOKUP($O$2,'Unit Price'!$B$3:$C$19,2,0)</f>
        <v>10000</v>
      </c>
      <c r="P192" s="34">
        <f>1*VLOOKUP($P$2,'Unit Price'!$B$3:$C$19,2,0)</f>
        <v>8000</v>
      </c>
      <c r="Q192" s="34">
        <f>G192*2*VLOOKUP($Q$2,'Unit Price'!$B$3:$C$19,2,0)</f>
        <v>30000</v>
      </c>
      <c r="R192" s="34">
        <f>H192*3*VLOOKUP($R$2,'Unit Price'!$B$3:$C$19,2,0)</f>
        <v>75000</v>
      </c>
      <c r="S192" s="34">
        <f>IF(F192&lt;=2.2,3*VLOOKUP($S$2,'Unit Price'!$B$3:$C$19,2,0),5*VLOOKUP($S$2,'Unit Price'!$B$3:$C$19,2,0))</f>
        <v>30000</v>
      </c>
      <c r="T192" s="34">
        <f>IF(F192&lt;=2.06,VLOOKUP($T$2,'Unit Price'!$B$3:$C$19,2,0),0)</f>
        <v>795000</v>
      </c>
      <c r="U192" s="34">
        <f>IF(F192&lt;=2.06,VLOOKUP($U$2,'Unit Price'!$B$3:$C$19,2,0),0)</f>
        <v>245000</v>
      </c>
      <c r="V192" s="34">
        <f>IF(AND(F192&gt;2.06,F192&lt;2.5),VLOOKUP($V$2,'Unit Price'!$B$3:$C$19,2,0),0)</f>
        <v>0</v>
      </c>
      <c r="W192" s="34">
        <f>IF(AND(F192&gt;2.06,F192&lt;2.5),VLOOKUP($W$2,'Unit Price'!$B$3:$C$19,2,0),0)</f>
        <v>0</v>
      </c>
      <c r="X192" s="34">
        <f>IF(F192&gt;2.5,VLOOKUP($X$2,'Unit Price'!$B$3:$C$19,2,0),0)</f>
        <v>0</v>
      </c>
      <c r="Y192" s="34">
        <f>IF(F192&gt;2.5,VLOOKUP($Y$2,'Unit Price'!$B$3:$C$19,2,0),0)</f>
        <v>0</v>
      </c>
      <c r="Z192" s="34">
        <f>IF(F192&lt;2.5,6*VLOOKUP($Z$2,'Unit Price'!$B$3:$C$19,2,0),0)</f>
        <v>132000</v>
      </c>
      <c r="AA192" s="34">
        <f>IF(F192&lt;2.5,3*VLOOKUP($AA$2,'Unit Price'!$B$3:$C$19,2,0),0)</f>
        <v>165000</v>
      </c>
      <c r="AB192" s="34">
        <f>IF(F192&gt;2.5,6*VLOOKUP($AB$2,'Unit Price'!$B$3:$C$19,2,0),0)</f>
        <v>0</v>
      </c>
      <c r="AC192" s="34">
        <f>IF(F192&gt;2.5,3*VLOOKUP($AC$2,'Unit Price'!$B$3:$C$19,2,0),0)</f>
        <v>0</v>
      </c>
      <c r="AD192" s="36"/>
      <c r="AE192" s="46">
        <f t="shared" si="10"/>
        <v>1670000</v>
      </c>
      <c r="AF192" s="66">
        <f t="shared" si="11"/>
        <v>150000</v>
      </c>
    </row>
    <row r="193" spans="1:32">
      <c r="A193" s="17">
        <v>191</v>
      </c>
      <c r="B193" s="5" t="s">
        <v>413</v>
      </c>
      <c r="C193" s="5" t="s">
        <v>414</v>
      </c>
      <c r="D193" s="5" t="s">
        <v>37</v>
      </c>
      <c r="E193" s="5">
        <v>1.2850999999999999</v>
      </c>
      <c r="F193" s="18">
        <v>2</v>
      </c>
      <c r="G193" s="5">
        <v>20</v>
      </c>
      <c r="H193" s="50">
        <v>17</v>
      </c>
      <c r="I193" s="58">
        <v>340</v>
      </c>
      <c r="J193" s="5">
        <f t="shared" si="8"/>
        <v>0.65</v>
      </c>
      <c r="K193" s="36">
        <v>2800000</v>
      </c>
      <c r="L193" s="37">
        <f t="shared" si="9"/>
        <v>1820000</v>
      </c>
      <c r="N193" s="34">
        <f>H193*VLOOKUP($N$2,'Unit Price'!$B$3:$C$19,2,0)</f>
        <v>306000</v>
      </c>
      <c r="O193" s="34">
        <f>1*VLOOKUP($O$2,'Unit Price'!$B$3:$C$19,2,0)</f>
        <v>10000</v>
      </c>
      <c r="P193" s="34">
        <f>1*VLOOKUP($P$2,'Unit Price'!$B$3:$C$19,2,0)</f>
        <v>8000</v>
      </c>
      <c r="Q193" s="34">
        <f>G193*2*VLOOKUP($Q$2,'Unit Price'!$B$3:$C$19,2,0)</f>
        <v>60000</v>
      </c>
      <c r="R193" s="34">
        <f>H193*3*VLOOKUP($R$2,'Unit Price'!$B$3:$C$19,2,0)</f>
        <v>127500</v>
      </c>
      <c r="S193" s="34">
        <f>IF(F193&lt;=2.2,3*VLOOKUP($S$2,'Unit Price'!$B$3:$C$19,2,0),5*VLOOKUP($S$2,'Unit Price'!$B$3:$C$19,2,0))</f>
        <v>30000</v>
      </c>
      <c r="T193" s="34">
        <f>IF(F193&lt;=2.06,VLOOKUP($T$2,'Unit Price'!$B$3:$C$19,2,0),0)</f>
        <v>795000</v>
      </c>
      <c r="U193" s="34">
        <f>IF(F193&lt;=2.06,VLOOKUP($U$2,'Unit Price'!$B$3:$C$19,2,0),0)</f>
        <v>245000</v>
      </c>
      <c r="V193" s="34">
        <f>IF(AND(F193&gt;2.06,F193&lt;2.5),VLOOKUP($V$2,'Unit Price'!$B$3:$C$19,2,0),0)</f>
        <v>0</v>
      </c>
      <c r="W193" s="34">
        <f>IF(AND(F193&gt;2.06,F193&lt;2.5),VLOOKUP($W$2,'Unit Price'!$B$3:$C$19,2,0),0)</f>
        <v>0</v>
      </c>
      <c r="X193" s="34">
        <f>IF(F193&gt;2.5,VLOOKUP($X$2,'Unit Price'!$B$3:$C$19,2,0),0)</f>
        <v>0</v>
      </c>
      <c r="Y193" s="34">
        <f>IF(F193&gt;2.5,VLOOKUP($Y$2,'Unit Price'!$B$3:$C$19,2,0),0)</f>
        <v>0</v>
      </c>
      <c r="Z193" s="34">
        <f>IF(F193&lt;2.5,6*VLOOKUP($Z$2,'Unit Price'!$B$3:$C$19,2,0),0)</f>
        <v>132000</v>
      </c>
      <c r="AA193" s="34">
        <f>IF(F193&lt;2.5,3*VLOOKUP($AA$2,'Unit Price'!$B$3:$C$19,2,0),0)</f>
        <v>165000</v>
      </c>
      <c r="AB193" s="34">
        <f>IF(F193&gt;2.5,6*VLOOKUP($AB$2,'Unit Price'!$B$3:$C$19,2,0),0)</f>
        <v>0</v>
      </c>
      <c r="AC193" s="34">
        <f>IF(F193&gt;2.5,3*VLOOKUP($AC$2,'Unit Price'!$B$3:$C$19,2,0),0)</f>
        <v>0</v>
      </c>
      <c r="AD193" s="36"/>
      <c r="AE193" s="46">
        <f t="shared" si="10"/>
        <v>1878500</v>
      </c>
      <c r="AF193" s="66">
        <f t="shared" si="11"/>
        <v>-58500</v>
      </c>
    </row>
    <row r="194" spans="1:32">
      <c r="A194" s="17">
        <v>192</v>
      </c>
      <c r="B194" s="5" t="s">
        <v>415</v>
      </c>
      <c r="C194" s="5" t="s">
        <v>416</v>
      </c>
      <c r="D194" s="5" t="s">
        <v>37</v>
      </c>
      <c r="E194" s="5">
        <v>2.3323999999999998</v>
      </c>
      <c r="F194" s="18">
        <v>2</v>
      </c>
      <c r="G194" s="5">
        <v>16</v>
      </c>
      <c r="H194" s="50">
        <v>14</v>
      </c>
      <c r="I194" s="58">
        <v>224</v>
      </c>
      <c r="J194" s="5">
        <f t="shared" si="8"/>
        <v>0.65</v>
      </c>
      <c r="K194" s="36">
        <v>2800000</v>
      </c>
      <c r="L194" s="37">
        <f t="shared" si="9"/>
        <v>1820000</v>
      </c>
      <c r="N194" s="34">
        <f>H194*VLOOKUP($N$2,'Unit Price'!$B$3:$C$19,2,0)</f>
        <v>252000</v>
      </c>
      <c r="O194" s="34">
        <f>1*VLOOKUP($O$2,'Unit Price'!$B$3:$C$19,2,0)</f>
        <v>10000</v>
      </c>
      <c r="P194" s="34">
        <f>1*VLOOKUP($P$2,'Unit Price'!$B$3:$C$19,2,0)</f>
        <v>8000</v>
      </c>
      <c r="Q194" s="34">
        <f>G194*2*VLOOKUP($Q$2,'Unit Price'!$B$3:$C$19,2,0)</f>
        <v>48000</v>
      </c>
      <c r="R194" s="34">
        <f>H194*3*VLOOKUP($R$2,'Unit Price'!$B$3:$C$19,2,0)</f>
        <v>105000</v>
      </c>
      <c r="S194" s="34">
        <f>IF(F194&lt;=2.2,3*VLOOKUP($S$2,'Unit Price'!$B$3:$C$19,2,0),5*VLOOKUP($S$2,'Unit Price'!$B$3:$C$19,2,0))</f>
        <v>30000</v>
      </c>
      <c r="T194" s="34">
        <f>IF(F194&lt;=2.06,VLOOKUP($T$2,'Unit Price'!$B$3:$C$19,2,0),0)</f>
        <v>795000</v>
      </c>
      <c r="U194" s="34">
        <f>IF(F194&lt;=2.06,VLOOKUP($U$2,'Unit Price'!$B$3:$C$19,2,0),0)</f>
        <v>245000</v>
      </c>
      <c r="V194" s="34">
        <f>IF(AND(F194&gt;2.06,F194&lt;2.5),VLOOKUP($V$2,'Unit Price'!$B$3:$C$19,2,0),0)</f>
        <v>0</v>
      </c>
      <c r="W194" s="34">
        <f>IF(AND(F194&gt;2.06,F194&lt;2.5),VLOOKUP($W$2,'Unit Price'!$B$3:$C$19,2,0),0)</f>
        <v>0</v>
      </c>
      <c r="X194" s="34">
        <f>IF(F194&gt;2.5,VLOOKUP($X$2,'Unit Price'!$B$3:$C$19,2,0),0)</f>
        <v>0</v>
      </c>
      <c r="Y194" s="34">
        <f>IF(F194&gt;2.5,VLOOKUP($Y$2,'Unit Price'!$B$3:$C$19,2,0),0)</f>
        <v>0</v>
      </c>
      <c r="Z194" s="34">
        <f>IF(F194&lt;2.5,6*VLOOKUP($Z$2,'Unit Price'!$B$3:$C$19,2,0),0)</f>
        <v>132000</v>
      </c>
      <c r="AA194" s="34">
        <f>IF(F194&lt;2.5,3*VLOOKUP($AA$2,'Unit Price'!$B$3:$C$19,2,0),0)</f>
        <v>165000</v>
      </c>
      <c r="AB194" s="34">
        <f>IF(F194&gt;2.5,6*VLOOKUP($AB$2,'Unit Price'!$B$3:$C$19,2,0),0)</f>
        <v>0</v>
      </c>
      <c r="AC194" s="34">
        <f>IF(F194&gt;2.5,3*VLOOKUP($AC$2,'Unit Price'!$B$3:$C$19,2,0),0)</f>
        <v>0</v>
      </c>
      <c r="AD194" s="36"/>
      <c r="AE194" s="46">
        <f t="shared" si="10"/>
        <v>1790000</v>
      </c>
      <c r="AF194" s="66">
        <f t="shared" si="11"/>
        <v>30000</v>
      </c>
    </row>
    <row r="195" spans="1:32">
      <c r="A195" s="17">
        <v>193</v>
      </c>
      <c r="B195" s="5" t="s">
        <v>417</v>
      </c>
      <c r="C195" s="5" t="s">
        <v>418</v>
      </c>
      <c r="D195" s="5" t="s">
        <v>49</v>
      </c>
      <c r="E195" s="5">
        <v>4.3174000000000001</v>
      </c>
      <c r="F195" s="18">
        <v>2</v>
      </c>
      <c r="G195" s="5">
        <v>12</v>
      </c>
      <c r="H195" s="50">
        <v>8</v>
      </c>
      <c r="I195" s="58">
        <v>96</v>
      </c>
      <c r="J195" s="5">
        <f t="shared" si="8"/>
        <v>0.65</v>
      </c>
      <c r="K195" s="36">
        <v>2800000</v>
      </c>
      <c r="L195" s="37">
        <f t="shared" si="9"/>
        <v>1820000</v>
      </c>
      <c r="N195" s="34">
        <f>H195*VLOOKUP($N$2,'Unit Price'!$B$3:$C$19,2,0)</f>
        <v>144000</v>
      </c>
      <c r="O195" s="34">
        <f>1*VLOOKUP($O$2,'Unit Price'!$B$3:$C$19,2,0)</f>
        <v>10000</v>
      </c>
      <c r="P195" s="34">
        <f>1*VLOOKUP($P$2,'Unit Price'!$B$3:$C$19,2,0)</f>
        <v>8000</v>
      </c>
      <c r="Q195" s="34">
        <f>G195*2*VLOOKUP($Q$2,'Unit Price'!$B$3:$C$19,2,0)</f>
        <v>36000</v>
      </c>
      <c r="R195" s="34">
        <f>H195*3*VLOOKUP($R$2,'Unit Price'!$B$3:$C$19,2,0)</f>
        <v>60000</v>
      </c>
      <c r="S195" s="34">
        <f>IF(F195&lt;=2.2,3*VLOOKUP($S$2,'Unit Price'!$B$3:$C$19,2,0),5*VLOOKUP($S$2,'Unit Price'!$B$3:$C$19,2,0))</f>
        <v>30000</v>
      </c>
      <c r="T195" s="34">
        <f>IF(F195&lt;=2.06,VLOOKUP($T$2,'Unit Price'!$B$3:$C$19,2,0),0)</f>
        <v>795000</v>
      </c>
      <c r="U195" s="34">
        <f>IF(F195&lt;=2.06,VLOOKUP($U$2,'Unit Price'!$B$3:$C$19,2,0),0)</f>
        <v>245000</v>
      </c>
      <c r="V195" s="34">
        <f>IF(AND(F195&gt;2.06,F195&lt;2.5),VLOOKUP($V$2,'Unit Price'!$B$3:$C$19,2,0),0)</f>
        <v>0</v>
      </c>
      <c r="W195" s="34">
        <f>IF(AND(F195&gt;2.06,F195&lt;2.5),VLOOKUP($W$2,'Unit Price'!$B$3:$C$19,2,0),0)</f>
        <v>0</v>
      </c>
      <c r="X195" s="34">
        <f>IF(F195&gt;2.5,VLOOKUP($X$2,'Unit Price'!$B$3:$C$19,2,0),0)</f>
        <v>0</v>
      </c>
      <c r="Y195" s="34">
        <f>IF(F195&gt;2.5,VLOOKUP($Y$2,'Unit Price'!$B$3:$C$19,2,0),0)</f>
        <v>0</v>
      </c>
      <c r="Z195" s="34">
        <f>IF(F195&lt;2.5,6*VLOOKUP($Z$2,'Unit Price'!$B$3:$C$19,2,0),0)</f>
        <v>132000</v>
      </c>
      <c r="AA195" s="34">
        <f>IF(F195&lt;2.5,3*VLOOKUP($AA$2,'Unit Price'!$B$3:$C$19,2,0),0)</f>
        <v>165000</v>
      </c>
      <c r="AB195" s="34">
        <f>IF(F195&gt;2.5,6*VLOOKUP($AB$2,'Unit Price'!$B$3:$C$19,2,0),0)</f>
        <v>0</v>
      </c>
      <c r="AC195" s="34">
        <f>IF(F195&gt;2.5,3*VLOOKUP($AC$2,'Unit Price'!$B$3:$C$19,2,0),0)</f>
        <v>0</v>
      </c>
      <c r="AD195" s="36"/>
      <c r="AE195" s="46">
        <f t="shared" si="10"/>
        <v>1625000</v>
      </c>
      <c r="AF195" s="66">
        <f t="shared" si="11"/>
        <v>195000</v>
      </c>
    </row>
    <row r="196" spans="1:32">
      <c r="A196" s="17">
        <v>194</v>
      </c>
      <c r="B196" s="5" t="s">
        <v>419</v>
      </c>
      <c r="C196" s="5" t="s">
        <v>420</v>
      </c>
      <c r="D196" s="5" t="s">
        <v>126</v>
      </c>
      <c r="E196" s="5">
        <v>7.1238000000000001</v>
      </c>
      <c r="F196" s="18">
        <v>2</v>
      </c>
      <c r="G196" s="5">
        <v>10</v>
      </c>
      <c r="H196" s="50">
        <v>7</v>
      </c>
      <c r="I196" s="58">
        <v>70</v>
      </c>
      <c r="J196" s="5">
        <f t="shared" ref="J196:J235" si="12">IF(F196&lt;=2.06,0.65,IF(AND(F196&gt;2.06,F196&lt;2.5),0.7,IF(F196&gt;=2.5,1,0)))</f>
        <v>0.65</v>
      </c>
      <c r="K196" s="36">
        <v>2800000</v>
      </c>
      <c r="L196" s="37">
        <f t="shared" ref="L196:L235" si="13">J196*K196</f>
        <v>1820000</v>
      </c>
      <c r="N196" s="34">
        <f>H196*VLOOKUP($N$2,'Unit Price'!$B$3:$C$19,2,0)</f>
        <v>126000</v>
      </c>
      <c r="O196" s="34">
        <f>1*VLOOKUP($O$2,'Unit Price'!$B$3:$C$19,2,0)</f>
        <v>10000</v>
      </c>
      <c r="P196" s="34">
        <f>1*VLOOKUP($P$2,'Unit Price'!$B$3:$C$19,2,0)</f>
        <v>8000</v>
      </c>
      <c r="Q196" s="34">
        <f>G196*2*VLOOKUP($Q$2,'Unit Price'!$B$3:$C$19,2,0)</f>
        <v>30000</v>
      </c>
      <c r="R196" s="34">
        <f>H196*3*VLOOKUP($R$2,'Unit Price'!$B$3:$C$19,2,0)</f>
        <v>52500</v>
      </c>
      <c r="S196" s="34">
        <f>IF(F196&lt;=2.2,3*VLOOKUP($S$2,'Unit Price'!$B$3:$C$19,2,0),5*VLOOKUP($S$2,'Unit Price'!$B$3:$C$19,2,0))</f>
        <v>30000</v>
      </c>
      <c r="T196" s="34">
        <f>IF(F196&lt;=2.06,VLOOKUP($T$2,'Unit Price'!$B$3:$C$19,2,0),0)</f>
        <v>795000</v>
      </c>
      <c r="U196" s="34">
        <f>IF(F196&lt;=2.06,VLOOKUP($U$2,'Unit Price'!$B$3:$C$19,2,0),0)</f>
        <v>245000</v>
      </c>
      <c r="V196" s="34">
        <f>IF(AND(F196&gt;2.06,F196&lt;2.5),VLOOKUP($V$2,'Unit Price'!$B$3:$C$19,2,0),0)</f>
        <v>0</v>
      </c>
      <c r="W196" s="34">
        <f>IF(AND(F196&gt;2.06,F196&lt;2.5),VLOOKUP($W$2,'Unit Price'!$B$3:$C$19,2,0),0)</f>
        <v>0</v>
      </c>
      <c r="X196" s="34">
        <f>IF(F196&gt;2.5,VLOOKUP($X$2,'Unit Price'!$B$3:$C$19,2,0),0)</f>
        <v>0</v>
      </c>
      <c r="Y196" s="34">
        <f>IF(F196&gt;2.5,VLOOKUP($Y$2,'Unit Price'!$B$3:$C$19,2,0),0)</f>
        <v>0</v>
      </c>
      <c r="Z196" s="34">
        <f>IF(F196&lt;2.5,6*VLOOKUP($Z$2,'Unit Price'!$B$3:$C$19,2,0),0)</f>
        <v>132000</v>
      </c>
      <c r="AA196" s="34">
        <f>IF(F196&lt;2.5,3*VLOOKUP($AA$2,'Unit Price'!$B$3:$C$19,2,0),0)</f>
        <v>165000</v>
      </c>
      <c r="AB196" s="34">
        <f>IF(F196&gt;2.5,6*VLOOKUP($AB$2,'Unit Price'!$B$3:$C$19,2,0),0)</f>
        <v>0</v>
      </c>
      <c r="AC196" s="34">
        <f>IF(F196&gt;2.5,3*VLOOKUP($AC$2,'Unit Price'!$B$3:$C$19,2,0),0)</f>
        <v>0</v>
      </c>
      <c r="AD196" s="36"/>
      <c r="AE196" s="46">
        <f t="shared" ref="AE196:AE235" si="14">SUM(N196:AD196)</f>
        <v>1593500</v>
      </c>
      <c r="AF196" s="66">
        <f t="shared" ref="AF196:AF235" si="15">L196-AE196</f>
        <v>226500</v>
      </c>
    </row>
    <row r="197" spans="1:32">
      <c r="A197" s="17">
        <v>195</v>
      </c>
      <c r="B197" s="5" t="s">
        <v>421</v>
      </c>
      <c r="C197" s="5" t="s">
        <v>422</v>
      </c>
      <c r="D197" s="5" t="s">
        <v>49</v>
      </c>
      <c r="E197" s="5">
        <v>1.1362000000000001</v>
      </c>
      <c r="F197" s="18">
        <v>2</v>
      </c>
      <c r="G197" s="5">
        <v>17</v>
      </c>
      <c r="H197" s="50">
        <v>17</v>
      </c>
      <c r="I197" s="58">
        <v>289</v>
      </c>
      <c r="J197" s="5">
        <f t="shared" si="12"/>
        <v>0.65</v>
      </c>
      <c r="K197" s="36">
        <v>2800000</v>
      </c>
      <c r="L197" s="37">
        <f t="shared" si="13"/>
        <v>1820000</v>
      </c>
      <c r="N197" s="34">
        <f>H197*VLOOKUP($N$2,'Unit Price'!$B$3:$C$19,2,0)</f>
        <v>306000</v>
      </c>
      <c r="O197" s="34">
        <f>1*VLOOKUP($O$2,'Unit Price'!$B$3:$C$19,2,0)</f>
        <v>10000</v>
      </c>
      <c r="P197" s="34">
        <f>1*VLOOKUP($P$2,'Unit Price'!$B$3:$C$19,2,0)</f>
        <v>8000</v>
      </c>
      <c r="Q197" s="34">
        <f>G197*2*VLOOKUP($Q$2,'Unit Price'!$B$3:$C$19,2,0)</f>
        <v>51000</v>
      </c>
      <c r="R197" s="34">
        <f>H197*3*VLOOKUP($R$2,'Unit Price'!$B$3:$C$19,2,0)</f>
        <v>127500</v>
      </c>
      <c r="S197" s="34">
        <f>IF(F197&lt;=2.2,3*VLOOKUP($S$2,'Unit Price'!$B$3:$C$19,2,0),5*VLOOKUP($S$2,'Unit Price'!$B$3:$C$19,2,0))</f>
        <v>30000</v>
      </c>
      <c r="T197" s="34">
        <f>IF(F197&lt;=2.06,VLOOKUP($T$2,'Unit Price'!$B$3:$C$19,2,0),0)</f>
        <v>795000</v>
      </c>
      <c r="U197" s="34">
        <f>IF(F197&lt;=2.06,VLOOKUP($U$2,'Unit Price'!$B$3:$C$19,2,0),0)</f>
        <v>245000</v>
      </c>
      <c r="V197" s="34">
        <f>IF(AND(F197&gt;2.06,F197&lt;2.5),VLOOKUP($V$2,'Unit Price'!$B$3:$C$19,2,0),0)</f>
        <v>0</v>
      </c>
      <c r="W197" s="34">
        <f>IF(AND(F197&gt;2.06,F197&lt;2.5),VLOOKUP($W$2,'Unit Price'!$B$3:$C$19,2,0),0)</f>
        <v>0</v>
      </c>
      <c r="X197" s="34">
        <f>IF(F197&gt;2.5,VLOOKUP($X$2,'Unit Price'!$B$3:$C$19,2,0),0)</f>
        <v>0</v>
      </c>
      <c r="Y197" s="34">
        <f>IF(F197&gt;2.5,VLOOKUP($Y$2,'Unit Price'!$B$3:$C$19,2,0),0)</f>
        <v>0</v>
      </c>
      <c r="Z197" s="34">
        <f>IF(F197&lt;2.5,6*VLOOKUP($Z$2,'Unit Price'!$B$3:$C$19,2,0),0)</f>
        <v>132000</v>
      </c>
      <c r="AA197" s="34">
        <f>IF(F197&lt;2.5,3*VLOOKUP($AA$2,'Unit Price'!$B$3:$C$19,2,0),0)</f>
        <v>165000</v>
      </c>
      <c r="AB197" s="34">
        <f>IF(F197&gt;2.5,6*VLOOKUP($AB$2,'Unit Price'!$B$3:$C$19,2,0),0)</f>
        <v>0</v>
      </c>
      <c r="AC197" s="34">
        <f>IF(F197&gt;2.5,3*VLOOKUP($AC$2,'Unit Price'!$B$3:$C$19,2,0),0)</f>
        <v>0</v>
      </c>
      <c r="AD197" s="36"/>
      <c r="AE197" s="46">
        <f t="shared" si="14"/>
        <v>1869500</v>
      </c>
      <c r="AF197" s="66">
        <f t="shared" si="15"/>
        <v>-49500</v>
      </c>
    </row>
    <row r="198" spans="1:32">
      <c r="A198" s="17">
        <v>196</v>
      </c>
      <c r="B198" s="5" t="s">
        <v>423</v>
      </c>
      <c r="C198" s="5" t="s">
        <v>424</v>
      </c>
      <c r="D198" s="5" t="s">
        <v>49</v>
      </c>
      <c r="E198" s="5">
        <v>3.2692000000000001</v>
      </c>
      <c r="F198" s="18">
        <v>2</v>
      </c>
      <c r="G198" s="5">
        <v>11</v>
      </c>
      <c r="H198" s="50">
        <v>11</v>
      </c>
      <c r="I198" s="58">
        <v>121</v>
      </c>
      <c r="J198" s="5">
        <f t="shared" si="12"/>
        <v>0.65</v>
      </c>
      <c r="K198" s="36">
        <v>2800000</v>
      </c>
      <c r="L198" s="37">
        <f t="shared" si="13"/>
        <v>1820000</v>
      </c>
      <c r="N198" s="34">
        <f>H198*VLOOKUP($N$2,'Unit Price'!$B$3:$C$19,2,0)</f>
        <v>198000</v>
      </c>
      <c r="O198" s="34">
        <f>1*VLOOKUP($O$2,'Unit Price'!$B$3:$C$19,2,0)</f>
        <v>10000</v>
      </c>
      <c r="P198" s="34">
        <f>1*VLOOKUP($P$2,'Unit Price'!$B$3:$C$19,2,0)</f>
        <v>8000</v>
      </c>
      <c r="Q198" s="34">
        <f>G198*2*VLOOKUP($Q$2,'Unit Price'!$B$3:$C$19,2,0)</f>
        <v>33000</v>
      </c>
      <c r="R198" s="34">
        <f>H198*3*VLOOKUP($R$2,'Unit Price'!$B$3:$C$19,2,0)</f>
        <v>82500</v>
      </c>
      <c r="S198" s="34">
        <f>IF(F198&lt;=2.2,3*VLOOKUP($S$2,'Unit Price'!$B$3:$C$19,2,0),5*VLOOKUP($S$2,'Unit Price'!$B$3:$C$19,2,0))</f>
        <v>30000</v>
      </c>
      <c r="T198" s="34">
        <f>IF(F198&lt;=2.06,VLOOKUP($T$2,'Unit Price'!$B$3:$C$19,2,0),0)</f>
        <v>795000</v>
      </c>
      <c r="U198" s="34">
        <f>IF(F198&lt;=2.06,VLOOKUP($U$2,'Unit Price'!$B$3:$C$19,2,0),0)</f>
        <v>245000</v>
      </c>
      <c r="V198" s="34">
        <f>IF(AND(F198&gt;2.06,F198&lt;2.5),VLOOKUP($V$2,'Unit Price'!$B$3:$C$19,2,0),0)</f>
        <v>0</v>
      </c>
      <c r="W198" s="34">
        <f>IF(AND(F198&gt;2.06,F198&lt;2.5),VLOOKUP($W$2,'Unit Price'!$B$3:$C$19,2,0),0)</f>
        <v>0</v>
      </c>
      <c r="X198" s="34">
        <f>IF(F198&gt;2.5,VLOOKUP($X$2,'Unit Price'!$B$3:$C$19,2,0),0)</f>
        <v>0</v>
      </c>
      <c r="Y198" s="34">
        <f>IF(F198&gt;2.5,VLOOKUP($Y$2,'Unit Price'!$B$3:$C$19,2,0),0)</f>
        <v>0</v>
      </c>
      <c r="Z198" s="34">
        <f>IF(F198&lt;2.5,6*VLOOKUP($Z$2,'Unit Price'!$B$3:$C$19,2,0),0)</f>
        <v>132000</v>
      </c>
      <c r="AA198" s="34">
        <f>IF(F198&lt;2.5,3*VLOOKUP($AA$2,'Unit Price'!$B$3:$C$19,2,0),0)</f>
        <v>165000</v>
      </c>
      <c r="AB198" s="34">
        <f>IF(F198&gt;2.5,6*VLOOKUP($AB$2,'Unit Price'!$B$3:$C$19,2,0),0)</f>
        <v>0</v>
      </c>
      <c r="AC198" s="34">
        <f>IF(F198&gt;2.5,3*VLOOKUP($AC$2,'Unit Price'!$B$3:$C$19,2,0),0)</f>
        <v>0</v>
      </c>
      <c r="AD198" s="36"/>
      <c r="AE198" s="46">
        <f t="shared" si="14"/>
        <v>1698500</v>
      </c>
      <c r="AF198" s="66">
        <f t="shared" si="15"/>
        <v>121500</v>
      </c>
    </row>
    <row r="199" spans="1:32">
      <c r="A199" s="17">
        <v>197</v>
      </c>
      <c r="B199" s="5" t="s">
        <v>425</v>
      </c>
      <c r="C199" s="5" t="s">
        <v>426</v>
      </c>
      <c r="D199" s="5" t="s">
        <v>49</v>
      </c>
      <c r="E199" s="5">
        <v>5.5286999999999997</v>
      </c>
      <c r="F199" s="18">
        <v>2</v>
      </c>
      <c r="G199" s="5">
        <v>9</v>
      </c>
      <c r="H199" s="50">
        <v>9</v>
      </c>
      <c r="I199" s="58">
        <v>81</v>
      </c>
      <c r="J199" s="5">
        <f t="shared" si="12"/>
        <v>0.65</v>
      </c>
      <c r="K199" s="36">
        <v>2800000</v>
      </c>
      <c r="L199" s="37">
        <f t="shared" si="13"/>
        <v>1820000</v>
      </c>
      <c r="N199" s="34">
        <f>H199*VLOOKUP($N$2,'Unit Price'!$B$3:$C$19,2,0)</f>
        <v>162000</v>
      </c>
      <c r="O199" s="34">
        <f>1*VLOOKUP($O$2,'Unit Price'!$B$3:$C$19,2,0)</f>
        <v>10000</v>
      </c>
      <c r="P199" s="34">
        <f>1*VLOOKUP($P$2,'Unit Price'!$B$3:$C$19,2,0)</f>
        <v>8000</v>
      </c>
      <c r="Q199" s="34">
        <f>G199*2*VLOOKUP($Q$2,'Unit Price'!$B$3:$C$19,2,0)</f>
        <v>27000</v>
      </c>
      <c r="R199" s="34">
        <f>H199*3*VLOOKUP($R$2,'Unit Price'!$B$3:$C$19,2,0)</f>
        <v>67500</v>
      </c>
      <c r="S199" s="34">
        <f>IF(F199&lt;=2.2,3*VLOOKUP($S$2,'Unit Price'!$B$3:$C$19,2,0),5*VLOOKUP($S$2,'Unit Price'!$B$3:$C$19,2,0))</f>
        <v>30000</v>
      </c>
      <c r="T199" s="34">
        <f>IF(F199&lt;=2.06,VLOOKUP($T$2,'Unit Price'!$B$3:$C$19,2,0),0)</f>
        <v>795000</v>
      </c>
      <c r="U199" s="34">
        <f>IF(F199&lt;=2.06,VLOOKUP($U$2,'Unit Price'!$B$3:$C$19,2,0),0)</f>
        <v>245000</v>
      </c>
      <c r="V199" s="34">
        <f>IF(AND(F199&gt;2.06,F199&lt;2.5),VLOOKUP($V$2,'Unit Price'!$B$3:$C$19,2,0),0)</f>
        <v>0</v>
      </c>
      <c r="W199" s="34">
        <f>IF(AND(F199&gt;2.06,F199&lt;2.5),VLOOKUP($W$2,'Unit Price'!$B$3:$C$19,2,0),0)</f>
        <v>0</v>
      </c>
      <c r="X199" s="34">
        <f>IF(F199&gt;2.5,VLOOKUP($X$2,'Unit Price'!$B$3:$C$19,2,0),0)</f>
        <v>0</v>
      </c>
      <c r="Y199" s="34">
        <f>IF(F199&gt;2.5,VLOOKUP($Y$2,'Unit Price'!$B$3:$C$19,2,0),0)</f>
        <v>0</v>
      </c>
      <c r="Z199" s="34">
        <f>IF(F199&lt;2.5,6*VLOOKUP($Z$2,'Unit Price'!$B$3:$C$19,2,0),0)</f>
        <v>132000</v>
      </c>
      <c r="AA199" s="34">
        <f>IF(F199&lt;2.5,3*VLOOKUP($AA$2,'Unit Price'!$B$3:$C$19,2,0),0)</f>
        <v>165000</v>
      </c>
      <c r="AB199" s="34">
        <f>IF(F199&gt;2.5,6*VLOOKUP($AB$2,'Unit Price'!$B$3:$C$19,2,0),0)</f>
        <v>0</v>
      </c>
      <c r="AC199" s="34">
        <f>IF(F199&gt;2.5,3*VLOOKUP($AC$2,'Unit Price'!$B$3:$C$19,2,0),0)</f>
        <v>0</v>
      </c>
      <c r="AD199" s="36"/>
      <c r="AE199" s="46">
        <f t="shared" si="14"/>
        <v>1641500</v>
      </c>
      <c r="AF199" s="66">
        <f t="shared" si="15"/>
        <v>178500</v>
      </c>
    </row>
    <row r="200" spans="1:32">
      <c r="A200" s="17">
        <v>198</v>
      </c>
      <c r="B200" s="5" t="s">
        <v>427</v>
      </c>
      <c r="C200" s="5" t="s">
        <v>428</v>
      </c>
      <c r="D200" s="5" t="s">
        <v>49</v>
      </c>
      <c r="E200" s="5">
        <v>8.6012000000000004</v>
      </c>
      <c r="F200" s="18">
        <v>2</v>
      </c>
      <c r="G200" s="5">
        <v>7</v>
      </c>
      <c r="H200" s="50">
        <v>7</v>
      </c>
      <c r="I200" s="58">
        <v>49</v>
      </c>
      <c r="J200" s="5">
        <f t="shared" si="12"/>
        <v>0.65</v>
      </c>
      <c r="K200" s="36">
        <v>2800000</v>
      </c>
      <c r="L200" s="37">
        <f t="shared" si="13"/>
        <v>1820000</v>
      </c>
      <c r="N200" s="34">
        <f>H200*VLOOKUP($N$2,'Unit Price'!$B$3:$C$19,2,0)</f>
        <v>126000</v>
      </c>
      <c r="O200" s="34">
        <f>1*VLOOKUP($O$2,'Unit Price'!$B$3:$C$19,2,0)</f>
        <v>10000</v>
      </c>
      <c r="P200" s="34">
        <f>1*VLOOKUP($P$2,'Unit Price'!$B$3:$C$19,2,0)</f>
        <v>8000</v>
      </c>
      <c r="Q200" s="34">
        <f>G200*2*VLOOKUP($Q$2,'Unit Price'!$B$3:$C$19,2,0)</f>
        <v>21000</v>
      </c>
      <c r="R200" s="34">
        <f>H200*3*VLOOKUP($R$2,'Unit Price'!$B$3:$C$19,2,0)</f>
        <v>52500</v>
      </c>
      <c r="S200" s="34">
        <f>IF(F200&lt;=2.2,3*VLOOKUP($S$2,'Unit Price'!$B$3:$C$19,2,0),5*VLOOKUP($S$2,'Unit Price'!$B$3:$C$19,2,0))</f>
        <v>30000</v>
      </c>
      <c r="T200" s="34">
        <f>IF(F200&lt;=2.06,VLOOKUP($T$2,'Unit Price'!$B$3:$C$19,2,0),0)</f>
        <v>795000</v>
      </c>
      <c r="U200" s="34">
        <f>IF(F200&lt;=2.06,VLOOKUP($U$2,'Unit Price'!$B$3:$C$19,2,0),0)</f>
        <v>245000</v>
      </c>
      <c r="V200" s="34">
        <f>IF(AND(F200&gt;2.06,F200&lt;2.5),VLOOKUP($V$2,'Unit Price'!$B$3:$C$19,2,0),0)</f>
        <v>0</v>
      </c>
      <c r="W200" s="34">
        <f>IF(AND(F200&gt;2.06,F200&lt;2.5),VLOOKUP($W$2,'Unit Price'!$B$3:$C$19,2,0),0)</f>
        <v>0</v>
      </c>
      <c r="X200" s="34">
        <f>IF(F200&gt;2.5,VLOOKUP($X$2,'Unit Price'!$B$3:$C$19,2,0),0)</f>
        <v>0</v>
      </c>
      <c r="Y200" s="34">
        <f>IF(F200&gt;2.5,VLOOKUP($Y$2,'Unit Price'!$B$3:$C$19,2,0),0)</f>
        <v>0</v>
      </c>
      <c r="Z200" s="34">
        <f>IF(F200&lt;2.5,6*VLOOKUP($Z$2,'Unit Price'!$B$3:$C$19,2,0),0)</f>
        <v>132000</v>
      </c>
      <c r="AA200" s="34">
        <f>IF(F200&lt;2.5,3*VLOOKUP($AA$2,'Unit Price'!$B$3:$C$19,2,0),0)</f>
        <v>165000</v>
      </c>
      <c r="AB200" s="34">
        <f>IF(F200&gt;2.5,6*VLOOKUP($AB$2,'Unit Price'!$B$3:$C$19,2,0),0)</f>
        <v>0</v>
      </c>
      <c r="AC200" s="34">
        <f>IF(F200&gt;2.5,3*VLOOKUP($AC$2,'Unit Price'!$B$3:$C$19,2,0),0)</f>
        <v>0</v>
      </c>
      <c r="AD200" s="36"/>
      <c r="AE200" s="46">
        <f t="shared" si="14"/>
        <v>1584500</v>
      </c>
      <c r="AF200" s="66">
        <f t="shared" si="15"/>
        <v>235500</v>
      </c>
    </row>
    <row r="201" spans="1:32">
      <c r="A201" s="17">
        <v>199</v>
      </c>
      <c r="B201" s="5" t="s">
        <v>429</v>
      </c>
      <c r="C201" s="5" t="s">
        <v>430</v>
      </c>
      <c r="D201" s="5" t="s">
        <v>12</v>
      </c>
      <c r="E201" s="5">
        <v>6.6784999999999997</v>
      </c>
      <c r="F201" s="18">
        <v>2</v>
      </c>
      <c r="G201" s="5">
        <v>7</v>
      </c>
      <c r="H201" s="50">
        <v>11</v>
      </c>
      <c r="I201" s="58">
        <v>77</v>
      </c>
      <c r="J201" s="5">
        <f t="shared" si="12"/>
        <v>0.65</v>
      </c>
      <c r="K201" s="36">
        <v>2800000</v>
      </c>
      <c r="L201" s="37">
        <f t="shared" si="13"/>
        <v>1820000</v>
      </c>
      <c r="N201" s="34">
        <f>H201*VLOOKUP($N$2,'Unit Price'!$B$3:$C$19,2,0)</f>
        <v>198000</v>
      </c>
      <c r="O201" s="34">
        <f>1*VLOOKUP($O$2,'Unit Price'!$B$3:$C$19,2,0)</f>
        <v>10000</v>
      </c>
      <c r="P201" s="34">
        <f>1*VLOOKUP($P$2,'Unit Price'!$B$3:$C$19,2,0)</f>
        <v>8000</v>
      </c>
      <c r="Q201" s="34">
        <f>G201*2*VLOOKUP($Q$2,'Unit Price'!$B$3:$C$19,2,0)</f>
        <v>21000</v>
      </c>
      <c r="R201" s="34">
        <f>H201*3*VLOOKUP($R$2,'Unit Price'!$B$3:$C$19,2,0)</f>
        <v>82500</v>
      </c>
      <c r="S201" s="34">
        <f>IF(F201&lt;=2.2,3*VLOOKUP($S$2,'Unit Price'!$B$3:$C$19,2,0),5*VLOOKUP($S$2,'Unit Price'!$B$3:$C$19,2,0))</f>
        <v>30000</v>
      </c>
      <c r="T201" s="34">
        <f>IF(F201&lt;=2.06,VLOOKUP($T$2,'Unit Price'!$B$3:$C$19,2,0),0)</f>
        <v>795000</v>
      </c>
      <c r="U201" s="34">
        <f>IF(F201&lt;=2.06,VLOOKUP($U$2,'Unit Price'!$B$3:$C$19,2,0),0)</f>
        <v>245000</v>
      </c>
      <c r="V201" s="34">
        <f>IF(AND(F201&gt;2.06,F201&lt;2.5),VLOOKUP($V$2,'Unit Price'!$B$3:$C$19,2,0),0)</f>
        <v>0</v>
      </c>
      <c r="W201" s="34">
        <f>IF(AND(F201&gt;2.06,F201&lt;2.5),VLOOKUP($W$2,'Unit Price'!$B$3:$C$19,2,0),0)</f>
        <v>0</v>
      </c>
      <c r="X201" s="34">
        <f>IF(F201&gt;2.5,VLOOKUP($X$2,'Unit Price'!$B$3:$C$19,2,0),0)</f>
        <v>0</v>
      </c>
      <c r="Y201" s="34">
        <f>IF(F201&gt;2.5,VLOOKUP($Y$2,'Unit Price'!$B$3:$C$19,2,0),0)</f>
        <v>0</v>
      </c>
      <c r="Z201" s="34">
        <f>IF(F201&lt;2.5,6*VLOOKUP($Z$2,'Unit Price'!$B$3:$C$19,2,0),0)</f>
        <v>132000</v>
      </c>
      <c r="AA201" s="34">
        <f>IF(F201&lt;2.5,3*VLOOKUP($AA$2,'Unit Price'!$B$3:$C$19,2,0),0)</f>
        <v>165000</v>
      </c>
      <c r="AB201" s="34">
        <f>IF(F201&gt;2.5,6*VLOOKUP($AB$2,'Unit Price'!$B$3:$C$19,2,0),0)</f>
        <v>0</v>
      </c>
      <c r="AC201" s="34">
        <f>IF(F201&gt;2.5,3*VLOOKUP($AC$2,'Unit Price'!$B$3:$C$19,2,0),0)</f>
        <v>0</v>
      </c>
      <c r="AD201" s="36"/>
      <c r="AE201" s="46">
        <f t="shared" si="14"/>
        <v>1686500</v>
      </c>
      <c r="AF201" s="66">
        <f t="shared" si="15"/>
        <v>133500</v>
      </c>
    </row>
    <row r="202" spans="1:32">
      <c r="A202" s="17">
        <v>200</v>
      </c>
      <c r="B202" s="5" t="s">
        <v>431</v>
      </c>
      <c r="C202" s="5" t="s">
        <v>432</v>
      </c>
      <c r="D202" s="5" t="s">
        <v>172</v>
      </c>
      <c r="E202" s="5">
        <v>11.6181</v>
      </c>
      <c r="F202" s="18">
        <v>2</v>
      </c>
      <c r="G202" s="5">
        <v>9</v>
      </c>
      <c r="H202" s="50">
        <v>6</v>
      </c>
      <c r="I202" s="58">
        <v>54</v>
      </c>
      <c r="J202" s="5">
        <f t="shared" si="12"/>
        <v>0.65</v>
      </c>
      <c r="K202" s="36">
        <v>2800000</v>
      </c>
      <c r="L202" s="37">
        <f t="shared" si="13"/>
        <v>1820000</v>
      </c>
      <c r="N202" s="34">
        <f>H202*VLOOKUP($N$2,'Unit Price'!$B$3:$C$19,2,0)</f>
        <v>108000</v>
      </c>
      <c r="O202" s="34">
        <f>1*VLOOKUP($O$2,'Unit Price'!$B$3:$C$19,2,0)</f>
        <v>10000</v>
      </c>
      <c r="P202" s="34">
        <f>1*VLOOKUP($P$2,'Unit Price'!$B$3:$C$19,2,0)</f>
        <v>8000</v>
      </c>
      <c r="Q202" s="34">
        <f>G202*2*VLOOKUP($Q$2,'Unit Price'!$B$3:$C$19,2,0)</f>
        <v>27000</v>
      </c>
      <c r="R202" s="34">
        <f>H202*3*VLOOKUP($R$2,'Unit Price'!$B$3:$C$19,2,0)</f>
        <v>45000</v>
      </c>
      <c r="S202" s="34">
        <f>IF(F202&lt;=2.2,3*VLOOKUP($S$2,'Unit Price'!$B$3:$C$19,2,0),5*VLOOKUP($S$2,'Unit Price'!$B$3:$C$19,2,0))</f>
        <v>30000</v>
      </c>
      <c r="T202" s="34">
        <f>IF(F202&lt;=2.06,VLOOKUP($T$2,'Unit Price'!$B$3:$C$19,2,0),0)</f>
        <v>795000</v>
      </c>
      <c r="U202" s="34">
        <f>IF(F202&lt;=2.06,VLOOKUP($U$2,'Unit Price'!$B$3:$C$19,2,0),0)</f>
        <v>245000</v>
      </c>
      <c r="V202" s="34">
        <f>IF(AND(F202&gt;2.06,F202&lt;2.5),VLOOKUP($V$2,'Unit Price'!$B$3:$C$19,2,0),0)</f>
        <v>0</v>
      </c>
      <c r="W202" s="34">
        <f>IF(AND(F202&gt;2.06,F202&lt;2.5),VLOOKUP($W$2,'Unit Price'!$B$3:$C$19,2,0),0)</f>
        <v>0</v>
      </c>
      <c r="X202" s="34">
        <f>IF(F202&gt;2.5,VLOOKUP($X$2,'Unit Price'!$B$3:$C$19,2,0),0)</f>
        <v>0</v>
      </c>
      <c r="Y202" s="34">
        <f>IF(F202&gt;2.5,VLOOKUP($Y$2,'Unit Price'!$B$3:$C$19,2,0),0)</f>
        <v>0</v>
      </c>
      <c r="Z202" s="34">
        <f>IF(F202&lt;2.5,6*VLOOKUP($Z$2,'Unit Price'!$B$3:$C$19,2,0),0)</f>
        <v>132000</v>
      </c>
      <c r="AA202" s="34">
        <f>IF(F202&lt;2.5,3*VLOOKUP($AA$2,'Unit Price'!$B$3:$C$19,2,0),0)</f>
        <v>165000</v>
      </c>
      <c r="AB202" s="34">
        <f>IF(F202&gt;2.5,6*VLOOKUP($AB$2,'Unit Price'!$B$3:$C$19,2,0),0)</f>
        <v>0</v>
      </c>
      <c r="AC202" s="34">
        <f>IF(F202&gt;2.5,3*VLOOKUP($AC$2,'Unit Price'!$B$3:$C$19,2,0),0)</f>
        <v>0</v>
      </c>
      <c r="AD202" s="36"/>
      <c r="AE202" s="46">
        <f t="shared" si="14"/>
        <v>1565000</v>
      </c>
      <c r="AF202" s="66">
        <f t="shared" si="15"/>
        <v>255000</v>
      </c>
    </row>
    <row r="203" spans="1:32">
      <c r="A203" s="17">
        <v>201</v>
      </c>
      <c r="B203" s="5" t="s">
        <v>433</v>
      </c>
      <c r="C203" s="5" t="s">
        <v>434</v>
      </c>
      <c r="D203" s="5" t="s">
        <v>172</v>
      </c>
      <c r="E203" s="5">
        <v>14.3506</v>
      </c>
      <c r="F203" s="18">
        <v>2</v>
      </c>
      <c r="G203" s="5">
        <v>8</v>
      </c>
      <c r="H203" s="50">
        <v>6</v>
      </c>
      <c r="I203" s="58">
        <v>48</v>
      </c>
      <c r="J203" s="5">
        <f t="shared" si="12"/>
        <v>0.65</v>
      </c>
      <c r="K203" s="36">
        <v>2800000</v>
      </c>
      <c r="L203" s="37">
        <f t="shared" si="13"/>
        <v>1820000</v>
      </c>
      <c r="N203" s="34">
        <f>H203*VLOOKUP($N$2,'Unit Price'!$B$3:$C$19,2,0)</f>
        <v>108000</v>
      </c>
      <c r="O203" s="34">
        <f>1*VLOOKUP($O$2,'Unit Price'!$B$3:$C$19,2,0)</f>
        <v>10000</v>
      </c>
      <c r="P203" s="34">
        <f>1*VLOOKUP($P$2,'Unit Price'!$B$3:$C$19,2,0)</f>
        <v>8000</v>
      </c>
      <c r="Q203" s="34">
        <f>G203*2*VLOOKUP($Q$2,'Unit Price'!$B$3:$C$19,2,0)</f>
        <v>24000</v>
      </c>
      <c r="R203" s="34">
        <f>H203*3*VLOOKUP($R$2,'Unit Price'!$B$3:$C$19,2,0)</f>
        <v>45000</v>
      </c>
      <c r="S203" s="34">
        <f>IF(F203&lt;=2.2,3*VLOOKUP($S$2,'Unit Price'!$B$3:$C$19,2,0),5*VLOOKUP($S$2,'Unit Price'!$B$3:$C$19,2,0))</f>
        <v>30000</v>
      </c>
      <c r="T203" s="34">
        <f>IF(F203&lt;=2.06,VLOOKUP($T$2,'Unit Price'!$B$3:$C$19,2,0),0)</f>
        <v>795000</v>
      </c>
      <c r="U203" s="34">
        <f>IF(F203&lt;=2.06,VLOOKUP($U$2,'Unit Price'!$B$3:$C$19,2,0),0)</f>
        <v>245000</v>
      </c>
      <c r="V203" s="34">
        <f>IF(AND(F203&gt;2.06,F203&lt;2.5),VLOOKUP($V$2,'Unit Price'!$B$3:$C$19,2,0),0)</f>
        <v>0</v>
      </c>
      <c r="W203" s="34">
        <f>IF(AND(F203&gt;2.06,F203&lt;2.5),VLOOKUP($W$2,'Unit Price'!$B$3:$C$19,2,0),0)</f>
        <v>0</v>
      </c>
      <c r="X203" s="34">
        <f>IF(F203&gt;2.5,VLOOKUP($X$2,'Unit Price'!$B$3:$C$19,2,0),0)</f>
        <v>0</v>
      </c>
      <c r="Y203" s="34">
        <f>IF(F203&gt;2.5,VLOOKUP($Y$2,'Unit Price'!$B$3:$C$19,2,0),0)</f>
        <v>0</v>
      </c>
      <c r="Z203" s="34">
        <f>IF(F203&lt;2.5,6*VLOOKUP($Z$2,'Unit Price'!$B$3:$C$19,2,0),0)</f>
        <v>132000</v>
      </c>
      <c r="AA203" s="34">
        <f>IF(F203&lt;2.5,3*VLOOKUP($AA$2,'Unit Price'!$B$3:$C$19,2,0),0)</f>
        <v>165000</v>
      </c>
      <c r="AB203" s="34">
        <f>IF(F203&gt;2.5,6*VLOOKUP($AB$2,'Unit Price'!$B$3:$C$19,2,0),0)</f>
        <v>0</v>
      </c>
      <c r="AC203" s="34">
        <f>IF(F203&gt;2.5,3*VLOOKUP($AC$2,'Unit Price'!$B$3:$C$19,2,0),0)</f>
        <v>0</v>
      </c>
      <c r="AD203" s="36"/>
      <c r="AE203" s="46">
        <f t="shared" si="14"/>
        <v>1562000</v>
      </c>
      <c r="AF203" s="66">
        <f t="shared" si="15"/>
        <v>258000</v>
      </c>
    </row>
    <row r="204" spans="1:32">
      <c r="A204" s="17">
        <v>202</v>
      </c>
      <c r="B204" s="5" t="s">
        <v>435</v>
      </c>
      <c r="C204" s="5" t="s">
        <v>436</v>
      </c>
      <c r="D204" s="5" t="s">
        <v>37</v>
      </c>
      <c r="E204" s="5">
        <v>1.9732000000000001</v>
      </c>
      <c r="F204" s="18">
        <v>2</v>
      </c>
      <c r="G204" s="5">
        <v>14</v>
      </c>
      <c r="H204" s="50">
        <v>17</v>
      </c>
      <c r="I204" s="58">
        <v>238</v>
      </c>
      <c r="J204" s="5">
        <f t="shared" si="12"/>
        <v>0.65</v>
      </c>
      <c r="K204" s="36">
        <v>2800000</v>
      </c>
      <c r="L204" s="37">
        <f t="shared" si="13"/>
        <v>1820000</v>
      </c>
      <c r="N204" s="34">
        <f>H204*VLOOKUP($N$2,'Unit Price'!$B$3:$C$19,2,0)</f>
        <v>306000</v>
      </c>
      <c r="O204" s="34">
        <f>1*VLOOKUP($O$2,'Unit Price'!$B$3:$C$19,2,0)</f>
        <v>10000</v>
      </c>
      <c r="P204" s="34">
        <f>1*VLOOKUP($P$2,'Unit Price'!$B$3:$C$19,2,0)</f>
        <v>8000</v>
      </c>
      <c r="Q204" s="34">
        <f>G204*2*VLOOKUP($Q$2,'Unit Price'!$B$3:$C$19,2,0)</f>
        <v>42000</v>
      </c>
      <c r="R204" s="34">
        <f>H204*3*VLOOKUP($R$2,'Unit Price'!$B$3:$C$19,2,0)</f>
        <v>127500</v>
      </c>
      <c r="S204" s="34">
        <f>IF(F204&lt;=2.2,3*VLOOKUP($S$2,'Unit Price'!$B$3:$C$19,2,0),5*VLOOKUP($S$2,'Unit Price'!$B$3:$C$19,2,0))</f>
        <v>30000</v>
      </c>
      <c r="T204" s="34">
        <f>IF(F204&lt;=2.06,VLOOKUP($T$2,'Unit Price'!$B$3:$C$19,2,0),0)</f>
        <v>795000</v>
      </c>
      <c r="U204" s="34">
        <f>IF(F204&lt;=2.06,VLOOKUP($U$2,'Unit Price'!$B$3:$C$19,2,0),0)</f>
        <v>245000</v>
      </c>
      <c r="V204" s="34">
        <f>IF(AND(F204&gt;2.06,F204&lt;2.5),VLOOKUP($V$2,'Unit Price'!$B$3:$C$19,2,0),0)</f>
        <v>0</v>
      </c>
      <c r="W204" s="34">
        <f>IF(AND(F204&gt;2.06,F204&lt;2.5),VLOOKUP($W$2,'Unit Price'!$B$3:$C$19,2,0),0)</f>
        <v>0</v>
      </c>
      <c r="X204" s="34">
        <f>IF(F204&gt;2.5,VLOOKUP($X$2,'Unit Price'!$B$3:$C$19,2,0),0)</f>
        <v>0</v>
      </c>
      <c r="Y204" s="34">
        <f>IF(F204&gt;2.5,VLOOKUP($Y$2,'Unit Price'!$B$3:$C$19,2,0),0)</f>
        <v>0</v>
      </c>
      <c r="Z204" s="34">
        <f>IF(F204&lt;2.5,6*VLOOKUP($Z$2,'Unit Price'!$B$3:$C$19,2,0),0)</f>
        <v>132000</v>
      </c>
      <c r="AA204" s="34">
        <f>IF(F204&lt;2.5,3*VLOOKUP($AA$2,'Unit Price'!$B$3:$C$19,2,0),0)</f>
        <v>165000</v>
      </c>
      <c r="AB204" s="34">
        <f>IF(F204&gt;2.5,6*VLOOKUP($AB$2,'Unit Price'!$B$3:$C$19,2,0),0)</f>
        <v>0</v>
      </c>
      <c r="AC204" s="34">
        <f>IF(F204&gt;2.5,3*VLOOKUP($AC$2,'Unit Price'!$B$3:$C$19,2,0),0)</f>
        <v>0</v>
      </c>
      <c r="AD204" s="36"/>
      <c r="AE204" s="46">
        <f t="shared" si="14"/>
        <v>1860500</v>
      </c>
      <c r="AF204" s="66">
        <f t="shared" si="15"/>
        <v>-40500</v>
      </c>
    </row>
    <row r="205" spans="1:32">
      <c r="A205" s="17">
        <v>203</v>
      </c>
      <c r="B205" s="5" t="s">
        <v>437</v>
      </c>
      <c r="C205" s="5" t="s">
        <v>438</v>
      </c>
      <c r="D205" s="5" t="s">
        <v>37</v>
      </c>
      <c r="E205" s="5">
        <v>2.8502000000000001</v>
      </c>
      <c r="F205" s="18">
        <v>2</v>
      </c>
      <c r="G205" s="5">
        <v>13</v>
      </c>
      <c r="H205" s="50">
        <v>15</v>
      </c>
      <c r="I205" s="58">
        <v>195</v>
      </c>
      <c r="J205" s="5">
        <f t="shared" si="12"/>
        <v>0.65</v>
      </c>
      <c r="K205" s="36">
        <v>2800000</v>
      </c>
      <c r="L205" s="37">
        <f t="shared" si="13"/>
        <v>1820000</v>
      </c>
      <c r="N205" s="34">
        <f>H205*VLOOKUP($N$2,'Unit Price'!$B$3:$C$19,2,0)</f>
        <v>270000</v>
      </c>
      <c r="O205" s="34">
        <f>1*VLOOKUP($O$2,'Unit Price'!$B$3:$C$19,2,0)</f>
        <v>10000</v>
      </c>
      <c r="P205" s="34">
        <f>1*VLOOKUP($P$2,'Unit Price'!$B$3:$C$19,2,0)</f>
        <v>8000</v>
      </c>
      <c r="Q205" s="34">
        <f>G205*2*VLOOKUP($Q$2,'Unit Price'!$B$3:$C$19,2,0)</f>
        <v>39000</v>
      </c>
      <c r="R205" s="34">
        <f>H205*3*VLOOKUP($R$2,'Unit Price'!$B$3:$C$19,2,0)</f>
        <v>112500</v>
      </c>
      <c r="S205" s="34">
        <f>IF(F205&lt;=2.2,3*VLOOKUP($S$2,'Unit Price'!$B$3:$C$19,2,0),5*VLOOKUP($S$2,'Unit Price'!$B$3:$C$19,2,0))</f>
        <v>30000</v>
      </c>
      <c r="T205" s="34">
        <f>IF(F205&lt;=2.06,VLOOKUP($T$2,'Unit Price'!$B$3:$C$19,2,0),0)</f>
        <v>795000</v>
      </c>
      <c r="U205" s="34">
        <f>IF(F205&lt;=2.06,VLOOKUP($U$2,'Unit Price'!$B$3:$C$19,2,0),0)</f>
        <v>245000</v>
      </c>
      <c r="V205" s="34">
        <f>IF(AND(F205&gt;2.06,F205&lt;2.5),VLOOKUP($V$2,'Unit Price'!$B$3:$C$19,2,0),0)</f>
        <v>0</v>
      </c>
      <c r="W205" s="34">
        <f>IF(AND(F205&gt;2.06,F205&lt;2.5),VLOOKUP($W$2,'Unit Price'!$B$3:$C$19,2,0),0)</f>
        <v>0</v>
      </c>
      <c r="X205" s="34">
        <f>IF(F205&gt;2.5,VLOOKUP($X$2,'Unit Price'!$B$3:$C$19,2,0),0)</f>
        <v>0</v>
      </c>
      <c r="Y205" s="34">
        <f>IF(F205&gt;2.5,VLOOKUP($Y$2,'Unit Price'!$B$3:$C$19,2,0),0)</f>
        <v>0</v>
      </c>
      <c r="Z205" s="34">
        <f>IF(F205&lt;2.5,6*VLOOKUP($Z$2,'Unit Price'!$B$3:$C$19,2,0),0)</f>
        <v>132000</v>
      </c>
      <c r="AA205" s="34">
        <f>IF(F205&lt;2.5,3*VLOOKUP($AA$2,'Unit Price'!$B$3:$C$19,2,0),0)</f>
        <v>165000</v>
      </c>
      <c r="AB205" s="34">
        <f>IF(F205&gt;2.5,6*VLOOKUP($AB$2,'Unit Price'!$B$3:$C$19,2,0),0)</f>
        <v>0</v>
      </c>
      <c r="AC205" s="34">
        <f>IF(F205&gt;2.5,3*VLOOKUP($AC$2,'Unit Price'!$B$3:$C$19,2,0),0)</f>
        <v>0</v>
      </c>
      <c r="AD205" s="36"/>
      <c r="AE205" s="46">
        <f t="shared" si="14"/>
        <v>1806500</v>
      </c>
      <c r="AF205" s="66">
        <f t="shared" si="15"/>
        <v>13500</v>
      </c>
    </row>
    <row r="206" spans="1:32">
      <c r="A206" s="17">
        <v>204</v>
      </c>
      <c r="B206" s="5" t="s">
        <v>439</v>
      </c>
      <c r="C206" s="5" t="s">
        <v>440</v>
      </c>
      <c r="D206" s="5" t="s">
        <v>441</v>
      </c>
      <c r="E206" s="5">
        <v>11.7927</v>
      </c>
      <c r="F206" s="18">
        <v>2</v>
      </c>
      <c r="G206" s="5">
        <v>4</v>
      </c>
      <c r="H206" s="50">
        <v>4</v>
      </c>
      <c r="I206" s="58">
        <v>16</v>
      </c>
      <c r="J206" s="5">
        <f t="shared" si="12"/>
        <v>0.65</v>
      </c>
      <c r="K206" s="36">
        <v>2800000</v>
      </c>
      <c r="L206" s="37">
        <f t="shared" si="13"/>
        <v>1820000</v>
      </c>
      <c r="N206" s="34">
        <f>H206*VLOOKUP($N$2,'Unit Price'!$B$3:$C$19,2,0)</f>
        <v>72000</v>
      </c>
      <c r="O206" s="34">
        <f>1*VLOOKUP($O$2,'Unit Price'!$B$3:$C$19,2,0)</f>
        <v>10000</v>
      </c>
      <c r="P206" s="34">
        <f>1*VLOOKUP($P$2,'Unit Price'!$B$3:$C$19,2,0)</f>
        <v>8000</v>
      </c>
      <c r="Q206" s="34">
        <f>G206*2*VLOOKUP($Q$2,'Unit Price'!$B$3:$C$19,2,0)</f>
        <v>12000</v>
      </c>
      <c r="R206" s="34">
        <f>H206*3*VLOOKUP($R$2,'Unit Price'!$B$3:$C$19,2,0)</f>
        <v>30000</v>
      </c>
      <c r="S206" s="34">
        <f>IF(F206&lt;=2.2,3*VLOOKUP($S$2,'Unit Price'!$B$3:$C$19,2,0),5*VLOOKUP($S$2,'Unit Price'!$B$3:$C$19,2,0))</f>
        <v>30000</v>
      </c>
      <c r="T206" s="34">
        <f>IF(F206&lt;=2.06,VLOOKUP($T$2,'Unit Price'!$B$3:$C$19,2,0),0)</f>
        <v>795000</v>
      </c>
      <c r="U206" s="34">
        <f>IF(F206&lt;=2.06,VLOOKUP($U$2,'Unit Price'!$B$3:$C$19,2,0),0)</f>
        <v>245000</v>
      </c>
      <c r="V206" s="34">
        <f>IF(AND(F206&gt;2.06,F206&lt;2.5),VLOOKUP($V$2,'Unit Price'!$B$3:$C$19,2,0),0)</f>
        <v>0</v>
      </c>
      <c r="W206" s="34">
        <f>IF(AND(F206&gt;2.06,F206&lt;2.5),VLOOKUP($W$2,'Unit Price'!$B$3:$C$19,2,0),0)</f>
        <v>0</v>
      </c>
      <c r="X206" s="34">
        <f>IF(F206&gt;2.5,VLOOKUP($X$2,'Unit Price'!$B$3:$C$19,2,0),0)</f>
        <v>0</v>
      </c>
      <c r="Y206" s="34">
        <f>IF(F206&gt;2.5,VLOOKUP($Y$2,'Unit Price'!$B$3:$C$19,2,0),0)</f>
        <v>0</v>
      </c>
      <c r="Z206" s="34">
        <f>IF(F206&lt;2.5,6*VLOOKUP($Z$2,'Unit Price'!$B$3:$C$19,2,0),0)</f>
        <v>132000</v>
      </c>
      <c r="AA206" s="34">
        <f>IF(F206&lt;2.5,3*VLOOKUP($AA$2,'Unit Price'!$B$3:$C$19,2,0),0)</f>
        <v>165000</v>
      </c>
      <c r="AB206" s="34">
        <f>IF(F206&gt;2.5,6*VLOOKUP($AB$2,'Unit Price'!$B$3:$C$19,2,0),0)</f>
        <v>0</v>
      </c>
      <c r="AC206" s="34">
        <f>IF(F206&gt;2.5,3*VLOOKUP($AC$2,'Unit Price'!$B$3:$C$19,2,0),0)</f>
        <v>0</v>
      </c>
      <c r="AD206" s="36"/>
      <c r="AE206" s="46">
        <f t="shared" si="14"/>
        <v>1499000</v>
      </c>
      <c r="AF206" s="66">
        <f t="shared" si="15"/>
        <v>321000</v>
      </c>
    </row>
    <row r="207" spans="1:32">
      <c r="A207" s="17">
        <v>205</v>
      </c>
      <c r="B207" s="5" t="s">
        <v>442</v>
      </c>
      <c r="C207" s="5" t="s">
        <v>443</v>
      </c>
      <c r="D207" s="5" t="s">
        <v>37</v>
      </c>
      <c r="E207" s="5">
        <v>5.5026000000000002</v>
      </c>
      <c r="F207" s="18">
        <v>2</v>
      </c>
      <c r="G207" s="5">
        <v>10</v>
      </c>
      <c r="H207" s="50">
        <v>9</v>
      </c>
      <c r="I207" s="58">
        <v>90</v>
      </c>
      <c r="J207" s="5">
        <f t="shared" si="12"/>
        <v>0.65</v>
      </c>
      <c r="K207" s="36">
        <v>2800000</v>
      </c>
      <c r="L207" s="37">
        <f t="shared" si="13"/>
        <v>1820000</v>
      </c>
      <c r="N207" s="34">
        <f>H207*VLOOKUP($N$2,'Unit Price'!$B$3:$C$19,2,0)</f>
        <v>162000</v>
      </c>
      <c r="O207" s="34">
        <f>1*VLOOKUP($O$2,'Unit Price'!$B$3:$C$19,2,0)</f>
        <v>10000</v>
      </c>
      <c r="P207" s="34">
        <f>1*VLOOKUP($P$2,'Unit Price'!$B$3:$C$19,2,0)</f>
        <v>8000</v>
      </c>
      <c r="Q207" s="34">
        <f>G207*2*VLOOKUP($Q$2,'Unit Price'!$B$3:$C$19,2,0)</f>
        <v>30000</v>
      </c>
      <c r="R207" s="34">
        <f>H207*3*VLOOKUP($R$2,'Unit Price'!$B$3:$C$19,2,0)</f>
        <v>67500</v>
      </c>
      <c r="S207" s="34">
        <f>IF(F207&lt;=2.2,3*VLOOKUP($S$2,'Unit Price'!$B$3:$C$19,2,0),5*VLOOKUP($S$2,'Unit Price'!$B$3:$C$19,2,0))</f>
        <v>30000</v>
      </c>
      <c r="T207" s="34">
        <f>IF(F207&lt;=2.06,VLOOKUP($T$2,'Unit Price'!$B$3:$C$19,2,0),0)</f>
        <v>795000</v>
      </c>
      <c r="U207" s="34">
        <f>IF(F207&lt;=2.06,VLOOKUP($U$2,'Unit Price'!$B$3:$C$19,2,0),0)</f>
        <v>245000</v>
      </c>
      <c r="V207" s="34">
        <f>IF(AND(F207&gt;2.06,F207&lt;2.5),VLOOKUP($V$2,'Unit Price'!$B$3:$C$19,2,0),0)</f>
        <v>0</v>
      </c>
      <c r="W207" s="34">
        <f>IF(AND(F207&gt;2.06,F207&lt;2.5),VLOOKUP($W$2,'Unit Price'!$B$3:$C$19,2,0),0)</f>
        <v>0</v>
      </c>
      <c r="X207" s="34">
        <f>IF(F207&gt;2.5,VLOOKUP($X$2,'Unit Price'!$B$3:$C$19,2,0),0)</f>
        <v>0</v>
      </c>
      <c r="Y207" s="34">
        <f>IF(F207&gt;2.5,VLOOKUP($Y$2,'Unit Price'!$B$3:$C$19,2,0),0)</f>
        <v>0</v>
      </c>
      <c r="Z207" s="34">
        <f>IF(F207&lt;2.5,6*VLOOKUP($Z$2,'Unit Price'!$B$3:$C$19,2,0),0)</f>
        <v>132000</v>
      </c>
      <c r="AA207" s="34">
        <f>IF(F207&lt;2.5,3*VLOOKUP($AA$2,'Unit Price'!$B$3:$C$19,2,0),0)</f>
        <v>165000</v>
      </c>
      <c r="AB207" s="34">
        <f>IF(F207&gt;2.5,6*VLOOKUP($AB$2,'Unit Price'!$B$3:$C$19,2,0),0)</f>
        <v>0</v>
      </c>
      <c r="AC207" s="34">
        <f>IF(F207&gt;2.5,3*VLOOKUP($AC$2,'Unit Price'!$B$3:$C$19,2,0),0)</f>
        <v>0</v>
      </c>
      <c r="AD207" s="36"/>
      <c r="AE207" s="46">
        <f t="shared" si="14"/>
        <v>1644500</v>
      </c>
      <c r="AF207" s="66">
        <f t="shared" si="15"/>
        <v>175500</v>
      </c>
    </row>
    <row r="208" spans="1:32">
      <c r="A208" s="17">
        <v>206</v>
      </c>
      <c r="B208" s="5" t="s">
        <v>444</v>
      </c>
      <c r="C208" s="5" t="s">
        <v>445</v>
      </c>
      <c r="D208" s="5" t="s">
        <v>37</v>
      </c>
      <c r="E208" s="5">
        <v>7.5167999999999999</v>
      </c>
      <c r="F208" s="18">
        <v>2</v>
      </c>
      <c r="G208" s="5">
        <v>8</v>
      </c>
      <c r="H208" s="50">
        <v>7</v>
      </c>
      <c r="I208" s="58">
        <v>56</v>
      </c>
      <c r="J208" s="5">
        <f t="shared" si="12"/>
        <v>0.65</v>
      </c>
      <c r="K208" s="36">
        <v>2800000</v>
      </c>
      <c r="L208" s="37">
        <f t="shared" si="13"/>
        <v>1820000</v>
      </c>
      <c r="N208" s="34">
        <f>H208*VLOOKUP($N$2,'Unit Price'!$B$3:$C$19,2,0)</f>
        <v>126000</v>
      </c>
      <c r="O208" s="34">
        <f>1*VLOOKUP($O$2,'Unit Price'!$B$3:$C$19,2,0)</f>
        <v>10000</v>
      </c>
      <c r="P208" s="34">
        <f>1*VLOOKUP($P$2,'Unit Price'!$B$3:$C$19,2,0)</f>
        <v>8000</v>
      </c>
      <c r="Q208" s="34">
        <f>G208*2*VLOOKUP($Q$2,'Unit Price'!$B$3:$C$19,2,0)</f>
        <v>24000</v>
      </c>
      <c r="R208" s="34">
        <f>H208*3*VLOOKUP($R$2,'Unit Price'!$B$3:$C$19,2,0)</f>
        <v>52500</v>
      </c>
      <c r="S208" s="34">
        <f>IF(F208&lt;=2.2,3*VLOOKUP($S$2,'Unit Price'!$B$3:$C$19,2,0),5*VLOOKUP($S$2,'Unit Price'!$B$3:$C$19,2,0))</f>
        <v>30000</v>
      </c>
      <c r="T208" s="34">
        <f>IF(F208&lt;=2.06,VLOOKUP($T$2,'Unit Price'!$B$3:$C$19,2,0),0)</f>
        <v>795000</v>
      </c>
      <c r="U208" s="34">
        <f>IF(F208&lt;=2.06,VLOOKUP($U$2,'Unit Price'!$B$3:$C$19,2,0),0)</f>
        <v>245000</v>
      </c>
      <c r="V208" s="34">
        <f>IF(AND(F208&gt;2.06,F208&lt;2.5),VLOOKUP($V$2,'Unit Price'!$B$3:$C$19,2,0),0)</f>
        <v>0</v>
      </c>
      <c r="W208" s="34">
        <f>IF(AND(F208&gt;2.06,F208&lt;2.5),VLOOKUP($W$2,'Unit Price'!$B$3:$C$19,2,0),0)</f>
        <v>0</v>
      </c>
      <c r="X208" s="34">
        <f>IF(F208&gt;2.5,VLOOKUP($X$2,'Unit Price'!$B$3:$C$19,2,0),0)</f>
        <v>0</v>
      </c>
      <c r="Y208" s="34">
        <f>IF(F208&gt;2.5,VLOOKUP($Y$2,'Unit Price'!$B$3:$C$19,2,0),0)</f>
        <v>0</v>
      </c>
      <c r="Z208" s="34">
        <f>IF(F208&lt;2.5,6*VLOOKUP($Z$2,'Unit Price'!$B$3:$C$19,2,0),0)</f>
        <v>132000</v>
      </c>
      <c r="AA208" s="34">
        <f>IF(F208&lt;2.5,3*VLOOKUP($AA$2,'Unit Price'!$B$3:$C$19,2,0),0)</f>
        <v>165000</v>
      </c>
      <c r="AB208" s="34">
        <f>IF(F208&gt;2.5,6*VLOOKUP($AB$2,'Unit Price'!$B$3:$C$19,2,0),0)</f>
        <v>0</v>
      </c>
      <c r="AC208" s="34">
        <f>IF(F208&gt;2.5,3*VLOOKUP($AC$2,'Unit Price'!$B$3:$C$19,2,0),0)</f>
        <v>0</v>
      </c>
      <c r="AD208" s="36"/>
      <c r="AE208" s="46">
        <f t="shared" si="14"/>
        <v>1587500</v>
      </c>
      <c r="AF208" s="66">
        <f t="shared" si="15"/>
        <v>232500</v>
      </c>
    </row>
    <row r="209" spans="1:32">
      <c r="A209" s="17">
        <v>207</v>
      </c>
      <c r="B209" s="5" t="s">
        <v>446</v>
      </c>
      <c r="C209" s="5" t="s">
        <v>447</v>
      </c>
      <c r="D209" s="5" t="s">
        <v>37</v>
      </c>
      <c r="E209" s="5">
        <v>10.098000000000001</v>
      </c>
      <c r="F209" s="18">
        <v>2</v>
      </c>
      <c r="G209" s="5">
        <v>7</v>
      </c>
      <c r="H209" s="50">
        <v>6</v>
      </c>
      <c r="I209" s="58">
        <v>42</v>
      </c>
      <c r="J209" s="5">
        <f t="shared" si="12"/>
        <v>0.65</v>
      </c>
      <c r="K209" s="36">
        <v>2800000</v>
      </c>
      <c r="L209" s="37">
        <f t="shared" si="13"/>
        <v>1820000</v>
      </c>
      <c r="N209" s="34">
        <f>H209*VLOOKUP($N$2,'Unit Price'!$B$3:$C$19,2,0)</f>
        <v>108000</v>
      </c>
      <c r="O209" s="34">
        <f>1*VLOOKUP($O$2,'Unit Price'!$B$3:$C$19,2,0)</f>
        <v>10000</v>
      </c>
      <c r="P209" s="34">
        <f>1*VLOOKUP($P$2,'Unit Price'!$B$3:$C$19,2,0)</f>
        <v>8000</v>
      </c>
      <c r="Q209" s="34">
        <f>G209*2*VLOOKUP($Q$2,'Unit Price'!$B$3:$C$19,2,0)</f>
        <v>21000</v>
      </c>
      <c r="R209" s="34">
        <f>H209*3*VLOOKUP($R$2,'Unit Price'!$B$3:$C$19,2,0)</f>
        <v>45000</v>
      </c>
      <c r="S209" s="34">
        <f>IF(F209&lt;=2.2,3*VLOOKUP($S$2,'Unit Price'!$B$3:$C$19,2,0),5*VLOOKUP($S$2,'Unit Price'!$B$3:$C$19,2,0))</f>
        <v>30000</v>
      </c>
      <c r="T209" s="34">
        <f>IF(F209&lt;=2.06,VLOOKUP($T$2,'Unit Price'!$B$3:$C$19,2,0),0)</f>
        <v>795000</v>
      </c>
      <c r="U209" s="34">
        <f>IF(F209&lt;=2.06,VLOOKUP($U$2,'Unit Price'!$B$3:$C$19,2,0),0)</f>
        <v>245000</v>
      </c>
      <c r="V209" s="34">
        <f>IF(AND(F209&gt;2.06,F209&lt;2.5),VLOOKUP($V$2,'Unit Price'!$B$3:$C$19,2,0),0)</f>
        <v>0</v>
      </c>
      <c r="W209" s="34">
        <f>IF(AND(F209&gt;2.06,F209&lt;2.5),VLOOKUP($W$2,'Unit Price'!$B$3:$C$19,2,0),0)</f>
        <v>0</v>
      </c>
      <c r="X209" s="34">
        <f>IF(F209&gt;2.5,VLOOKUP($X$2,'Unit Price'!$B$3:$C$19,2,0),0)</f>
        <v>0</v>
      </c>
      <c r="Y209" s="34">
        <f>IF(F209&gt;2.5,VLOOKUP($Y$2,'Unit Price'!$B$3:$C$19,2,0),0)</f>
        <v>0</v>
      </c>
      <c r="Z209" s="34">
        <f>IF(F209&lt;2.5,6*VLOOKUP($Z$2,'Unit Price'!$B$3:$C$19,2,0),0)</f>
        <v>132000</v>
      </c>
      <c r="AA209" s="34">
        <f>IF(F209&lt;2.5,3*VLOOKUP($AA$2,'Unit Price'!$B$3:$C$19,2,0),0)</f>
        <v>165000</v>
      </c>
      <c r="AB209" s="34">
        <f>IF(F209&gt;2.5,6*VLOOKUP($AB$2,'Unit Price'!$B$3:$C$19,2,0),0)</f>
        <v>0</v>
      </c>
      <c r="AC209" s="34">
        <f>IF(F209&gt;2.5,3*VLOOKUP($AC$2,'Unit Price'!$B$3:$C$19,2,0),0)</f>
        <v>0</v>
      </c>
      <c r="AD209" s="36"/>
      <c r="AE209" s="46">
        <f t="shared" si="14"/>
        <v>1559000</v>
      </c>
      <c r="AF209" s="66">
        <f t="shared" si="15"/>
        <v>261000</v>
      </c>
    </row>
    <row r="210" spans="1:32">
      <c r="A210" s="17">
        <v>208</v>
      </c>
      <c r="B210" s="5" t="s">
        <v>448</v>
      </c>
      <c r="C210" s="5" t="s">
        <v>449</v>
      </c>
      <c r="D210" s="5" t="s">
        <v>37</v>
      </c>
      <c r="E210" s="5">
        <v>13.3056</v>
      </c>
      <c r="F210" s="18">
        <v>2</v>
      </c>
      <c r="G210" s="5">
        <v>6</v>
      </c>
      <c r="H210" s="50">
        <v>6</v>
      </c>
      <c r="I210" s="58">
        <v>36</v>
      </c>
      <c r="J210" s="5">
        <f t="shared" si="12"/>
        <v>0.65</v>
      </c>
      <c r="K210" s="36">
        <v>2800000</v>
      </c>
      <c r="L210" s="37">
        <f t="shared" si="13"/>
        <v>1820000</v>
      </c>
      <c r="N210" s="34">
        <f>H210*VLOOKUP($N$2,'Unit Price'!$B$3:$C$19,2,0)</f>
        <v>108000</v>
      </c>
      <c r="O210" s="34">
        <f>1*VLOOKUP($O$2,'Unit Price'!$B$3:$C$19,2,0)</f>
        <v>10000</v>
      </c>
      <c r="P210" s="34">
        <f>1*VLOOKUP($P$2,'Unit Price'!$B$3:$C$19,2,0)</f>
        <v>8000</v>
      </c>
      <c r="Q210" s="34">
        <f>G210*2*VLOOKUP($Q$2,'Unit Price'!$B$3:$C$19,2,0)</f>
        <v>18000</v>
      </c>
      <c r="R210" s="34">
        <f>H210*3*VLOOKUP($R$2,'Unit Price'!$B$3:$C$19,2,0)</f>
        <v>45000</v>
      </c>
      <c r="S210" s="34">
        <f>IF(F210&lt;=2.2,3*VLOOKUP($S$2,'Unit Price'!$B$3:$C$19,2,0),5*VLOOKUP($S$2,'Unit Price'!$B$3:$C$19,2,0))</f>
        <v>30000</v>
      </c>
      <c r="T210" s="34">
        <f>IF(F210&lt;=2.06,VLOOKUP($T$2,'Unit Price'!$B$3:$C$19,2,0),0)</f>
        <v>795000</v>
      </c>
      <c r="U210" s="34">
        <f>IF(F210&lt;=2.06,VLOOKUP($U$2,'Unit Price'!$B$3:$C$19,2,0),0)</f>
        <v>245000</v>
      </c>
      <c r="V210" s="34">
        <f>IF(AND(F210&gt;2.06,F210&lt;2.5),VLOOKUP($V$2,'Unit Price'!$B$3:$C$19,2,0),0)</f>
        <v>0</v>
      </c>
      <c r="W210" s="34">
        <f>IF(AND(F210&gt;2.06,F210&lt;2.5),VLOOKUP($W$2,'Unit Price'!$B$3:$C$19,2,0),0)</f>
        <v>0</v>
      </c>
      <c r="X210" s="34">
        <f>IF(F210&gt;2.5,VLOOKUP($X$2,'Unit Price'!$B$3:$C$19,2,0),0)</f>
        <v>0</v>
      </c>
      <c r="Y210" s="34">
        <f>IF(F210&gt;2.5,VLOOKUP($Y$2,'Unit Price'!$B$3:$C$19,2,0),0)</f>
        <v>0</v>
      </c>
      <c r="Z210" s="34">
        <f>IF(F210&lt;2.5,6*VLOOKUP($Z$2,'Unit Price'!$B$3:$C$19,2,0),0)</f>
        <v>132000</v>
      </c>
      <c r="AA210" s="34">
        <f>IF(F210&lt;2.5,3*VLOOKUP($AA$2,'Unit Price'!$B$3:$C$19,2,0),0)</f>
        <v>165000</v>
      </c>
      <c r="AB210" s="34">
        <f>IF(F210&gt;2.5,6*VLOOKUP($AB$2,'Unit Price'!$B$3:$C$19,2,0),0)</f>
        <v>0</v>
      </c>
      <c r="AC210" s="34">
        <f>IF(F210&gt;2.5,3*VLOOKUP($AC$2,'Unit Price'!$B$3:$C$19,2,0),0)</f>
        <v>0</v>
      </c>
      <c r="AD210" s="36"/>
      <c r="AE210" s="46">
        <f t="shared" si="14"/>
        <v>1556000</v>
      </c>
      <c r="AF210" s="66">
        <f t="shared" si="15"/>
        <v>264000</v>
      </c>
    </row>
    <row r="211" spans="1:32">
      <c r="A211" s="17">
        <v>209</v>
      </c>
      <c r="B211" s="5" t="s">
        <v>450</v>
      </c>
      <c r="C211" s="5" t="s">
        <v>451</v>
      </c>
      <c r="D211" s="5" t="s">
        <v>37</v>
      </c>
      <c r="E211" s="5">
        <v>5.3377999999999997</v>
      </c>
      <c r="F211" s="18">
        <v>2</v>
      </c>
      <c r="G211" s="5">
        <v>8</v>
      </c>
      <c r="H211" s="50">
        <v>13</v>
      </c>
      <c r="I211" s="58">
        <v>104</v>
      </c>
      <c r="J211" s="5">
        <f t="shared" si="12"/>
        <v>0.65</v>
      </c>
      <c r="K211" s="36">
        <v>2800000</v>
      </c>
      <c r="L211" s="37">
        <f t="shared" si="13"/>
        <v>1820000</v>
      </c>
      <c r="N211" s="34">
        <f>H211*VLOOKUP($N$2,'Unit Price'!$B$3:$C$19,2,0)</f>
        <v>234000</v>
      </c>
      <c r="O211" s="34">
        <f>1*VLOOKUP($O$2,'Unit Price'!$B$3:$C$19,2,0)</f>
        <v>10000</v>
      </c>
      <c r="P211" s="34">
        <f>1*VLOOKUP($P$2,'Unit Price'!$B$3:$C$19,2,0)</f>
        <v>8000</v>
      </c>
      <c r="Q211" s="34">
        <f>G211*2*VLOOKUP($Q$2,'Unit Price'!$B$3:$C$19,2,0)</f>
        <v>24000</v>
      </c>
      <c r="R211" s="34">
        <f>H211*3*VLOOKUP($R$2,'Unit Price'!$B$3:$C$19,2,0)</f>
        <v>97500</v>
      </c>
      <c r="S211" s="34">
        <f>IF(F211&lt;=2.2,3*VLOOKUP($S$2,'Unit Price'!$B$3:$C$19,2,0),5*VLOOKUP($S$2,'Unit Price'!$B$3:$C$19,2,0))</f>
        <v>30000</v>
      </c>
      <c r="T211" s="34">
        <f>IF(F211&lt;=2.06,VLOOKUP($T$2,'Unit Price'!$B$3:$C$19,2,0),0)</f>
        <v>795000</v>
      </c>
      <c r="U211" s="34">
        <f>IF(F211&lt;=2.06,VLOOKUP($U$2,'Unit Price'!$B$3:$C$19,2,0),0)</f>
        <v>245000</v>
      </c>
      <c r="V211" s="34">
        <f>IF(AND(F211&gt;2.06,F211&lt;2.5),VLOOKUP($V$2,'Unit Price'!$B$3:$C$19,2,0),0)</f>
        <v>0</v>
      </c>
      <c r="W211" s="34">
        <f>IF(AND(F211&gt;2.06,F211&lt;2.5),VLOOKUP($W$2,'Unit Price'!$B$3:$C$19,2,0),0)</f>
        <v>0</v>
      </c>
      <c r="X211" s="34">
        <f>IF(F211&gt;2.5,VLOOKUP($X$2,'Unit Price'!$B$3:$C$19,2,0),0)</f>
        <v>0</v>
      </c>
      <c r="Y211" s="34">
        <f>IF(F211&gt;2.5,VLOOKUP($Y$2,'Unit Price'!$B$3:$C$19,2,0),0)</f>
        <v>0</v>
      </c>
      <c r="Z211" s="34">
        <f>IF(F211&lt;2.5,6*VLOOKUP($Z$2,'Unit Price'!$B$3:$C$19,2,0),0)</f>
        <v>132000</v>
      </c>
      <c r="AA211" s="34">
        <f>IF(F211&lt;2.5,3*VLOOKUP($AA$2,'Unit Price'!$B$3:$C$19,2,0),0)</f>
        <v>165000</v>
      </c>
      <c r="AB211" s="34">
        <f>IF(F211&gt;2.5,6*VLOOKUP($AB$2,'Unit Price'!$B$3:$C$19,2,0),0)</f>
        <v>0</v>
      </c>
      <c r="AC211" s="34">
        <f>IF(F211&gt;2.5,3*VLOOKUP($AC$2,'Unit Price'!$B$3:$C$19,2,0),0)</f>
        <v>0</v>
      </c>
      <c r="AD211" s="36"/>
      <c r="AE211" s="46">
        <f t="shared" si="14"/>
        <v>1740500</v>
      </c>
      <c r="AF211" s="66">
        <f t="shared" si="15"/>
        <v>79500</v>
      </c>
    </row>
    <row r="212" spans="1:32">
      <c r="A212" s="17">
        <v>210</v>
      </c>
      <c r="B212" s="5" t="s">
        <v>452</v>
      </c>
      <c r="C212" s="5" t="s">
        <v>453</v>
      </c>
      <c r="D212" s="5" t="s">
        <v>37</v>
      </c>
      <c r="E212" s="5">
        <v>2.8917000000000002</v>
      </c>
      <c r="F212" s="18">
        <v>2.04</v>
      </c>
      <c r="G212" s="5">
        <v>10</v>
      </c>
      <c r="H212" s="50">
        <v>15</v>
      </c>
      <c r="I212" s="58">
        <v>150</v>
      </c>
      <c r="J212" s="5">
        <f t="shared" si="12"/>
        <v>0.65</v>
      </c>
      <c r="K212" s="36">
        <v>2800000</v>
      </c>
      <c r="L212" s="37">
        <f t="shared" si="13"/>
        <v>1820000</v>
      </c>
      <c r="N212" s="34">
        <f>H212*VLOOKUP($N$2,'Unit Price'!$B$3:$C$19,2,0)</f>
        <v>270000</v>
      </c>
      <c r="O212" s="34">
        <f>1*VLOOKUP($O$2,'Unit Price'!$B$3:$C$19,2,0)</f>
        <v>10000</v>
      </c>
      <c r="P212" s="34">
        <f>1*VLOOKUP($P$2,'Unit Price'!$B$3:$C$19,2,0)</f>
        <v>8000</v>
      </c>
      <c r="Q212" s="34">
        <f>G212*2*VLOOKUP($Q$2,'Unit Price'!$B$3:$C$19,2,0)</f>
        <v>30000</v>
      </c>
      <c r="R212" s="34">
        <f>H212*3*VLOOKUP($R$2,'Unit Price'!$B$3:$C$19,2,0)</f>
        <v>112500</v>
      </c>
      <c r="S212" s="34">
        <f>IF(F212&lt;=2.2,3*VLOOKUP($S$2,'Unit Price'!$B$3:$C$19,2,0),5*VLOOKUP($S$2,'Unit Price'!$B$3:$C$19,2,0))</f>
        <v>30000</v>
      </c>
      <c r="T212" s="34">
        <f>IF(F212&lt;=2.06,VLOOKUP($T$2,'Unit Price'!$B$3:$C$19,2,0),0)</f>
        <v>795000</v>
      </c>
      <c r="U212" s="34">
        <f>IF(F212&lt;=2.06,VLOOKUP($U$2,'Unit Price'!$B$3:$C$19,2,0),0)</f>
        <v>245000</v>
      </c>
      <c r="V212" s="34">
        <f>IF(AND(F212&gt;2.06,F212&lt;2.5),VLOOKUP($V$2,'Unit Price'!$B$3:$C$19,2,0),0)</f>
        <v>0</v>
      </c>
      <c r="W212" s="34">
        <f>IF(AND(F212&gt;2.06,F212&lt;2.5),VLOOKUP($W$2,'Unit Price'!$B$3:$C$19,2,0),0)</f>
        <v>0</v>
      </c>
      <c r="X212" s="34">
        <f>IF(F212&gt;2.5,VLOOKUP($X$2,'Unit Price'!$B$3:$C$19,2,0),0)</f>
        <v>0</v>
      </c>
      <c r="Y212" s="34">
        <f>IF(F212&gt;2.5,VLOOKUP($Y$2,'Unit Price'!$B$3:$C$19,2,0),0)</f>
        <v>0</v>
      </c>
      <c r="Z212" s="34">
        <f>IF(F212&lt;2.5,6*VLOOKUP($Z$2,'Unit Price'!$B$3:$C$19,2,0),0)</f>
        <v>132000</v>
      </c>
      <c r="AA212" s="34">
        <f>IF(F212&lt;2.5,3*VLOOKUP($AA$2,'Unit Price'!$B$3:$C$19,2,0),0)</f>
        <v>165000</v>
      </c>
      <c r="AB212" s="34">
        <f>IF(F212&gt;2.5,6*VLOOKUP($AB$2,'Unit Price'!$B$3:$C$19,2,0),0)</f>
        <v>0</v>
      </c>
      <c r="AC212" s="34">
        <f>IF(F212&gt;2.5,3*VLOOKUP($AC$2,'Unit Price'!$B$3:$C$19,2,0),0)</f>
        <v>0</v>
      </c>
      <c r="AD212" s="36"/>
      <c r="AE212" s="46">
        <f t="shared" si="14"/>
        <v>1797500</v>
      </c>
      <c r="AF212" s="66">
        <f t="shared" si="15"/>
        <v>22500</v>
      </c>
    </row>
    <row r="213" spans="1:32">
      <c r="A213" s="17">
        <v>211</v>
      </c>
      <c r="B213" s="5" t="s">
        <v>454</v>
      </c>
      <c r="C213" s="5" t="s">
        <v>455</v>
      </c>
      <c r="D213" s="5" t="s">
        <v>37</v>
      </c>
      <c r="E213" s="5">
        <v>1.0074000000000001</v>
      </c>
      <c r="F213" s="18">
        <v>2</v>
      </c>
      <c r="G213" s="5">
        <v>19</v>
      </c>
      <c r="H213" s="50">
        <v>22</v>
      </c>
      <c r="I213" s="58">
        <v>418</v>
      </c>
      <c r="J213" s="5">
        <f t="shared" si="12"/>
        <v>0.65</v>
      </c>
      <c r="K213" s="36">
        <v>2800000</v>
      </c>
      <c r="L213" s="37">
        <f t="shared" si="13"/>
        <v>1820000</v>
      </c>
      <c r="N213" s="34">
        <f>H213*VLOOKUP($N$2,'Unit Price'!$B$3:$C$19,2,0)</f>
        <v>396000</v>
      </c>
      <c r="O213" s="34">
        <f>1*VLOOKUP($O$2,'Unit Price'!$B$3:$C$19,2,0)</f>
        <v>10000</v>
      </c>
      <c r="P213" s="34">
        <f>1*VLOOKUP($P$2,'Unit Price'!$B$3:$C$19,2,0)</f>
        <v>8000</v>
      </c>
      <c r="Q213" s="34">
        <f>G213*2*VLOOKUP($Q$2,'Unit Price'!$B$3:$C$19,2,0)</f>
        <v>57000</v>
      </c>
      <c r="R213" s="34">
        <f>H213*3*VLOOKUP($R$2,'Unit Price'!$B$3:$C$19,2,0)</f>
        <v>165000</v>
      </c>
      <c r="S213" s="34">
        <f>IF(F213&lt;=2.2,3*VLOOKUP($S$2,'Unit Price'!$B$3:$C$19,2,0),5*VLOOKUP($S$2,'Unit Price'!$B$3:$C$19,2,0))</f>
        <v>30000</v>
      </c>
      <c r="T213" s="34">
        <f>IF(F213&lt;=2.06,VLOOKUP($T$2,'Unit Price'!$B$3:$C$19,2,0),0)</f>
        <v>795000</v>
      </c>
      <c r="U213" s="34">
        <f>IF(F213&lt;=2.06,VLOOKUP($U$2,'Unit Price'!$B$3:$C$19,2,0),0)</f>
        <v>245000</v>
      </c>
      <c r="V213" s="34">
        <f>IF(AND(F213&gt;2.06,F213&lt;2.5),VLOOKUP($V$2,'Unit Price'!$B$3:$C$19,2,0),0)</f>
        <v>0</v>
      </c>
      <c r="W213" s="34">
        <f>IF(AND(F213&gt;2.06,F213&lt;2.5),VLOOKUP($W$2,'Unit Price'!$B$3:$C$19,2,0),0)</f>
        <v>0</v>
      </c>
      <c r="X213" s="34">
        <f>IF(F213&gt;2.5,VLOOKUP($X$2,'Unit Price'!$B$3:$C$19,2,0),0)</f>
        <v>0</v>
      </c>
      <c r="Y213" s="34">
        <f>IF(F213&gt;2.5,VLOOKUP($Y$2,'Unit Price'!$B$3:$C$19,2,0),0)</f>
        <v>0</v>
      </c>
      <c r="Z213" s="34">
        <f>IF(F213&lt;2.5,6*VLOOKUP($Z$2,'Unit Price'!$B$3:$C$19,2,0),0)</f>
        <v>132000</v>
      </c>
      <c r="AA213" s="34">
        <f>IF(F213&lt;2.5,3*VLOOKUP($AA$2,'Unit Price'!$B$3:$C$19,2,0),0)</f>
        <v>165000</v>
      </c>
      <c r="AB213" s="34">
        <f>IF(F213&gt;2.5,6*VLOOKUP($AB$2,'Unit Price'!$B$3:$C$19,2,0),0)</f>
        <v>0</v>
      </c>
      <c r="AC213" s="34">
        <f>IF(F213&gt;2.5,3*VLOOKUP($AC$2,'Unit Price'!$B$3:$C$19,2,0),0)</f>
        <v>0</v>
      </c>
      <c r="AD213" s="36"/>
      <c r="AE213" s="46">
        <f t="shared" si="14"/>
        <v>2003000</v>
      </c>
      <c r="AF213" s="66">
        <f t="shared" si="15"/>
        <v>-183000</v>
      </c>
    </row>
    <row r="214" spans="1:32">
      <c r="A214" s="17">
        <v>212</v>
      </c>
      <c r="B214" s="5" t="s">
        <v>456</v>
      </c>
      <c r="C214" s="5" t="s">
        <v>457</v>
      </c>
      <c r="D214" s="5" t="s">
        <v>37</v>
      </c>
      <c r="E214" s="5">
        <v>1.6022000000000001</v>
      </c>
      <c r="F214" s="18">
        <v>2</v>
      </c>
      <c r="G214" s="5">
        <v>17</v>
      </c>
      <c r="H214" s="50">
        <v>16</v>
      </c>
      <c r="I214" s="58">
        <v>272</v>
      </c>
      <c r="J214" s="5">
        <f t="shared" si="12"/>
        <v>0.65</v>
      </c>
      <c r="K214" s="36">
        <v>2800000</v>
      </c>
      <c r="L214" s="37">
        <f t="shared" si="13"/>
        <v>1820000</v>
      </c>
      <c r="N214" s="34">
        <f>H214*VLOOKUP($N$2,'Unit Price'!$B$3:$C$19,2,0)</f>
        <v>288000</v>
      </c>
      <c r="O214" s="34">
        <f>1*VLOOKUP($O$2,'Unit Price'!$B$3:$C$19,2,0)</f>
        <v>10000</v>
      </c>
      <c r="P214" s="34">
        <f>1*VLOOKUP($P$2,'Unit Price'!$B$3:$C$19,2,0)</f>
        <v>8000</v>
      </c>
      <c r="Q214" s="34">
        <f>G214*2*VLOOKUP($Q$2,'Unit Price'!$B$3:$C$19,2,0)</f>
        <v>51000</v>
      </c>
      <c r="R214" s="34">
        <f>H214*3*VLOOKUP($R$2,'Unit Price'!$B$3:$C$19,2,0)</f>
        <v>120000</v>
      </c>
      <c r="S214" s="34">
        <f>IF(F214&lt;=2.2,3*VLOOKUP($S$2,'Unit Price'!$B$3:$C$19,2,0),5*VLOOKUP($S$2,'Unit Price'!$B$3:$C$19,2,0))</f>
        <v>30000</v>
      </c>
      <c r="T214" s="34">
        <f>IF(F214&lt;=2.06,VLOOKUP($T$2,'Unit Price'!$B$3:$C$19,2,0),0)</f>
        <v>795000</v>
      </c>
      <c r="U214" s="34">
        <f>IF(F214&lt;=2.06,VLOOKUP($U$2,'Unit Price'!$B$3:$C$19,2,0),0)</f>
        <v>245000</v>
      </c>
      <c r="V214" s="34">
        <f>IF(AND(F214&gt;2.06,F214&lt;2.5),VLOOKUP($V$2,'Unit Price'!$B$3:$C$19,2,0),0)</f>
        <v>0</v>
      </c>
      <c r="W214" s="34">
        <f>IF(AND(F214&gt;2.06,F214&lt;2.5),VLOOKUP($W$2,'Unit Price'!$B$3:$C$19,2,0),0)</f>
        <v>0</v>
      </c>
      <c r="X214" s="34">
        <f>IF(F214&gt;2.5,VLOOKUP($X$2,'Unit Price'!$B$3:$C$19,2,0),0)</f>
        <v>0</v>
      </c>
      <c r="Y214" s="34">
        <f>IF(F214&gt;2.5,VLOOKUP($Y$2,'Unit Price'!$B$3:$C$19,2,0),0)</f>
        <v>0</v>
      </c>
      <c r="Z214" s="34">
        <f>IF(F214&lt;2.5,6*VLOOKUP($Z$2,'Unit Price'!$B$3:$C$19,2,0),0)</f>
        <v>132000</v>
      </c>
      <c r="AA214" s="34">
        <f>IF(F214&lt;2.5,3*VLOOKUP($AA$2,'Unit Price'!$B$3:$C$19,2,0),0)</f>
        <v>165000</v>
      </c>
      <c r="AB214" s="34">
        <f>IF(F214&gt;2.5,6*VLOOKUP($AB$2,'Unit Price'!$B$3:$C$19,2,0),0)</f>
        <v>0</v>
      </c>
      <c r="AC214" s="34">
        <f>IF(F214&gt;2.5,3*VLOOKUP($AC$2,'Unit Price'!$B$3:$C$19,2,0),0)</f>
        <v>0</v>
      </c>
      <c r="AD214" s="36"/>
      <c r="AE214" s="46">
        <f t="shared" si="14"/>
        <v>1844000</v>
      </c>
      <c r="AF214" s="66">
        <f t="shared" si="15"/>
        <v>-24000</v>
      </c>
    </row>
    <row r="215" spans="1:32">
      <c r="A215" s="17">
        <v>213</v>
      </c>
      <c r="B215" s="5" t="s">
        <v>458</v>
      </c>
      <c r="C215" s="5" t="s">
        <v>459</v>
      </c>
      <c r="D215" s="5" t="s">
        <v>37</v>
      </c>
      <c r="E215" s="5">
        <v>3.0526</v>
      </c>
      <c r="F215" s="18">
        <v>2</v>
      </c>
      <c r="G215" s="5">
        <v>13</v>
      </c>
      <c r="H215" s="50">
        <v>12</v>
      </c>
      <c r="I215" s="58">
        <v>156</v>
      </c>
      <c r="J215" s="5">
        <f t="shared" si="12"/>
        <v>0.65</v>
      </c>
      <c r="K215" s="36">
        <v>2800000</v>
      </c>
      <c r="L215" s="37">
        <f t="shared" si="13"/>
        <v>1820000</v>
      </c>
      <c r="N215" s="34">
        <f>H215*VLOOKUP($N$2,'Unit Price'!$B$3:$C$19,2,0)</f>
        <v>216000</v>
      </c>
      <c r="O215" s="34">
        <f>1*VLOOKUP($O$2,'Unit Price'!$B$3:$C$19,2,0)</f>
        <v>10000</v>
      </c>
      <c r="P215" s="34">
        <f>1*VLOOKUP($P$2,'Unit Price'!$B$3:$C$19,2,0)</f>
        <v>8000</v>
      </c>
      <c r="Q215" s="34">
        <f>G215*2*VLOOKUP($Q$2,'Unit Price'!$B$3:$C$19,2,0)</f>
        <v>39000</v>
      </c>
      <c r="R215" s="34">
        <f>H215*3*VLOOKUP($R$2,'Unit Price'!$B$3:$C$19,2,0)</f>
        <v>90000</v>
      </c>
      <c r="S215" s="34">
        <f>IF(F215&lt;=2.2,3*VLOOKUP($S$2,'Unit Price'!$B$3:$C$19,2,0),5*VLOOKUP($S$2,'Unit Price'!$B$3:$C$19,2,0))</f>
        <v>30000</v>
      </c>
      <c r="T215" s="34">
        <f>IF(F215&lt;=2.06,VLOOKUP($T$2,'Unit Price'!$B$3:$C$19,2,0),0)</f>
        <v>795000</v>
      </c>
      <c r="U215" s="34">
        <f>IF(F215&lt;=2.06,VLOOKUP($U$2,'Unit Price'!$B$3:$C$19,2,0),0)</f>
        <v>245000</v>
      </c>
      <c r="V215" s="34">
        <f>IF(AND(F215&gt;2.06,F215&lt;2.5),VLOOKUP($V$2,'Unit Price'!$B$3:$C$19,2,0),0)</f>
        <v>0</v>
      </c>
      <c r="W215" s="34">
        <f>IF(AND(F215&gt;2.06,F215&lt;2.5),VLOOKUP($W$2,'Unit Price'!$B$3:$C$19,2,0),0)</f>
        <v>0</v>
      </c>
      <c r="X215" s="34">
        <f>IF(F215&gt;2.5,VLOOKUP($X$2,'Unit Price'!$B$3:$C$19,2,0),0)</f>
        <v>0</v>
      </c>
      <c r="Y215" s="34">
        <f>IF(F215&gt;2.5,VLOOKUP($Y$2,'Unit Price'!$B$3:$C$19,2,0),0)</f>
        <v>0</v>
      </c>
      <c r="Z215" s="34">
        <f>IF(F215&lt;2.5,6*VLOOKUP($Z$2,'Unit Price'!$B$3:$C$19,2,0),0)</f>
        <v>132000</v>
      </c>
      <c r="AA215" s="34">
        <f>IF(F215&lt;2.5,3*VLOOKUP($AA$2,'Unit Price'!$B$3:$C$19,2,0),0)</f>
        <v>165000</v>
      </c>
      <c r="AB215" s="34">
        <f>IF(F215&gt;2.5,6*VLOOKUP($AB$2,'Unit Price'!$B$3:$C$19,2,0),0)</f>
        <v>0</v>
      </c>
      <c r="AC215" s="34">
        <f>IF(F215&gt;2.5,3*VLOOKUP($AC$2,'Unit Price'!$B$3:$C$19,2,0),0)</f>
        <v>0</v>
      </c>
      <c r="AD215" s="36"/>
      <c r="AE215" s="46">
        <f t="shared" si="14"/>
        <v>1730000</v>
      </c>
      <c r="AF215" s="66">
        <f t="shared" si="15"/>
        <v>90000</v>
      </c>
    </row>
    <row r="216" spans="1:32">
      <c r="A216" s="17">
        <v>214</v>
      </c>
      <c r="B216" s="5" t="s">
        <v>460</v>
      </c>
      <c r="C216" s="5" t="s">
        <v>461</v>
      </c>
      <c r="D216" s="5" t="s">
        <v>37</v>
      </c>
      <c r="E216" s="5">
        <v>4.9414999999999996</v>
      </c>
      <c r="F216" s="18">
        <v>2</v>
      </c>
      <c r="G216" s="5">
        <v>10</v>
      </c>
      <c r="H216" s="50">
        <v>10</v>
      </c>
      <c r="I216" s="58">
        <v>100</v>
      </c>
      <c r="J216" s="5">
        <f t="shared" si="12"/>
        <v>0.65</v>
      </c>
      <c r="K216" s="36">
        <v>2800000</v>
      </c>
      <c r="L216" s="37">
        <f t="shared" si="13"/>
        <v>1820000</v>
      </c>
      <c r="N216" s="34">
        <f>H216*VLOOKUP($N$2,'Unit Price'!$B$3:$C$19,2,0)</f>
        <v>180000</v>
      </c>
      <c r="O216" s="34">
        <f>1*VLOOKUP($O$2,'Unit Price'!$B$3:$C$19,2,0)</f>
        <v>10000</v>
      </c>
      <c r="P216" s="34">
        <f>1*VLOOKUP($P$2,'Unit Price'!$B$3:$C$19,2,0)</f>
        <v>8000</v>
      </c>
      <c r="Q216" s="34">
        <f>G216*2*VLOOKUP($Q$2,'Unit Price'!$B$3:$C$19,2,0)</f>
        <v>30000</v>
      </c>
      <c r="R216" s="34">
        <f>H216*3*VLOOKUP($R$2,'Unit Price'!$B$3:$C$19,2,0)</f>
        <v>75000</v>
      </c>
      <c r="S216" s="34">
        <f>IF(F216&lt;=2.2,3*VLOOKUP($S$2,'Unit Price'!$B$3:$C$19,2,0),5*VLOOKUP($S$2,'Unit Price'!$B$3:$C$19,2,0))</f>
        <v>30000</v>
      </c>
      <c r="T216" s="34">
        <f>IF(F216&lt;=2.06,VLOOKUP($T$2,'Unit Price'!$B$3:$C$19,2,0),0)</f>
        <v>795000</v>
      </c>
      <c r="U216" s="34">
        <f>IF(F216&lt;=2.06,VLOOKUP($U$2,'Unit Price'!$B$3:$C$19,2,0),0)</f>
        <v>245000</v>
      </c>
      <c r="V216" s="34">
        <f>IF(AND(F216&gt;2.06,F216&lt;2.5),VLOOKUP($V$2,'Unit Price'!$B$3:$C$19,2,0),0)</f>
        <v>0</v>
      </c>
      <c r="W216" s="34">
        <f>IF(AND(F216&gt;2.06,F216&lt;2.5),VLOOKUP($W$2,'Unit Price'!$B$3:$C$19,2,0),0)</f>
        <v>0</v>
      </c>
      <c r="X216" s="34">
        <f>IF(F216&gt;2.5,VLOOKUP($X$2,'Unit Price'!$B$3:$C$19,2,0),0)</f>
        <v>0</v>
      </c>
      <c r="Y216" s="34">
        <f>IF(F216&gt;2.5,VLOOKUP($Y$2,'Unit Price'!$B$3:$C$19,2,0),0)</f>
        <v>0</v>
      </c>
      <c r="Z216" s="34">
        <f>IF(F216&lt;2.5,6*VLOOKUP($Z$2,'Unit Price'!$B$3:$C$19,2,0),0)</f>
        <v>132000</v>
      </c>
      <c r="AA216" s="34">
        <f>IF(F216&lt;2.5,3*VLOOKUP($AA$2,'Unit Price'!$B$3:$C$19,2,0),0)</f>
        <v>165000</v>
      </c>
      <c r="AB216" s="34">
        <f>IF(F216&gt;2.5,6*VLOOKUP($AB$2,'Unit Price'!$B$3:$C$19,2,0),0)</f>
        <v>0</v>
      </c>
      <c r="AC216" s="34">
        <f>IF(F216&gt;2.5,3*VLOOKUP($AC$2,'Unit Price'!$B$3:$C$19,2,0),0)</f>
        <v>0</v>
      </c>
      <c r="AD216" s="36"/>
      <c r="AE216" s="46">
        <f t="shared" si="14"/>
        <v>1670000</v>
      </c>
      <c r="AF216" s="66">
        <f t="shared" si="15"/>
        <v>150000</v>
      </c>
    </row>
    <row r="217" spans="1:32">
      <c r="A217" s="17">
        <v>215</v>
      </c>
      <c r="B217" s="5" t="s">
        <v>462</v>
      </c>
      <c r="C217" s="5" t="s">
        <v>463</v>
      </c>
      <c r="D217" s="5" t="s">
        <v>37</v>
      </c>
      <c r="E217" s="5">
        <v>7.5387000000000004</v>
      </c>
      <c r="F217" s="18">
        <v>2</v>
      </c>
      <c r="G217" s="5">
        <v>8</v>
      </c>
      <c r="H217" s="50">
        <v>8</v>
      </c>
      <c r="I217" s="58">
        <v>64</v>
      </c>
      <c r="J217" s="5">
        <f t="shared" si="12"/>
        <v>0.65</v>
      </c>
      <c r="K217" s="36">
        <v>2800000</v>
      </c>
      <c r="L217" s="37">
        <f t="shared" si="13"/>
        <v>1820000</v>
      </c>
      <c r="N217" s="34">
        <f>H217*VLOOKUP($N$2,'Unit Price'!$B$3:$C$19,2,0)</f>
        <v>144000</v>
      </c>
      <c r="O217" s="34">
        <f>1*VLOOKUP($O$2,'Unit Price'!$B$3:$C$19,2,0)</f>
        <v>10000</v>
      </c>
      <c r="P217" s="34">
        <f>1*VLOOKUP($P$2,'Unit Price'!$B$3:$C$19,2,0)</f>
        <v>8000</v>
      </c>
      <c r="Q217" s="34">
        <f>G217*2*VLOOKUP($Q$2,'Unit Price'!$B$3:$C$19,2,0)</f>
        <v>24000</v>
      </c>
      <c r="R217" s="34">
        <f>H217*3*VLOOKUP($R$2,'Unit Price'!$B$3:$C$19,2,0)</f>
        <v>60000</v>
      </c>
      <c r="S217" s="34">
        <f>IF(F217&lt;=2.2,3*VLOOKUP($S$2,'Unit Price'!$B$3:$C$19,2,0),5*VLOOKUP($S$2,'Unit Price'!$B$3:$C$19,2,0))</f>
        <v>30000</v>
      </c>
      <c r="T217" s="34">
        <f>IF(F217&lt;=2.06,VLOOKUP($T$2,'Unit Price'!$B$3:$C$19,2,0),0)</f>
        <v>795000</v>
      </c>
      <c r="U217" s="34">
        <f>IF(F217&lt;=2.06,VLOOKUP($U$2,'Unit Price'!$B$3:$C$19,2,0),0)</f>
        <v>245000</v>
      </c>
      <c r="V217" s="34">
        <f>IF(AND(F217&gt;2.06,F217&lt;2.5),VLOOKUP($V$2,'Unit Price'!$B$3:$C$19,2,0),0)</f>
        <v>0</v>
      </c>
      <c r="W217" s="34">
        <f>IF(AND(F217&gt;2.06,F217&lt;2.5),VLOOKUP($W$2,'Unit Price'!$B$3:$C$19,2,0),0)</f>
        <v>0</v>
      </c>
      <c r="X217" s="34">
        <f>IF(F217&gt;2.5,VLOOKUP($X$2,'Unit Price'!$B$3:$C$19,2,0),0)</f>
        <v>0</v>
      </c>
      <c r="Y217" s="34">
        <f>IF(F217&gt;2.5,VLOOKUP($Y$2,'Unit Price'!$B$3:$C$19,2,0),0)</f>
        <v>0</v>
      </c>
      <c r="Z217" s="34">
        <f>IF(F217&lt;2.5,6*VLOOKUP($Z$2,'Unit Price'!$B$3:$C$19,2,0),0)</f>
        <v>132000</v>
      </c>
      <c r="AA217" s="34">
        <f>IF(F217&lt;2.5,3*VLOOKUP($AA$2,'Unit Price'!$B$3:$C$19,2,0),0)</f>
        <v>165000</v>
      </c>
      <c r="AB217" s="34">
        <f>IF(F217&gt;2.5,6*VLOOKUP($AB$2,'Unit Price'!$B$3:$C$19,2,0),0)</f>
        <v>0</v>
      </c>
      <c r="AC217" s="34">
        <f>IF(F217&gt;2.5,3*VLOOKUP($AC$2,'Unit Price'!$B$3:$C$19,2,0),0)</f>
        <v>0</v>
      </c>
      <c r="AD217" s="36"/>
      <c r="AE217" s="46">
        <f t="shared" si="14"/>
        <v>1613000</v>
      </c>
      <c r="AF217" s="66">
        <f t="shared" si="15"/>
        <v>207000</v>
      </c>
    </row>
    <row r="218" spans="1:32">
      <c r="A218" s="17">
        <v>216</v>
      </c>
      <c r="B218" s="5" t="s">
        <v>464</v>
      </c>
      <c r="C218" s="5" t="s">
        <v>465</v>
      </c>
      <c r="D218" s="5" t="s">
        <v>37</v>
      </c>
      <c r="E218" s="5">
        <v>11.481199999999999</v>
      </c>
      <c r="F218" s="18">
        <v>2</v>
      </c>
      <c r="G218" s="5">
        <v>7</v>
      </c>
      <c r="H218" s="50">
        <v>7</v>
      </c>
      <c r="I218" s="58">
        <v>49</v>
      </c>
      <c r="J218" s="5">
        <f t="shared" si="12"/>
        <v>0.65</v>
      </c>
      <c r="K218" s="36">
        <v>2800000</v>
      </c>
      <c r="L218" s="37">
        <f t="shared" si="13"/>
        <v>1820000</v>
      </c>
      <c r="N218" s="34">
        <f>H218*VLOOKUP($N$2,'Unit Price'!$B$3:$C$19,2,0)</f>
        <v>126000</v>
      </c>
      <c r="O218" s="34">
        <f>1*VLOOKUP($O$2,'Unit Price'!$B$3:$C$19,2,0)</f>
        <v>10000</v>
      </c>
      <c r="P218" s="34">
        <f>1*VLOOKUP($P$2,'Unit Price'!$B$3:$C$19,2,0)</f>
        <v>8000</v>
      </c>
      <c r="Q218" s="34">
        <f>G218*2*VLOOKUP($Q$2,'Unit Price'!$B$3:$C$19,2,0)</f>
        <v>21000</v>
      </c>
      <c r="R218" s="34">
        <f>H218*3*VLOOKUP($R$2,'Unit Price'!$B$3:$C$19,2,0)</f>
        <v>52500</v>
      </c>
      <c r="S218" s="34">
        <f>IF(F218&lt;=2.2,3*VLOOKUP($S$2,'Unit Price'!$B$3:$C$19,2,0),5*VLOOKUP($S$2,'Unit Price'!$B$3:$C$19,2,0))</f>
        <v>30000</v>
      </c>
      <c r="T218" s="34">
        <f>IF(F218&lt;=2.06,VLOOKUP($T$2,'Unit Price'!$B$3:$C$19,2,0),0)</f>
        <v>795000</v>
      </c>
      <c r="U218" s="34">
        <f>IF(F218&lt;=2.06,VLOOKUP($U$2,'Unit Price'!$B$3:$C$19,2,0),0)</f>
        <v>245000</v>
      </c>
      <c r="V218" s="34">
        <f>IF(AND(F218&gt;2.06,F218&lt;2.5),VLOOKUP($V$2,'Unit Price'!$B$3:$C$19,2,0),0)</f>
        <v>0</v>
      </c>
      <c r="W218" s="34">
        <f>IF(AND(F218&gt;2.06,F218&lt;2.5),VLOOKUP($W$2,'Unit Price'!$B$3:$C$19,2,0),0)</f>
        <v>0</v>
      </c>
      <c r="X218" s="34">
        <f>IF(F218&gt;2.5,VLOOKUP($X$2,'Unit Price'!$B$3:$C$19,2,0),0)</f>
        <v>0</v>
      </c>
      <c r="Y218" s="34">
        <f>IF(F218&gt;2.5,VLOOKUP($Y$2,'Unit Price'!$B$3:$C$19,2,0),0)</f>
        <v>0</v>
      </c>
      <c r="Z218" s="34">
        <f>IF(F218&lt;2.5,6*VLOOKUP($Z$2,'Unit Price'!$B$3:$C$19,2,0),0)</f>
        <v>132000</v>
      </c>
      <c r="AA218" s="34">
        <f>IF(F218&lt;2.5,3*VLOOKUP($AA$2,'Unit Price'!$B$3:$C$19,2,0),0)</f>
        <v>165000</v>
      </c>
      <c r="AB218" s="34">
        <f>IF(F218&gt;2.5,6*VLOOKUP($AB$2,'Unit Price'!$B$3:$C$19,2,0),0)</f>
        <v>0</v>
      </c>
      <c r="AC218" s="34">
        <f>IF(F218&gt;2.5,3*VLOOKUP($AC$2,'Unit Price'!$B$3:$C$19,2,0),0)</f>
        <v>0</v>
      </c>
      <c r="AD218" s="36"/>
      <c r="AE218" s="46">
        <f t="shared" si="14"/>
        <v>1584500</v>
      </c>
      <c r="AF218" s="66">
        <f t="shared" si="15"/>
        <v>235500</v>
      </c>
    </row>
    <row r="219" spans="1:32">
      <c r="A219" s="17">
        <v>217</v>
      </c>
      <c r="B219" s="5" t="s">
        <v>466</v>
      </c>
      <c r="C219" s="5" t="s">
        <v>467</v>
      </c>
      <c r="D219" s="5" t="s">
        <v>37</v>
      </c>
      <c r="E219" s="5">
        <v>15.97</v>
      </c>
      <c r="F219" s="18">
        <v>2</v>
      </c>
      <c r="G219" s="5">
        <v>6</v>
      </c>
      <c r="H219" s="50">
        <v>6</v>
      </c>
      <c r="I219" s="58">
        <v>36</v>
      </c>
      <c r="J219" s="5">
        <f t="shared" si="12"/>
        <v>0.65</v>
      </c>
      <c r="K219" s="36">
        <v>2800000</v>
      </c>
      <c r="L219" s="37">
        <f t="shared" si="13"/>
        <v>1820000</v>
      </c>
      <c r="N219" s="34">
        <f>H219*VLOOKUP($N$2,'Unit Price'!$B$3:$C$19,2,0)</f>
        <v>108000</v>
      </c>
      <c r="O219" s="34">
        <f>1*VLOOKUP($O$2,'Unit Price'!$B$3:$C$19,2,0)</f>
        <v>10000</v>
      </c>
      <c r="P219" s="34">
        <f>1*VLOOKUP($P$2,'Unit Price'!$B$3:$C$19,2,0)</f>
        <v>8000</v>
      </c>
      <c r="Q219" s="34">
        <f>G219*2*VLOOKUP($Q$2,'Unit Price'!$B$3:$C$19,2,0)</f>
        <v>18000</v>
      </c>
      <c r="R219" s="34">
        <f>H219*3*VLOOKUP($R$2,'Unit Price'!$B$3:$C$19,2,0)</f>
        <v>45000</v>
      </c>
      <c r="S219" s="34">
        <f>IF(F219&lt;=2.2,3*VLOOKUP($S$2,'Unit Price'!$B$3:$C$19,2,0),5*VLOOKUP($S$2,'Unit Price'!$B$3:$C$19,2,0))</f>
        <v>30000</v>
      </c>
      <c r="T219" s="34">
        <f>IF(F219&lt;=2.06,VLOOKUP($T$2,'Unit Price'!$B$3:$C$19,2,0),0)</f>
        <v>795000</v>
      </c>
      <c r="U219" s="34">
        <f>IF(F219&lt;=2.06,VLOOKUP($U$2,'Unit Price'!$B$3:$C$19,2,0),0)</f>
        <v>245000</v>
      </c>
      <c r="V219" s="34">
        <f>IF(AND(F219&gt;2.06,F219&lt;2.5),VLOOKUP($V$2,'Unit Price'!$B$3:$C$19,2,0),0)</f>
        <v>0</v>
      </c>
      <c r="W219" s="34">
        <f>IF(AND(F219&gt;2.06,F219&lt;2.5),VLOOKUP($W$2,'Unit Price'!$B$3:$C$19,2,0),0)</f>
        <v>0</v>
      </c>
      <c r="X219" s="34">
        <f>IF(F219&gt;2.5,VLOOKUP($X$2,'Unit Price'!$B$3:$C$19,2,0),0)</f>
        <v>0</v>
      </c>
      <c r="Y219" s="34">
        <f>IF(F219&gt;2.5,VLOOKUP($Y$2,'Unit Price'!$B$3:$C$19,2,0),0)</f>
        <v>0</v>
      </c>
      <c r="Z219" s="34">
        <f>IF(F219&lt;2.5,6*VLOOKUP($Z$2,'Unit Price'!$B$3:$C$19,2,0),0)</f>
        <v>132000</v>
      </c>
      <c r="AA219" s="34">
        <f>IF(F219&lt;2.5,3*VLOOKUP($AA$2,'Unit Price'!$B$3:$C$19,2,0),0)</f>
        <v>165000</v>
      </c>
      <c r="AB219" s="34">
        <f>IF(F219&gt;2.5,6*VLOOKUP($AB$2,'Unit Price'!$B$3:$C$19,2,0),0)</f>
        <v>0</v>
      </c>
      <c r="AC219" s="34">
        <f>IF(F219&gt;2.5,3*VLOOKUP($AC$2,'Unit Price'!$B$3:$C$19,2,0),0)</f>
        <v>0</v>
      </c>
      <c r="AD219" s="36"/>
      <c r="AE219" s="46">
        <f t="shared" si="14"/>
        <v>1556000</v>
      </c>
      <c r="AF219" s="66">
        <f t="shared" si="15"/>
        <v>264000</v>
      </c>
    </row>
    <row r="220" spans="1:32">
      <c r="A220" s="17">
        <v>218</v>
      </c>
      <c r="B220" s="5" t="s">
        <v>468</v>
      </c>
      <c r="C220" s="5" t="s">
        <v>469</v>
      </c>
      <c r="D220" s="5" t="s">
        <v>37</v>
      </c>
      <c r="E220" s="5">
        <v>2.7334800000000001</v>
      </c>
      <c r="F220" s="18">
        <v>2</v>
      </c>
      <c r="G220" s="5">
        <v>13</v>
      </c>
      <c r="H220" s="50">
        <v>18</v>
      </c>
      <c r="I220" s="58">
        <v>234</v>
      </c>
      <c r="J220" s="5">
        <f t="shared" si="12"/>
        <v>0.65</v>
      </c>
      <c r="K220" s="36">
        <v>2800000</v>
      </c>
      <c r="L220" s="37">
        <f t="shared" si="13"/>
        <v>1820000</v>
      </c>
      <c r="N220" s="34">
        <f>H220*VLOOKUP($N$2,'Unit Price'!$B$3:$C$19,2,0)</f>
        <v>324000</v>
      </c>
      <c r="O220" s="34">
        <f>1*VLOOKUP($O$2,'Unit Price'!$B$3:$C$19,2,0)</f>
        <v>10000</v>
      </c>
      <c r="P220" s="34">
        <f>1*VLOOKUP($P$2,'Unit Price'!$B$3:$C$19,2,0)</f>
        <v>8000</v>
      </c>
      <c r="Q220" s="34">
        <f>G220*2*VLOOKUP($Q$2,'Unit Price'!$B$3:$C$19,2,0)</f>
        <v>39000</v>
      </c>
      <c r="R220" s="34">
        <f>H220*3*VLOOKUP($R$2,'Unit Price'!$B$3:$C$19,2,0)</f>
        <v>135000</v>
      </c>
      <c r="S220" s="34">
        <f>IF(F220&lt;=2.2,3*VLOOKUP($S$2,'Unit Price'!$B$3:$C$19,2,0),5*VLOOKUP($S$2,'Unit Price'!$B$3:$C$19,2,0))</f>
        <v>30000</v>
      </c>
      <c r="T220" s="34">
        <f>IF(F220&lt;=2.06,VLOOKUP($T$2,'Unit Price'!$B$3:$C$19,2,0),0)</f>
        <v>795000</v>
      </c>
      <c r="U220" s="34">
        <f>IF(F220&lt;=2.06,VLOOKUP($U$2,'Unit Price'!$B$3:$C$19,2,0),0)</f>
        <v>245000</v>
      </c>
      <c r="V220" s="34">
        <f>IF(AND(F220&gt;2.06,F220&lt;2.5),VLOOKUP($V$2,'Unit Price'!$B$3:$C$19,2,0),0)</f>
        <v>0</v>
      </c>
      <c r="W220" s="34">
        <f>IF(AND(F220&gt;2.06,F220&lt;2.5),VLOOKUP($W$2,'Unit Price'!$B$3:$C$19,2,0),0)</f>
        <v>0</v>
      </c>
      <c r="X220" s="34">
        <f>IF(F220&gt;2.5,VLOOKUP($X$2,'Unit Price'!$B$3:$C$19,2,0),0)</f>
        <v>0</v>
      </c>
      <c r="Y220" s="34">
        <f>IF(F220&gt;2.5,VLOOKUP($Y$2,'Unit Price'!$B$3:$C$19,2,0),0)</f>
        <v>0</v>
      </c>
      <c r="Z220" s="34">
        <f>IF(F220&lt;2.5,6*VLOOKUP($Z$2,'Unit Price'!$B$3:$C$19,2,0),0)</f>
        <v>132000</v>
      </c>
      <c r="AA220" s="34">
        <f>IF(F220&lt;2.5,3*VLOOKUP($AA$2,'Unit Price'!$B$3:$C$19,2,0),0)</f>
        <v>165000</v>
      </c>
      <c r="AB220" s="34">
        <f>IF(F220&gt;2.5,6*VLOOKUP($AB$2,'Unit Price'!$B$3:$C$19,2,0),0)</f>
        <v>0</v>
      </c>
      <c r="AC220" s="34">
        <f>IF(F220&gt;2.5,3*VLOOKUP($AC$2,'Unit Price'!$B$3:$C$19,2,0),0)</f>
        <v>0</v>
      </c>
      <c r="AD220" s="36"/>
      <c r="AE220" s="46">
        <f t="shared" si="14"/>
        <v>1883000</v>
      </c>
      <c r="AF220" s="66">
        <f t="shared" si="15"/>
        <v>-63000</v>
      </c>
    </row>
    <row r="221" spans="1:32">
      <c r="A221" s="17">
        <v>219</v>
      </c>
      <c r="B221" s="5" t="s">
        <v>470</v>
      </c>
      <c r="C221" s="5" t="s">
        <v>471</v>
      </c>
      <c r="D221" s="5" t="s">
        <v>37</v>
      </c>
      <c r="E221" s="5">
        <v>2.7574000000000001</v>
      </c>
      <c r="F221" s="18">
        <v>2</v>
      </c>
      <c r="G221" s="5">
        <v>10</v>
      </c>
      <c r="H221" s="50">
        <v>14</v>
      </c>
      <c r="I221" s="58">
        <v>140</v>
      </c>
      <c r="J221" s="5">
        <f t="shared" si="12"/>
        <v>0.65</v>
      </c>
      <c r="K221" s="36">
        <v>2800000</v>
      </c>
      <c r="L221" s="37">
        <f t="shared" si="13"/>
        <v>1820000</v>
      </c>
      <c r="N221" s="34">
        <f>H221*VLOOKUP($N$2,'Unit Price'!$B$3:$C$19,2,0)</f>
        <v>252000</v>
      </c>
      <c r="O221" s="34">
        <f>1*VLOOKUP($O$2,'Unit Price'!$B$3:$C$19,2,0)</f>
        <v>10000</v>
      </c>
      <c r="P221" s="34">
        <f>1*VLOOKUP($P$2,'Unit Price'!$B$3:$C$19,2,0)</f>
        <v>8000</v>
      </c>
      <c r="Q221" s="34">
        <f>G221*2*VLOOKUP($Q$2,'Unit Price'!$B$3:$C$19,2,0)</f>
        <v>30000</v>
      </c>
      <c r="R221" s="34">
        <f>H221*3*VLOOKUP($R$2,'Unit Price'!$B$3:$C$19,2,0)</f>
        <v>105000</v>
      </c>
      <c r="S221" s="34">
        <f>IF(F221&lt;=2.2,3*VLOOKUP($S$2,'Unit Price'!$B$3:$C$19,2,0),5*VLOOKUP($S$2,'Unit Price'!$B$3:$C$19,2,0))</f>
        <v>30000</v>
      </c>
      <c r="T221" s="34">
        <f>IF(F221&lt;=2.06,VLOOKUP($T$2,'Unit Price'!$B$3:$C$19,2,0),0)</f>
        <v>795000</v>
      </c>
      <c r="U221" s="34">
        <f>IF(F221&lt;=2.06,VLOOKUP($U$2,'Unit Price'!$B$3:$C$19,2,0),0)</f>
        <v>245000</v>
      </c>
      <c r="V221" s="34">
        <f>IF(AND(F221&gt;2.06,F221&lt;2.5),VLOOKUP($V$2,'Unit Price'!$B$3:$C$19,2,0),0)</f>
        <v>0</v>
      </c>
      <c r="W221" s="34">
        <f>IF(AND(F221&gt;2.06,F221&lt;2.5),VLOOKUP($W$2,'Unit Price'!$B$3:$C$19,2,0),0)</f>
        <v>0</v>
      </c>
      <c r="X221" s="34">
        <f>IF(F221&gt;2.5,VLOOKUP($X$2,'Unit Price'!$B$3:$C$19,2,0),0)</f>
        <v>0</v>
      </c>
      <c r="Y221" s="34">
        <f>IF(F221&gt;2.5,VLOOKUP($Y$2,'Unit Price'!$B$3:$C$19,2,0),0)</f>
        <v>0</v>
      </c>
      <c r="Z221" s="34">
        <f>IF(F221&lt;2.5,6*VLOOKUP($Z$2,'Unit Price'!$B$3:$C$19,2,0),0)</f>
        <v>132000</v>
      </c>
      <c r="AA221" s="34">
        <f>IF(F221&lt;2.5,3*VLOOKUP($AA$2,'Unit Price'!$B$3:$C$19,2,0),0)</f>
        <v>165000</v>
      </c>
      <c r="AB221" s="34">
        <f>IF(F221&gt;2.5,6*VLOOKUP($AB$2,'Unit Price'!$B$3:$C$19,2,0),0)</f>
        <v>0</v>
      </c>
      <c r="AC221" s="34">
        <f>IF(F221&gt;2.5,3*VLOOKUP($AC$2,'Unit Price'!$B$3:$C$19,2,0),0)</f>
        <v>0</v>
      </c>
      <c r="AD221" s="36"/>
      <c r="AE221" s="46">
        <f t="shared" si="14"/>
        <v>1772000</v>
      </c>
      <c r="AF221" s="66">
        <f t="shared" si="15"/>
        <v>48000</v>
      </c>
    </row>
    <row r="222" spans="1:32">
      <c r="A222" s="17">
        <v>220</v>
      </c>
      <c r="B222" s="5" t="s">
        <v>472</v>
      </c>
      <c r="C222" s="5" t="s">
        <v>473</v>
      </c>
      <c r="D222" s="5" t="s">
        <v>37</v>
      </c>
      <c r="E222" s="5">
        <v>9.3242999999999991</v>
      </c>
      <c r="F222" s="18">
        <v>2</v>
      </c>
      <c r="G222" s="5">
        <v>10</v>
      </c>
      <c r="H222" s="50">
        <v>7</v>
      </c>
      <c r="I222" s="58">
        <v>70</v>
      </c>
      <c r="J222" s="5">
        <f t="shared" si="12"/>
        <v>0.65</v>
      </c>
      <c r="K222" s="36">
        <v>2800000</v>
      </c>
      <c r="L222" s="37">
        <f t="shared" si="13"/>
        <v>1820000</v>
      </c>
      <c r="N222" s="34">
        <f>H222*VLOOKUP($N$2,'Unit Price'!$B$3:$C$19,2,0)</f>
        <v>126000</v>
      </c>
      <c r="O222" s="34">
        <f>1*VLOOKUP($O$2,'Unit Price'!$B$3:$C$19,2,0)</f>
        <v>10000</v>
      </c>
      <c r="P222" s="34">
        <f>1*VLOOKUP($P$2,'Unit Price'!$B$3:$C$19,2,0)</f>
        <v>8000</v>
      </c>
      <c r="Q222" s="34">
        <f>G222*2*VLOOKUP($Q$2,'Unit Price'!$B$3:$C$19,2,0)</f>
        <v>30000</v>
      </c>
      <c r="R222" s="34">
        <f>H222*3*VLOOKUP($R$2,'Unit Price'!$B$3:$C$19,2,0)</f>
        <v>52500</v>
      </c>
      <c r="S222" s="34">
        <f>IF(F222&lt;=2.2,3*VLOOKUP($S$2,'Unit Price'!$B$3:$C$19,2,0),5*VLOOKUP($S$2,'Unit Price'!$B$3:$C$19,2,0))</f>
        <v>30000</v>
      </c>
      <c r="T222" s="34">
        <f>IF(F222&lt;=2.06,VLOOKUP($T$2,'Unit Price'!$B$3:$C$19,2,0),0)</f>
        <v>795000</v>
      </c>
      <c r="U222" s="34">
        <f>IF(F222&lt;=2.06,VLOOKUP($U$2,'Unit Price'!$B$3:$C$19,2,0),0)</f>
        <v>245000</v>
      </c>
      <c r="V222" s="34">
        <f>IF(AND(F222&gt;2.06,F222&lt;2.5),VLOOKUP($V$2,'Unit Price'!$B$3:$C$19,2,0),0)</f>
        <v>0</v>
      </c>
      <c r="W222" s="34">
        <f>IF(AND(F222&gt;2.06,F222&lt;2.5),VLOOKUP($W$2,'Unit Price'!$B$3:$C$19,2,0),0)</f>
        <v>0</v>
      </c>
      <c r="X222" s="34">
        <f>IF(F222&gt;2.5,VLOOKUP($X$2,'Unit Price'!$B$3:$C$19,2,0),0)</f>
        <v>0</v>
      </c>
      <c r="Y222" s="34">
        <f>IF(F222&gt;2.5,VLOOKUP($Y$2,'Unit Price'!$B$3:$C$19,2,0),0)</f>
        <v>0</v>
      </c>
      <c r="Z222" s="34">
        <f>IF(F222&lt;2.5,6*VLOOKUP($Z$2,'Unit Price'!$B$3:$C$19,2,0),0)</f>
        <v>132000</v>
      </c>
      <c r="AA222" s="34">
        <f>IF(F222&lt;2.5,3*VLOOKUP($AA$2,'Unit Price'!$B$3:$C$19,2,0),0)</f>
        <v>165000</v>
      </c>
      <c r="AB222" s="34">
        <f>IF(F222&gt;2.5,6*VLOOKUP($AB$2,'Unit Price'!$B$3:$C$19,2,0),0)</f>
        <v>0</v>
      </c>
      <c r="AC222" s="34">
        <f>IF(F222&gt;2.5,3*VLOOKUP($AC$2,'Unit Price'!$B$3:$C$19,2,0),0)</f>
        <v>0</v>
      </c>
      <c r="AD222" s="36"/>
      <c r="AE222" s="46">
        <f t="shared" si="14"/>
        <v>1593500</v>
      </c>
      <c r="AF222" s="66">
        <f t="shared" si="15"/>
        <v>226500</v>
      </c>
    </row>
    <row r="223" spans="1:32">
      <c r="A223" s="17">
        <v>221</v>
      </c>
      <c r="B223" s="5" t="s">
        <v>474</v>
      </c>
      <c r="C223" s="5" t="s">
        <v>475</v>
      </c>
      <c r="D223" s="5" t="s">
        <v>37</v>
      </c>
      <c r="E223" s="5">
        <v>15.7308</v>
      </c>
      <c r="F223" s="18">
        <v>2</v>
      </c>
      <c r="G223" s="5">
        <v>7</v>
      </c>
      <c r="H223" s="50">
        <v>5</v>
      </c>
      <c r="I223" s="58">
        <v>35</v>
      </c>
      <c r="J223" s="5">
        <f t="shared" si="12"/>
        <v>0.65</v>
      </c>
      <c r="K223" s="36">
        <v>2800000</v>
      </c>
      <c r="L223" s="37">
        <f t="shared" si="13"/>
        <v>1820000</v>
      </c>
      <c r="N223" s="34">
        <f>H223*VLOOKUP($N$2,'Unit Price'!$B$3:$C$19,2,0)</f>
        <v>90000</v>
      </c>
      <c r="O223" s="34">
        <f>1*VLOOKUP($O$2,'Unit Price'!$B$3:$C$19,2,0)</f>
        <v>10000</v>
      </c>
      <c r="P223" s="34">
        <f>1*VLOOKUP($P$2,'Unit Price'!$B$3:$C$19,2,0)</f>
        <v>8000</v>
      </c>
      <c r="Q223" s="34">
        <f>G223*2*VLOOKUP($Q$2,'Unit Price'!$B$3:$C$19,2,0)</f>
        <v>21000</v>
      </c>
      <c r="R223" s="34">
        <f>H223*3*VLOOKUP($R$2,'Unit Price'!$B$3:$C$19,2,0)</f>
        <v>37500</v>
      </c>
      <c r="S223" s="34">
        <f>IF(F223&lt;=2.2,3*VLOOKUP($S$2,'Unit Price'!$B$3:$C$19,2,0),5*VLOOKUP($S$2,'Unit Price'!$B$3:$C$19,2,0))</f>
        <v>30000</v>
      </c>
      <c r="T223" s="34">
        <f>IF(F223&lt;=2.06,VLOOKUP($T$2,'Unit Price'!$B$3:$C$19,2,0),0)</f>
        <v>795000</v>
      </c>
      <c r="U223" s="34">
        <f>IF(F223&lt;=2.06,VLOOKUP($U$2,'Unit Price'!$B$3:$C$19,2,0),0)</f>
        <v>245000</v>
      </c>
      <c r="V223" s="34">
        <f>IF(AND(F223&gt;2.06,F223&lt;2.5),VLOOKUP($V$2,'Unit Price'!$B$3:$C$19,2,0),0)</f>
        <v>0</v>
      </c>
      <c r="W223" s="34">
        <f>IF(AND(F223&gt;2.06,F223&lt;2.5),VLOOKUP($W$2,'Unit Price'!$B$3:$C$19,2,0),0)</f>
        <v>0</v>
      </c>
      <c r="X223" s="34">
        <f>IF(F223&gt;2.5,VLOOKUP($X$2,'Unit Price'!$B$3:$C$19,2,0),0)</f>
        <v>0</v>
      </c>
      <c r="Y223" s="34">
        <f>IF(F223&gt;2.5,VLOOKUP($Y$2,'Unit Price'!$B$3:$C$19,2,0),0)</f>
        <v>0</v>
      </c>
      <c r="Z223" s="34">
        <f>IF(F223&lt;2.5,6*VLOOKUP($Z$2,'Unit Price'!$B$3:$C$19,2,0),0)</f>
        <v>132000</v>
      </c>
      <c r="AA223" s="34">
        <f>IF(F223&lt;2.5,3*VLOOKUP($AA$2,'Unit Price'!$B$3:$C$19,2,0),0)</f>
        <v>165000</v>
      </c>
      <c r="AB223" s="34">
        <f>IF(F223&gt;2.5,6*VLOOKUP($AB$2,'Unit Price'!$B$3:$C$19,2,0),0)</f>
        <v>0</v>
      </c>
      <c r="AC223" s="34">
        <f>IF(F223&gt;2.5,3*VLOOKUP($AC$2,'Unit Price'!$B$3:$C$19,2,0),0)</f>
        <v>0</v>
      </c>
      <c r="AD223" s="36"/>
      <c r="AE223" s="46">
        <f t="shared" si="14"/>
        <v>1533500</v>
      </c>
      <c r="AF223" s="66">
        <f t="shared" si="15"/>
        <v>286500</v>
      </c>
    </row>
    <row r="224" spans="1:32">
      <c r="A224" s="17">
        <v>222</v>
      </c>
      <c r="B224" s="5" t="s">
        <v>476</v>
      </c>
      <c r="C224" s="5" t="s">
        <v>477</v>
      </c>
      <c r="D224" s="5" t="s">
        <v>37</v>
      </c>
      <c r="E224" s="5">
        <v>19.795500000000001</v>
      </c>
      <c r="F224" s="18">
        <v>2</v>
      </c>
      <c r="G224" s="5">
        <v>6</v>
      </c>
      <c r="H224" s="50">
        <v>4</v>
      </c>
      <c r="I224" s="58">
        <v>24</v>
      </c>
      <c r="J224" s="5">
        <f t="shared" si="12"/>
        <v>0.65</v>
      </c>
      <c r="K224" s="36">
        <v>2800000</v>
      </c>
      <c r="L224" s="37">
        <f t="shared" si="13"/>
        <v>1820000</v>
      </c>
      <c r="N224" s="34">
        <f>H224*VLOOKUP($N$2,'Unit Price'!$B$3:$C$19,2,0)</f>
        <v>72000</v>
      </c>
      <c r="O224" s="34">
        <f>1*VLOOKUP($O$2,'Unit Price'!$B$3:$C$19,2,0)</f>
        <v>10000</v>
      </c>
      <c r="P224" s="34">
        <f>1*VLOOKUP($P$2,'Unit Price'!$B$3:$C$19,2,0)</f>
        <v>8000</v>
      </c>
      <c r="Q224" s="34">
        <f>G224*2*VLOOKUP($Q$2,'Unit Price'!$B$3:$C$19,2,0)</f>
        <v>18000</v>
      </c>
      <c r="R224" s="34">
        <f>H224*3*VLOOKUP($R$2,'Unit Price'!$B$3:$C$19,2,0)</f>
        <v>30000</v>
      </c>
      <c r="S224" s="34">
        <f>IF(F224&lt;=2.2,3*VLOOKUP($S$2,'Unit Price'!$B$3:$C$19,2,0),5*VLOOKUP($S$2,'Unit Price'!$B$3:$C$19,2,0))</f>
        <v>30000</v>
      </c>
      <c r="T224" s="34">
        <f>IF(F224&lt;=2.06,VLOOKUP($T$2,'Unit Price'!$B$3:$C$19,2,0),0)</f>
        <v>795000</v>
      </c>
      <c r="U224" s="34">
        <f>IF(F224&lt;=2.06,VLOOKUP($U$2,'Unit Price'!$B$3:$C$19,2,0),0)</f>
        <v>245000</v>
      </c>
      <c r="V224" s="34">
        <f>IF(AND(F224&gt;2.06,F224&lt;2.5),VLOOKUP($V$2,'Unit Price'!$B$3:$C$19,2,0),0)</f>
        <v>0</v>
      </c>
      <c r="W224" s="34">
        <f>IF(AND(F224&gt;2.06,F224&lt;2.5),VLOOKUP($W$2,'Unit Price'!$B$3:$C$19,2,0),0)</f>
        <v>0</v>
      </c>
      <c r="X224" s="34">
        <f>IF(F224&gt;2.5,VLOOKUP($X$2,'Unit Price'!$B$3:$C$19,2,0),0)</f>
        <v>0</v>
      </c>
      <c r="Y224" s="34">
        <f>IF(F224&gt;2.5,VLOOKUP($Y$2,'Unit Price'!$B$3:$C$19,2,0),0)</f>
        <v>0</v>
      </c>
      <c r="Z224" s="34">
        <f>IF(F224&lt;2.5,6*VLOOKUP($Z$2,'Unit Price'!$B$3:$C$19,2,0),0)</f>
        <v>132000</v>
      </c>
      <c r="AA224" s="34">
        <f>IF(F224&lt;2.5,3*VLOOKUP($AA$2,'Unit Price'!$B$3:$C$19,2,0),0)</f>
        <v>165000</v>
      </c>
      <c r="AB224" s="34">
        <f>IF(F224&gt;2.5,6*VLOOKUP($AB$2,'Unit Price'!$B$3:$C$19,2,0),0)</f>
        <v>0</v>
      </c>
      <c r="AC224" s="34">
        <f>IF(F224&gt;2.5,3*VLOOKUP($AC$2,'Unit Price'!$B$3:$C$19,2,0),0)</f>
        <v>0</v>
      </c>
      <c r="AD224" s="36"/>
      <c r="AE224" s="46">
        <f t="shared" si="14"/>
        <v>1505000</v>
      </c>
      <c r="AF224" s="66">
        <f t="shared" si="15"/>
        <v>315000</v>
      </c>
    </row>
    <row r="225" spans="1:32">
      <c r="A225" s="17">
        <v>223</v>
      </c>
      <c r="B225" s="5" t="s">
        <v>478</v>
      </c>
      <c r="C225" s="5" t="s">
        <v>479</v>
      </c>
      <c r="D225" s="5" t="s">
        <v>37</v>
      </c>
      <c r="E225" s="5">
        <v>3.7092000000000001</v>
      </c>
      <c r="F225" s="18">
        <v>2.5499999999999998</v>
      </c>
      <c r="G225" s="5">
        <v>12</v>
      </c>
      <c r="H225" s="50">
        <v>14</v>
      </c>
      <c r="I225" s="58">
        <v>168</v>
      </c>
      <c r="J225" s="5">
        <f t="shared" si="12"/>
        <v>1</v>
      </c>
      <c r="K225" s="36">
        <v>2800000</v>
      </c>
      <c r="L225" s="37">
        <f t="shared" si="13"/>
        <v>2800000</v>
      </c>
      <c r="N225" s="34">
        <f>H225*VLOOKUP($N$2,'Unit Price'!$B$3:$C$19,2,0)</f>
        <v>252000</v>
      </c>
      <c r="O225" s="34">
        <f>1*VLOOKUP($O$2,'Unit Price'!$B$3:$C$19,2,0)</f>
        <v>10000</v>
      </c>
      <c r="P225" s="34">
        <f>1*VLOOKUP($P$2,'Unit Price'!$B$3:$C$19,2,0)</f>
        <v>8000</v>
      </c>
      <c r="Q225" s="34">
        <f>G225*2*VLOOKUP($Q$2,'Unit Price'!$B$3:$C$19,2,0)</f>
        <v>36000</v>
      </c>
      <c r="R225" s="34">
        <f>H225*3*VLOOKUP($R$2,'Unit Price'!$B$3:$C$19,2,0)</f>
        <v>105000</v>
      </c>
      <c r="S225" s="34">
        <f>IF(F225&lt;=2.2,3*VLOOKUP($S$2,'Unit Price'!$B$3:$C$19,2,0),5*VLOOKUP($S$2,'Unit Price'!$B$3:$C$19,2,0))</f>
        <v>50000</v>
      </c>
      <c r="T225" s="34">
        <f>IF(F225&lt;=2.06,VLOOKUP($T$2,'Unit Price'!$B$3:$C$19,2,0),0)</f>
        <v>0</v>
      </c>
      <c r="U225" s="34">
        <f>IF(F225&lt;=2.06,VLOOKUP($U$2,'Unit Price'!$B$3:$C$19,2,0),0)</f>
        <v>0</v>
      </c>
      <c r="V225" s="34">
        <f>IF(AND(F225&gt;2.06,F225&lt;2.5),VLOOKUP($V$2,'Unit Price'!$B$3:$C$19,2,0),0)</f>
        <v>0</v>
      </c>
      <c r="W225" s="34">
        <f>IF(AND(F225&gt;2.06,F225&lt;2.5),VLOOKUP($W$2,'Unit Price'!$B$3:$C$19,2,0),0)</f>
        <v>0</v>
      </c>
      <c r="X225" s="34">
        <f>IF(F225&gt;2.5,VLOOKUP($X$2,'Unit Price'!$B$3:$C$19,2,0),0)</f>
        <v>1200000</v>
      </c>
      <c r="Y225" s="34">
        <f>IF(F225&gt;2.5,VLOOKUP($Y$2,'Unit Price'!$B$3:$C$19,2,0),0)</f>
        <v>350000</v>
      </c>
      <c r="Z225" s="34">
        <f>IF(F225&lt;2.5,6*VLOOKUP($Z$2,'Unit Price'!$B$3:$C$19,2,0),0)</f>
        <v>0</v>
      </c>
      <c r="AA225" s="34">
        <f>IF(F225&lt;2.5,3*VLOOKUP($AA$2,'Unit Price'!$B$3:$C$19,2,0),0)</f>
        <v>0</v>
      </c>
      <c r="AB225" s="34">
        <f>IF(F225&gt;2.5,6*VLOOKUP($AB$2,'Unit Price'!$B$3:$C$19,2,0),0)</f>
        <v>375000</v>
      </c>
      <c r="AC225" s="34">
        <f>IF(F225&gt;2.5,3*VLOOKUP($AC$2,'Unit Price'!$B$3:$C$19,2,0),0)</f>
        <v>216000</v>
      </c>
      <c r="AD225" s="36"/>
      <c r="AE225" s="46">
        <f t="shared" si="14"/>
        <v>2602000</v>
      </c>
      <c r="AF225" s="66">
        <f t="shared" si="15"/>
        <v>198000</v>
      </c>
    </row>
    <row r="226" spans="1:32">
      <c r="A226" s="17">
        <v>224</v>
      </c>
      <c r="B226" s="5" t="s">
        <v>480</v>
      </c>
      <c r="C226" s="5" t="s">
        <v>481</v>
      </c>
      <c r="D226" s="5" t="s">
        <v>482</v>
      </c>
      <c r="E226" s="5">
        <v>7.9791999999999996</v>
      </c>
      <c r="F226" s="18">
        <v>2</v>
      </c>
      <c r="G226" s="5">
        <v>8</v>
      </c>
      <c r="H226" s="50">
        <v>7</v>
      </c>
      <c r="I226" s="58">
        <v>56</v>
      </c>
      <c r="J226" s="5">
        <f t="shared" si="12"/>
        <v>0.65</v>
      </c>
      <c r="K226" s="36">
        <v>2800000</v>
      </c>
      <c r="L226" s="37">
        <f t="shared" si="13"/>
        <v>1820000</v>
      </c>
      <c r="N226" s="34">
        <f>H226*VLOOKUP($N$2,'Unit Price'!$B$3:$C$19,2,0)</f>
        <v>126000</v>
      </c>
      <c r="O226" s="34">
        <f>1*VLOOKUP($O$2,'Unit Price'!$B$3:$C$19,2,0)</f>
        <v>10000</v>
      </c>
      <c r="P226" s="34">
        <f>1*VLOOKUP($P$2,'Unit Price'!$B$3:$C$19,2,0)</f>
        <v>8000</v>
      </c>
      <c r="Q226" s="34">
        <f>G226*2*VLOOKUP($Q$2,'Unit Price'!$B$3:$C$19,2,0)</f>
        <v>24000</v>
      </c>
      <c r="R226" s="34">
        <f>H226*3*VLOOKUP($R$2,'Unit Price'!$B$3:$C$19,2,0)</f>
        <v>52500</v>
      </c>
      <c r="S226" s="34">
        <f>IF(F226&lt;=2.2,3*VLOOKUP($S$2,'Unit Price'!$B$3:$C$19,2,0),5*VLOOKUP($S$2,'Unit Price'!$B$3:$C$19,2,0))</f>
        <v>30000</v>
      </c>
      <c r="T226" s="34">
        <f>IF(F226&lt;=2.06,VLOOKUP($T$2,'Unit Price'!$B$3:$C$19,2,0),0)</f>
        <v>795000</v>
      </c>
      <c r="U226" s="34">
        <f>IF(F226&lt;=2.06,VLOOKUP($U$2,'Unit Price'!$B$3:$C$19,2,0),0)</f>
        <v>245000</v>
      </c>
      <c r="V226" s="34">
        <f>IF(AND(F226&gt;2.06,F226&lt;2.5),VLOOKUP($V$2,'Unit Price'!$B$3:$C$19,2,0),0)</f>
        <v>0</v>
      </c>
      <c r="W226" s="34">
        <f>IF(AND(F226&gt;2.06,F226&lt;2.5),VLOOKUP($W$2,'Unit Price'!$B$3:$C$19,2,0),0)</f>
        <v>0</v>
      </c>
      <c r="X226" s="34">
        <f>IF(F226&gt;2.5,VLOOKUP($X$2,'Unit Price'!$B$3:$C$19,2,0),0)</f>
        <v>0</v>
      </c>
      <c r="Y226" s="34">
        <f>IF(F226&gt;2.5,VLOOKUP($Y$2,'Unit Price'!$B$3:$C$19,2,0),0)</f>
        <v>0</v>
      </c>
      <c r="Z226" s="34">
        <f>IF(F226&lt;2.5,6*VLOOKUP($Z$2,'Unit Price'!$B$3:$C$19,2,0),0)</f>
        <v>132000</v>
      </c>
      <c r="AA226" s="34">
        <f>IF(F226&lt;2.5,3*VLOOKUP($AA$2,'Unit Price'!$B$3:$C$19,2,0),0)</f>
        <v>165000</v>
      </c>
      <c r="AB226" s="34">
        <f>IF(F226&gt;2.5,6*VLOOKUP($AB$2,'Unit Price'!$B$3:$C$19,2,0),0)</f>
        <v>0</v>
      </c>
      <c r="AC226" s="34">
        <f>IF(F226&gt;2.5,3*VLOOKUP($AC$2,'Unit Price'!$B$3:$C$19,2,0),0)</f>
        <v>0</v>
      </c>
      <c r="AD226" s="36"/>
      <c r="AE226" s="46">
        <f t="shared" si="14"/>
        <v>1587500</v>
      </c>
      <c r="AF226" s="66">
        <f t="shared" si="15"/>
        <v>232500</v>
      </c>
    </row>
    <row r="227" spans="1:32">
      <c r="A227" s="17">
        <v>225</v>
      </c>
      <c r="B227" s="5" t="s">
        <v>483</v>
      </c>
      <c r="C227" s="5" t="s">
        <v>484</v>
      </c>
      <c r="D227" s="5" t="s">
        <v>12</v>
      </c>
      <c r="E227" s="5">
        <v>4.0644999999999998</v>
      </c>
      <c r="F227" s="18">
        <v>2</v>
      </c>
      <c r="G227" s="5">
        <v>10</v>
      </c>
      <c r="H227" s="50">
        <v>13</v>
      </c>
      <c r="I227" s="58">
        <v>130</v>
      </c>
      <c r="J227" s="5">
        <f t="shared" si="12"/>
        <v>0.65</v>
      </c>
      <c r="K227" s="36">
        <v>2800000</v>
      </c>
      <c r="L227" s="37">
        <f t="shared" si="13"/>
        <v>1820000</v>
      </c>
      <c r="N227" s="34">
        <f>H227*VLOOKUP($N$2,'Unit Price'!$B$3:$C$19,2,0)</f>
        <v>234000</v>
      </c>
      <c r="O227" s="34">
        <f>1*VLOOKUP($O$2,'Unit Price'!$B$3:$C$19,2,0)</f>
        <v>10000</v>
      </c>
      <c r="P227" s="34">
        <f>1*VLOOKUP($P$2,'Unit Price'!$B$3:$C$19,2,0)</f>
        <v>8000</v>
      </c>
      <c r="Q227" s="34">
        <f>G227*2*VLOOKUP($Q$2,'Unit Price'!$B$3:$C$19,2,0)</f>
        <v>30000</v>
      </c>
      <c r="R227" s="34">
        <f>H227*3*VLOOKUP($R$2,'Unit Price'!$B$3:$C$19,2,0)</f>
        <v>97500</v>
      </c>
      <c r="S227" s="34">
        <f>IF(F227&lt;=2.2,3*VLOOKUP($S$2,'Unit Price'!$B$3:$C$19,2,0),5*VLOOKUP($S$2,'Unit Price'!$B$3:$C$19,2,0))</f>
        <v>30000</v>
      </c>
      <c r="T227" s="34">
        <f>IF(F227&lt;=2.06,VLOOKUP($T$2,'Unit Price'!$B$3:$C$19,2,0),0)</f>
        <v>795000</v>
      </c>
      <c r="U227" s="34">
        <f>IF(F227&lt;=2.06,VLOOKUP($U$2,'Unit Price'!$B$3:$C$19,2,0),0)</f>
        <v>245000</v>
      </c>
      <c r="V227" s="34">
        <f>IF(AND(F227&gt;2.06,F227&lt;2.5),VLOOKUP($V$2,'Unit Price'!$B$3:$C$19,2,0),0)</f>
        <v>0</v>
      </c>
      <c r="W227" s="34">
        <f>IF(AND(F227&gt;2.06,F227&lt;2.5),VLOOKUP($W$2,'Unit Price'!$B$3:$C$19,2,0),0)</f>
        <v>0</v>
      </c>
      <c r="X227" s="34">
        <f>IF(F227&gt;2.5,VLOOKUP($X$2,'Unit Price'!$B$3:$C$19,2,0),0)</f>
        <v>0</v>
      </c>
      <c r="Y227" s="34">
        <f>IF(F227&gt;2.5,VLOOKUP($Y$2,'Unit Price'!$B$3:$C$19,2,0),0)</f>
        <v>0</v>
      </c>
      <c r="Z227" s="34">
        <f>IF(F227&lt;2.5,6*VLOOKUP($Z$2,'Unit Price'!$B$3:$C$19,2,0),0)</f>
        <v>132000</v>
      </c>
      <c r="AA227" s="34">
        <f>IF(F227&lt;2.5,3*VLOOKUP($AA$2,'Unit Price'!$B$3:$C$19,2,0),0)</f>
        <v>165000</v>
      </c>
      <c r="AB227" s="34">
        <f>IF(F227&gt;2.5,6*VLOOKUP($AB$2,'Unit Price'!$B$3:$C$19,2,0),0)</f>
        <v>0</v>
      </c>
      <c r="AC227" s="34">
        <f>IF(F227&gt;2.5,3*VLOOKUP($AC$2,'Unit Price'!$B$3:$C$19,2,0),0)</f>
        <v>0</v>
      </c>
      <c r="AD227" s="36"/>
      <c r="AE227" s="46">
        <f t="shared" si="14"/>
        <v>1746500</v>
      </c>
      <c r="AF227" s="66">
        <f t="shared" si="15"/>
        <v>73500</v>
      </c>
    </row>
    <row r="228" spans="1:32">
      <c r="A228" s="17">
        <v>226</v>
      </c>
      <c r="B228" s="5" t="s">
        <v>485</v>
      </c>
      <c r="C228" s="5" t="s">
        <v>486</v>
      </c>
      <c r="D228" s="5" t="s">
        <v>12</v>
      </c>
      <c r="E228" s="5">
        <v>10.321400000000001</v>
      </c>
      <c r="F228" s="18">
        <v>2</v>
      </c>
      <c r="G228" s="5">
        <v>6</v>
      </c>
      <c r="H228" s="50">
        <v>8</v>
      </c>
      <c r="I228" s="58">
        <v>48</v>
      </c>
      <c r="J228" s="5">
        <f t="shared" si="12"/>
        <v>0.65</v>
      </c>
      <c r="K228" s="36">
        <v>2800000</v>
      </c>
      <c r="L228" s="37">
        <f t="shared" si="13"/>
        <v>1820000</v>
      </c>
      <c r="N228" s="34">
        <f>H228*VLOOKUP($N$2,'Unit Price'!$B$3:$C$19,2,0)</f>
        <v>144000</v>
      </c>
      <c r="O228" s="34">
        <f>1*VLOOKUP($O$2,'Unit Price'!$B$3:$C$19,2,0)</f>
        <v>10000</v>
      </c>
      <c r="P228" s="34">
        <f>1*VLOOKUP($P$2,'Unit Price'!$B$3:$C$19,2,0)</f>
        <v>8000</v>
      </c>
      <c r="Q228" s="34">
        <f>G228*2*VLOOKUP($Q$2,'Unit Price'!$B$3:$C$19,2,0)</f>
        <v>18000</v>
      </c>
      <c r="R228" s="34">
        <f>H228*3*VLOOKUP($R$2,'Unit Price'!$B$3:$C$19,2,0)</f>
        <v>60000</v>
      </c>
      <c r="S228" s="34">
        <f>IF(F228&lt;=2.2,3*VLOOKUP($S$2,'Unit Price'!$B$3:$C$19,2,0),5*VLOOKUP($S$2,'Unit Price'!$B$3:$C$19,2,0))</f>
        <v>30000</v>
      </c>
      <c r="T228" s="34">
        <f>IF(F228&lt;=2.06,VLOOKUP($T$2,'Unit Price'!$B$3:$C$19,2,0),0)</f>
        <v>795000</v>
      </c>
      <c r="U228" s="34">
        <f>IF(F228&lt;=2.06,VLOOKUP($U$2,'Unit Price'!$B$3:$C$19,2,0),0)</f>
        <v>245000</v>
      </c>
      <c r="V228" s="34">
        <f>IF(AND(F228&gt;2.06,F228&lt;2.5),VLOOKUP($V$2,'Unit Price'!$B$3:$C$19,2,0),0)</f>
        <v>0</v>
      </c>
      <c r="W228" s="34">
        <f>IF(AND(F228&gt;2.06,F228&lt;2.5),VLOOKUP($W$2,'Unit Price'!$B$3:$C$19,2,0),0)</f>
        <v>0</v>
      </c>
      <c r="X228" s="34">
        <f>IF(F228&gt;2.5,VLOOKUP($X$2,'Unit Price'!$B$3:$C$19,2,0),0)</f>
        <v>0</v>
      </c>
      <c r="Y228" s="34">
        <f>IF(F228&gt;2.5,VLOOKUP($Y$2,'Unit Price'!$B$3:$C$19,2,0),0)</f>
        <v>0</v>
      </c>
      <c r="Z228" s="34">
        <f>IF(F228&lt;2.5,6*VLOOKUP($Z$2,'Unit Price'!$B$3:$C$19,2,0),0)</f>
        <v>132000</v>
      </c>
      <c r="AA228" s="34">
        <f>IF(F228&lt;2.5,3*VLOOKUP($AA$2,'Unit Price'!$B$3:$C$19,2,0),0)</f>
        <v>165000</v>
      </c>
      <c r="AB228" s="34">
        <f>IF(F228&gt;2.5,6*VLOOKUP($AB$2,'Unit Price'!$B$3:$C$19,2,0),0)</f>
        <v>0</v>
      </c>
      <c r="AC228" s="34">
        <f>IF(F228&gt;2.5,3*VLOOKUP($AC$2,'Unit Price'!$B$3:$C$19,2,0),0)</f>
        <v>0</v>
      </c>
      <c r="AD228" s="36"/>
      <c r="AE228" s="46">
        <f t="shared" si="14"/>
        <v>1607000</v>
      </c>
      <c r="AF228" s="66">
        <f t="shared" si="15"/>
        <v>213000</v>
      </c>
    </row>
    <row r="229" spans="1:32">
      <c r="A229" s="17">
        <v>227</v>
      </c>
      <c r="B229" s="5" t="s">
        <v>487</v>
      </c>
      <c r="C229" s="5" t="s">
        <v>488</v>
      </c>
      <c r="D229" s="5" t="s">
        <v>12</v>
      </c>
      <c r="E229" s="5">
        <v>6.6680999999999999</v>
      </c>
      <c r="F229" s="18">
        <v>2</v>
      </c>
      <c r="G229" s="5">
        <v>5</v>
      </c>
      <c r="H229" s="50">
        <v>15</v>
      </c>
      <c r="I229" s="58">
        <v>75</v>
      </c>
      <c r="J229" s="5">
        <f t="shared" si="12"/>
        <v>0.65</v>
      </c>
      <c r="K229" s="36">
        <v>2800000</v>
      </c>
      <c r="L229" s="37">
        <f t="shared" si="13"/>
        <v>1820000</v>
      </c>
      <c r="N229" s="34">
        <f>H229*VLOOKUP($N$2,'Unit Price'!$B$3:$C$19,2,0)</f>
        <v>270000</v>
      </c>
      <c r="O229" s="34">
        <f>1*VLOOKUP($O$2,'Unit Price'!$B$3:$C$19,2,0)</f>
        <v>10000</v>
      </c>
      <c r="P229" s="34">
        <f>1*VLOOKUP($P$2,'Unit Price'!$B$3:$C$19,2,0)</f>
        <v>8000</v>
      </c>
      <c r="Q229" s="34">
        <f>G229*2*VLOOKUP($Q$2,'Unit Price'!$B$3:$C$19,2,0)</f>
        <v>15000</v>
      </c>
      <c r="R229" s="34">
        <f>H229*3*VLOOKUP($R$2,'Unit Price'!$B$3:$C$19,2,0)</f>
        <v>112500</v>
      </c>
      <c r="S229" s="34">
        <f>IF(F229&lt;=2.2,3*VLOOKUP($S$2,'Unit Price'!$B$3:$C$19,2,0),5*VLOOKUP($S$2,'Unit Price'!$B$3:$C$19,2,0))</f>
        <v>30000</v>
      </c>
      <c r="T229" s="34">
        <f>IF(F229&lt;=2.06,VLOOKUP($T$2,'Unit Price'!$B$3:$C$19,2,0),0)</f>
        <v>795000</v>
      </c>
      <c r="U229" s="34">
        <f>IF(F229&lt;=2.06,VLOOKUP($U$2,'Unit Price'!$B$3:$C$19,2,0),0)</f>
        <v>245000</v>
      </c>
      <c r="V229" s="34">
        <f>IF(AND(F229&gt;2.06,F229&lt;2.5),VLOOKUP($V$2,'Unit Price'!$B$3:$C$19,2,0),0)</f>
        <v>0</v>
      </c>
      <c r="W229" s="34">
        <f>IF(AND(F229&gt;2.06,F229&lt;2.5),VLOOKUP($W$2,'Unit Price'!$B$3:$C$19,2,0),0)</f>
        <v>0</v>
      </c>
      <c r="X229" s="34">
        <f>IF(F229&gt;2.5,VLOOKUP($X$2,'Unit Price'!$B$3:$C$19,2,0),0)</f>
        <v>0</v>
      </c>
      <c r="Y229" s="34">
        <f>IF(F229&gt;2.5,VLOOKUP($Y$2,'Unit Price'!$B$3:$C$19,2,0),0)</f>
        <v>0</v>
      </c>
      <c r="Z229" s="34">
        <f>IF(F229&lt;2.5,6*VLOOKUP($Z$2,'Unit Price'!$B$3:$C$19,2,0),0)</f>
        <v>132000</v>
      </c>
      <c r="AA229" s="34">
        <f>IF(F229&lt;2.5,3*VLOOKUP($AA$2,'Unit Price'!$B$3:$C$19,2,0),0)</f>
        <v>165000</v>
      </c>
      <c r="AB229" s="34">
        <f>IF(F229&gt;2.5,6*VLOOKUP($AB$2,'Unit Price'!$B$3:$C$19,2,0),0)</f>
        <v>0</v>
      </c>
      <c r="AC229" s="34">
        <f>IF(F229&gt;2.5,3*VLOOKUP($AC$2,'Unit Price'!$B$3:$C$19,2,0),0)</f>
        <v>0</v>
      </c>
      <c r="AD229" s="36"/>
      <c r="AE229" s="46">
        <f t="shared" si="14"/>
        <v>1782500</v>
      </c>
      <c r="AF229" s="66">
        <f t="shared" si="15"/>
        <v>37500</v>
      </c>
    </row>
    <row r="230" spans="1:32">
      <c r="A230" s="17">
        <v>228</v>
      </c>
      <c r="B230" s="5" t="s">
        <v>489</v>
      </c>
      <c r="C230" s="5" t="s">
        <v>490</v>
      </c>
      <c r="D230" s="5" t="s">
        <v>12</v>
      </c>
      <c r="E230" s="5">
        <v>5.2645</v>
      </c>
      <c r="F230" s="18">
        <v>2</v>
      </c>
      <c r="G230" s="5">
        <v>8</v>
      </c>
      <c r="H230" s="50">
        <v>10</v>
      </c>
      <c r="I230" s="58">
        <v>80</v>
      </c>
      <c r="J230" s="5">
        <f t="shared" si="12"/>
        <v>0.65</v>
      </c>
      <c r="K230" s="36">
        <v>2800000</v>
      </c>
      <c r="L230" s="37">
        <f t="shared" si="13"/>
        <v>1820000</v>
      </c>
      <c r="N230" s="34">
        <f>H230*VLOOKUP($N$2,'Unit Price'!$B$3:$C$19,2,0)</f>
        <v>180000</v>
      </c>
      <c r="O230" s="34">
        <f>1*VLOOKUP($O$2,'Unit Price'!$B$3:$C$19,2,0)</f>
        <v>10000</v>
      </c>
      <c r="P230" s="34">
        <f>1*VLOOKUP($P$2,'Unit Price'!$B$3:$C$19,2,0)</f>
        <v>8000</v>
      </c>
      <c r="Q230" s="34">
        <f>G230*2*VLOOKUP($Q$2,'Unit Price'!$B$3:$C$19,2,0)</f>
        <v>24000</v>
      </c>
      <c r="R230" s="34">
        <f>H230*3*VLOOKUP($R$2,'Unit Price'!$B$3:$C$19,2,0)</f>
        <v>75000</v>
      </c>
      <c r="S230" s="34">
        <f>IF(F230&lt;=2.2,3*VLOOKUP($S$2,'Unit Price'!$B$3:$C$19,2,0),5*VLOOKUP($S$2,'Unit Price'!$B$3:$C$19,2,0))</f>
        <v>30000</v>
      </c>
      <c r="T230" s="34">
        <f>IF(F230&lt;=2.06,VLOOKUP($T$2,'Unit Price'!$B$3:$C$19,2,0),0)</f>
        <v>795000</v>
      </c>
      <c r="U230" s="34">
        <f>IF(F230&lt;=2.06,VLOOKUP($U$2,'Unit Price'!$B$3:$C$19,2,0),0)</f>
        <v>245000</v>
      </c>
      <c r="V230" s="34">
        <f>IF(AND(F230&gt;2.06,F230&lt;2.5),VLOOKUP($V$2,'Unit Price'!$B$3:$C$19,2,0),0)</f>
        <v>0</v>
      </c>
      <c r="W230" s="34">
        <f>IF(AND(F230&gt;2.06,F230&lt;2.5),VLOOKUP($W$2,'Unit Price'!$B$3:$C$19,2,0),0)</f>
        <v>0</v>
      </c>
      <c r="X230" s="34">
        <f>IF(F230&gt;2.5,VLOOKUP($X$2,'Unit Price'!$B$3:$C$19,2,0),0)</f>
        <v>0</v>
      </c>
      <c r="Y230" s="34">
        <f>IF(F230&gt;2.5,VLOOKUP($Y$2,'Unit Price'!$B$3:$C$19,2,0),0)</f>
        <v>0</v>
      </c>
      <c r="Z230" s="34">
        <f>IF(F230&lt;2.5,6*VLOOKUP($Z$2,'Unit Price'!$B$3:$C$19,2,0),0)</f>
        <v>132000</v>
      </c>
      <c r="AA230" s="34">
        <f>IF(F230&lt;2.5,3*VLOOKUP($AA$2,'Unit Price'!$B$3:$C$19,2,0),0)</f>
        <v>165000</v>
      </c>
      <c r="AB230" s="34">
        <f>IF(F230&gt;2.5,6*VLOOKUP($AB$2,'Unit Price'!$B$3:$C$19,2,0),0)</f>
        <v>0</v>
      </c>
      <c r="AC230" s="34">
        <f>IF(F230&gt;2.5,3*VLOOKUP($AC$2,'Unit Price'!$B$3:$C$19,2,0),0)</f>
        <v>0</v>
      </c>
      <c r="AD230" s="36"/>
      <c r="AE230" s="46">
        <f t="shared" si="14"/>
        <v>1664000</v>
      </c>
      <c r="AF230" s="66">
        <f t="shared" si="15"/>
        <v>156000</v>
      </c>
    </row>
    <row r="231" spans="1:32">
      <c r="A231" s="17">
        <v>229</v>
      </c>
      <c r="B231" s="5" t="s">
        <v>491</v>
      </c>
      <c r="C231" s="5" t="s">
        <v>492</v>
      </c>
      <c r="D231" s="5" t="s">
        <v>12</v>
      </c>
      <c r="E231" s="5">
        <v>5.0953999999999997</v>
      </c>
      <c r="F231" s="18">
        <v>2</v>
      </c>
      <c r="G231" s="5">
        <v>9</v>
      </c>
      <c r="H231" s="50">
        <v>11</v>
      </c>
      <c r="I231" s="58">
        <v>99</v>
      </c>
      <c r="J231" s="5">
        <f t="shared" si="12"/>
        <v>0.65</v>
      </c>
      <c r="K231" s="36">
        <v>2800000</v>
      </c>
      <c r="L231" s="37">
        <f t="shared" si="13"/>
        <v>1820000</v>
      </c>
      <c r="N231" s="34">
        <f>H231*VLOOKUP($N$2,'Unit Price'!$B$3:$C$19,2,0)</f>
        <v>198000</v>
      </c>
      <c r="O231" s="34">
        <f>1*VLOOKUP($O$2,'Unit Price'!$B$3:$C$19,2,0)</f>
        <v>10000</v>
      </c>
      <c r="P231" s="34">
        <f>1*VLOOKUP($P$2,'Unit Price'!$B$3:$C$19,2,0)</f>
        <v>8000</v>
      </c>
      <c r="Q231" s="34">
        <f>G231*2*VLOOKUP($Q$2,'Unit Price'!$B$3:$C$19,2,0)</f>
        <v>27000</v>
      </c>
      <c r="R231" s="34">
        <f>H231*3*VLOOKUP($R$2,'Unit Price'!$B$3:$C$19,2,0)</f>
        <v>82500</v>
      </c>
      <c r="S231" s="34">
        <f>IF(F231&lt;=2.2,3*VLOOKUP($S$2,'Unit Price'!$B$3:$C$19,2,0),5*VLOOKUP($S$2,'Unit Price'!$B$3:$C$19,2,0))</f>
        <v>30000</v>
      </c>
      <c r="T231" s="34">
        <f>IF(F231&lt;=2.06,VLOOKUP($T$2,'Unit Price'!$B$3:$C$19,2,0),0)</f>
        <v>795000</v>
      </c>
      <c r="U231" s="34">
        <f>IF(F231&lt;=2.06,VLOOKUP($U$2,'Unit Price'!$B$3:$C$19,2,0),0)</f>
        <v>245000</v>
      </c>
      <c r="V231" s="34">
        <f>IF(AND(F231&gt;2.06,F231&lt;2.5),VLOOKUP($V$2,'Unit Price'!$B$3:$C$19,2,0),0)</f>
        <v>0</v>
      </c>
      <c r="W231" s="34">
        <f>IF(AND(F231&gt;2.06,F231&lt;2.5),VLOOKUP($W$2,'Unit Price'!$B$3:$C$19,2,0),0)</f>
        <v>0</v>
      </c>
      <c r="X231" s="34">
        <f>IF(F231&gt;2.5,VLOOKUP($X$2,'Unit Price'!$B$3:$C$19,2,0),0)</f>
        <v>0</v>
      </c>
      <c r="Y231" s="34">
        <f>IF(F231&gt;2.5,VLOOKUP($Y$2,'Unit Price'!$B$3:$C$19,2,0),0)</f>
        <v>0</v>
      </c>
      <c r="Z231" s="34">
        <f>IF(F231&lt;2.5,6*VLOOKUP($Z$2,'Unit Price'!$B$3:$C$19,2,0),0)</f>
        <v>132000</v>
      </c>
      <c r="AA231" s="34">
        <f>IF(F231&lt;2.5,3*VLOOKUP($AA$2,'Unit Price'!$B$3:$C$19,2,0),0)</f>
        <v>165000</v>
      </c>
      <c r="AB231" s="34">
        <f>IF(F231&gt;2.5,6*VLOOKUP($AB$2,'Unit Price'!$B$3:$C$19,2,0),0)</f>
        <v>0</v>
      </c>
      <c r="AC231" s="34">
        <f>IF(F231&gt;2.5,3*VLOOKUP($AC$2,'Unit Price'!$B$3:$C$19,2,0),0)</f>
        <v>0</v>
      </c>
      <c r="AD231" s="36"/>
      <c r="AE231" s="46">
        <f t="shared" si="14"/>
        <v>1692500</v>
      </c>
      <c r="AF231" s="66">
        <f t="shared" si="15"/>
        <v>127500</v>
      </c>
    </row>
    <row r="232" spans="1:32">
      <c r="A232" s="17">
        <v>230</v>
      </c>
      <c r="B232" s="5" t="s">
        <v>493</v>
      </c>
      <c r="C232" s="5" t="s">
        <v>494</v>
      </c>
      <c r="D232" s="5" t="s">
        <v>12</v>
      </c>
      <c r="E232" s="5">
        <v>3.4992999999999999</v>
      </c>
      <c r="F232" s="18">
        <v>2</v>
      </c>
      <c r="G232" s="5">
        <v>11</v>
      </c>
      <c r="H232" s="50">
        <v>14</v>
      </c>
      <c r="I232" s="58">
        <v>154</v>
      </c>
      <c r="J232" s="5">
        <f t="shared" si="12"/>
        <v>0.65</v>
      </c>
      <c r="K232" s="36">
        <v>2800000</v>
      </c>
      <c r="L232" s="37">
        <f t="shared" si="13"/>
        <v>1820000</v>
      </c>
      <c r="N232" s="34">
        <f>H232*VLOOKUP($N$2,'Unit Price'!$B$3:$C$19,2,0)</f>
        <v>252000</v>
      </c>
      <c r="O232" s="34">
        <f>1*VLOOKUP($O$2,'Unit Price'!$B$3:$C$19,2,0)</f>
        <v>10000</v>
      </c>
      <c r="P232" s="34">
        <f>1*VLOOKUP($P$2,'Unit Price'!$B$3:$C$19,2,0)</f>
        <v>8000</v>
      </c>
      <c r="Q232" s="34">
        <f>G232*2*VLOOKUP($Q$2,'Unit Price'!$B$3:$C$19,2,0)</f>
        <v>33000</v>
      </c>
      <c r="R232" s="34">
        <f>H232*3*VLOOKUP($R$2,'Unit Price'!$B$3:$C$19,2,0)</f>
        <v>105000</v>
      </c>
      <c r="S232" s="34">
        <f>IF(F232&lt;=2.2,3*VLOOKUP($S$2,'Unit Price'!$B$3:$C$19,2,0),5*VLOOKUP($S$2,'Unit Price'!$B$3:$C$19,2,0))</f>
        <v>30000</v>
      </c>
      <c r="T232" s="34">
        <f>IF(F232&lt;=2.06,VLOOKUP($T$2,'Unit Price'!$B$3:$C$19,2,0),0)</f>
        <v>795000</v>
      </c>
      <c r="U232" s="34">
        <f>IF(F232&lt;=2.06,VLOOKUP($U$2,'Unit Price'!$B$3:$C$19,2,0),0)</f>
        <v>245000</v>
      </c>
      <c r="V232" s="34">
        <f>IF(AND(F232&gt;2.06,F232&lt;2.5),VLOOKUP($V$2,'Unit Price'!$B$3:$C$19,2,0),0)</f>
        <v>0</v>
      </c>
      <c r="W232" s="34">
        <f>IF(AND(F232&gt;2.06,F232&lt;2.5),VLOOKUP($W$2,'Unit Price'!$B$3:$C$19,2,0),0)</f>
        <v>0</v>
      </c>
      <c r="X232" s="34">
        <f>IF(F232&gt;2.5,VLOOKUP($X$2,'Unit Price'!$B$3:$C$19,2,0),0)</f>
        <v>0</v>
      </c>
      <c r="Y232" s="34">
        <f>IF(F232&gt;2.5,VLOOKUP($Y$2,'Unit Price'!$B$3:$C$19,2,0),0)</f>
        <v>0</v>
      </c>
      <c r="Z232" s="34">
        <f>IF(F232&lt;2.5,6*VLOOKUP($Z$2,'Unit Price'!$B$3:$C$19,2,0),0)</f>
        <v>132000</v>
      </c>
      <c r="AA232" s="34">
        <f>IF(F232&lt;2.5,3*VLOOKUP($AA$2,'Unit Price'!$B$3:$C$19,2,0),0)</f>
        <v>165000</v>
      </c>
      <c r="AB232" s="34">
        <f>IF(F232&gt;2.5,6*VLOOKUP($AB$2,'Unit Price'!$B$3:$C$19,2,0),0)</f>
        <v>0</v>
      </c>
      <c r="AC232" s="34">
        <f>IF(F232&gt;2.5,3*VLOOKUP($AC$2,'Unit Price'!$B$3:$C$19,2,0),0)</f>
        <v>0</v>
      </c>
      <c r="AD232" s="36"/>
      <c r="AE232" s="46">
        <f t="shared" si="14"/>
        <v>1775000</v>
      </c>
      <c r="AF232" s="66">
        <f t="shared" si="15"/>
        <v>45000</v>
      </c>
    </row>
    <row r="233" spans="1:32">
      <c r="A233" s="17">
        <v>231</v>
      </c>
      <c r="B233" s="5" t="s">
        <v>495</v>
      </c>
      <c r="C233" s="5" t="s">
        <v>496</v>
      </c>
      <c r="D233" s="5" t="s">
        <v>12</v>
      </c>
      <c r="E233" s="5">
        <v>3.6326000000000001</v>
      </c>
      <c r="F233" s="18">
        <v>2</v>
      </c>
      <c r="G233" s="5">
        <v>12</v>
      </c>
      <c r="H233" s="50">
        <v>14</v>
      </c>
      <c r="I233" s="58">
        <v>168</v>
      </c>
      <c r="J233" s="5">
        <f t="shared" si="12"/>
        <v>0.65</v>
      </c>
      <c r="K233" s="36">
        <v>2800000</v>
      </c>
      <c r="L233" s="37">
        <f t="shared" si="13"/>
        <v>1820000</v>
      </c>
      <c r="N233" s="34">
        <f>H233*VLOOKUP($N$2,'Unit Price'!$B$3:$C$19,2,0)</f>
        <v>252000</v>
      </c>
      <c r="O233" s="34">
        <f>1*VLOOKUP($O$2,'Unit Price'!$B$3:$C$19,2,0)</f>
        <v>10000</v>
      </c>
      <c r="P233" s="34">
        <f>1*VLOOKUP($P$2,'Unit Price'!$B$3:$C$19,2,0)</f>
        <v>8000</v>
      </c>
      <c r="Q233" s="34">
        <f>G233*2*VLOOKUP($Q$2,'Unit Price'!$B$3:$C$19,2,0)</f>
        <v>36000</v>
      </c>
      <c r="R233" s="34">
        <f>H233*3*VLOOKUP($R$2,'Unit Price'!$B$3:$C$19,2,0)</f>
        <v>105000</v>
      </c>
      <c r="S233" s="34">
        <f>IF(F233&lt;=2.2,3*VLOOKUP($S$2,'Unit Price'!$B$3:$C$19,2,0),5*VLOOKUP($S$2,'Unit Price'!$B$3:$C$19,2,0))</f>
        <v>30000</v>
      </c>
      <c r="T233" s="34">
        <f>IF(F233&lt;=2.06,VLOOKUP($T$2,'Unit Price'!$B$3:$C$19,2,0),0)</f>
        <v>795000</v>
      </c>
      <c r="U233" s="34">
        <f>IF(F233&lt;=2.06,VLOOKUP($U$2,'Unit Price'!$B$3:$C$19,2,0),0)</f>
        <v>245000</v>
      </c>
      <c r="V233" s="34">
        <f>IF(AND(F233&gt;2.06,F233&lt;2.5),VLOOKUP($V$2,'Unit Price'!$B$3:$C$19,2,0),0)</f>
        <v>0</v>
      </c>
      <c r="W233" s="34">
        <f>IF(AND(F233&gt;2.06,F233&lt;2.5),VLOOKUP($W$2,'Unit Price'!$B$3:$C$19,2,0),0)</f>
        <v>0</v>
      </c>
      <c r="X233" s="34">
        <f>IF(F233&gt;2.5,VLOOKUP($X$2,'Unit Price'!$B$3:$C$19,2,0),0)</f>
        <v>0</v>
      </c>
      <c r="Y233" s="34">
        <f>IF(F233&gt;2.5,VLOOKUP($Y$2,'Unit Price'!$B$3:$C$19,2,0),0)</f>
        <v>0</v>
      </c>
      <c r="Z233" s="34">
        <f>IF(F233&lt;2.5,6*VLOOKUP($Z$2,'Unit Price'!$B$3:$C$19,2,0),0)</f>
        <v>132000</v>
      </c>
      <c r="AA233" s="34">
        <f>IF(F233&lt;2.5,3*VLOOKUP($AA$2,'Unit Price'!$B$3:$C$19,2,0),0)</f>
        <v>165000</v>
      </c>
      <c r="AB233" s="34">
        <f>IF(F233&gt;2.5,6*VLOOKUP($AB$2,'Unit Price'!$B$3:$C$19,2,0),0)</f>
        <v>0</v>
      </c>
      <c r="AC233" s="34">
        <f>IF(F233&gt;2.5,3*VLOOKUP($AC$2,'Unit Price'!$B$3:$C$19,2,0),0)</f>
        <v>0</v>
      </c>
      <c r="AD233" s="36"/>
      <c r="AE233" s="46">
        <f t="shared" si="14"/>
        <v>1778000</v>
      </c>
      <c r="AF233" s="66">
        <f t="shared" si="15"/>
        <v>42000</v>
      </c>
    </row>
    <row r="234" spans="1:32">
      <c r="A234" s="17">
        <v>232</v>
      </c>
      <c r="B234" s="5" t="s">
        <v>497</v>
      </c>
      <c r="C234" s="5" t="s">
        <v>498</v>
      </c>
      <c r="D234" s="5" t="s">
        <v>12</v>
      </c>
      <c r="E234" s="5">
        <v>8.7276000000000007</v>
      </c>
      <c r="F234" s="18">
        <v>2</v>
      </c>
      <c r="G234" s="5">
        <v>9</v>
      </c>
      <c r="H234" s="50">
        <v>8</v>
      </c>
      <c r="I234" s="58">
        <v>72</v>
      </c>
      <c r="J234" s="5">
        <f t="shared" si="12"/>
        <v>0.65</v>
      </c>
      <c r="K234" s="36">
        <v>2800000</v>
      </c>
      <c r="L234" s="37">
        <f t="shared" si="13"/>
        <v>1820000</v>
      </c>
      <c r="N234" s="34">
        <f>H234*VLOOKUP($N$2,'Unit Price'!$B$3:$C$19,2,0)</f>
        <v>144000</v>
      </c>
      <c r="O234" s="34">
        <f>1*VLOOKUP($O$2,'Unit Price'!$B$3:$C$19,2,0)</f>
        <v>10000</v>
      </c>
      <c r="P234" s="34">
        <f>1*VLOOKUP($P$2,'Unit Price'!$B$3:$C$19,2,0)</f>
        <v>8000</v>
      </c>
      <c r="Q234" s="34">
        <f>G234*2*VLOOKUP($Q$2,'Unit Price'!$B$3:$C$19,2,0)</f>
        <v>27000</v>
      </c>
      <c r="R234" s="34">
        <f>H234*3*VLOOKUP($R$2,'Unit Price'!$B$3:$C$19,2,0)</f>
        <v>60000</v>
      </c>
      <c r="S234" s="34">
        <f>IF(F234&lt;=2.2,3*VLOOKUP($S$2,'Unit Price'!$B$3:$C$19,2,0),5*VLOOKUP($S$2,'Unit Price'!$B$3:$C$19,2,0))</f>
        <v>30000</v>
      </c>
      <c r="T234" s="34">
        <f>IF(F234&lt;=2.06,VLOOKUP($T$2,'Unit Price'!$B$3:$C$19,2,0),0)</f>
        <v>795000</v>
      </c>
      <c r="U234" s="34">
        <f>IF(F234&lt;=2.06,VLOOKUP($U$2,'Unit Price'!$B$3:$C$19,2,0),0)</f>
        <v>245000</v>
      </c>
      <c r="V234" s="34">
        <f>IF(AND(F234&gt;2.06,F234&lt;2.5),VLOOKUP($V$2,'Unit Price'!$B$3:$C$19,2,0),0)</f>
        <v>0</v>
      </c>
      <c r="W234" s="34">
        <f>IF(AND(F234&gt;2.06,F234&lt;2.5),VLOOKUP($W$2,'Unit Price'!$B$3:$C$19,2,0),0)</f>
        <v>0</v>
      </c>
      <c r="X234" s="34">
        <f>IF(F234&gt;2.5,VLOOKUP($X$2,'Unit Price'!$B$3:$C$19,2,0),0)</f>
        <v>0</v>
      </c>
      <c r="Y234" s="34">
        <f>IF(F234&gt;2.5,VLOOKUP($Y$2,'Unit Price'!$B$3:$C$19,2,0),0)</f>
        <v>0</v>
      </c>
      <c r="Z234" s="34">
        <f>IF(F234&lt;2.5,6*VLOOKUP($Z$2,'Unit Price'!$B$3:$C$19,2,0),0)</f>
        <v>132000</v>
      </c>
      <c r="AA234" s="34">
        <f>IF(F234&lt;2.5,3*VLOOKUP($AA$2,'Unit Price'!$B$3:$C$19,2,0),0)</f>
        <v>165000</v>
      </c>
      <c r="AB234" s="34">
        <f>IF(F234&gt;2.5,6*VLOOKUP($AB$2,'Unit Price'!$B$3:$C$19,2,0),0)</f>
        <v>0</v>
      </c>
      <c r="AC234" s="34">
        <f>IF(F234&gt;2.5,3*VLOOKUP($AC$2,'Unit Price'!$B$3:$C$19,2,0),0)</f>
        <v>0</v>
      </c>
      <c r="AD234" s="36"/>
      <c r="AE234" s="46">
        <f t="shared" si="14"/>
        <v>1616000</v>
      </c>
      <c r="AF234" s="66">
        <f t="shared" si="15"/>
        <v>204000</v>
      </c>
    </row>
    <row r="235" spans="1:32" ht="16" thickBot="1">
      <c r="A235" s="28">
        <v>233</v>
      </c>
      <c r="B235" s="29" t="s">
        <v>499</v>
      </c>
      <c r="C235" s="29" t="s">
        <v>500</v>
      </c>
      <c r="D235" s="29" t="s">
        <v>37</v>
      </c>
      <c r="E235" s="29">
        <v>15.7654</v>
      </c>
      <c r="F235" s="30">
        <v>2</v>
      </c>
      <c r="G235" s="29">
        <v>6</v>
      </c>
      <c r="H235" s="54">
        <v>6</v>
      </c>
      <c r="I235" s="60">
        <v>36</v>
      </c>
      <c r="J235" s="29">
        <f t="shared" si="12"/>
        <v>0.65</v>
      </c>
      <c r="K235" s="61">
        <v>2800000</v>
      </c>
      <c r="L235" s="38">
        <f t="shared" si="13"/>
        <v>1820000</v>
      </c>
      <c r="N235" s="34">
        <f>H235*VLOOKUP($N$2,'Unit Price'!$B$3:$C$19,2,0)</f>
        <v>108000</v>
      </c>
      <c r="O235" s="34">
        <f>1*VLOOKUP($O$2,'Unit Price'!$B$3:$C$19,2,0)</f>
        <v>10000</v>
      </c>
      <c r="P235" s="34">
        <f>1*VLOOKUP($P$2,'Unit Price'!$B$3:$C$19,2,0)</f>
        <v>8000</v>
      </c>
      <c r="Q235" s="34">
        <f>G235*2*VLOOKUP($Q$2,'Unit Price'!$B$3:$C$19,2,0)</f>
        <v>18000</v>
      </c>
      <c r="R235" s="34">
        <f>H235*3*VLOOKUP($R$2,'Unit Price'!$B$3:$C$19,2,0)</f>
        <v>45000</v>
      </c>
      <c r="S235" s="34">
        <f>IF(F235&lt;=2.2,3*VLOOKUP($S$2,'Unit Price'!$B$3:$C$19,2,0),5*VLOOKUP($S$2,'Unit Price'!$B$3:$C$19,2,0))</f>
        <v>30000</v>
      </c>
      <c r="T235" s="34">
        <f>IF(F235&lt;=2.06,VLOOKUP($T$2,'Unit Price'!$B$3:$C$19,2,0),0)</f>
        <v>795000</v>
      </c>
      <c r="U235" s="34">
        <f>IF(F235&lt;=2.06,VLOOKUP($U$2,'Unit Price'!$B$3:$C$19,2,0),0)</f>
        <v>245000</v>
      </c>
      <c r="V235" s="34">
        <f>IF(AND(F235&gt;2.06,F235&lt;2.5),VLOOKUP($V$2,'Unit Price'!$B$3:$C$19,2,0),0)</f>
        <v>0</v>
      </c>
      <c r="W235" s="34">
        <f>IF(AND(F235&gt;2.06,F235&lt;2.5),VLOOKUP($W$2,'Unit Price'!$B$3:$C$19,2,0),0)</f>
        <v>0</v>
      </c>
      <c r="X235" s="34">
        <f>IF(F235&gt;2.5,VLOOKUP($X$2,'Unit Price'!$B$3:$C$19,2,0),0)</f>
        <v>0</v>
      </c>
      <c r="Y235" s="34">
        <f>IF(F235&gt;2.5,VLOOKUP($Y$2,'Unit Price'!$B$3:$C$19,2,0),0)</f>
        <v>0</v>
      </c>
      <c r="Z235" s="34">
        <f>IF(F235&lt;2.5,6*VLOOKUP($Z$2,'Unit Price'!$B$3:$C$19,2,0),0)</f>
        <v>132000</v>
      </c>
      <c r="AA235" s="34">
        <f>IF(F235&lt;2.5,3*VLOOKUP($AA$2,'Unit Price'!$B$3:$C$19,2,0),0)</f>
        <v>165000</v>
      </c>
      <c r="AB235" s="34">
        <f>IF(F235&gt;2.5,6*VLOOKUP($AB$2,'Unit Price'!$B$3:$C$19,2,0),0)</f>
        <v>0</v>
      </c>
      <c r="AC235" s="34">
        <f>IF(F235&gt;2.5,3*VLOOKUP($AC$2,'Unit Price'!$B$3:$C$19,2,0),0)</f>
        <v>0</v>
      </c>
      <c r="AD235" s="36"/>
      <c r="AE235" s="47">
        <f t="shared" si="14"/>
        <v>1556000</v>
      </c>
      <c r="AF235" s="66">
        <f t="shared" si="15"/>
        <v>264000</v>
      </c>
    </row>
  </sheetData>
  <autoFilter ref="A2:AF235" xr:uid="{2AE91AD3-2FC8-4124-BCA2-BECC179CB5E7}"/>
  <conditionalFormatting sqref="A3:I235">
    <cfRule type="expression" dxfId="1" priority="7">
      <formula>$S3="KIỆN HỞ"</formula>
    </cfRule>
    <cfRule type="expression" dxfId="0" priority="8">
      <formula>$S3="SƠN ĐỎ"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3CDB-473E-4A7D-A9C5-AED9DD606118}">
  <dimension ref="A1:N6"/>
  <sheetViews>
    <sheetView zoomScaleNormal="100" workbookViewId="0">
      <selection activeCell="L3" sqref="L3"/>
    </sheetView>
  </sheetViews>
  <sheetFormatPr defaultColWidth="9.08984375" defaultRowHeight="14.5"/>
  <cols>
    <col min="1" max="1" width="8.90625" style="312" customWidth="1"/>
    <col min="2" max="2" width="21.08984375" style="312" customWidth="1"/>
    <col min="3" max="3" width="21.90625" style="312" hidden="1" customWidth="1"/>
    <col min="4" max="6" width="12.7265625" style="312" customWidth="1"/>
    <col min="7" max="7" width="0.6328125" style="312" customWidth="1"/>
    <col min="8" max="10" width="12.7265625" style="312" customWidth="1"/>
    <col min="11" max="11" width="0.36328125" style="312" customWidth="1"/>
    <col min="12" max="14" width="12.7265625" style="312" customWidth="1"/>
    <col min="15" max="16384" width="9.08984375" style="312"/>
  </cols>
  <sheetData>
    <row r="1" spans="1:14" ht="27" customHeight="1" thickBot="1">
      <c r="A1" s="866" t="s">
        <v>526</v>
      </c>
      <c r="B1" s="872" t="s">
        <v>640</v>
      </c>
      <c r="C1" s="871" t="s">
        <v>652</v>
      </c>
      <c r="D1" s="868" t="s">
        <v>641</v>
      </c>
      <c r="E1" s="869"/>
      <c r="F1" s="870"/>
      <c r="H1" s="868" t="s">
        <v>642</v>
      </c>
      <c r="I1" s="869"/>
      <c r="J1" s="870"/>
      <c r="L1" s="868" t="s">
        <v>660</v>
      </c>
      <c r="M1" s="869"/>
      <c r="N1" s="870"/>
    </row>
    <row r="2" spans="1:14" ht="39.75" customHeight="1">
      <c r="A2" s="867"/>
      <c r="B2" s="873"/>
      <c r="C2" s="871"/>
      <c r="D2" s="313" t="s">
        <v>657</v>
      </c>
      <c r="E2" s="287" t="s">
        <v>656</v>
      </c>
      <c r="F2" s="292" t="s">
        <v>664</v>
      </c>
      <c r="H2" s="297" t="s">
        <v>657</v>
      </c>
      <c r="I2" s="307" t="s">
        <v>656</v>
      </c>
      <c r="J2" s="302" t="s">
        <v>665</v>
      </c>
      <c r="L2" s="297" t="s">
        <v>657</v>
      </c>
      <c r="M2" s="307" t="s">
        <v>656</v>
      </c>
      <c r="N2" s="302" t="s">
        <v>663</v>
      </c>
    </row>
    <row r="3" spans="1:14" ht="21" customHeight="1" thickBot="1">
      <c r="A3" s="867"/>
      <c r="B3" s="874"/>
      <c r="C3" s="277"/>
      <c r="D3" s="314" t="s">
        <v>653</v>
      </c>
      <c r="E3" s="288" t="s">
        <v>645</v>
      </c>
      <c r="F3" s="293" t="s">
        <v>667</v>
      </c>
      <c r="H3" s="298" t="s">
        <v>654</v>
      </c>
      <c r="I3" s="308" t="s">
        <v>655</v>
      </c>
      <c r="J3" s="303" t="s">
        <v>666</v>
      </c>
      <c r="L3" s="298" t="s">
        <v>661</v>
      </c>
      <c r="M3" s="308" t="s">
        <v>662</v>
      </c>
      <c r="N3" s="303" t="s">
        <v>668</v>
      </c>
    </row>
    <row r="4" spans="1:14" ht="21.9" customHeight="1">
      <c r="A4" s="278" t="s">
        <v>631</v>
      </c>
      <c r="B4" s="284" t="s">
        <v>637</v>
      </c>
      <c r="C4" s="281" t="s">
        <v>634</v>
      </c>
      <c r="D4" s="315">
        <f>AVERAGEIFS(Detail!L3:L235,Detail!F3:F235,2)</f>
        <v>1820000</v>
      </c>
      <c r="E4" s="289">
        <f>AVERAGEIFS(Detail!AE3:AE235,Detail!F3:F235,2)</f>
        <v>1675052.6315789474</v>
      </c>
      <c r="F4" s="294">
        <f>D4-E4</f>
        <v>144947.36842105258</v>
      </c>
      <c r="H4" s="299">
        <v>420</v>
      </c>
      <c r="I4" s="309">
        <v>240</v>
      </c>
      <c r="J4" s="304">
        <f>H4-I4</f>
        <v>180</v>
      </c>
      <c r="L4" s="299">
        <v>50</v>
      </c>
      <c r="M4" s="309">
        <v>45</v>
      </c>
      <c r="N4" s="304">
        <f>L4-M4</f>
        <v>5</v>
      </c>
    </row>
    <row r="5" spans="1:14" ht="21.9" customHeight="1">
      <c r="A5" s="279" t="s">
        <v>633</v>
      </c>
      <c r="B5" s="285" t="s">
        <v>638</v>
      </c>
      <c r="C5" s="282" t="s">
        <v>632</v>
      </c>
      <c r="D5" s="316">
        <f>AVERAGEIFS(Detail!L3:L235,Detail!F3:F235,"&gt;2.06",Detail!F3:F235,"&lt;2.5")</f>
        <v>1959999.9999999998</v>
      </c>
      <c r="E5" s="290">
        <f>AVERAGEIFS(Detail!AE3:AE235,Detail!F3:F235,"&gt;2.06",Detail!F3:F235,"&lt;2.5")</f>
        <v>1730750</v>
      </c>
      <c r="F5" s="295">
        <f t="shared" ref="F5:F6" si="0">D5-E5</f>
        <v>229249.99999999977</v>
      </c>
      <c r="H5" s="300">
        <v>420</v>
      </c>
      <c r="I5" s="310">
        <v>240</v>
      </c>
      <c r="J5" s="305">
        <f t="shared" ref="J5:J6" si="1">H5-I5</f>
        <v>180</v>
      </c>
      <c r="L5" s="300">
        <v>58</v>
      </c>
      <c r="M5" s="310">
        <v>52</v>
      </c>
      <c r="N5" s="305">
        <f t="shared" ref="N5:N6" si="2">L5-M5</f>
        <v>6</v>
      </c>
    </row>
    <row r="6" spans="1:14" ht="21.9" customHeight="1" thickBot="1">
      <c r="A6" s="280" t="s">
        <v>635</v>
      </c>
      <c r="B6" s="286" t="s">
        <v>639</v>
      </c>
      <c r="C6" s="283" t="s">
        <v>636</v>
      </c>
      <c r="D6" s="317">
        <f>AVERAGEIFS(Detail!L3:L235,Detail!F3:F235,"&gt;2.5")</f>
        <v>2800000</v>
      </c>
      <c r="E6" s="291">
        <f>AVERAGEIFS(Detail!AE3:AE235,Detail!F3:F235,"&gt;2.5")</f>
        <v>2492920.5607476635</v>
      </c>
      <c r="F6" s="296">
        <f t="shared" si="0"/>
        <v>307079.43925233651</v>
      </c>
      <c r="H6" s="301">
        <v>540</v>
      </c>
      <c r="I6" s="311">
        <v>330</v>
      </c>
      <c r="J6" s="306">
        <f t="shared" si="1"/>
        <v>210</v>
      </c>
      <c r="L6" s="301">
        <v>94</v>
      </c>
      <c r="M6" s="311">
        <v>85</v>
      </c>
      <c r="N6" s="306">
        <f t="shared" si="2"/>
        <v>9</v>
      </c>
    </row>
  </sheetData>
  <mergeCells count="6">
    <mergeCell ref="A1:A3"/>
    <mergeCell ref="L1:N1"/>
    <mergeCell ref="D1:F1"/>
    <mergeCell ref="H1:J1"/>
    <mergeCell ref="C1:C2"/>
    <mergeCell ref="B1: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改善かんばん</vt:lpstr>
      <vt:lpstr>Unit Price</vt:lpstr>
      <vt:lpstr>改善かんばん(english ver)</vt:lpstr>
      <vt:lpstr>Trend</vt:lpstr>
      <vt:lpstr>Time line of Heating Case </vt:lpstr>
      <vt:lpstr>Data</vt:lpstr>
      <vt:lpstr>2024 Plan</vt:lpstr>
      <vt:lpstr>2024 Plan New</vt:lpstr>
      <vt:lpstr>Sheet1</vt:lpstr>
      <vt:lpstr>Detail</vt:lpstr>
      <vt:lpstr>General</vt:lpstr>
      <vt:lpstr>改善かんばん!Print_Area</vt:lpstr>
      <vt:lpstr>'改善かんばん(english ver)'!Print_Area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SMC-DANG-NGUYEN</dc:creator>
  <cp:lastModifiedBy>Dang Nguyen Hai (Deformation_Al Tube Drawing)</cp:lastModifiedBy>
  <cp:lastPrinted>2024-07-03T04:43:53Z</cp:lastPrinted>
  <dcterms:created xsi:type="dcterms:W3CDTF">2022-11-08T07:26:42Z</dcterms:created>
  <dcterms:modified xsi:type="dcterms:W3CDTF">2024-07-03T04:44:50Z</dcterms:modified>
</cp:coreProperties>
</file>