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ims\doc\tabulky\"/>
    </mc:Choice>
  </mc:AlternateContent>
  <xr:revisionPtr revIDLastSave="0" documentId="13_ncr:1_{A0BC002F-8647-4597-AE8F-0781E83E1310}" xr6:coauthVersionLast="45" xr6:coauthVersionMax="45" xr10:uidLastSave="{00000000-0000-0000-0000-000000000000}"/>
  <bookViews>
    <workbookView xWindow="-108" yWindow="-108" windowWidth="23256" windowHeight="12576" activeTab="2" xr2:uid="{F039B34C-9F27-4601-A01C-EA2B44B14B0F}"/>
  </bookViews>
  <sheets>
    <sheet name="Rozbor tematu" sheetId="2" r:id="rId1"/>
    <sheet name="Prepocet stromu" sheetId="3" r:id="rId2"/>
    <sheet name="Experimenty Kalibrace" sheetId="1" r:id="rId3"/>
    <sheet name="Experimenty" sheetId="7" r:id="rId4"/>
    <sheet name="E_tresen" sheetId="6" r:id="rId5"/>
    <sheet name="E_dub_topol" sheetId="4" r:id="rId6"/>
    <sheet name="List2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" i="4" l="1"/>
  <c r="O14" i="4"/>
  <c r="O15" i="4"/>
  <c r="O16" i="4"/>
  <c r="O17" i="4"/>
  <c r="N14" i="4"/>
  <c r="N17" i="4" s="1"/>
  <c r="N15" i="4"/>
  <c r="N16" i="4"/>
  <c r="M16" i="4"/>
  <c r="P15" i="4"/>
  <c r="M15" i="4"/>
  <c r="M14" i="4"/>
  <c r="L14" i="4"/>
  <c r="K14" i="4"/>
  <c r="K15" i="4"/>
  <c r="K17" i="4" s="1"/>
  <c r="L15" i="4"/>
  <c r="J14" i="4"/>
  <c r="J15" i="4"/>
  <c r="J16" i="4"/>
  <c r="J17" i="6"/>
  <c r="M16" i="6"/>
  <c r="L16" i="6"/>
  <c r="K16" i="6"/>
  <c r="J16" i="6"/>
  <c r="O15" i="6"/>
  <c r="N15" i="6"/>
  <c r="M15" i="6"/>
  <c r="L15" i="6"/>
  <c r="K15" i="6"/>
  <c r="J15" i="6"/>
  <c r="O14" i="6"/>
  <c r="O17" i="6" s="1"/>
  <c r="N14" i="6"/>
  <c r="N17" i="6" s="1"/>
  <c r="M14" i="6"/>
  <c r="M17" i="6" s="1"/>
  <c r="L14" i="6"/>
  <c r="L17" i="6" s="1"/>
  <c r="K14" i="6"/>
  <c r="K17" i="6" s="1"/>
  <c r="J14" i="6"/>
  <c r="G18" i="7"/>
  <c r="G17" i="7"/>
  <c r="C20" i="7"/>
  <c r="D20" i="7"/>
  <c r="E20" i="7"/>
  <c r="F20" i="7"/>
  <c r="F18" i="7"/>
  <c r="F17" i="7"/>
  <c r="E17" i="7"/>
  <c r="E18" i="7"/>
  <c r="E19" i="7"/>
  <c r="D17" i="7"/>
  <c r="D18" i="7"/>
  <c r="D19" i="7"/>
  <c r="C18" i="7"/>
  <c r="C17" i="7"/>
  <c r="C19" i="7"/>
  <c r="B20" i="7"/>
  <c r="B18" i="7"/>
  <c r="B19" i="7"/>
  <c r="B17" i="7"/>
  <c r="L17" i="4" l="1"/>
  <c r="M17" i="4"/>
  <c r="P17" i="4"/>
  <c r="J17" i="4"/>
  <c r="G20" i="7"/>
  <c r="C28" i="1"/>
  <c r="C29" i="1" s="1"/>
  <c r="D28" i="1"/>
  <c r="D29" i="1" s="1"/>
  <c r="B28" i="1"/>
  <c r="B29" i="1" s="1"/>
  <c r="B14" i="5" l="1"/>
  <c r="B13" i="5"/>
  <c r="D12" i="5"/>
  <c r="B7" i="5"/>
  <c r="B6" i="5"/>
  <c r="B9" i="5"/>
  <c r="D7" i="5"/>
  <c r="D8" i="5"/>
  <c r="C8" i="5"/>
  <c r="C7" i="5"/>
  <c r="F20" i="1"/>
  <c r="C2" i="3" l="1"/>
  <c r="C3" i="3" s="1"/>
  <c r="C4" i="3" s="1"/>
  <c r="D2" i="3"/>
  <c r="D3" i="3" s="1"/>
  <c r="D4" i="3" s="1"/>
  <c r="B2" i="3"/>
  <c r="B3" i="3" s="1"/>
  <c r="C19" i="2"/>
  <c r="D19" i="2"/>
  <c r="B19" i="2"/>
  <c r="B17" i="2"/>
  <c r="C18" i="2"/>
  <c r="D18" i="2"/>
  <c r="B18" i="2"/>
  <c r="C17" i="2"/>
  <c r="D17" i="2"/>
  <c r="F9" i="2"/>
  <c r="F8" i="2"/>
  <c r="C10" i="2"/>
  <c r="D10" i="2"/>
  <c r="B10" i="2"/>
  <c r="C9" i="2"/>
  <c r="D9" i="2"/>
  <c r="B9" i="2"/>
  <c r="C12" i="2"/>
  <c r="D12" i="2"/>
  <c r="B12" i="2"/>
  <c r="C20" i="1"/>
  <c r="C21" i="1" s="1"/>
  <c r="D20" i="1"/>
  <c r="D21" i="1" s="1"/>
  <c r="E20" i="1"/>
  <c r="E21" i="1" s="1"/>
  <c r="F21" i="1"/>
  <c r="G20" i="1"/>
  <c r="G21" i="1" s="1"/>
  <c r="B20" i="1"/>
  <c r="B21" i="1" s="1"/>
  <c r="B4" i="3" l="1"/>
</calcChain>
</file>

<file path=xl/sharedStrings.xml><?xml version="1.0" encoding="utf-8"?>
<sst xmlns="http://schemas.openxmlformats.org/spreadsheetml/2006/main" count="201" uniqueCount="76">
  <si>
    <t>Identifikátor</t>
  </si>
  <si>
    <t>Druh stromu</t>
  </si>
  <si>
    <t>Doba simulace [a]</t>
  </si>
  <si>
    <t>Rozloha lesa [ha]</t>
  </si>
  <si>
    <t>Rozteč stromů [m]</t>
  </si>
  <si>
    <t>Rozloha školky [ha]</t>
  </si>
  <si>
    <t>Rozteč sazenic [m]</t>
  </si>
  <si>
    <t>Žádosti o dřevo za rok</t>
  </si>
  <si>
    <t>Max. stromů v žádosti</t>
  </si>
  <si>
    <t>K1</t>
  </si>
  <si>
    <t>K2</t>
  </si>
  <si>
    <t>K3</t>
  </si>
  <si>
    <t>Třešeň</t>
  </si>
  <si>
    <t>Dub</t>
  </si>
  <si>
    <t>Topol</t>
  </si>
  <si>
    <t>Počet stromů</t>
  </si>
  <si>
    <t>Očekávaný počet stromů</t>
  </si>
  <si>
    <t>Převod z CO2 na C [tC/a]</t>
  </si>
  <si>
    <t>Očekávaná hodnota uhlíku [tC/a]</t>
  </si>
  <si>
    <t>K4</t>
  </si>
  <si>
    <t>K5</t>
  </si>
  <si>
    <t>K6</t>
  </si>
  <si>
    <t>Životnost [a]</t>
  </si>
  <si>
    <t>Rozteč [m]</t>
  </si>
  <si>
    <t>Stromů/ha</t>
  </si>
  <si>
    <t>Divoká třešeň</t>
  </si>
  <si>
    <t>Uhlíku ve stromu [tC/tree]</t>
  </si>
  <si>
    <t>Stromů k sekvestraci 1.1tC/a</t>
  </si>
  <si>
    <t>Rozloha půdy k sekvestraci 1.1tC/a</t>
  </si>
  <si>
    <t>Výpočet [kgC/tree/a]</t>
  </si>
  <si>
    <t>Výpočet [kgCO2/tree/a]</t>
  </si>
  <si>
    <t>Tabulka [kgC/tree/a]</t>
  </si>
  <si>
    <t>Tabulka [kgCO2/tree/a]</t>
  </si>
  <si>
    <t>https://www.irozhlas.cz/zpravy-domov/klima-co2-znecisteni-limity-brabec-cez_1812110600_jab</t>
  </si>
  <si>
    <t>CO2eq ve stromu [tCO2/tree]</t>
  </si>
  <si>
    <t>CO2eq za rok [kgCO2/tree/a</t>
  </si>
  <si>
    <t>CO2eq za měsíc [kgCO2/tree/a/12]</t>
  </si>
  <si>
    <t xml:space="preserve"> </t>
  </si>
  <si>
    <t>Rozloha [ha]</t>
  </si>
  <si>
    <t>ČR</t>
  </si>
  <si>
    <t>Švédsko</t>
  </si>
  <si>
    <t>USA</t>
  </si>
  <si>
    <t>*</t>
  </si>
  <si>
    <t>Sazenic</t>
  </si>
  <si>
    <t>kgCO2</t>
  </si>
  <si>
    <t>K7</t>
  </si>
  <si>
    <t>K8</t>
  </si>
  <si>
    <t>K9</t>
  </si>
  <si>
    <t>Pohlcené uhlíkové emise [kgCO2]</t>
  </si>
  <si>
    <t>Přepočet na rok [kgCO2/a]</t>
  </si>
  <si>
    <t>Očekávaná hodnota uhlíku [tC/tree]</t>
  </si>
  <si>
    <t>Přepočet na strom [kgCO2/tree]</t>
  </si>
  <si>
    <t>Převod z CO2 na C [tC/tree]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</si>
  <si>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</si>
  <si>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</si>
  <si>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</si>
  <si>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</si>
  <si>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</si>
  <si>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</si>
  <si>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</si>
  <si>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</si>
  <si>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</si>
  <si>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</si>
  <si>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Pohlcené CO2 lesem [tCO2]</t>
  </si>
  <si>
    <t>CO2 mrtvých stromů [tCO2]</t>
  </si>
  <si>
    <t>Výsledné CO2 [tCO2]</t>
  </si>
  <si>
    <t>Stromů v lese na konci</t>
  </si>
  <si>
    <t>Mrtvých stromů</t>
  </si>
  <si>
    <t>C emise školky [tCO2]</t>
  </si>
  <si>
    <t>Použitých sazenic</t>
  </si>
  <si>
    <t>Nepoužitých sazenic</t>
  </si>
  <si>
    <t>IN</t>
  </si>
  <si>
    <t>OUT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</si>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</sst>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1" fillId="0" borderId="8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164" fontId="0" fillId="0" borderId="2" xfId="0" applyNumberFormat="1" applyBorder="1"/>
    <xf numFmtId="0" fontId="0" fillId="0" borderId="11" xfId="0" applyBorder="1"/>
    <xf numFmtId="0" fontId="0" fillId="0" borderId="6" xfId="0" applyBorder="1"/>
    <xf numFmtId="164" fontId="0" fillId="0" borderId="6" xfId="0" applyNumberFormat="1" applyBorder="1"/>
    <xf numFmtId="164" fontId="0" fillId="0" borderId="11" xfId="0" applyNumberFormat="1" applyBorder="1"/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1" xfId="0" applyFill="1" applyBorder="1"/>
    <xf numFmtId="164" fontId="0" fillId="2" borderId="2" xfId="0" applyNumberFormat="1" applyFill="1" applyBorder="1"/>
    <xf numFmtId="164" fontId="0" fillId="2" borderId="11" xfId="0" applyNumberFormat="1" applyFill="1" applyBorder="1"/>
  </cellXfs>
  <cellStyles count="2">
    <cellStyle name="Hypertextový odkaz" xfId="1" builtinId="8"/>
    <cellStyle name="Normální" xfId="0" builtinId="0"/>
  </cellStyles>
  <dxfs count="16">
    <dxf>
      <border diagonalUp="0" diagonalDown="0">
        <left style="dotted">
          <color auto="1"/>
        </left>
        <right/>
        <top style="thin">
          <color auto="1"/>
        </top>
        <bottom style="thin">
          <color auto="1"/>
        </bottom>
        <vertical style="dotted">
          <color auto="1"/>
        </vertical>
        <horizontal style="thin">
          <color auto="1"/>
        </horizontal>
      </border>
    </dxf>
    <dxf>
      <border diagonalUp="0" diagonalDown="0"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  <vertical style="dotted">
          <color auto="1"/>
        </vertical>
        <horizontal style="thin">
          <color auto="1"/>
        </horizontal>
      </border>
    </dxf>
    <dxf>
      <border diagonalUp="0" diagonalDown="0"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  <vertical style="dotted">
          <color auto="1"/>
        </vertical>
        <horizontal style="thin">
          <color auto="1"/>
        </horizontal>
      </border>
    </dxf>
    <dxf>
      <font>
        <b/>
      </font>
      <alignment horizontal="center" vertical="center" textRotation="0" wrapText="1" indent="0" justifyLastLine="0" shrinkToFit="0" readingOrder="0"/>
      <border diagonalUp="0" diagonalDown="0">
        <left/>
        <right style="dotted">
          <color auto="1"/>
        </right>
        <top style="thin">
          <color auto="1"/>
        </top>
        <bottom style="thin">
          <color auto="1"/>
        </bottom>
        <vertical style="dotted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 diagonalUp="0" diagonalDown="0">
        <left style="dotted">
          <color auto="1"/>
        </left>
        <right style="dotted">
          <color auto="1"/>
        </right>
        <top/>
        <bottom/>
        <vertical style="dotted">
          <color auto="1"/>
        </vertical>
        <horizontal style="thin">
          <color auto="1"/>
        </horizontal>
      </border>
    </dxf>
    <dxf>
      <border diagonalUp="0" diagonalDown="0">
        <left style="dotted">
          <color auto="1"/>
        </left>
        <right/>
        <top style="thin">
          <color auto="1"/>
        </top>
        <bottom style="thin">
          <color auto="1"/>
        </bottom>
        <vertical style="dotted">
          <color auto="1"/>
        </vertical>
        <horizontal style="thin">
          <color auto="1"/>
        </horizontal>
      </border>
    </dxf>
    <dxf>
      <border diagonalUp="0" diagonalDown="0"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  <vertical style="dotted">
          <color auto="1"/>
        </vertical>
        <horizontal style="thin">
          <color auto="1"/>
        </horizontal>
      </border>
    </dxf>
    <dxf>
      <border diagonalUp="0" diagonalDown="0" outline="0">
        <left/>
        <right style="dotted">
          <color auto="1"/>
        </right>
        <top style="thin">
          <color auto="1"/>
        </top>
        <bottom style="thin">
          <color auto="1"/>
        </bottom>
      </border>
    </dxf>
    <dxf>
      <font>
        <b/>
      </font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 diagonalUp="0" diagonalDown="0">
        <left style="dotted">
          <color auto="1"/>
        </left>
        <right style="dotted">
          <color auto="1"/>
        </right>
        <top/>
        <bottom/>
        <vertical style="dotted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EF91A0-005C-4069-B7F6-9DEDE95549D4}" name="Tabulka2" displayName="Tabulka2" ref="A2:D8" totalsRowShown="0" headerRowDxfId="15" headerRowBorderDxfId="14" tableBorderDxfId="13" totalsRowBorderDxfId="12">
  <autoFilter ref="A2:D8" xr:uid="{6E6A2405-22E4-4EED-8E5B-892D45F14636}"/>
  <tableColumns count="4">
    <tableColumn id="1" xr3:uid="{0DEED659-2A5E-49CD-A5D4-6A8FB3CE9E94}" name=" " dataDxfId="11"/>
    <tableColumn id="2" xr3:uid="{02272195-E7A4-4361-8CE2-FC690CE8D9A7}" name="Divoká třešeň" dataDxfId="10"/>
    <tableColumn id="3" xr3:uid="{997DACC4-55FC-4DE2-A7DD-C2541DC1DB00}" name="Dub" dataDxfId="9"/>
    <tableColumn id="4" xr3:uid="{B8312952-4E63-483F-9005-3654CBFE4358}" name="Topol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C1F19D-A6AD-470D-926E-841243DFD8EA}" name="Tabulka1" displayName="Tabulka1" ref="A1:D4" totalsRowShown="0" headerRowDxfId="7" headerRowBorderDxfId="6" tableBorderDxfId="5" totalsRowBorderDxfId="4">
  <autoFilter ref="A1:D4" xr:uid="{D11A3756-F020-4155-9681-D4194F3642B5}"/>
  <tableColumns count="4">
    <tableColumn id="1" xr3:uid="{A6018245-64E6-4844-A05D-2F23055251C9}" name=" " dataDxfId="3"/>
    <tableColumn id="2" xr3:uid="{640B9CA5-8E83-4B25-93B5-A439A0A12473}" name="Divoká třešeň" dataDxfId="2"/>
    <tableColumn id="3" xr3:uid="{0FBCC64A-0273-4ED8-BDD7-B75F69D43CB2}" name="Dub" dataDxfId="1"/>
    <tableColumn id="4" xr3:uid="{794F1A44-F0A0-47B4-9187-9F7A447B88F9}" name="Topo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rozhlas.cz/zpravy-domov/klima-co2-znecisteni-limity-brabec-cez_1812110600_ja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2AA0-6CE1-4367-991A-3D282EFFA6D4}">
  <dimension ref="A2:G19"/>
  <sheetViews>
    <sheetView workbookViewId="0">
      <selection activeCell="F3" sqref="F3"/>
    </sheetView>
  </sheetViews>
  <sheetFormatPr defaultRowHeight="14.4" x14ac:dyDescent="0.3"/>
  <cols>
    <col min="1" max="1" width="22.77734375" style="1" customWidth="1"/>
    <col min="2" max="2" width="14.33203125" customWidth="1"/>
    <col min="7" max="7" width="11" bestFit="1" customWidth="1"/>
  </cols>
  <sheetData>
    <row r="2" spans="1:7" x14ac:dyDescent="0.3">
      <c r="A2" s="6" t="s">
        <v>37</v>
      </c>
      <c r="B2" s="7" t="s">
        <v>25</v>
      </c>
      <c r="C2" s="8" t="s">
        <v>13</v>
      </c>
      <c r="D2" s="9" t="s">
        <v>14</v>
      </c>
    </row>
    <row r="3" spans="1:7" x14ac:dyDescent="0.3">
      <c r="A3" s="10" t="s">
        <v>22</v>
      </c>
      <c r="B3" s="5">
        <v>45</v>
      </c>
      <c r="C3" s="5">
        <v>100</v>
      </c>
      <c r="D3" s="11">
        <v>25</v>
      </c>
    </row>
    <row r="4" spans="1:7" x14ac:dyDescent="0.3">
      <c r="A4" s="10" t="s">
        <v>23</v>
      </c>
      <c r="B4" s="5">
        <v>10.4</v>
      </c>
      <c r="C4" s="5">
        <v>12.6</v>
      </c>
      <c r="D4" s="11">
        <v>8</v>
      </c>
    </row>
    <row r="5" spans="1:7" x14ac:dyDescent="0.3">
      <c r="A5" s="10" t="s">
        <v>24</v>
      </c>
      <c r="B5" s="5">
        <v>92</v>
      </c>
      <c r="C5" s="5">
        <v>63</v>
      </c>
      <c r="D5" s="11">
        <v>156</v>
      </c>
    </row>
    <row r="6" spans="1:7" ht="28.8" x14ac:dyDescent="0.3">
      <c r="A6" s="10" t="s">
        <v>26</v>
      </c>
      <c r="B6" s="5">
        <v>1.54</v>
      </c>
      <c r="C6" s="5">
        <v>2.86</v>
      </c>
      <c r="D6" s="11">
        <v>0.66</v>
      </c>
    </row>
    <row r="7" spans="1:7" ht="28.8" x14ac:dyDescent="0.3">
      <c r="A7" s="10" t="s">
        <v>27</v>
      </c>
      <c r="B7" s="5">
        <v>32</v>
      </c>
      <c r="C7" s="5">
        <v>38</v>
      </c>
      <c r="D7" s="11">
        <v>42</v>
      </c>
    </row>
    <row r="8" spans="1:7" ht="28.8" x14ac:dyDescent="0.3">
      <c r="A8" s="12" t="s">
        <v>28</v>
      </c>
      <c r="B8" s="13">
        <v>0.35</v>
      </c>
      <c r="C8" s="13">
        <v>0.6</v>
      </c>
      <c r="D8" s="14">
        <v>0.27</v>
      </c>
      <c r="F8">
        <f>9.8/3.67</f>
        <v>2.6702997275204363</v>
      </c>
      <c r="G8" s="2" t="s">
        <v>33</v>
      </c>
    </row>
    <row r="9" spans="1:7" x14ac:dyDescent="0.3">
      <c r="A9" s="1" t="s">
        <v>29</v>
      </c>
      <c r="B9">
        <f>B6*1000/B3</f>
        <v>34.222222222222221</v>
      </c>
      <c r="C9">
        <f t="shared" ref="C9:D9" si="0">C6*1000/C3</f>
        <v>28.6</v>
      </c>
      <c r="D9">
        <f t="shared" si="0"/>
        <v>26.4</v>
      </c>
      <c r="F9">
        <f>F8*1000/B11</f>
        <v>78.538227280012833</v>
      </c>
    </row>
    <row r="10" spans="1:7" x14ac:dyDescent="0.3">
      <c r="A10" s="1" t="s">
        <v>30</v>
      </c>
      <c r="B10">
        <f>B9*3.67</f>
        <v>125.59555555555555</v>
      </c>
      <c r="C10">
        <f t="shared" ref="C10:D10" si="1">C9*3.67</f>
        <v>104.962</v>
      </c>
      <c r="D10">
        <f t="shared" si="1"/>
        <v>96.887999999999991</v>
      </c>
    </row>
    <row r="11" spans="1:7" ht="28.8" x14ac:dyDescent="0.3">
      <c r="A11" s="1" t="s">
        <v>31</v>
      </c>
      <c r="B11">
        <v>34</v>
      </c>
      <c r="C11">
        <v>29</v>
      </c>
      <c r="D11">
        <v>26</v>
      </c>
    </row>
    <row r="12" spans="1:7" ht="28.8" x14ac:dyDescent="0.3">
      <c r="A12" s="1" t="s">
        <v>32</v>
      </c>
      <c r="B12">
        <f>B11*3.67</f>
        <v>124.78</v>
      </c>
      <c r="C12">
        <f t="shared" ref="C12:D12" si="2">C11*3.67</f>
        <v>106.42999999999999</v>
      </c>
      <c r="D12">
        <f t="shared" si="2"/>
        <v>95.42</v>
      </c>
    </row>
    <row r="16" spans="1:7" x14ac:dyDescent="0.3">
      <c r="B16" s="1" t="s">
        <v>25</v>
      </c>
      <c r="C16" s="3" t="s">
        <v>13</v>
      </c>
      <c r="D16" s="3" t="s">
        <v>14</v>
      </c>
    </row>
    <row r="17" spans="1:4" ht="28.8" x14ac:dyDescent="0.3">
      <c r="A17" s="1" t="s">
        <v>34</v>
      </c>
      <c r="B17">
        <f>3.67*B6</f>
        <v>5.6517999999999997</v>
      </c>
      <c r="C17">
        <f t="shared" ref="C17:D17" si="3">3.67*C6</f>
        <v>10.4962</v>
      </c>
      <c r="D17">
        <f t="shared" si="3"/>
        <v>2.4222000000000001</v>
      </c>
    </row>
    <row r="18" spans="1:4" ht="28.8" x14ac:dyDescent="0.3">
      <c r="A18" s="1" t="s">
        <v>35</v>
      </c>
      <c r="B18">
        <f>1000*B17/B3</f>
        <v>125.59555555555553</v>
      </c>
      <c r="C18">
        <f t="shared" ref="C18:D18" si="4">1000*C17/C3</f>
        <v>104.962</v>
      </c>
      <c r="D18">
        <f t="shared" si="4"/>
        <v>96.888000000000005</v>
      </c>
    </row>
    <row r="19" spans="1:4" ht="28.8" x14ac:dyDescent="0.3">
      <c r="A19" s="1" t="s">
        <v>36</v>
      </c>
      <c r="B19">
        <f>B18/12</f>
        <v>10.466296296296294</v>
      </c>
      <c r="C19">
        <f t="shared" ref="C19:D19" si="5">C18/12</f>
        <v>8.746833333333333</v>
      </c>
      <c r="D19">
        <f t="shared" si="5"/>
        <v>8.0739999999999998</v>
      </c>
    </row>
  </sheetData>
  <hyperlinks>
    <hyperlink ref="G8" r:id="rId1" xr:uid="{075591B2-EADD-4297-80F5-2B4C9694926D}"/>
  </hyperlinks>
  <pageMargins left="0.70866141732283472" right="0.70866141732283472" top="0.78740157480314965" bottom="0.78740157480314965" header="0.31496062992125984" footer="0.31496062992125984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43F0-A0E7-4E38-9E4B-C9C0A7809348}">
  <dimension ref="A1:D4"/>
  <sheetViews>
    <sheetView workbookViewId="0">
      <selection activeCell="E1" sqref="E1"/>
    </sheetView>
  </sheetViews>
  <sheetFormatPr defaultRowHeight="14.4" x14ac:dyDescent="0.3"/>
  <cols>
    <col min="1" max="1" width="18.109375" customWidth="1"/>
    <col min="2" max="2" width="14.33203125" customWidth="1"/>
  </cols>
  <sheetData>
    <row r="1" spans="1:4" x14ac:dyDescent="0.3">
      <c r="A1" s="6" t="s">
        <v>37</v>
      </c>
      <c r="B1" s="7" t="s">
        <v>25</v>
      </c>
      <c r="C1" s="8" t="s">
        <v>13</v>
      </c>
      <c r="D1" s="9" t="s">
        <v>14</v>
      </c>
    </row>
    <row r="2" spans="1:4" ht="28.8" x14ac:dyDescent="0.3">
      <c r="A2" s="10" t="s">
        <v>34</v>
      </c>
      <c r="B2" s="5">
        <f>3.67*'Rozbor tematu'!B6</f>
        <v>5.6517999999999997</v>
      </c>
      <c r="C2" s="5">
        <f>3.67*'Rozbor tematu'!C6</f>
        <v>10.4962</v>
      </c>
      <c r="D2" s="11">
        <f>3.67*'Rozbor tematu'!D6</f>
        <v>2.4222000000000001</v>
      </c>
    </row>
    <row r="3" spans="1:4" ht="31.2" customHeight="1" x14ac:dyDescent="0.3">
      <c r="A3" s="10" t="s">
        <v>35</v>
      </c>
      <c r="B3" s="5">
        <f>1000*B2/'Rozbor tematu'!B3</f>
        <v>125.59555555555553</v>
      </c>
      <c r="C3" s="5">
        <f>1000*C2/'Rozbor tematu'!C3</f>
        <v>104.962</v>
      </c>
      <c r="D3" s="11">
        <f>1000*D2/'Rozbor tematu'!D3</f>
        <v>96.888000000000005</v>
      </c>
    </row>
    <row r="4" spans="1:4" ht="28.8" x14ac:dyDescent="0.3">
      <c r="A4" s="12" t="s">
        <v>36</v>
      </c>
      <c r="B4" s="13">
        <f>B3/12</f>
        <v>10.466296296296294</v>
      </c>
      <c r="C4" s="13">
        <f t="shared" ref="C4:D4" si="0">C3/12</f>
        <v>8.746833333333333</v>
      </c>
      <c r="D4" s="14">
        <f t="shared" si="0"/>
        <v>8.0739999999999998</v>
      </c>
    </row>
  </sheetData>
  <pageMargins left="0.70866141732283472" right="0.70866141732283472" top="0.74803149606299213" bottom="0.74803149606299213" header="0.31496062992125984" footer="0.31496062992125984"/>
  <pageSetup paperSize="9" fitToWidth="0" orientation="portrait" horizont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762A-D04D-42CC-B57F-B63910E00C1B}">
  <dimension ref="A2:K30"/>
  <sheetViews>
    <sheetView tabSelected="1" zoomScaleNormal="100" workbookViewId="0">
      <selection activeCell="A12" sqref="A12"/>
    </sheetView>
  </sheetViews>
  <sheetFormatPr defaultRowHeight="14.4" x14ac:dyDescent="0.3"/>
  <cols>
    <col min="1" max="1" width="24.5546875" style="1" customWidth="1"/>
    <col min="2" max="3" width="8" bestFit="1" customWidth="1"/>
    <col min="4" max="4" width="6" bestFit="1" customWidth="1"/>
    <col min="5" max="5" width="6.44140625" bestFit="1" customWidth="1"/>
    <col min="6" max="6" width="8" bestFit="1" customWidth="1"/>
    <col min="7" max="7" width="6" bestFit="1" customWidth="1"/>
    <col min="8" max="8" width="6.44140625" bestFit="1" customWidth="1"/>
    <col min="9" max="9" width="4.21875" bestFit="1" customWidth="1"/>
    <col min="10" max="10" width="5.6640625" bestFit="1" customWidth="1"/>
  </cols>
  <sheetData>
    <row r="2" spans="1:10" s="5" customFormat="1" x14ac:dyDescent="0.3">
      <c r="A2" s="4" t="s">
        <v>0</v>
      </c>
      <c r="B2" s="5" t="s">
        <v>9</v>
      </c>
      <c r="C2" s="5" t="s">
        <v>10</v>
      </c>
      <c r="D2" s="5" t="s">
        <v>11</v>
      </c>
      <c r="E2" s="5" t="s">
        <v>19</v>
      </c>
      <c r="F2" s="5" t="s">
        <v>20</v>
      </c>
      <c r="G2" s="5" t="s">
        <v>21</v>
      </c>
      <c r="H2" s="5" t="s">
        <v>45</v>
      </c>
      <c r="I2" s="5" t="s">
        <v>46</v>
      </c>
      <c r="J2" s="5" t="s">
        <v>47</v>
      </c>
    </row>
    <row r="3" spans="1:10" s="5" customFormat="1" x14ac:dyDescent="0.3">
      <c r="A3" s="4" t="s">
        <v>1</v>
      </c>
      <c r="B3" s="5" t="s">
        <v>12</v>
      </c>
      <c r="C3" s="5" t="s">
        <v>13</v>
      </c>
      <c r="D3" s="5" t="s">
        <v>14</v>
      </c>
      <c r="E3" s="5" t="s">
        <v>12</v>
      </c>
      <c r="F3" s="5" t="s">
        <v>13</v>
      </c>
      <c r="G3" s="5" t="s">
        <v>14</v>
      </c>
      <c r="H3" s="5" t="s">
        <v>12</v>
      </c>
      <c r="I3" s="5" t="s">
        <v>13</v>
      </c>
      <c r="J3" s="5" t="s">
        <v>14</v>
      </c>
    </row>
    <row r="4" spans="1:10" s="5" customFormat="1" ht="28.8" x14ac:dyDescent="0.3">
      <c r="A4" s="4" t="s">
        <v>2</v>
      </c>
      <c r="B4" s="5">
        <v>1</v>
      </c>
      <c r="C4" s="5">
        <v>1</v>
      </c>
      <c r="D4" s="5">
        <v>1</v>
      </c>
      <c r="E4" s="5">
        <v>10</v>
      </c>
      <c r="F4" s="5">
        <v>10</v>
      </c>
      <c r="G4" s="5">
        <v>10</v>
      </c>
      <c r="H4" s="5">
        <v>45</v>
      </c>
      <c r="I4" s="5">
        <v>100</v>
      </c>
      <c r="J4" s="5">
        <v>25</v>
      </c>
    </row>
    <row r="5" spans="1:10" s="5" customFormat="1" ht="28.8" x14ac:dyDescent="0.3">
      <c r="A5" s="4" t="s">
        <v>3</v>
      </c>
      <c r="B5" s="5">
        <v>0.35</v>
      </c>
      <c r="C5" s="5">
        <v>0.6</v>
      </c>
      <c r="D5" s="5">
        <v>0.27</v>
      </c>
      <c r="E5" s="5">
        <v>0.35</v>
      </c>
      <c r="F5" s="5">
        <v>0.6</v>
      </c>
      <c r="G5" s="5">
        <v>0.27</v>
      </c>
      <c r="H5" s="5">
        <v>0.1</v>
      </c>
      <c r="I5" s="5">
        <v>0.1</v>
      </c>
      <c r="J5" s="5">
        <v>0.1</v>
      </c>
    </row>
    <row r="6" spans="1:10" s="5" customFormat="1" x14ac:dyDescent="0.3">
      <c r="A6" s="4" t="s">
        <v>4</v>
      </c>
      <c r="B6" s="5">
        <v>10.4</v>
      </c>
      <c r="C6" s="5">
        <v>12.6</v>
      </c>
      <c r="D6" s="5">
        <v>8</v>
      </c>
      <c r="E6" s="5">
        <v>10.4</v>
      </c>
      <c r="F6" s="5">
        <v>12.6</v>
      </c>
      <c r="G6" s="5">
        <v>8</v>
      </c>
      <c r="H6" s="5">
        <v>10</v>
      </c>
      <c r="I6" s="5">
        <v>10</v>
      </c>
      <c r="J6" s="5">
        <v>10</v>
      </c>
    </row>
    <row r="7" spans="1:10" s="5" customFormat="1" x14ac:dyDescent="0.3">
      <c r="A7" s="4" t="s">
        <v>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</row>
    <row r="8" spans="1:10" s="5" customFormat="1" x14ac:dyDescent="0.3">
      <c r="A8" s="4" t="s">
        <v>6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</row>
    <row r="9" spans="1:10" s="5" customFormat="1" x14ac:dyDescent="0.3">
      <c r="A9" s="4" t="s">
        <v>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10" s="5" customFormat="1" x14ac:dyDescent="0.3">
      <c r="A10" s="4" t="s">
        <v>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6" spans="1:10" s="5" customFormat="1" x14ac:dyDescent="0.3">
      <c r="A16" s="4" t="s">
        <v>0</v>
      </c>
      <c r="B16" s="5" t="s">
        <v>9</v>
      </c>
      <c r="C16" s="5" t="s">
        <v>10</v>
      </c>
      <c r="D16" s="5" t="s">
        <v>11</v>
      </c>
      <c r="E16" s="5" t="s">
        <v>19</v>
      </c>
      <c r="F16" s="5" t="s">
        <v>20</v>
      </c>
      <c r="G16" s="5" t="s">
        <v>21</v>
      </c>
    </row>
    <row r="17" spans="1:11" s="5" customFormat="1" x14ac:dyDescent="0.3">
      <c r="A17" s="4" t="s">
        <v>15</v>
      </c>
      <c r="B17" s="5">
        <v>32</v>
      </c>
      <c r="C17" s="5">
        <v>38</v>
      </c>
      <c r="D17" s="5">
        <v>42</v>
      </c>
      <c r="E17" s="5">
        <v>32</v>
      </c>
      <c r="F17" s="5">
        <v>38</v>
      </c>
      <c r="G17" s="5">
        <v>42</v>
      </c>
    </row>
    <row r="18" spans="1:11" s="5" customFormat="1" x14ac:dyDescent="0.3">
      <c r="A18" s="4" t="s">
        <v>16</v>
      </c>
      <c r="B18" s="5">
        <v>32</v>
      </c>
      <c r="C18" s="5">
        <v>38</v>
      </c>
      <c r="D18" s="5">
        <v>42</v>
      </c>
      <c r="E18" s="5">
        <v>32</v>
      </c>
      <c r="F18" s="5">
        <v>38</v>
      </c>
      <c r="G18" s="5">
        <v>42</v>
      </c>
    </row>
    <row r="19" spans="1:11" s="5" customFormat="1" ht="28.8" x14ac:dyDescent="0.3">
      <c r="A19" s="4" t="s">
        <v>48</v>
      </c>
      <c r="B19" s="5">
        <v>4018.94</v>
      </c>
      <c r="C19" s="5">
        <v>3988.63</v>
      </c>
      <c r="D19" s="5">
        <v>4069.3</v>
      </c>
      <c r="E19" s="5">
        <v>40189.4</v>
      </c>
      <c r="F19" s="5">
        <v>39886.300000000003</v>
      </c>
      <c r="G19" s="5">
        <v>40693</v>
      </c>
    </row>
    <row r="20" spans="1:11" s="5" customFormat="1" x14ac:dyDescent="0.3">
      <c r="A20" s="4" t="s">
        <v>49</v>
      </c>
      <c r="B20" s="5">
        <f>B19/B4</f>
        <v>4018.94</v>
      </c>
      <c r="C20" s="5">
        <f t="shared" ref="C20:G20" si="0">C19/C4</f>
        <v>3988.63</v>
      </c>
      <c r="D20" s="5">
        <f t="shared" si="0"/>
        <v>4069.3</v>
      </c>
      <c r="E20" s="5">
        <f t="shared" si="0"/>
        <v>4018.94</v>
      </c>
      <c r="F20" s="5">
        <f>F19/F4</f>
        <v>3988.63</v>
      </c>
      <c r="G20" s="5">
        <f t="shared" si="0"/>
        <v>4069.3</v>
      </c>
    </row>
    <row r="21" spans="1:11" s="5" customFormat="1" x14ac:dyDescent="0.3">
      <c r="A21" s="4" t="s">
        <v>17</v>
      </c>
      <c r="B21" s="15">
        <f>B20/3.67/1000</f>
        <v>1.0950790190735695</v>
      </c>
      <c r="C21" s="15">
        <f t="shared" ref="C21:G21" si="1">C20/3.67/1000</f>
        <v>1.0868201634877384</v>
      </c>
      <c r="D21" s="15">
        <f t="shared" si="1"/>
        <v>1.1088010899182561</v>
      </c>
      <c r="E21" s="15">
        <f t="shared" si="1"/>
        <v>1.0950790190735695</v>
      </c>
      <c r="F21" s="15">
        <f t="shared" si="1"/>
        <v>1.0868201634877384</v>
      </c>
      <c r="G21" s="15">
        <f t="shared" si="1"/>
        <v>1.1088010899182561</v>
      </c>
    </row>
    <row r="22" spans="1:11" s="5" customFormat="1" ht="28.8" x14ac:dyDescent="0.3">
      <c r="A22" s="4" t="s">
        <v>18</v>
      </c>
      <c r="B22" s="5">
        <v>1.1000000000000001</v>
      </c>
      <c r="C22" s="5">
        <v>1.1000000000000001</v>
      </c>
      <c r="D22" s="5">
        <v>1.1000000000000001</v>
      </c>
      <c r="E22" s="5">
        <v>1.1000000000000001</v>
      </c>
      <c r="F22" s="5">
        <v>1.1000000000000001</v>
      </c>
      <c r="G22" s="5">
        <v>1.1000000000000001</v>
      </c>
    </row>
    <row r="24" spans="1:11" x14ac:dyDescent="0.3">
      <c r="A24" s="4" t="s">
        <v>0</v>
      </c>
      <c r="B24" s="5" t="s">
        <v>45</v>
      </c>
      <c r="C24" s="5" t="s">
        <v>46</v>
      </c>
      <c r="D24" s="16" t="s">
        <v>47</v>
      </c>
      <c r="E24" s="17"/>
      <c r="F24" s="5"/>
      <c r="G24" s="5"/>
      <c r="H24" s="5"/>
      <c r="I24" s="5"/>
      <c r="J24" s="5"/>
      <c r="K24" s="5"/>
    </row>
    <row r="25" spans="1:11" x14ac:dyDescent="0.3">
      <c r="A25" s="4" t="s">
        <v>15</v>
      </c>
      <c r="B25" s="5">
        <v>10</v>
      </c>
      <c r="C25" s="5">
        <v>10</v>
      </c>
      <c r="D25" s="16">
        <v>10</v>
      </c>
      <c r="E25" s="17"/>
      <c r="F25" s="5"/>
      <c r="G25" s="5"/>
      <c r="H25" s="5"/>
      <c r="I25" s="5"/>
      <c r="J25" s="5"/>
      <c r="K25" s="5"/>
    </row>
    <row r="26" spans="1:11" x14ac:dyDescent="0.3">
      <c r="A26" s="4" t="s">
        <v>16</v>
      </c>
      <c r="B26" s="5">
        <v>10</v>
      </c>
      <c r="C26" s="5">
        <v>10</v>
      </c>
      <c r="D26" s="16">
        <v>10</v>
      </c>
      <c r="E26" s="17"/>
      <c r="F26" s="5"/>
      <c r="G26" s="5"/>
      <c r="H26" s="5"/>
      <c r="I26" s="5"/>
      <c r="J26" s="5"/>
      <c r="K26" s="5"/>
    </row>
    <row r="27" spans="1:11" ht="28.8" x14ac:dyDescent="0.3">
      <c r="A27" s="4" t="s">
        <v>48</v>
      </c>
      <c r="B27" s="5">
        <v>56516.4</v>
      </c>
      <c r="C27" s="5">
        <v>104964</v>
      </c>
      <c r="D27" s="16">
        <v>24222</v>
      </c>
      <c r="E27" s="17"/>
      <c r="F27" s="5"/>
      <c r="G27" s="5"/>
      <c r="H27" s="5"/>
      <c r="I27" s="5"/>
      <c r="J27" s="5"/>
      <c r="K27" s="5"/>
    </row>
    <row r="28" spans="1:11" ht="28.8" x14ac:dyDescent="0.3">
      <c r="A28" s="4" t="s">
        <v>51</v>
      </c>
      <c r="B28" s="5">
        <f>B27/B25</f>
        <v>5651.64</v>
      </c>
      <c r="C28" s="5">
        <f t="shared" ref="C28:D28" si="2">C27/C25</f>
        <v>10496.4</v>
      </c>
      <c r="D28" s="16">
        <f t="shared" si="2"/>
        <v>2422.1999999999998</v>
      </c>
      <c r="E28" s="17"/>
      <c r="F28" s="5"/>
      <c r="G28" s="5"/>
      <c r="H28" s="5"/>
      <c r="I28" s="5"/>
      <c r="J28" s="5"/>
      <c r="K28" s="5"/>
    </row>
    <row r="29" spans="1:11" x14ac:dyDescent="0.3">
      <c r="A29" s="4" t="s">
        <v>52</v>
      </c>
      <c r="B29" s="15">
        <f>B28/1000/3.67</f>
        <v>1.539956403269755</v>
      </c>
      <c r="C29" s="15">
        <f t="shared" ref="C29:D29" si="3">C28/1000/3.67</f>
        <v>2.8600544959128062</v>
      </c>
      <c r="D29" s="19">
        <f t="shared" si="3"/>
        <v>0.65999999999999992</v>
      </c>
      <c r="E29" s="18"/>
      <c r="F29" s="15"/>
      <c r="G29" s="15"/>
      <c r="H29" s="15"/>
      <c r="I29" s="15"/>
      <c r="J29" s="15"/>
      <c r="K29" s="15"/>
    </row>
    <row r="30" spans="1:11" ht="28.8" x14ac:dyDescent="0.3">
      <c r="A30" s="4" t="s">
        <v>50</v>
      </c>
      <c r="B30" s="5">
        <v>1.54</v>
      </c>
      <c r="C30" s="5">
        <v>2.86</v>
      </c>
      <c r="D30" s="16">
        <v>0.66</v>
      </c>
      <c r="E30" s="17"/>
      <c r="F30" s="5"/>
      <c r="G30" s="5"/>
      <c r="H30" s="5"/>
      <c r="I30" s="5"/>
      <c r="J30" s="5"/>
      <c r="K30" s="5"/>
    </row>
  </sheetData>
  <phoneticPr fontId="2" type="noConversion"/>
  <pageMargins left="0.70866141732283472" right="0.70866141732283472" top="0.78740157480314965" bottom="0.78740157480314965" header="0.31496062992125984" footer="0.31496062992125984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D27-B757-46E6-A6CF-C729498D3E74}">
  <dimension ref="A2:M23"/>
  <sheetViews>
    <sheetView workbookViewId="0">
      <selection activeCell="J16" sqref="J16"/>
    </sheetView>
  </sheetViews>
  <sheetFormatPr defaultRowHeight="14.4" x14ac:dyDescent="0.3"/>
  <cols>
    <col min="1" max="1" width="11.88671875" style="20" customWidth="1"/>
    <col min="2" max="2" width="11" bestFit="1" customWidth="1"/>
    <col min="3" max="6" width="9" bestFit="1" customWidth="1"/>
    <col min="7" max="7" width="8" bestFit="1" customWidth="1"/>
    <col min="8" max="8" width="6.44140625" bestFit="1" customWidth="1"/>
    <col min="9" max="9" width="4.21875" bestFit="1" customWidth="1"/>
    <col min="10" max="10" width="5.6640625" bestFit="1" customWidth="1"/>
  </cols>
  <sheetData>
    <row r="2" spans="1:13" x14ac:dyDescent="0.3">
      <c r="A2" s="4" t="s">
        <v>0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/>
      <c r="I2" s="5"/>
      <c r="J2" s="5"/>
      <c r="K2" s="5"/>
      <c r="L2" s="5"/>
      <c r="M2" s="5"/>
    </row>
    <row r="3" spans="1:13" x14ac:dyDescent="0.3">
      <c r="A3" s="4" t="s">
        <v>1</v>
      </c>
      <c r="B3" s="5" t="s">
        <v>12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/>
      <c r="I3" s="5"/>
      <c r="J3" s="5"/>
      <c r="K3" s="5"/>
      <c r="L3" s="5"/>
      <c r="M3" s="5"/>
    </row>
    <row r="4" spans="1:13" ht="28.8" x14ac:dyDescent="0.3">
      <c r="A4" s="4" t="s">
        <v>2</v>
      </c>
      <c r="B4" s="5">
        <v>300</v>
      </c>
      <c r="C4" s="5">
        <v>300</v>
      </c>
      <c r="D4" s="5">
        <v>300</v>
      </c>
      <c r="E4" s="5">
        <v>300</v>
      </c>
      <c r="F4" s="5">
        <v>300</v>
      </c>
      <c r="G4" s="5">
        <v>300</v>
      </c>
      <c r="H4" s="5"/>
      <c r="I4" s="5"/>
      <c r="J4" s="5"/>
      <c r="K4" s="5"/>
      <c r="L4" s="5"/>
      <c r="M4" s="5"/>
    </row>
    <row r="5" spans="1:13" ht="28.8" x14ac:dyDescent="0.3">
      <c r="A5" s="4" t="s">
        <v>3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/>
      <c r="I5" s="5"/>
      <c r="J5" s="5"/>
      <c r="K5" s="5"/>
      <c r="L5" s="5"/>
      <c r="M5" s="5"/>
    </row>
    <row r="6" spans="1:13" ht="28.8" x14ac:dyDescent="0.3">
      <c r="A6" s="4" t="s">
        <v>4</v>
      </c>
      <c r="B6" s="5">
        <v>10.4</v>
      </c>
      <c r="C6" s="5">
        <v>10.4</v>
      </c>
      <c r="D6" s="5">
        <v>10.4</v>
      </c>
      <c r="E6" s="5">
        <v>10.4</v>
      </c>
      <c r="F6" s="5">
        <v>10.4</v>
      </c>
      <c r="G6" s="5">
        <v>10.4</v>
      </c>
      <c r="H6" s="5"/>
      <c r="I6" s="5"/>
      <c r="J6" s="5"/>
      <c r="K6" s="5"/>
      <c r="L6" s="5"/>
      <c r="M6" s="5"/>
    </row>
    <row r="7" spans="1:13" ht="28.8" x14ac:dyDescent="0.3">
      <c r="A7" s="4" t="s">
        <v>5</v>
      </c>
      <c r="B7" s="5">
        <v>2.5000000000000001E-2</v>
      </c>
      <c r="C7" s="5">
        <v>2.5000000000000001E-2</v>
      </c>
      <c r="D7" s="5">
        <v>2.5000000000000001E-2</v>
      </c>
      <c r="E7" s="5">
        <v>2.5000000000000001E-2</v>
      </c>
      <c r="F7" s="5">
        <v>2.5000000000000001E-2</v>
      </c>
      <c r="G7" s="5">
        <v>2.5000000000000001E-2</v>
      </c>
      <c r="H7" s="5"/>
      <c r="I7" s="5"/>
      <c r="J7" s="5"/>
      <c r="K7" s="5"/>
      <c r="L7" s="5"/>
      <c r="M7" s="5"/>
    </row>
    <row r="8" spans="1:13" ht="28.8" x14ac:dyDescent="0.3">
      <c r="A8" s="4" t="s">
        <v>6</v>
      </c>
      <c r="B8" s="5">
        <v>5.2</v>
      </c>
      <c r="C8" s="5">
        <v>5.2</v>
      </c>
      <c r="D8" s="5">
        <v>5.2</v>
      </c>
      <c r="E8" s="5">
        <v>5.2</v>
      </c>
      <c r="F8" s="5">
        <v>5.2</v>
      </c>
      <c r="G8" s="5">
        <v>5.2</v>
      </c>
      <c r="H8" s="5"/>
      <c r="I8" s="5"/>
      <c r="J8" s="5"/>
      <c r="K8" s="5"/>
      <c r="L8" s="5"/>
      <c r="M8" s="5"/>
    </row>
    <row r="9" spans="1:13" ht="43.2" x14ac:dyDescent="0.3">
      <c r="A9" s="4" t="s">
        <v>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/>
      <c r="I9" s="5"/>
      <c r="J9" s="5"/>
      <c r="K9" s="5"/>
      <c r="L9" s="5"/>
      <c r="M9" s="5"/>
    </row>
    <row r="10" spans="1:13" ht="28.8" x14ac:dyDescent="0.3">
      <c r="A10" s="4" t="s">
        <v>8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/>
      <c r="I10" s="5"/>
      <c r="J10" s="5"/>
      <c r="K10" s="5"/>
      <c r="L10" s="5"/>
      <c r="M10" s="5"/>
    </row>
    <row r="15" spans="1:13" x14ac:dyDescent="0.3">
      <c r="A15" s="4" t="s">
        <v>0</v>
      </c>
      <c r="B15" s="22" t="s">
        <v>53</v>
      </c>
      <c r="C15" s="22" t="s">
        <v>54</v>
      </c>
      <c r="D15" s="22" t="s">
        <v>55</v>
      </c>
      <c r="E15" s="22" t="s">
        <v>56</v>
      </c>
      <c r="F15" s="22" t="s">
        <v>57</v>
      </c>
      <c r="G15" s="23" t="s">
        <v>58</v>
      </c>
    </row>
    <row r="16" spans="1:13" ht="28.8" x14ac:dyDescent="0.3">
      <c r="A16" s="4" t="s">
        <v>66</v>
      </c>
      <c r="B16" s="5">
        <v>91</v>
      </c>
      <c r="C16" s="5">
        <v>92</v>
      </c>
      <c r="D16" s="5">
        <v>90</v>
      </c>
      <c r="E16" s="5">
        <v>91</v>
      </c>
      <c r="F16" s="5">
        <v>91</v>
      </c>
      <c r="G16" s="16">
        <v>89</v>
      </c>
    </row>
    <row r="17" spans="1:7" ht="43.2" x14ac:dyDescent="0.3">
      <c r="A17" s="4" t="s">
        <v>63</v>
      </c>
      <c r="B17" s="5">
        <f>3399370/1000</f>
        <v>3399.37</v>
      </c>
      <c r="C17" s="5">
        <f>3379350/1000</f>
        <v>3379.35</v>
      </c>
      <c r="D17" s="5">
        <f>3380970/1000</f>
        <v>3380.97</v>
      </c>
      <c r="E17" s="5">
        <f>3340480/1000</f>
        <v>3340.48</v>
      </c>
      <c r="F17" s="5">
        <f>3209500/1000</f>
        <v>3209.5</v>
      </c>
      <c r="G17" s="16">
        <f>2541480/1000</f>
        <v>2541.48</v>
      </c>
    </row>
    <row r="18" spans="1:7" ht="43.2" x14ac:dyDescent="0.3">
      <c r="A18" s="4" t="s">
        <v>68</v>
      </c>
      <c r="B18" s="5">
        <f t="shared" ref="B18:G18" si="0">922.185/1000</f>
        <v>0.92218499999999992</v>
      </c>
      <c r="C18" s="5">
        <f t="shared" si="0"/>
        <v>0.92218499999999992</v>
      </c>
      <c r="D18" s="5">
        <f t="shared" si="0"/>
        <v>0.92218499999999992</v>
      </c>
      <c r="E18" s="5">
        <f t="shared" si="0"/>
        <v>0.92218499999999992</v>
      </c>
      <c r="F18" s="5">
        <f t="shared" si="0"/>
        <v>0.92218499999999992</v>
      </c>
      <c r="G18" s="16">
        <f t="shared" si="0"/>
        <v>0.92218499999999992</v>
      </c>
    </row>
    <row r="19" spans="1:7" ht="43.2" x14ac:dyDescent="0.3">
      <c r="A19" s="4" t="s">
        <v>64</v>
      </c>
      <c r="B19" s="5">
        <f>1609980/1000</f>
        <v>1609.98</v>
      </c>
      <c r="C19" s="5">
        <f>796955/1000</f>
        <v>796.95500000000004</v>
      </c>
      <c r="D19" s="5">
        <f>131505/1000</f>
        <v>131.505</v>
      </c>
      <c r="E19" s="5">
        <f>22962.4/1000</f>
        <v>22.962400000000002</v>
      </c>
      <c r="F19" s="5">
        <v>0</v>
      </c>
      <c r="G19" s="16">
        <v>0</v>
      </c>
    </row>
    <row r="20" spans="1:7" s="21" customFormat="1" ht="28.8" x14ac:dyDescent="0.3">
      <c r="A20" s="24" t="s">
        <v>65</v>
      </c>
      <c r="B20" s="25">
        <f>B17-B19-B18</f>
        <v>1788.467815</v>
      </c>
      <c r="C20" s="25">
        <f t="shared" ref="C20:G20" si="1">C17-C19-C18</f>
        <v>2581.4728150000001</v>
      </c>
      <c r="D20" s="25">
        <f t="shared" si="1"/>
        <v>3248.5428149999998</v>
      </c>
      <c r="E20" s="25">
        <f t="shared" si="1"/>
        <v>3316.5954150000002</v>
      </c>
      <c r="F20" s="25">
        <f t="shared" si="1"/>
        <v>3208.5778150000001</v>
      </c>
      <c r="G20" s="26">
        <f t="shared" si="1"/>
        <v>2540.5578150000001</v>
      </c>
    </row>
    <row r="21" spans="1:7" ht="28.8" x14ac:dyDescent="0.3">
      <c r="A21" s="4" t="s">
        <v>69</v>
      </c>
      <c r="B21" s="5">
        <v>620</v>
      </c>
      <c r="C21" s="5">
        <v>624</v>
      </c>
      <c r="D21" s="5">
        <v>670</v>
      </c>
      <c r="E21" s="5">
        <v>792</v>
      </c>
      <c r="F21" s="5">
        <v>962</v>
      </c>
      <c r="G21" s="16">
        <v>1043</v>
      </c>
    </row>
    <row r="22" spans="1:7" ht="28.8" x14ac:dyDescent="0.3">
      <c r="A22" s="4" t="s">
        <v>70</v>
      </c>
      <c r="B22" s="5">
        <v>112</v>
      </c>
      <c r="C22" s="5">
        <v>95</v>
      </c>
      <c r="D22" s="5">
        <v>15</v>
      </c>
      <c r="E22" s="5">
        <v>9</v>
      </c>
      <c r="F22" s="5">
        <v>0</v>
      </c>
      <c r="G22" s="16">
        <v>0</v>
      </c>
    </row>
    <row r="23" spans="1:7" ht="28.8" x14ac:dyDescent="0.3">
      <c r="A23" s="4" t="s">
        <v>67</v>
      </c>
      <c r="B23" s="5">
        <v>279</v>
      </c>
      <c r="C23" s="5">
        <v>139</v>
      </c>
      <c r="D23" s="5">
        <v>23</v>
      </c>
      <c r="E23" s="5">
        <v>4</v>
      </c>
      <c r="F23" s="5">
        <v>0</v>
      </c>
      <c r="G23" s="16">
        <v>0</v>
      </c>
    </row>
  </sheetData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AA15-3566-4BA1-959F-8B98EF86103E}">
  <dimension ref="A1:O20"/>
  <sheetViews>
    <sheetView workbookViewId="0">
      <selection activeCell="G16" sqref="G16"/>
    </sheetView>
  </sheetViews>
  <sheetFormatPr defaultRowHeight="14.4" x14ac:dyDescent="0.3"/>
  <cols>
    <col min="1" max="1" width="12.77734375" customWidth="1"/>
    <col min="2" max="7" width="6.44140625" bestFit="1" customWidth="1"/>
    <col min="9" max="9" width="16.5546875" customWidth="1"/>
    <col min="10" max="15" width="9" bestFit="1" customWidth="1"/>
  </cols>
  <sheetData>
    <row r="1" spans="1:15" x14ac:dyDescent="0.3">
      <c r="A1" t="s">
        <v>71</v>
      </c>
    </row>
    <row r="2" spans="1:15" x14ac:dyDescent="0.3">
      <c r="A2" s="4" t="s">
        <v>0</v>
      </c>
      <c r="B2" s="22" t="s">
        <v>53</v>
      </c>
      <c r="C2" s="22" t="s">
        <v>54</v>
      </c>
      <c r="D2" s="22" t="s">
        <v>55</v>
      </c>
      <c r="E2" s="22" t="s">
        <v>56</v>
      </c>
      <c r="F2" s="22" t="s">
        <v>57</v>
      </c>
      <c r="G2" s="22" t="s">
        <v>58</v>
      </c>
    </row>
    <row r="3" spans="1:15" x14ac:dyDescent="0.3">
      <c r="A3" s="4" t="s">
        <v>1</v>
      </c>
      <c r="B3" s="5" t="s">
        <v>12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</row>
    <row r="4" spans="1:15" ht="28.8" x14ac:dyDescent="0.3">
      <c r="A4" s="4" t="s">
        <v>2</v>
      </c>
      <c r="B4" s="5">
        <v>300</v>
      </c>
      <c r="C4" s="5">
        <v>300</v>
      </c>
      <c r="D4" s="5">
        <v>300</v>
      </c>
      <c r="E4" s="5">
        <v>300</v>
      </c>
      <c r="F4" s="5">
        <v>300</v>
      </c>
      <c r="G4" s="5">
        <v>300</v>
      </c>
    </row>
    <row r="5" spans="1:15" ht="28.8" x14ac:dyDescent="0.3">
      <c r="A5" s="4" t="s">
        <v>3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</row>
    <row r="6" spans="1:15" ht="28.8" x14ac:dyDescent="0.3">
      <c r="A6" s="4" t="s">
        <v>4</v>
      </c>
      <c r="B6" s="5">
        <v>10.4</v>
      </c>
      <c r="C6" s="5">
        <v>10.4</v>
      </c>
      <c r="D6" s="5">
        <v>10.4</v>
      </c>
      <c r="E6" s="5">
        <v>10.4</v>
      </c>
      <c r="F6" s="5">
        <v>10.4</v>
      </c>
      <c r="G6" s="5">
        <v>10.4</v>
      </c>
    </row>
    <row r="7" spans="1:15" ht="28.8" x14ac:dyDescent="0.3">
      <c r="A7" s="4" t="s">
        <v>5</v>
      </c>
      <c r="B7" s="5">
        <v>2.5000000000000001E-2</v>
      </c>
      <c r="C7" s="5">
        <v>2.5000000000000001E-2</v>
      </c>
      <c r="D7" s="5">
        <v>2.5000000000000001E-2</v>
      </c>
      <c r="E7" s="5">
        <v>2.5000000000000001E-2</v>
      </c>
      <c r="F7" s="5">
        <v>2.5000000000000001E-2</v>
      </c>
      <c r="G7" s="5">
        <v>2.5000000000000001E-2</v>
      </c>
    </row>
    <row r="8" spans="1:15" ht="28.8" x14ac:dyDescent="0.3">
      <c r="A8" s="4" t="s">
        <v>6</v>
      </c>
      <c r="B8" s="5">
        <v>5.2</v>
      </c>
      <c r="C8" s="5">
        <v>5.2</v>
      </c>
      <c r="D8" s="5">
        <v>5.2</v>
      </c>
      <c r="E8" s="5">
        <v>5.2</v>
      </c>
      <c r="F8" s="5">
        <v>5.2</v>
      </c>
      <c r="G8" s="5">
        <v>5.2</v>
      </c>
    </row>
    <row r="9" spans="1:15" ht="43.2" x14ac:dyDescent="0.3">
      <c r="A9" s="4" t="s">
        <v>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</row>
    <row r="10" spans="1:15" ht="28.8" x14ac:dyDescent="0.3">
      <c r="A10" s="4" t="s">
        <v>8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</row>
    <row r="11" spans="1:15" x14ac:dyDescent="0.3">
      <c r="I11" t="s">
        <v>72</v>
      </c>
    </row>
    <row r="12" spans="1:15" x14ac:dyDescent="0.3">
      <c r="I12" s="4" t="s">
        <v>0</v>
      </c>
      <c r="J12" s="22" t="s">
        <v>53</v>
      </c>
      <c r="K12" s="22" t="s">
        <v>54</v>
      </c>
      <c r="L12" s="22" t="s">
        <v>55</v>
      </c>
      <c r="M12" s="22" t="s">
        <v>56</v>
      </c>
      <c r="N12" s="22" t="s">
        <v>57</v>
      </c>
      <c r="O12" s="23" t="s">
        <v>58</v>
      </c>
    </row>
    <row r="13" spans="1:15" ht="28.8" x14ac:dyDescent="0.3">
      <c r="I13" s="4" t="s">
        <v>66</v>
      </c>
      <c r="J13" s="5">
        <v>91</v>
      </c>
      <c r="K13" s="5">
        <v>92</v>
      </c>
      <c r="L13" s="5">
        <v>90</v>
      </c>
      <c r="M13" s="5">
        <v>91</v>
      </c>
      <c r="N13" s="5">
        <v>91</v>
      </c>
      <c r="O13" s="16">
        <v>89</v>
      </c>
    </row>
    <row r="14" spans="1:15" ht="28.8" x14ac:dyDescent="0.3">
      <c r="I14" s="4" t="s">
        <v>63</v>
      </c>
      <c r="J14" s="5">
        <f>3399370/1000</f>
        <v>3399.37</v>
      </c>
      <c r="K14" s="5">
        <f>3379350/1000</f>
        <v>3379.35</v>
      </c>
      <c r="L14" s="5">
        <f>3380970/1000</f>
        <v>3380.97</v>
      </c>
      <c r="M14" s="5">
        <f>3340480/1000</f>
        <v>3340.48</v>
      </c>
      <c r="N14" s="5">
        <f>3209500/1000</f>
        <v>3209.5</v>
      </c>
      <c r="O14" s="16">
        <f>2541480/1000</f>
        <v>2541.48</v>
      </c>
    </row>
    <row r="15" spans="1:15" ht="28.8" x14ac:dyDescent="0.3">
      <c r="I15" s="4" t="s">
        <v>68</v>
      </c>
      <c r="J15" s="5">
        <f t="shared" ref="J15:O15" si="0">922.185/1000</f>
        <v>0.92218499999999992</v>
      </c>
      <c r="K15" s="5">
        <f t="shared" si="0"/>
        <v>0.92218499999999992</v>
      </c>
      <c r="L15" s="5">
        <f t="shared" si="0"/>
        <v>0.92218499999999992</v>
      </c>
      <c r="M15" s="5">
        <f t="shared" si="0"/>
        <v>0.92218499999999992</v>
      </c>
      <c r="N15" s="5">
        <f t="shared" si="0"/>
        <v>0.92218499999999992</v>
      </c>
      <c r="O15" s="16">
        <f t="shared" si="0"/>
        <v>0.92218499999999992</v>
      </c>
    </row>
    <row r="16" spans="1:15" ht="28.8" x14ac:dyDescent="0.3">
      <c r="I16" s="4" t="s">
        <v>64</v>
      </c>
      <c r="J16" s="5">
        <f>1609980/1000</f>
        <v>1609.98</v>
      </c>
      <c r="K16" s="5">
        <f>796955/1000</f>
        <v>796.95500000000004</v>
      </c>
      <c r="L16" s="5">
        <f>131505/1000</f>
        <v>131.505</v>
      </c>
      <c r="M16" s="5">
        <f>22962.4/1000</f>
        <v>22.962400000000002</v>
      </c>
      <c r="N16" s="5">
        <v>0</v>
      </c>
      <c r="O16" s="16">
        <v>0</v>
      </c>
    </row>
    <row r="17" spans="9:15" ht="28.8" x14ac:dyDescent="0.3">
      <c r="I17" s="24" t="s">
        <v>65</v>
      </c>
      <c r="J17" s="27">
        <f>J14-J16-J15</f>
        <v>1788.467815</v>
      </c>
      <c r="K17" s="27">
        <f t="shared" ref="K17:O17" si="1">K14-K16-K15</f>
        <v>2581.4728150000001</v>
      </c>
      <c r="L17" s="27">
        <f t="shared" si="1"/>
        <v>3248.5428149999998</v>
      </c>
      <c r="M17" s="27">
        <f t="shared" si="1"/>
        <v>3316.5954150000002</v>
      </c>
      <c r="N17" s="27">
        <f t="shared" si="1"/>
        <v>3208.5778150000001</v>
      </c>
      <c r="O17" s="28">
        <f t="shared" si="1"/>
        <v>2540.5578150000001</v>
      </c>
    </row>
    <row r="18" spans="9:15" x14ac:dyDescent="0.3">
      <c r="I18" s="4" t="s">
        <v>69</v>
      </c>
      <c r="J18" s="5">
        <v>620</v>
      </c>
      <c r="K18" s="5">
        <v>624</v>
      </c>
      <c r="L18" s="5">
        <v>670</v>
      </c>
      <c r="M18" s="5">
        <v>792</v>
      </c>
      <c r="N18" s="5">
        <v>962</v>
      </c>
      <c r="O18" s="16">
        <v>1043</v>
      </c>
    </row>
    <row r="19" spans="9:15" ht="28.8" x14ac:dyDescent="0.3">
      <c r="I19" s="4" t="s">
        <v>70</v>
      </c>
      <c r="J19" s="5">
        <v>112</v>
      </c>
      <c r="K19" s="5">
        <v>95</v>
      </c>
      <c r="L19" s="5">
        <v>15</v>
      </c>
      <c r="M19" s="5">
        <v>9</v>
      </c>
      <c r="N19" s="5">
        <v>0</v>
      </c>
      <c r="O19" s="16">
        <v>0</v>
      </c>
    </row>
    <row r="20" spans="9:15" x14ac:dyDescent="0.3">
      <c r="I20" s="4" t="s">
        <v>67</v>
      </c>
      <c r="J20" s="5">
        <v>279</v>
      </c>
      <c r="K20" s="5">
        <v>139</v>
      </c>
      <c r="L20" s="5">
        <v>23</v>
      </c>
      <c r="M20" s="5">
        <v>4</v>
      </c>
      <c r="N20" s="5">
        <v>0</v>
      </c>
      <c r="O20" s="16">
        <v>0</v>
      </c>
    </row>
  </sheetData>
  <pageMargins left="0.70866141732283472" right="0.70866141732283472" top="0.78740157480314965" bottom="0.78740157480314965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E3D4-A269-4408-A84C-762C111CFE72}">
  <dimension ref="A1:P20"/>
  <sheetViews>
    <sheetView workbookViewId="0">
      <selection activeCell="J5" sqref="J5"/>
    </sheetView>
  </sheetViews>
  <sheetFormatPr defaultRowHeight="14.4" x14ac:dyDescent="0.3"/>
  <cols>
    <col min="1" max="1" width="14" customWidth="1"/>
    <col min="2" max="8" width="6" bestFit="1" customWidth="1"/>
    <col min="9" max="9" width="12.109375" customWidth="1"/>
    <col min="10" max="10" width="8" bestFit="1" customWidth="1"/>
    <col min="11" max="15" width="8.44140625" bestFit="1" customWidth="1"/>
    <col min="16" max="16" width="8" bestFit="1" customWidth="1"/>
  </cols>
  <sheetData>
    <row r="1" spans="1:16" x14ac:dyDescent="0.3">
      <c r="A1" t="s">
        <v>71</v>
      </c>
    </row>
    <row r="2" spans="1:16" x14ac:dyDescent="0.3">
      <c r="A2" s="4" t="s">
        <v>0</v>
      </c>
      <c r="B2" s="22" t="s">
        <v>59</v>
      </c>
      <c r="C2" s="22" t="s">
        <v>60</v>
      </c>
      <c r="D2" s="22" t="s">
        <v>61</v>
      </c>
      <c r="E2" s="22" t="s">
        <v>62</v>
      </c>
      <c r="F2" s="22" t="s">
        <v>73</v>
      </c>
      <c r="G2" s="22" t="s">
        <v>74</v>
      </c>
      <c r="H2" s="22" t="s">
        <v>74</v>
      </c>
    </row>
    <row r="3" spans="1:16" x14ac:dyDescent="0.3">
      <c r="A3" s="4" t="s">
        <v>1</v>
      </c>
      <c r="B3" s="5" t="s">
        <v>13</v>
      </c>
      <c r="C3" s="5" t="s">
        <v>13</v>
      </c>
      <c r="D3" s="5" t="s">
        <v>13</v>
      </c>
      <c r="E3" s="5" t="s">
        <v>14</v>
      </c>
      <c r="F3" s="5" t="s">
        <v>14</v>
      </c>
      <c r="G3" s="5" t="s">
        <v>14</v>
      </c>
      <c r="H3" s="5" t="s">
        <v>14</v>
      </c>
    </row>
    <row r="4" spans="1:16" ht="28.8" x14ac:dyDescent="0.3">
      <c r="A4" s="4" t="s">
        <v>2</v>
      </c>
      <c r="B4" s="5">
        <v>300</v>
      </c>
      <c r="C4" s="5">
        <v>300</v>
      </c>
      <c r="D4" s="5">
        <v>300</v>
      </c>
      <c r="E4" s="5">
        <v>300</v>
      </c>
      <c r="F4" s="5">
        <v>300</v>
      </c>
      <c r="G4" s="5">
        <v>300</v>
      </c>
      <c r="H4" s="5">
        <v>300</v>
      </c>
    </row>
    <row r="5" spans="1:16" x14ac:dyDescent="0.3">
      <c r="A5" s="4" t="s">
        <v>3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</row>
    <row r="6" spans="1:16" ht="28.8" x14ac:dyDescent="0.3">
      <c r="A6" s="4" t="s">
        <v>4</v>
      </c>
      <c r="B6" s="5">
        <v>12.6</v>
      </c>
      <c r="C6" s="5">
        <v>12.6</v>
      </c>
      <c r="D6" s="5">
        <v>12.6</v>
      </c>
      <c r="E6" s="5">
        <v>8</v>
      </c>
      <c r="F6" s="5">
        <v>8</v>
      </c>
      <c r="G6" s="5">
        <v>8</v>
      </c>
      <c r="H6" s="5">
        <v>8</v>
      </c>
    </row>
    <row r="7" spans="1:16" ht="28.8" x14ac:dyDescent="0.3">
      <c r="A7" s="4" t="s">
        <v>5</v>
      </c>
      <c r="B7" s="5">
        <v>2.5000000000000001E-2</v>
      </c>
      <c r="C7" s="5">
        <v>2.5000000000000001E-2</v>
      </c>
      <c r="D7" s="5">
        <v>2.5000000000000001E-2</v>
      </c>
      <c r="E7" s="5">
        <v>2.5000000000000001E-2</v>
      </c>
      <c r="F7" s="5">
        <v>2.5000000000000001E-2</v>
      </c>
      <c r="G7" s="5">
        <v>2.5000000000000001E-2</v>
      </c>
      <c r="H7" s="5">
        <v>2.5000000000000001E-2</v>
      </c>
    </row>
    <row r="8" spans="1:16" ht="28.8" x14ac:dyDescent="0.3">
      <c r="A8" s="4" t="s">
        <v>6</v>
      </c>
      <c r="B8" s="5">
        <v>6.3</v>
      </c>
      <c r="C8" s="5">
        <v>6.3</v>
      </c>
      <c r="D8" s="5">
        <v>6.3</v>
      </c>
      <c r="E8" s="5">
        <v>4</v>
      </c>
      <c r="F8" s="5">
        <v>4</v>
      </c>
      <c r="G8" s="5">
        <v>4</v>
      </c>
      <c r="H8" s="5">
        <v>4</v>
      </c>
    </row>
    <row r="9" spans="1:16" ht="28.8" x14ac:dyDescent="0.3">
      <c r="A9" s="4" t="s">
        <v>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</row>
    <row r="10" spans="1:16" ht="28.8" x14ac:dyDescent="0.3">
      <c r="A10" s="4" t="s">
        <v>8</v>
      </c>
      <c r="B10" s="5">
        <v>0</v>
      </c>
      <c r="C10" s="5">
        <v>3</v>
      </c>
      <c r="D10" s="5">
        <v>4</v>
      </c>
      <c r="E10" s="5">
        <v>2</v>
      </c>
      <c r="F10" s="5">
        <v>6</v>
      </c>
      <c r="G10" s="5">
        <v>10</v>
      </c>
      <c r="H10" s="5">
        <v>14</v>
      </c>
    </row>
    <row r="11" spans="1:16" x14ac:dyDescent="0.3">
      <c r="I11" t="s">
        <v>72</v>
      </c>
    </row>
    <row r="12" spans="1:16" x14ac:dyDescent="0.3">
      <c r="I12" s="4" t="s">
        <v>0</v>
      </c>
      <c r="J12" s="22" t="s">
        <v>59</v>
      </c>
      <c r="K12" s="22" t="s">
        <v>60</v>
      </c>
      <c r="L12" s="22" t="s">
        <v>61</v>
      </c>
      <c r="M12" s="22" t="s">
        <v>62</v>
      </c>
      <c r="N12" s="22" t="s">
        <v>73</v>
      </c>
      <c r="O12" s="22" t="s">
        <v>74</v>
      </c>
      <c r="P12" s="23" t="s">
        <v>75</v>
      </c>
    </row>
    <row r="13" spans="1:16" ht="28.8" x14ac:dyDescent="0.3">
      <c r="I13" s="4" t="s">
        <v>66</v>
      </c>
      <c r="J13" s="5">
        <v>63</v>
      </c>
      <c r="K13" s="5">
        <v>62</v>
      </c>
      <c r="L13" s="5">
        <v>63</v>
      </c>
      <c r="M13" s="5">
        <v>154</v>
      </c>
      <c r="N13" s="5">
        <v>156</v>
      </c>
      <c r="O13" s="5">
        <v>146</v>
      </c>
      <c r="P13" s="16">
        <v>42</v>
      </c>
    </row>
    <row r="14" spans="1:16" ht="43.2" x14ac:dyDescent="0.3">
      <c r="I14" s="4" t="s">
        <v>63</v>
      </c>
      <c r="J14" s="5">
        <f>1902010/1000</f>
        <v>1902.01</v>
      </c>
      <c r="K14" s="5">
        <f>1948240/1000</f>
        <v>1948.24</v>
      </c>
      <c r="L14" s="5">
        <f>1949810/1000</f>
        <v>1949.81</v>
      </c>
      <c r="M14" s="5">
        <f>4332630/1000</f>
        <v>4332.63</v>
      </c>
      <c r="N14" s="5">
        <f>4170590/1000</f>
        <v>4170.59</v>
      </c>
      <c r="O14" s="5">
        <f>3449960/1000</f>
        <v>3449.96</v>
      </c>
      <c r="P14" s="16">
        <f>969268/1000</f>
        <v>969.26800000000003</v>
      </c>
    </row>
    <row r="15" spans="1:16" ht="43.2" x14ac:dyDescent="0.3">
      <c r="I15" s="4" t="s">
        <v>68</v>
      </c>
      <c r="J15" s="5">
        <f>614.79/1000</f>
        <v>0.61478999999999995</v>
      </c>
      <c r="K15" s="5">
        <f t="shared" ref="K15:L15" si="0">614.79/1000</f>
        <v>0.61478999999999995</v>
      </c>
      <c r="L15" s="5">
        <f t="shared" si="0"/>
        <v>0.61478999999999995</v>
      </c>
      <c r="M15" s="5">
        <f>1639.44/1000</f>
        <v>1.63944</v>
      </c>
      <c r="N15" s="5">
        <f t="shared" ref="N15:P15" si="1">1639.44/1000</f>
        <v>1.63944</v>
      </c>
      <c r="O15" s="5">
        <f t="shared" si="1"/>
        <v>1.63944</v>
      </c>
      <c r="P15" s="16">
        <f t="shared" si="1"/>
        <v>1.63944</v>
      </c>
    </row>
    <row r="16" spans="1:16" ht="43.2" x14ac:dyDescent="0.3">
      <c r="I16" s="4" t="s">
        <v>64</v>
      </c>
      <c r="J16" s="5">
        <f>1345580/1000</f>
        <v>1345.58</v>
      </c>
      <c r="K16" s="5">
        <v>0</v>
      </c>
      <c r="L16" s="5">
        <v>0</v>
      </c>
      <c r="M16" s="5">
        <f>1354730/1000</f>
        <v>1354.73</v>
      </c>
      <c r="N16" s="5">
        <f>619712/1000</f>
        <v>619.71199999999999</v>
      </c>
      <c r="O16" s="5">
        <f>84131.1/1000</f>
        <v>84.131100000000004</v>
      </c>
      <c r="P16" s="16">
        <v>0</v>
      </c>
    </row>
    <row r="17" spans="9:16" ht="28.8" x14ac:dyDescent="0.3">
      <c r="I17" s="24" t="s">
        <v>65</v>
      </c>
      <c r="J17" s="27">
        <f>J14-J16-J15</f>
        <v>555.81521000000009</v>
      </c>
      <c r="K17" s="27">
        <f t="shared" ref="K17:P17" si="2">K14-K16-K15</f>
        <v>1947.6252099999999</v>
      </c>
      <c r="L17" s="27">
        <f t="shared" si="2"/>
        <v>1949.1952099999999</v>
      </c>
      <c r="M17" s="27">
        <f t="shared" si="2"/>
        <v>2976.2605600000002</v>
      </c>
      <c r="N17" s="27">
        <f t="shared" si="2"/>
        <v>3549.2385600000002</v>
      </c>
      <c r="O17" s="27">
        <f t="shared" si="2"/>
        <v>3364.1894600000001</v>
      </c>
      <c r="P17" s="28">
        <f t="shared" si="2"/>
        <v>967.62855999999999</v>
      </c>
    </row>
    <row r="18" spans="9:16" ht="28.8" x14ac:dyDescent="0.3">
      <c r="I18" s="4" t="s">
        <v>69</v>
      </c>
      <c r="J18" s="5">
        <v>162</v>
      </c>
      <c r="K18" s="5">
        <v>322</v>
      </c>
      <c r="L18" s="5">
        <v>323</v>
      </c>
      <c r="M18" s="5">
        <v>1809</v>
      </c>
      <c r="N18" s="5">
        <v>1836</v>
      </c>
      <c r="O18" s="5">
        <v>1914</v>
      </c>
      <c r="P18" s="16">
        <v>1917</v>
      </c>
    </row>
    <row r="19" spans="9:16" ht="28.8" x14ac:dyDescent="0.3">
      <c r="I19" s="4" t="s">
        <v>70</v>
      </c>
      <c r="J19" s="5">
        <v>207</v>
      </c>
      <c r="K19" s="5">
        <v>92</v>
      </c>
      <c r="L19" s="5">
        <v>93</v>
      </c>
      <c r="M19" s="5">
        <v>0</v>
      </c>
      <c r="N19" s="5">
        <v>0</v>
      </c>
      <c r="O19" s="5">
        <v>0</v>
      </c>
      <c r="P19" s="16">
        <v>0</v>
      </c>
    </row>
    <row r="20" spans="9:16" ht="28.8" x14ac:dyDescent="0.3">
      <c r="I20" s="4" t="s">
        <v>67</v>
      </c>
      <c r="J20" s="5">
        <v>126</v>
      </c>
      <c r="K20" s="5">
        <v>0</v>
      </c>
      <c r="L20" s="5">
        <v>0</v>
      </c>
      <c r="M20" s="5">
        <v>545</v>
      </c>
      <c r="N20" s="5">
        <v>249</v>
      </c>
      <c r="O20" s="5">
        <v>0</v>
      </c>
      <c r="P20" s="16">
        <v>0</v>
      </c>
    </row>
  </sheetData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6954-6C80-4926-8408-DB45BC0448C1}">
  <dimension ref="A2:D14"/>
  <sheetViews>
    <sheetView workbookViewId="0">
      <selection activeCell="B15" sqref="B15"/>
    </sheetView>
  </sheetViews>
  <sheetFormatPr defaultRowHeight="14.4" x14ac:dyDescent="0.3"/>
  <cols>
    <col min="2" max="2" width="11.77734375" customWidth="1"/>
  </cols>
  <sheetData>
    <row r="2" spans="1:4" x14ac:dyDescent="0.3">
      <c r="B2" t="s">
        <v>39</v>
      </c>
      <c r="C2" t="s">
        <v>40</v>
      </c>
      <c r="D2" t="s">
        <v>41</v>
      </c>
    </row>
    <row r="3" spans="1:4" x14ac:dyDescent="0.3">
      <c r="A3" t="s">
        <v>38</v>
      </c>
      <c r="B3">
        <v>6900</v>
      </c>
      <c r="C3" t="s">
        <v>42</v>
      </c>
      <c r="D3" t="s">
        <v>42</v>
      </c>
    </row>
    <row r="4" spans="1:4" x14ac:dyDescent="0.3">
      <c r="A4" t="s">
        <v>43</v>
      </c>
      <c r="B4">
        <v>2000000</v>
      </c>
      <c r="C4">
        <v>1000</v>
      </c>
      <c r="D4">
        <v>1000</v>
      </c>
    </row>
    <row r="5" spans="1:4" x14ac:dyDescent="0.3">
      <c r="A5" t="s">
        <v>44</v>
      </c>
      <c r="B5">
        <v>99</v>
      </c>
      <c r="C5">
        <v>47</v>
      </c>
      <c r="D5">
        <v>29</v>
      </c>
    </row>
    <row r="6" spans="1:4" x14ac:dyDescent="0.3">
      <c r="B6">
        <f>B5*B3*1000/B4</f>
        <v>341.55</v>
      </c>
      <c r="C6">
        <v>133</v>
      </c>
      <c r="D6">
        <v>40</v>
      </c>
    </row>
    <row r="7" spans="1:4" x14ac:dyDescent="0.3">
      <c r="B7">
        <f>B5*B3/B4</f>
        <v>0.34155000000000002</v>
      </c>
      <c r="C7">
        <f>C5/C4</f>
        <v>4.7E-2</v>
      </c>
      <c r="D7">
        <f>D5/D4</f>
        <v>2.9000000000000001E-2</v>
      </c>
    </row>
    <row r="8" spans="1:4" x14ac:dyDescent="0.3">
      <c r="C8">
        <f>C6/C4</f>
        <v>0.13300000000000001</v>
      </c>
      <c r="D8">
        <f>D6/D4</f>
        <v>0.04</v>
      </c>
    </row>
    <row r="9" spans="1:4" x14ac:dyDescent="0.3">
      <c r="B9">
        <f>B7/12</f>
        <v>2.8462500000000002E-2</v>
      </c>
    </row>
    <row r="12" spans="1:4" x14ac:dyDescent="0.3">
      <c r="B12">
        <v>1</v>
      </c>
      <c r="C12">
        <v>99</v>
      </c>
      <c r="D12">
        <f>F15</f>
        <v>0</v>
      </c>
    </row>
    <row r="13" spans="1:4" x14ac:dyDescent="0.3">
      <c r="B13">
        <f>6900*10000/2000000</f>
        <v>34.5</v>
      </c>
    </row>
    <row r="14" spans="1:4" x14ac:dyDescent="0.3">
      <c r="B14">
        <f>99*0.34155</f>
        <v>33.813450000000003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Rozbor tematu</vt:lpstr>
      <vt:lpstr>Prepocet stromu</vt:lpstr>
      <vt:lpstr>Experimenty Kalibrace</vt:lpstr>
      <vt:lpstr>Experimenty</vt:lpstr>
      <vt:lpstr>E_tresen</vt:lpstr>
      <vt:lpstr>E_dub_topol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Válka</dc:creator>
  <cp:lastModifiedBy>Miroslav Válka</cp:lastModifiedBy>
  <cp:lastPrinted>2019-12-03T17:23:44Z</cp:lastPrinted>
  <dcterms:created xsi:type="dcterms:W3CDTF">2019-12-02T09:06:40Z</dcterms:created>
  <dcterms:modified xsi:type="dcterms:W3CDTF">2019-12-04T14:22:19Z</dcterms:modified>
</cp:coreProperties>
</file>