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showObjects="none"/>
  <mc:AlternateContent xmlns:mc="http://schemas.openxmlformats.org/markup-compatibility/2006">
    <mc:Choice Requires="x15">
      <x15ac:absPath xmlns:x15ac="http://schemas.microsoft.com/office/spreadsheetml/2010/11/ac" url="Z:\int\BMBF_UKAGEP\Projektunterlagen\EBD-Berechnung\Lärm\Daten_Matthias_Lochmann\"/>
    </mc:Choice>
  </mc:AlternateContent>
  <xr:revisionPtr revIDLastSave="0" documentId="13_ncr:1_{2F6A27E7-C524-4BE6-9CE6-5766DB7DE1E4}" xr6:coauthVersionLast="36" xr6:coauthVersionMax="36" xr10:uidLastSave="{00000000-0000-0000-0000-000000000000}"/>
  <bookViews>
    <workbookView xWindow="-165" yWindow="465" windowWidth="28695" windowHeight="17460" activeTab="5" xr2:uid="{00000000-000D-0000-FFFF-FFFF00000000}"/>
  </bookViews>
  <sheets>
    <sheet name="Input data BoD" sheetId="1" r:id="rId1"/>
    <sheet name="Quantification BoD" sheetId="3" r:id="rId2"/>
    <sheet name="Input data Exposure" sheetId="2" r:id="rId3"/>
    <sheet name="PAF" sheetId="5" r:id="rId4"/>
    <sheet name="Quantification EBD" sheetId="6" r:id="rId5"/>
    <sheet name="Descrip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" l="1"/>
  <c r="J7" i="6"/>
  <c r="I7" i="6"/>
  <c r="F33" i="3" l="1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L21" i="5" l="1"/>
  <c r="K21" i="5"/>
  <c r="C21" i="5"/>
  <c r="J21" i="5"/>
  <c r="J13" i="5"/>
  <c r="K13" i="5"/>
  <c r="L13" i="5"/>
  <c r="J14" i="5"/>
  <c r="K14" i="5"/>
  <c r="L14" i="5"/>
  <c r="I14" i="5"/>
  <c r="G13" i="5"/>
  <c r="H13" i="5"/>
  <c r="I13" i="5"/>
  <c r="G14" i="5"/>
  <c r="H14" i="5"/>
  <c r="C14" i="5"/>
  <c r="C15" i="5"/>
  <c r="C16" i="5"/>
  <c r="C17" i="5"/>
  <c r="C18" i="5"/>
  <c r="C19" i="5"/>
  <c r="C13" i="5"/>
  <c r="C19" i="2"/>
  <c r="K19" i="5" l="1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I21" i="3" s="1"/>
  <c r="B22" i="3"/>
  <c r="C22" i="3"/>
  <c r="B23" i="3"/>
  <c r="C23" i="3"/>
  <c r="B24" i="3"/>
  <c r="C24" i="3"/>
  <c r="B25" i="3"/>
  <c r="C25" i="3"/>
  <c r="I25" i="3" s="1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I14" i="3"/>
  <c r="H14" i="3"/>
  <c r="H15" i="3"/>
  <c r="G16" i="3"/>
  <c r="G17" i="3"/>
  <c r="K19" i="1"/>
  <c r="I19" i="3"/>
  <c r="J19" i="1"/>
  <c r="H19" i="3"/>
  <c r="K20" i="1"/>
  <c r="J20" i="1"/>
  <c r="H20" i="3"/>
  <c r="K21" i="1"/>
  <c r="J21" i="1"/>
  <c r="K22" i="1"/>
  <c r="J22" i="1"/>
  <c r="H22" i="3" s="1"/>
  <c r="K23" i="1"/>
  <c r="I23" i="3"/>
  <c r="J23" i="1"/>
  <c r="K24" i="1"/>
  <c r="G24" i="3" s="1"/>
  <c r="J24" i="1"/>
  <c r="K25" i="1"/>
  <c r="G25" i="3"/>
  <c r="J25" i="1"/>
  <c r="K26" i="1"/>
  <c r="J26" i="1"/>
  <c r="H26" i="3" s="1"/>
  <c r="K27" i="1"/>
  <c r="I27" i="3"/>
  <c r="J27" i="1"/>
  <c r="H27" i="3"/>
  <c r="K28" i="1"/>
  <c r="J28" i="1"/>
  <c r="K29" i="1"/>
  <c r="J29" i="1"/>
  <c r="H29" i="3"/>
  <c r="K30" i="1"/>
  <c r="J30" i="1"/>
  <c r="H30" i="3" s="1"/>
  <c r="K31" i="1"/>
  <c r="I31" i="3"/>
  <c r="J31" i="1"/>
  <c r="K32" i="1"/>
  <c r="G32" i="3" s="1"/>
  <c r="J32" i="1"/>
  <c r="K33" i="1"/>
  <c r="G33" i="3"/>
  <c r="J33" i="1"/>
  <c r="J19" i="5"/>
  <c r="M5" i="5"/>
  <c r="N5" i="5"/>
  <c r="B15" i="5"/>
  <c r="O15" i="5" s="1"/>
  <c r="B16" i="5"/>
  <c r="F16" i="5" s="1"/>
  <c r="B17" i="5"/>
  <c r="P17" i="5" s="1"/>
  <c r="B18" i="5"/>
  <c r="E18" i="5" s="1"/>
  <c r="H18" i="5" s="1"/>
  <c r="K18" i="5" s="1"/>
  <c r="J5" i="5"/>
  <c r="D14" i="1"/>
  <c r="D15" i="1"/>
  <c r="D38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38" i="1"/>
  <c r="B38" i="1"/>
  <c r="O17" i="5"/>
  <c r="R17" i="5" s="1"/>
  <c r="U17" i="5" s="1"/>
  <c r="E16" i="5"/>
  <c r="E17" i="5"/>
  <c r="L5" i="5"/>
  <c r="H5" i="5"/>
  <c r="D17" i="5" s="1"/>
  <c r="G17" i="5" s="1"/>
  <c r="J17" i="5" s="1"/>
  <c r="H16" i="3"/>
  <c r="H17" i="3"/>
  <c r="H18" i="3"/>
  <c r="H21" i="3"/>
  <c r="H23" i="3"/>
  <c r="H24" i="3"/>
  <c r="H25" i="3"/>
  <c r="H28" i="3"/>
  <c r="H31" i="3"/>
  <c r="H32" i="3"/>
  <c r="H33" i="3"/>
  <c r="N12" i="1"/>
  <c r="A23" i="7"/>
  <c r="A17" i="7"/>
  <c r="A14" i="7"/>
  <c r="A11" i="7"/>
  <c r="A8" i="7"/>
  <c r="A5" i="7"/>
  <c r="L14" i="1"/>
  <c r="L15" i="1"/>
  <c r="L16" i="1"/>
  <c r="L17" i="1"/>
  <c r="L18" i="1"/>
  <c r="L19" i="1"/>
  <c r="L20" i="1"/>
  <c r="L21" i="1"/>
  <c r="L23" i="1"/>
  <c r="L24" i="1"/>
  <c r="L25" i="1"/>
  <c r="L27" i="1"/>
  <c r="L28" i="1"/>
  <c r="L29" i="1"/>
  <c r="L31" i="1"/>
  <c r="L32" i="1"/>
  <c r="L3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B19" i="5"/>
  <c r="O19" i="5" s="1"/>
  <c r="E19" i="5"/>
  <c r="D19" i="5"/>
  <c r="I33" i="3"/>
  <c r="A15" i="5"/>
  <c r="A16" i="5"/>
  <c r="A17" i="5"/>
  <c r="A18" i="5"/>
  <c r="A19" i="5"/>
  <c r="B14" i="5"/>
  <c r="A12" i="5"/>
  <c r="B8" i="6"/>
  <c r="B7" i="6"/>
  <c r="B6" i="6"/>
  <c r="B5" i="6"/>
  <c r="B4" i="6"/>
  <c r="B3" i="6"/>
  <c r="B2" i="6"/>
  <c r="G38" i="1"/>
  <c r="H38" i="1"/>
  <c r="J38" i="1"/>
  <c r="B8" i="5"/>
  <c r="B7" i="5"/>
  <c r="B6" i="5"/>
  <c r="B5" i="5"/>
  <c r="B4" i="5"/>
  <c r="B3" i="5"/>
  <c r="B2" i="5"/>
  <c r="B8" i="3"/>
  <c r="B7" i="3"/>
  <c r="B6" i="3"/>
  <c r="B5" i="3"/>
  <c r="B4" i="3"/>
  <c r="B3" i="3"/>
  <c r="B2" i="3"/>
  <c r="H12" i="1"/>
  <c r="K12" i="1"/>
  <c r="B3" i="2"/>
  <c r="B4" i="2"/>
  <c r="B5" i="2"/>
  <c r="B6" i="2"/>
  <c r="B7" i="2"/>
  <c r="B2" i="2"/>
  <c r="N19" i="5"/>
  <c r="I16" i="3"/>
  <c r="I29" i="3"/>
  <c r="I26" i="3"/>
  <c r="B37" i="3"/>
  <c r="I17" i="3" l="1"/>
  <c r="G18" i="3"/>
  <c r="G15" i="3"/>
  <c r="I15" i="3"/>
  <c r="G29" i="3"/>
  <c r="G28" i="3"/>
  <c r="G21" i="3"/>
  <c r="G20" i="3"/>
  <c r="N17" i="5"/>
  <c r="O16" i="5"/>
  <c r="R16" i="5" s="1"/>
  <c r="U16" i="5" s="1"/>
  <c r="H17" i="5"/>
  <c r="K17" i="5" s="1"/>
  <c r="S17" i="5"/>
  <c r="V17" i="5" s="1"/>
  <c r="Q17" i="5"/>
  <c r="T17" i="5" s="1"/>
  <c r="H16" i="5"/>
  <c r="K16" i="5" s="1"/>
  <c r="F15" i="5"/>
  <c r="I15" i="5" s="1"/>
  <c r="L15" i="5" s="1"/>
  <c r="I16" i="5"/>
  <c r="L16" i="5" s="1"/>
  <c r="F19" i="5"/>
  <c r="U19" i="5"/>
  <c r="N16" i="5"/>
  <c r="Q16" i="5" s="1"/>
  <c r="T16" i="5" s="1"/>
  <c r="L19" i="5"/>
  <c r="T19" i="5"/>
  <c r="V19" i="5"/>
  <c r="E15" i="5"/>
  <c r="H15" i="5" s="1"/>
  <c r="K15" i="5" s="1"/>
  <c r="P15" i="5"/>
  <c r="S15" i="5" s="1"/>
  <c r="V15" i="5" s="1"/>
  <c r="G22" i="3"/>
  <c r="H37" i="3"/>
  <c r="G30" i="3"/>
  <c r="G26" i="3"/>
  <c r="D16" i="5"/>
  <c r="G16" i="5" s="1"/>
  <c r="J16" i="5" s="1"/>
  <c r="N18" i="5"/>
  <c r="Q18" i="5" s="1"/>
  <c r="T18" i="5" s="1"/>
  <c r="G31" i="3"/>
  <c r="G27" i="3"/>
  <c r="G23" i="3"/>
  <c r="G19" i="3"/>
  <c r="F18" i="5"/>
  <c r="I18" i="5" s="1"/>
  <c r="L18" i="5" s="1"/>
  <c r="E37" i="3"/>
  <c r="P19" i="5"/>
  <c r="L30" i="1"/>
  <c r="L26" i="1"/>
  <c r="L22" i="1"/>
  <c r="L38" i="1" s="1"/>
  <c r="O18" i="5"/>
  <c r="R18" i="5" s="1"/>
  <c r="U18" i="5" s="1"/>
  <c r="R15" i="5"/>
  <c r="U15" i="5" s="1"/>
  <c r="D18" i="5"/>
  <c r="G18" i="5" s="1"/>
  <c r="J18" i="5" s="1"/>
  <c r="D15" i="5"/>
  <c r="G15" i="5" s="1"/>
  <c r="J15" i="5" s="1"/>
  <c r="N15" i="5"/>
  <c r="Q15" i="5" s="1"/>
  <c r="T15" i="5" s="1"/>
  <c r="T21" i="5" s="1"/>
  <c r="H5" i="6" s="1"/>
  <c r="G14" i="3"/>
  <c r="P16" i="5"/>
  <c r="S16" i="5" s="1"/>
  <c r="V16" i="5" s="1"/>
  <c r="I30" i="3"/>
  <c r="F17" i="5"/>
  <c r="I17" i="5" s="1"/>
  <c r="L17" i="5" s="1"/>
  <c r="F37" i="3"/>
  <c r="K38" i="1"/>
  <c r="P18" i="5"/>
  <c r="S18" i="5" s="1"/>
  <c r="V18" i="5" s="1"/>
  <c r="V21" i="5" s="1"/>
  <c r="J5" i="6" s="1"/>
  <c r="I22" i="3"/>
  <c r="I20" i="3"/>
  <c r="I24" i="3"/>
  <c r="C37" i="3"/>
  <c r="D33" i="3"/>
  <c r="D31" i="3"/>
  <c r="D29" i="3"/>
  <c r="D27" i="3"/>
  <c r="D25" i="3"/>
  <c r="D23" i="3"/>
  <c r="D21" i="3"/>
  <c r="D19" i="3"/>
  <c r="D17" i="3"/>
  <c r="D15" i="3"/>
  <c r="I38" i="1"/>
  <c r="I28" i="3"/>
  <c r="I18" i="3"/>
  <c r="D32" i="3"/>
  <c r="D30" i="3"/>
  <c r="D28" i="3"/>
  <c r="D26" i="3"/>
  <c r="D24" i="3"/>
  <c r="D22" i="3"/>
  <c r="D20" i="3"/>
  <c r="D18" i="3"/>
  <c r="D16" i="3"/>
  <c r="D14" i="3"/>
  <c r="I32" i="3"/>
  <c r="I37" i="3" l="1"/>
  <c r="J4" i="6"/>
  <c r="U21" i="5"/>
  <c r="I5" i="6" s="1"/>
  <c r="Q20" i="6" s="1"/>
  <c r="AA23" i="6"/>
  <c r="H4" i="6"/>
  <c r="Z17" i="6"/>
  <c r="Z33" i="6"/>
  <c r="Y27" i="6"/>
  <c r="AA31" i="6"/>
  <c r="Z23" i="6"/>
  <c r="Y19" i="6"/>
  <c r="Y32" i="6"/>
  <c r="Z29" i="6"/>
  <c r="Y24" i="6"/>
  <c r="AA17" i="6"/>
  <c r="Y26" i="6"/>
  <c r="Y29" i="6"/>
  <c r="Z27" i="6"/>
  <c r="Z19" i="6"/>
  <c r="Y17" i="6"/>
  <c r="AA16" i="6"/>
  <c r="Z16" i="6"/>
  <c r="Z22" i="6"/>
  <c r="Y18" i="6"/>
  <c r="Y31" i="6"/>
  <c r="AA25" i="6"/>
  <c r="AA33" i="6"/>
  <c r="Z28" i="6"/>
  <c r="Y23" i="6"/>
  <c r="Z18" i="6"/>
  <c r="Y15" i="6"/>
  <c r="AA18" i="6"/>
  <c r="AA24" i="6"/>
  <c r="AA22" i="6"/>
  <c r="Y14" i="6"/>
  <c r="Y16" i="6"/>
  <c r="Z25" i="6"/>
  <c r="Y21" i="6"/>
  <c r="AA19" i="6"/>
  <c r="AA27" i="6"/>
  <c r="Z15" i="6"/>
  <c r="Z31" i="6"/>
  <c r="Y28" i="6"/>
  <c r="Z21" i="6"/>
  <c r="Y20" i="6"/>
  <c r="AA15" i="6"/>
  <c r="AA26" i="6"/>
  <c r="AA32" i="6"/>
  <c r="AA20" i="6"/>
  <c r="Y33" i="6"/>
  <c r="Z14" i="6"/>
  <c r="Z30" i="6"/>
  <c r="Y25" i="6"/>
  <c r="AA21" i="6"/>
  <c r="AA29" i="6"/>
  <c r="Z20" i="6"/>
  <c r="Y30" i="6"/>
  <c r="Z26" i="6"/>
  <c r="Y22" i="6"/>
  <c r="Z32" i="6"/>
  <c r="Z24" i="6"/>
  <c r="AA28" i="6"/>
  <c r="AA30" i="6"/>
  <c r="AA14" i="6"/>
  <c r="G37" i="3"/>
  <c r="I4" i="6"/>
  <c r="N22" i="6" s="1"/>
  <c r="G16" i="6"/>
  <c r="G20" i="6"/>
  <c r="G24" i="6"/>
  <c r="G28" i="6"/>
  <c r="G32" i="6"/>
  <c r="F15" i="6"/>
  <c r="F17" i="6"/>
  <c r="F26" i="6"/>
  <c r="F28" i="6"/>
  <c r="F31" i="6"/>
  <c r="F33" i="6"/>
  <c r="E20" i="6"/>
  <c r="E25" i="6"/>
  <c r="E27" i="6"/>
  <c r="G17" i="6"/>
  <c r="G21" i="6"/>
  <c r="G25" i="6"/>
  <c r="G29" i="6"/>
  <c r="G33" i="6"/>
  <c r="G14" i="6"/>
  <c r="G18" i="6"/>
  <c r="G22" i="6"/>
  <c r="G26" i="6"/>
  <c r="G30" i="6"/>
  <c r="G19" i="6"/>
  <c r="F14" i="6"/>
  <c r="F19" i="6"/>
  <c r="F23" i="6"/>
  <c r="F29" i="6"/>
  <c r="E19" i="6"/>
  <c r="E21" i="6"/>
  <c r="E24" i="6"/>
  <c r="E30" i="6"/>
  <c r="G23" i="6"/>
  <c r="F20" i="6"/>
  <c r="F27" i="6"/>
  <c r="F32" i="6"/>
  <c r="E15" i="6"/>
  <c r="E17" i="6"/>
  <c r="E26" i="6"/>
  <c r="E29" i="6"/>
  <c r="E31" i="6"/>
  <c r="G27" i="6"/>
  <c r="F16" i="6"/>
  <c r="F21" i="6"/>
  <c r="F24" i="6"/>
  <c r="F30" i="6"/>
  <c r="E22" i="6"/>
  <c r="E33" i="6"/>
  <c r="G15" i="6"/>
  <c r="G31" i="6"/>
  <c r="F18" i="6"/>
  <c r="F22" i="6"/>
  <c r="F25" i="6"/>
  <c r="E14" i="6"/>
  <c r="E16" i="6"/>
  <c r="E18" i="6"/>
  <c r="E23" i="6"/>
  <c r="E28" i="6"/>
  <c r="E32" i="6"/>
  <c r="Q16" i="6"/>
  <c r="Q32" i="6"/>
  <c r="P17" i="6"/>
  <c r="P30" i="6"/>
  <c r="O14" i="6"/>
  <c r="Q17" i="6"/>
  <c r="Q21" i="6"/>
  <c r="Q33" i="6"/>
  <c r="P21" i="6"/>
  <c r="P28" i="6"/>
  <c r="P32" i="6"/>
  <c r="O19" i="6"/>
  <c r="O22" i="6"/>
  <c r="Q27" i="6"/>
  <c r="P19" i="6"/>
  <c r="Q22" i="6"/>
  <c r="Q30" i="6"/>
  <c r="O27" i="6"/>
  <c r="O30" i="6"/>
  <c r="Q31" i="6"/>
  <c r="P16" i="6"/>
  <c r="O16" i="6"/>
  <c r="O20" i="6"/>
  <c r="Q18" i="6"/>
  <c r="Q26" i="6"/>
  <c r="P29" i="6"/>
  <c r="P33" i="6"/>
  <c r="O32" i="6"/>
  <c r="J22" i="3"/>
  <c r="J29" i="3"/>
  <c r="D37" i="3"/>
  <c r="J14" i="3"/>
  <c r="J19" i="3"/>
  <c r="J25" i="3"/>
  <c r="N25" i="6"/>
  <c r="J16" i="3"/>
  <c r="J26" i="3"/>
  <c r="J32" i="3"/>
  <c r="J15" i="3"/>
  <c r="J21" i="3"/>
  <c r="J31" i="3"/>
  <c r="J27" i="3"/>
  <c r="J33" i="3"/>
  <c r="N33" i="6"/>
  <c r="J18" i="3"/>
  <c r="J24" i="3"/>
  <c r="J23" i="3"/>
  <c r="N23" i="6"/>
  <c r="J28" i="3"/>
  <c r="J17" i="3"/>
  <c r="J20" i="3"/>
  <c r="J30" i="3"/>
  <c r="N24" i="6" l="1"/>
  <c r="N16" i="6"/>
  <c r="T16" i="6" s="1"/>
  <c r="N29" i="6"/>
  <c r="O25" i="6"/>
  <c r="P18" i="6"/>
  <c r="Q14" i="6"/>
  <c r="P26" i="6"/>
  <c r="Q23" i="6"/>
  <c r="T23" i="6" s="1"/>
  <c r="O23" i="6"/>
  <c r="O33" i="6"/>
  <c r="Q19" i="6"/>
  <c r="O17" i="6"/>
  <c r="P25" i="6"/>
  <c r="Q29" i="6"/>
  <c r="O28" i="6"/>
  <c r="P24" i="6"/>
  <c r="Q28" i="6"/>
  <c r="N28" i="6"/>
  <c r="N32" i="6"/>
  <c r="T32" i="6" s="1"/>
  <c r="O21" i="6"/>
  <c r="P14" i="6"/>
  <c r="O31" i="6"/>
  <c r="P22" i="6"/>
  <c r="Q15" i="6"/>
  <c r="P31" i="6"/>
  <c r="O29" i="6"/>
  <c r="O26" i="6"/>
  <c r="O15" i="6"/>
  <c r="P23" i="6"/>
  <c r="Q25" i="6"/>
  <c r="T25" i="6" s="1"/>
  <c r="O18" i="6"/>
  <c r="P20" i="6"/>
  <c r="Q24" i="6"/>
  <c r="AA37" i="6"/>
  <c r="AA40" i="6" s="1"/>
  <c r="N15" i="6"/>
  <c r="O24" i="6"/>
  <c r="P27" i="6"/>
  <c r="P15" i="6"/>
  <c r="D15" i="6"/>
  <c r="J15" i="6" s="1"/>
  <c r="D23" i="6"/>
  <c r="J23" i="6" s="1"/>
  <c r="D28" i="6"/>
  <c r="J28" i="6" s="1"/>
  <c r="D17" i="6"/>
  <c r="J17" i="6" s="1"/>
  <c r="D25" i="6"/>
  <c r="J25" i="6" s="1"/>
  <c r="D26" i="6"/>
  <c r="J26" i="6" s="1"/>
  <c r="D32" i="6"/>
  <c r="J32" i="6" s="1"/>
  <c r="D21" i="6"/>
  <c r="J21" i="6" s="1"/>
  <c r="D18" i="6"/>
  <c r="J18" i="6" s="1"/>
  <c r="D24" i="6"/>
  <c r="J24" i="6" s="1"/>
  <c r="D22" i="6"/>
  <c r="J22" i="6" s="1"/>
  <c r="D31" i="6"/>
  <c r="J31" i="6" s="1"/>
  <c r="D33" i="6"/>
  <c r="J33" i="6" s="1"/>
  <c r="D14" i="6"/>
  <c r="D37" i="6" s="1"/>
  <c r="D40" i="6" s="1"/>
  <c r="D19" i="6"/>
  <c r="J19" i="6" s="1"/>
  <c r="D16" i="6"/>
  <c r="J16" i="6" s="1"/>
  <c r="D27" i="6"/>
  <c r="J27" i="6" s="1"/>
  <c r="D29" i="6"/>
  <c r="J29" i="6" s="1"/>
  <c r="D20" i="6"/>
  <c r="J20" i="6" s="1"/>
  <c r="D30" i="6"/>
  <c r="J30" i="6" s="1"/>
  <c r="V16" i="6"/>
  <c r="AB16" i="6" s="1"/>
  <c r="W25" i="6"/>
  <c r="AC25" i="6" s="1"/>
  <c r="V17" i="6"/>
  <c r="AB17" i="6" s="1"/>
  <c r="W21" i="6"/>
  <c r="AC21" i="6" s="1"/>
  <c r="V24" i="6"/>
  <c r="AB24" i="6" s="1"/>
  <c r="X25" i="6"/>
  <c r="AD25" i="6" s="1"/>
  <c r="X16" i="6"/>
  <c r="AD16" i="6" s="1"/>
  <c r="X26" i="6"/>
  <c r="AD26" i="6" s="1"/>
  <c r="X33" i="6"/>
  <c r="AD33" i="6" s="1"/>
  <c r="X18" i="6"/>
  <c r="AD18" i="6" s="1"/>
  <c r="W33" i="6"/>
  <c r="AC33" i="6" s="1"/>
  <c r="V28" i="6"/>
  <c r="AB28" i="6" s="1"/>
  <c r="V20" i="6"/>
  <c r="AB20" i="6" s="1"/>
  <c r="X29" i="6"/>
  <c r="AD29" i="6" s="1"/>
  <c r="X14" i="6"/>
  <c r="AD14" i="6" s="1"/>
  <c r="X19" i="6"/>
  <c r="AD19" i="6" s="1"/>
  <c r="X27" i="6"/>
  <c r="AD27" i="6" s="1"/>
  <c r="V21" i="6"/>
  <c r="AB21" i="6" s="1"/>
  <c r="V22" i="6"/>
  <c r="X31" i="6"/>
  <c r="AD31" i="6" s="1"/>
  <c r="X20" i="6"/>
  <c r="AD20" i="6" s="1"/>
  <c r="W17" i="6"/>
  <c r="AC17" i="6" s="1"/>
  <c r="V32" i="6"/>
  <c r="AB32" i="6" s="1"/>
  <c r="X15" i="6"/>
  <c r="AD15" i="6" s="1"/>
  <c r="X23" i="6"/>
  <c r="AD23" i="6" s="1"/>
  <c r="X17" i="6"/>
  <c r="AD17" i="6" s="1"/>
  <c r="V29" i="6"/>
  <c r="AB29" i="6" s="1"/>
  <c r="V33" i="6"/>
  <c r="AB33" i="6" s="1"/>
  <c r="V30" i="6"/>
  <c r="AB30" i="6" s="1"/>
  <c r="X22" i="6"/>
  <c r="AD22" i="6" s="1"/>
  <c r="X30" i="6"/>
  <c r="AD30" i="6" s="1"/>
  <c r="V14" i="6"/>
  <c r="AB14" i="6" s="1"/>
  <c r="V25" i="6"/>
  <c r="AB25" i="6" s="1"/>
  <c r="W29" i="6"/>
  <c r="AC29" i="6" s="1"/>
  <c r="X32" i="6"/>
  <c r="AD32" i="6" s="1"/>
  <c r="X21" i="6"/>
  <c r="AD21" i="6" s="1"/>
  <c r="X24" i="6"/>
  <c r="AD24" i="6" s="1"/>
  <c r="X28" i="6"/>
  <c r="AD28" i="6" s="1"/>
  <c r="N30" i="6"/>
  <c r="T30" i="6" s="1"/>
  <c r="N20" i="6"/>
  <c r="T20" i="6" s="1"/>
  <c r="AB22" i="6"/>
  <c r="Z37" i="6"/>
  <c r="Z40" i="6" s="1"/>
  <c r="Y37" i="6"/>
  <c r="Y40" i="6" s="1"/>
  <c r="T22" i="6"/>
  <c r="N17" i="6"/>
  <c r="T17" i="6" s="1"/>
  <c r="N18" i="6"/>
  <c r="T18" i="6" s="1"/>
  <c r="N27" i="6"/>
  <c r="T27" i="6" s="1"/>
  <c r="N31" i="6"/>
  <c r="T31" i="6" s="1"/>
  <c r="N26" i="6"/>
  <c r="T26" i="6" s="1"/>
  <c r="N19" i="6"/>
  <c r="W27" i="6"/>
  <c r="AC27" i="6" s="1"/>
  <c r="W26" i="6"/>
  <c r="AC26" i="6" s="1"/>
  <c r="V23" i="6"/>
  <c r="AB23" i="6" s="1"/>
  <c r="W28" i="6"/>
  <c r="AC28" i="6" s="1"/>
  <c r="W32" i="6"/>
  <c r="AC32" i="6" s="1"/>
  <c r="V31" i="6"/>
  <c r="AB31" i="6" s="1"/>
  <c r="W20" i="6"/>
  <c r="AC20" i="6" s="1"/>
  <c r="W31" i="6"/>
  <c r="AC31" i="6" s="1"/>
  <c r="W30" i="6"/>
  <c r="AC30" i="6" s="1"/>
  <c r="V19" i="6"/>
  <c r="AB19" i="6" s="1"/>
  <c r="W16" i="6"/>
  <c r="AC16" i="6" s="1"/>
  <c r="V26" i="6"/>
  <c r="AB26" i="6" s="1"/>
  <c r="W23" i="6"/>
  <c r="AC23" i="6" s="1"/>
  <c r="W22" i="6"/>
  <c r="AC22" i="6" s="1"/>
  <c r="V27" i="6"/>
  <c r="AB27" i="6" s="1"/>
  <c r="W24" i="6"/>
  <c r="AC24" i="6" s="1"/>
  <c r="V18" i="6"/>
  <c r="AB18" i="6" s="1"/>
  <c r="W19" i="6"/>
  <c r="AC19" i="6" s="1"/>
  <c r="W18" i="6"/>
  <c r="AC18" i="6" s="1"/>
  <c r="V15" i="6"/>
  <c r="W15" i="6"/>
  <c r="AC15" i="6" s="1"/>
  <c r="W14" i="6"/>
  <c r="T33" i="6"/>
  <c r="T28" i="6"/>
  <c r="N21" i="6"/>
  <c r="T21" i="6" s="1"/>
  <c r="N14" i="6"/>
  <c r="F37" i="6"/>
  <c r="F40" i="6" s="1"/>
  <c r="G37" i="6"/>
  <c r="G40" i="6" s="1"/>
  <c r="E37" i="6"/>
  <c r="E40" i="6" s="1"/>
  <c r="C19" i="6"/>
  <c r="I19" i="6" s="1"/>
  <c r="C21" i="6"/>
  <c r="I21" i="6" s="1"/>
  <c r="B16" i="6"/>
  <c r="H16" i="6" s="1"/>
  <c r="B21" i="6"/>
  <c r="H21" i="6" s="1"/>
  <c r="B23" i="6"/>
  <c r="H23" i="6" s="1"/>
  <c r="C15" i="6"/>
  <c r="I15" i="6" s="1"/>
  <c r="C17" i="6"/>
  <c r="I17" i="6" s="1"/>
  <c r="C25" i="6"/>
  <c r="I25" i="6" s="1"/>
  <c r="B14" i="6"/>
  <c r="B28" i="6"/>
  <c r="H28" i="6" s="1"/>
  <c r="B32" i="6"/>
  <c r="H32" i="6" s="1"/>
  <c r="C23" i="6"/>
  <c r="I23" i="6" s="1"/>
  <c r="C29" i="6"/>
  <c r="I29" i="6" s="1"/>
  <c r="B19" i="6"/>
  <c r="H19" i="6" s="1"/>
  <c r="B24" i="6"/>
  <c r="H24" i="6" s="1"/>
  <c r="C27" i="6"/>
  <c r="I27" i="6" s="1"/>
  <c r="C33" i="6"/>
  <c r="I33" i="6" s="1"/>
  <c r="B15" i="6"/>
  <c r="H15" i="6" s="1"/>
  <c r="B17" i="6"/>
  <c r="H17" i="6" s="1"/>
  <c r="B20" i="6"/>
  <c r="H20" i="6" s="1"/>
  <c r="B27" i="6"/>
  <c r="H27" i="6" s="1"/>
  <c r="B29" i="6"/>
  <c r="H29" i="6" s="1"/>
  <c r="B31" i="6"/>
  <c r="H31" i="6" s="1"/>
  <c r="C31" i="6"/>
  <c r="I31" i="6" s="1"/>
  <c r="B25" i="6"/>
  <c r="H25" i="6" s="1"/>
  <c r="B33" i="6"/>
  <c r="H33" i="6" s="1"/>
  <c r="C28" i="6"/>
  <c r="I28" i="6" s="1"/>
  <c r="C20" i="6"/>
  <c r="I20" i="6" s="1"/>
  <c r="B18" i="6"/>
  <c r="H18" i="6" s="1"/>
  <c r="C18" i="6"/>
  <c r="I18" i="6" s="1"/>
  <c r="C32" i="6"/>
  <c r="I32" i="6" s="1"/>
  <c r="C14" i="6"/>
  <c r="B30" i="6"/>
  <c r="H30" i="6" s="1"/>
  <c r="C22" i="6"/>
  <c r="I22" i="6" s="1"/>
  <c r="B26" i="6"/>
  <c r="H26" i="6" s="1"/>
  <c r="C26" i="6"/>
  <c r="I26" i="6" s="1"/>
  <c r="C24" i="6"/>
  <c r="I24" i="6" s="1"/>
  <c r="C16" i="6"/>
  <c r="I16" i="6" s="1"/>
  <c r="C30" i="6"/>
  <c r="I30" i="6" s="1"/>
  <c r="B22" i="6"/>
  <c r="H22" i="6" s="1"/>
  <c r="M22" i="6"/>
  <c r="L16" i="6"/>
  <c r="R16" i="6" s="1"/>
  <c r="L20" i="6"/>
  <c r="R20" i="6" s="1"/>
  <c r="L29" i="6"/>
  <c r="R29" i="6" s="1"/>
  <c r="L31" i="6"/>
  <c r="R31" i="6" s="1"/>
  <c r="L33" i="6"/>
  <c r="R33" i="6" s="1"/>
  <c r="M15" i="6"/>
  <c r="S15" i="6" s="1"/>
  <c r="M17" i="6"/>
  <c r="S17" i="6" s="1"/>
  <c r="M30" i="6"/>
  <c r="S30" i="6" s="1"/>
  <c r="L24" i="6"/>
  <c r="L28" i="6"/>
  <c r="M14" i="6"/>
  <c r="M29" i="6"/>
  <c r="S29" i="6" s="1"/>
  <c r="M33" i="6"/>
  <c r="S33" i="6" s="1"/>
  <c r="L21" i="6"/>
  <c r="R21" i="6" s="1"/>
  <c r="L25" i="6"/>
  <c r="M21" i="6"/>
  <c r="S21" i="6" s="1"/>
  <c r="M25" i="6"/>
  <c r="L15" i="6"/>
  <c r="R15" i="6" s="1"/>
  <c r="L19" i="6"/>
  <c r="R19" i="6" s="1"/>
  <c r="M31" i="6"/>
  <c r="L23" i="6"/>
  <c r="L27" i="6"/>
  <c r="R27" i="6" s="1"/>
  <c r="M23" i="6"/>
  <c r="S23" i="6" s="1"/>
  <c r="L17" i="6"/>
  <c r="L32" i="6"/>
  <c r="R32" i="6" s="1"/>
  <c r="L18" i="6"/>
  <c r="M32" i="6"/>
  <c r="S32" i="6" s="1"/>
  <c r="M16" i="6"/>
  <c r="S16" i="6" s="1"/>
  <c r="M26" i="6"/>
  <c r="M18" i="6"/>
  <c r="M27" i="6"/>
  <c r="M28" i="6"/>
  <c r="S28" i="6" s="1"/>
  <c r="M20" i="6"/>
  <c r="L22" i="6"/>
  <c r="R22" i="6" s="1"/>
  <c r="L26" i="6"/>
  <c r="M19" i="6"/>
  <c r="S19" i="6" s="1"/>
  <c r="L14" i="6"/>
  <c r="M24" i="6"/>
  <c r="S24" i="6" s="1"/>
  <c r="L30" i="6"/>
  <c r="R30" i="6" s="1"/>
  <c r="L24" i="3"/>
  <c r="K24" i="3"/>
  <c r="L32" i="3"/>
  <c r="K32" i="3"/>
  <c r="K30" i="3"/>
  <c r="L30" i="3"/>
  <c r="K20" i="3"/>
  <c r="L20" i="3"/>
  <c r="K23" i="3"/>
  <c r="L23" i="3"/>
  <c r="K18" i="3"/>
  <c r="L18" i="3"/>
  <c r="L27" i="3"/>
  <c r="K27" i="3"/>
  <c r="K31" i="3"/>
  <c r="L31" i="3"/>
  <c r="K26" i="3"/>
  <c r="L26" i="3"/>
  <c r="L19" i="3"/>
  <c r="K19" i="3"/>
  <c r="J37" i="3"/>
  <c r="L28" i="3"/>
  <c r="K28" i="3"/>
  <c r="K33" i="3"/>
  <c r="L33" i="3"/>
  <c r="K21" i="3"/>
  <c r="L21" i="3"/>
  <c r="K25" i="3"/>
  <c r="L25" i="3"/>
  <c r="K29" i="3"/>
  <c r="L29" i="3"/>
  <c r="K22" i="3"/>
  <c r="L22" i="3"/>
  <c r="R23" i="6" l="1"/>
  <c r="S25" i="6"/>
  <c r="S18" i="6"/>
  <c r="S31" i="6"/>
  <c r="T29" i="6"/>
  <c r="S20" i="6"/>
  <c r="R24" i="6"/>
  <c r="O37" i="6"/>
  <c r="O40" i="6" s="1"/>
  <c r="P37" i="6"/>
  <c r="P40" i="6" s="1"/>
  <c r="R17" i="6"/>
  <c r="S22" i="6"/>
  <c r="Q37" i="6"/>
  <c r="Q40" i="6" s="1"/>
  <c r="R25" i="6"/>
  <c r="T15" i="6"/>
  <c r="R26" i="6"/>
  <c r="T19" i="6"/>
  <c r="R18" i="6"/>
  <c r="R28" i="6"/>
  <c r="T14" i="6"/>
  <c r="T24" i="6"/>
  <c r="S26" i="6"/>
  <c r="AD37" i="6"/>
  <c r="AD40" i="6" s="1"/>
  <c r="J14" i="6"/>
  <c r="J37" i="6" s="1"/>
  <c r="J40" i="6" s="1"/>
  <c r="S27" i="6"/>
  <c r="X37" i="6"/>
  <c r="X40" i="6" s="1"/>
  <c r="AB15" i="6"/>
  <c r="AB37" i="6" s="1"/>
  <c r="AB40" i="6" s="1"/>
  <c r="V37" i="6"/>
  <c r="V40" i="6" s="1"/>
  <c r="W37" i="6"/>
  <c r="W40" i="6" s="1"/>
  <c r="AC14" i="6"/>
  <c r="AC37" i="6" s="1"/>
  <c r="AC40" i="6" s="1"/>
  <c r="N37" i="6"/>
  <c r="N40" i="6" s="1"/>
  <c r="B37" i="6"/>
  <c r="B40" i="6" s="1"/>
  <c r="S14" i="6"/>
  <c r="M37" i="6"/>
  <c r="M40" i="6" s="1"/>
  <c r="C37" i="6"/>
  <c r="C40" i="6" s="1"/>
  <c r="H14" i="6"/>
  <c r="H37" i="6" s="1"/>
  <c r="H40" i="6" s="1"/>
  <c r="I14" i="6"/>
  <c r="I37" i="6" s="1"/>
  <c r="I40" i="6" s="1"/>
  <c r="R14" i="6"/>
  <c r="L37" i="6"/>
  <c r="L40" i="6" s="1"/>
  <c r="K37" i="3"/>
  <c r="L37" i="3"/>
  <c r="T37" i="6" l="1"/>
  <c r="T40" i="6" s="1"/>
  <c r="S37" i="6"/>
  <c r="S40" i="6" s="1"/>
  <c r="R37" i="6"/>
  <c r="R40" i="6" s="1"/>
</calcChain>
</file>

<file path=xl/sharedStrings.xml><?xml version="1.0" encoding="utf-8"?>
<sst xmlns="http://schemas.openxmlformats.org/spreadsheetml/2006/main" count="279" uniqueCount="114">
  <si>
    <t>Burden of Disease Quantification</t>
  </si>
  <si>
    <t>Population</t>
  </si>
  <si>
    <t>Author:</t>
  </si>
  <si>
    <t>Date:</t>
  </si>
  <si>
    <t>Substance:</t>
  </si>
  <si>
    <t>Population:</t>
  </si>
  <si>
    <t>Disease:</t>
  </si>
  <si>
    <t>ICD-10:</t>
  </si>
  <si>
    <t>Year:</t>
  </si>
  <si>
    <t>Age starting</t>
  </si>
  <si>
    <t>total</t>
  </si>
  <si>
    <t>Life expectancy</t>
  </si>
  <si>
    <t>Deaths due to</t>
  </si>
  <si>
    <t>Source:</t>
  </si>
  <si>
    <t>Input data: Exposure</t>
  </si>
  <si>
    <t>concentration classes</t>
  </si>
  <si>
    <t>population</t>
  </si>
  <si>
    <t>Source</t>
  </si>
  <si>
    <t>Myriam</t>
  </si>
  <si>
    <t>Summe</t>
  </si>
  <si>
    <t>100+</t>
  </si>
  <si>
    <t>YLLs</t>
  </si>
  <si>
    <t>male</t>
  </si>
  <si>
    <t>female</t>
  </si>
  <si>
    <t>DALYs</t>
  </si>
  <si>
    <t>Environmental Burden of Disease</t>
  </si>
  <si>
    <t>ß values</t>
  </si>
  <si>
    <t>Counterfactual value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</si>
  <si>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</si>
  <si>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</si>
  <si>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</si>
  <si>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</si>
  <si>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</si>
  <si>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</si>
  <si>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</si>
  <si>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</si>
  <si>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</si>
  <si>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</si>
  <si>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</si>
  <si>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</si>
  <si>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</si>
  <si>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</si>
  <si>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</si>
  <si>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</si>
  <si>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</si>
  <si>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</si>
  <si>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</si>
  <si>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</si>
  <si>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lower</t>
  </si>
  <si>
    <t>mean</t>
  </si>
  <si>
    <t>higher</t>
  </si>
  <si>
    <t>Checked by:</t>
  </si>
  <si>
    <t>Input data: Burden of Disease</t>
  </si>
  <si>
    <t>Quantification of Burden of Disease</t>
  </si>
  <si>
    <t>Mean DW</t>
  </si>
  <si>
    <t>YLDs</t>
  </si>
  <si>
    <t>upper</t>
  </si>
  <si>
    <t>PAF</t>
  </si>
  <si>
    <t xml:space="preserve">population </t>
  </si>
  <si>
    <t>Population Attributable Fraction</t>
  </si>
  <si>
    <t>April 2018</t>
  </si>
  <si>
    <t>% YLDs to DALYs</t>
  </si>
  <si>
    <t>0-1</t>
  </si>
  <si>
    <t>Prevalence of</t>
  </si>
  <si>
    <t xml:space="preserve">Germany </t>
  </si>
  <si>
    <t>Ischaemic heart disease</t>
  </si>
  <si>
    <t>I20-I25</t>
  </si>
  <si>
    <t>Lden</t>
  </si>
  <si>
    <t>Lden mean</t>
  </si>
  <si>
    <t>&lt;=55</t>
  </si>
  <si>
    <t>&gt; 60 &lt;= 65</t>
  </si>
  <si>
    <t>&gt; 65 &lt;= 70</t>
  </si>
  <si>
    <t>&gt; 70 &lt;= 75</t>
  </si>
  <si>
    <t xml:space="preserve"> &gt; 75</t>
  </si>
  <si>
    <t>ERF pro 10 db(A)</t>
  </si>
  <si>
    <t>RR</t>
  </si>
  <si>
    <t>PAF*population</t>
  </si>
  <si>
    <t>Mortality</t>
  </si>
  <si>
    <t>PAF/mortality</t>
  </si>
  <si>
    <t>PAF/morbidity</t>
  </si>
  <si>
    <t>Morbidity</t>
  </si>
  <si>
    <t>2014/2015</t>
  </si>
  <si>
    <t>Geda (Busch &amp; Kuhnert 2017)</t>
  </si>
  <si>
    <t>van Kempen et al 2018 S. 7</t>
  </si>
  <si>
    <t>Lower CI</t>
  </si>
  <si>
    <t>Higher CI</t>
  </si>
  <si>
    <t>low</t>
  </si>
  <si>
    <t>high</t>
  </si>
  <si>
    <t>Mean CI</t>
  </si>
  <si>
    <t>Gesundheitsberichtserstattung des Bundes (2018)</t>
  </si>
  <si>
    <t>WHO noise quality guideline p. 61</t>
  </si>
  <si>
    <t>Sources</t>
  </si>
  <si>
    <t>Gesundheitsberichterstattung des Bundes. (2018). Bevölkerung im Jahresdurchschnitt. Gliederungsmerkmale: Jahre, Region, Alter, Geschlecht, Nationalität (Grundlage Zensus 2011).   Retrieved from http://www.gbe-bund.de/oowa921-install/servlet/oowa/aw92/dboowasys921.xwdevkit/xwd_init?gbe.isgbetol/xs_start_neu/&amp;p_aid=i&amp;p_aid=58211925&amp;nummer=5&amp;p_sprache=D&amp;p_indsp=32200641&amp;p_aid=66378185</t>
  </si>
  <si>
    <t>destatis. (2018). Sterbetafeln. Ergebnisse aus der laufenden Berechnung von Periodensterbetafeln für Deutschland und die Bundesländer. Retrieved from Wiesbaden: https://www.destatis.de/DE/Publikationen/Thematisch/Bevoelkerung/Bevoelkerungsbewegung/PeriodensterbetafelnBundeslaender.html</t>
  </si>
  <si>
    <t>Destatis (2018)</t>
  </si>
  <si>
    <t>Gesundheitsberichterstattung des Bundes. (2017). Sterbefälle, Sterbeziffern (je 100.000 Einwohner, altersstandardisiert) (ab 1998). Gliederungsmerkmale: Jahre, Region, Alter, Geschlecht, Nationalität, ICD-10, Art der Standardisierung.  .   Retrieved from http://www.gbe-bund.de/oowa921-install/servlet/oowa/aw92/dboowasys921.xwdevkit/xwd_init?gbe.isgbetol/xs_start_neu/&amp;p_aid=3&amp;p_aid=18290433&amp;nummer=6&amp;p_sprache=D&amp;p_indsp=-&amp;p_aid=39667448#AKT</t>
  </si>
  <si>
    <t>Gesundheitsberichtserstattung des Bundes (2017)</t>
  </si>
  <si>
    <t>Busch, M. A., &amp; Kuhnert, R. (2017). 12-Monats-Prävalenz einer koronaren Herzkrankheit in Deutschland. Journal of Health Monitoring, 2(1). doi:10.17886</t>
  </si>
  <si>
    <t>Kempen, E. V., Casas, M., Pershagen, G., &amp; Foraster, M. (2018). WHO Environmental Noise Guidelines for the European Region: A Systematic Review on Environmental Noise and Cardiovascular and Metabolic Effects: A Summary. Int J Environ Res Public Health, 15(2). doi:10.3390/ijerph15020379</t>
  </si>
  <si>
    <t>90+</t>
  </si>
  <si>
    <t>94+</t>
  </si>
  <si>
    <t xml:space="preserve">Disability Weight of </t>
  </si>
  <si>
    <t>% male DALYs to total DALYs</t>
  </si>
  <si>
    <t>&gt; 55 &lt;=60</t>
  </si>
  <si>
    <t>pro 100.000</t>
  </si>
  <si>
    <t>Railway noise</t>
  </si>
  <si>
    <t>Kopie von Reporting_D2017_DF8_Ergebnisse_190107_Pegelband</t>
  </si>
  <si>
    <t>2015/2017</t>
  </si>
  <si>
    <t>&lt; 50</t>
  </si>
  <si>
    <t>&lt;50</t>
  </si>
  <si>
    <t>&gt; 50-&lt;=55</t>
  </si>
  <si>
    <t>Mittelwert</t>
  </si>
  <si>
    <t>own based on GBD</t>
  </si>
  <si>
    <t>https://vizhub.healthdata.org/gbd-results/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</si>
</sst>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1" fontId="0" fillId="0" borderId="0" xfId="0" applyNumberFormat="1"/>
    <xf numFmtId="49" fontId="3" fillId="2" borderId="0" xfId="0" applyNumberFormat="1" applyFon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49" fontId="0" fillId="3" borderId="0" xfId="0" applyNumberFormat="1" applyFill="1"/>
    <xf numFmtId="0" fontId="5" fillId="2" borderId="0" xfId="0" applyFont="1" applyFill="1"/>
    <xf numFmtId="0" fontId="0" fillId="0" borderId="0" xfId="0" applyFont="1"/>
    <xf numFmtId="164" fontId="0" fillId="0" borderId="0" xfId="0" applyNumberFormat="1"/>
    <xf numFmtId="0" fontId="7" fillId="0" borderId="0" xfId="0" applyFont="1"/>
    <xf numFmtId="9" fontId="8" fillId="0" borderId="0" xfId="1" applyFont="1"/>
    <xf numFmtId="0" fontId="0" fillId="0" borderId="0" xfId="0" quotePrefix="1"/>
    <xf numFmtId="0" fontId="0" fillId="0" borderId="0" xfId="0" applyAlignment="1">
      <alignment horizontal="left"/>
    </xf>
    <xf numFmtId="0" fontId="2" fillId="4" borderId="0" xfId="0" applyFont="1" applyFill="1"/>
    <xf numFmtId="0" fontId="9" fillId="0" borderId="0" xfId="0" applyFont="1"/>
    <xf numFmtId="0" fontId="2" fillId="0" borderId="0" xfId="0" applyFont="1" applyBorder="1"/>
    <xf numFmtId="3" fontId="9" fillId="0" borderId="0" xfId="0" applyNumberFormat="1" applyFont="1"/>
    <xf numFmtId="0" fontId="0" fillId="0" borderId="1" xfId="0" applyFont="1" applyBorder="1"/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2" fontId="10" fillId="0" borderId="0" xfId="0" applyNumberFormat="1" applyFont="1"/>
    <xf numFmtId="1" fontId="0" fillId="0" borderId="0" xfId="0" applyNumberFormat="1" applyFill="1"/>
    <xf numFmtId="164" fontId="0" fillId="0" borderId="0" xfId="0" applyNumberFormat="1" applyFill="1"/>
    <xf numFmtId="2" fontId="6" fillId="0" borderId="0" xfId="2" applyNumberFormat="1" applyFill="1"/>
    <xf numFmtId="0" fontId="10" fillId="3" borderId="0" xfId="0" applyFont="1" applyFill="1"/>
    <xf numFmtId="0" fontId="0" fillId="5" borderId="0" xfId="0" applyFill="1"/>
    <xf numFmtId="2" fontId="0" fillId="0" borderId="0" xfId="0" applyNumberFormat="1" applyFill="1"/>
    <xf numFmtId="165" fontId="0" fillId="0" borderId="0" xfId="3" applyNumberFormat="1" applyFont="1"/>
    <xf numFmtId="0" fontId="2" fillId="5" borderId="0" xfId="0" applyFont="1" applyFill="1"/>
    <xf numFmtId="0" fontId="13" fillId="0" borderId="0" xfId="4"/>
    <xf numFmtId="165" fontId="0" fillId="0" borderId="0" xfId="3" applyNumberFormat="1" applyFont="1" applyFill="1"/>
    <xf numFmtId="0" fontId="11" fillId="0" borderId="0" xfId="0" applyFont="1" applyFill="1"/>
    <xf numFmtId="1" fontId="12" fillId="0" borderId="0" xfId="0" applyNumberFormat="1" applyFont="1" applyFill="1"/>
    <xf numFmtId="0" fontId="12" fillId="0" borderId="0" xfId="0" applyFont="1" applyFill="1"/>
    <xf numFmtId="9" fontId="7" fillId="0" borderId="0" xfId="1" applyFont="1"/>
    <xf numFmtId="3" fontId="0" fillId="0" borderId="0" xfId="0" applyNumberFormat="1"/>
    <xf numFmtId="0" fontId="0" fillId="0" borderId="0" xfId="0" applyFont="1" applyFill="1" applyBorder="1"/>
    <xf numFmtId="3" fontId="0" fillId="0" borderId="0" xfId="0" applyNumberFormat="1" applyFill="1"/>
    <xf numFmtId="10" fontId="0" fillId="0" borderId="0" xfId="1" applyNumberFormat="1" applyFont="1"/>
    <xf numFmtId="10" fontId="0" fillId="0" borderId="0" xfId="0" applyNumberFormat="1"/>
  </cellXfs>
  <cellStyles count="10"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Komma" xfId="3" builtinId="3"/>
    <cellStyle name="Link" xfId="4" builtinId="8"/>
    <cellStyle name="Normal 2" xfId="2" xr:uid="{00000000-0005-0000-0000-000007000000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Kopie%20von%20Reporting_D2017_DF8_Ergebnisse_190107_Pegelban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topLeftCell="A13" workbookViewId="0">
      <selection activeCell="N25" sqref="N25"/>
    </sheetView>
  </sheetViews>
  <sheetFormatPr baseColWidth="10" defaultRowHeight="15" x14ac:dyDescent="0.25"/>
  <cols>
    <col min="2" max="4" width="15.42578125" bestFit="1" customWidth="1"/>
    <col min="6" max="6" width="10.85546875" style="15"/>
    <col min="7" max="7" width="13.7109375" style="15" customWidth="1"/>
    <col min="8" max="8" width="12" style="15" bestFit="1" customWidth="1"/>
    <col min="9" max="9" width="13" bestFit="1" customWidth="1"/>
    <col min="10" max="11" width="14.42578125" bestFit="1" customWidth="1"/>
    <col min="12" max="12" width="14.42578125" customWidth="1"/>
    <col min="13" max="13" width="16.42578125" customWidth="1"/>
    <col min="14" max="14" width="16.28515625" customWidth="1"/>
    <col min="15" max="15" width="13.42578125" customWidth="1"/>
  </cols>
  <sheetData>
    <row r="1" spans="1:15" ht="30" customHeight="1" x14ac:dyDescent="0.3">
      <c r="A1" s="5" t="s">
        <v>0</v>
      </c>
      <c r="B1" s="2"/>
      <c r="C1" s="2"/>
      <c r="D1" s="2"/>
      <c r="F1" s="4" t="s">
        <v>52</v>
      </c>
      <c r="G1" s="1"/>
      <c r="H1" s="1"/>
      <c r="I1" s="1"/>
      <c r="J1" s="13"/>
    </row>
    <row r="2" spans="1:15" x14ac:dyDescent="0.25">
      <c r="A2" s="3" t="s">
        <v>2</v>
      </c>
      <c r="B2" s="2" t="s">
        <v>18</v>
      </c>
      <c r="C2" s="2"/>
      <c r="D2" s="2"/>
    </row>
    <row r="3" spans="1:15" x14ac:dyDescent="0.25">
      <c r="A3" s="3" t="s">
        <v>3</v>
      </c>
      <c r="B3" s="17" t="s">
        <v>60</v>
      </c>
      <c r="C3" s="2"/>
      <c r="D3" s="2"/>
    </row>
    <row r="4" spans="1:15" s="15" customFormat="1" x14ac:dyDescent="0.25">
      <c r="A4" s="3" t="s">
        <v>51</v>
      </c>
      <c r="B4" s="17"/>
      <c r="C4" s="2"/>
      <c r="D4" s="2"/>
    </row>
    <row r="5" spans="1:15" x14ac:dyDescent="0.25">
      <c r="A5" s="3" t="s">
        <v>4</v>
      </c>
      <c r="B5" s="2" t="s">
        <v>105</v>
      </c>
      <c r="C5" s="2"/>
      <c r="D5" s="2"/>
    </row>
    <row r="6" spans="1:15" x14ac:dyDescent="0.25">
      <c r="A6" s="3" t="s">
        <v>5</v>
      </c>
      <c r="B6" s="2" t="s">
        <v>64</v>
      </c>
      <c r="C6" s="2"/>
      <c r="D6" s="2"/>
    </row>
    <row r="7" spans="1:15" x14ac:dyDescent="0.25">
      <c r="A7" s="3" t="s">
        <v>6</v>
      </c>
      <c r="B7" s="2" t="s">
        <v>65</v>
      </c>
      <c r="C7" s="2"/>
      <c r="D7" s="2"/>
    </row>
    <row r="8" spans="1:15" x14ac:dyDescent="0.25">
      <c r="A8" s="3" t="s">
        <v>7</v>
      </c>
      <c r="B8" s="2" t="s">
        <v>66</v>
      </c>
      <c r="C8" s="2"/>
      <c r="D8" s="2"/>
    </row>
    <row r="9" spans="1:15" x14ac:dyDescent="0.25">
      <c r="A9" s="3" t="s">
        <v>8</v>
      </c>
      <c r="B9" s="2">
        <v>2016</v>
      </c>
      <c r="C9" s="2"/>
      <c r="D9" s="2"/>
    </row>
    <row r="10" spans="1:15" x14ac:dyDescent="0.25">
      <c r="A10" s="6"/>
      <c r="B10" s="8"/>
      <c r="C10" s="8"/>
      <c r="D10" s="8"/>
    </row>
    <row r="11" spans="1:15" x14ac:dyDescent="0.25">
      <c r="C11">
        <v>2016</v>
      </c>
      <c r="E11" s="15" t="s">
        <v>107</v>
      </c>
      <c r="F11"/>
      <c r="G11">
        <v>2016</v>
      </c>
      <c r="H11"/>
      <c r="J11" t="s">
        <v>81</v>
      </c>
    </row>
    <row r="12" spans="1:15" x14ac:dyDescent="0.25">
      <c r="C12" s="7" t="s">
        <v>1</v>
      </c>
      <c r="E12" s="7" t="s">
        <v>11</v>
      </c>
      <c r="F12" s="7"/>
      <c r="G12" s="7" t="s">
        <v>12</v>
      </c>
      <c r="H12" s="7" t="str">
        <f>B7</f>
        <v>Ischaemic heart disease</v>
      </c>
      <c r="J12" s="7" t="s">
        <v>63</v>
      </c>
      <c r="K12" s="7" t="str">
        <f>H12</f>
        <v>Ischaemic heart disease</v>
      </c>
      <c r="M12" s="7" t="s">
        <v>101</v>
      </c>
      <c r="N12" s="7" t="str">
        <f>B7</f>
        <v>Ischaemic heart disease</v>
      </c>
    </row>
    <row r="13" spans="1:15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22</v>
      </c>
      <c r="H13" s="7" t="s">
        <v>23</v>
      </c>
      <c r="I13" s="7" t="s">
        <v>10</v>
      </c>
      <c r="J13" s="7" t="s">
        <v>22</v>
      </c>
      <c r="K13" s="7" t="s">
        <v>23</v>
      </c>
      <c r="L13" s="7" t="s">
        <v>10</v>
      </c>
      <c r="M13" s="16" t="s">
        <v>49</v>
      </c>
      <c r="N13" t="s">
        <v>48</v>
      </c>
      <c r="O13" t="s">
        <v>50</v>
      </c>
    </row>
    <row r="14" spans="1:15" x14ac:dyDescent="0.25">
      <c r="A14" s="24" t="s">
        <v>62</v>
      </c>
      <c r="B14" s="48">
        <v>393058</v>
      </c>
      <c r="C14" s="48">
        <v>373453</v>
      </c>
      <c r="D14" s="40">
        <f t="shared" ref="D14:D33" si="0">B14+C14</f>
        <v>766511</v>
      </c>
      <c r="E14" s="11">
        <v>78.355849472150979</v>
      </c>
      <c r="F14" s="11">
        <v>83.184920155333941</v>
      </c>
      <c r="I14" s="43">
        <f t="shared" ref="I14:I33" si="1">H14+G14</f>
        <v>0</v>
      </c>
      <c r="J14" s="43">
        <v>0</v>
      </c>
      <c r="K14" s="43"/>
      <c r="L14" s="43">
        <f t="shared" ref="L14:L33" si="2">J14+K14</f>
        <v>0</v>
      </c>
      <c r="M14" s="15"/>
      <c r="N14" s="15"/>
    </row>
    <row r="15" spans="1:15" x14ac:dyDescent="0.25">
      <c r="A15" t="s">
        <v>28</v>
      </c>
      <c r="B15" s="48">
        <v>1499383</v>
      </c>
      <c r="C15" s="48">
        <v>1419103</v>
      </c>
      <c r="D15" s="40">
        <f t="shared" si="0"/>
        <v>2918486</v>
      </c>
      <c r="E15" s="11">
        <v>77.635146674413221</v>
      </c>
      <c r="F15" s="11">
        <v>82.441347213622507</v>
      </c>
      <c r="I15" s="43">
        <f t="shared" si="1"/>
        <v>0</v>
      </c>
      <c r="J15" s="43">
        <v>0</v>
      </c>
      <c r="K15" s="43"/>
      <c r="L15" s="43">
        <f t="shared" si="2"/>
        <v>0</v>
      </c>
      <c r="M15" s="8"/>
      <c r="N15" s="15"/>
    </row>
    <row r="16" spans="1:15" x14ac:dyDescent="0.25">
      <c r="A16" t="s">
        <v>29</v>
      </c>
      <c r="B16" s="48">
        <v>1846490</v>
      </c>
      <c r="C16" s="48">
        <v>1746431</v>
      </c>
      <c r="D16" s="40">
        <f t="shared" si="0"/>
        <v>3592921</v>
      </c>
      <c r="E16" s="11">
        <v>73.686018763240781</v>
      </c>
      <c r="F16" s="11">
        <v>78.486906791049591</v>
      </c>
      <c r="I16" s="43">
        <f t="shared" si="1"/>
        <v>0</v>
      </c>
      <c r="J16" s="43">
        <v>0</v>
      </c>
      <c r="K16" s="43"/>
      <c r="L16" s="43">
        <f t="shared" si="2"/>
        <v>0</v>
      </c>
      <c r="M16" s="8"/>
      <c r="N16" s="15"/>
    </row>
    <row r="17" spans="1:14" x14ac:dyDescent="0.25">
      <c r="A17" t="s">
        <v>30</v>
      </c>
      <c r="B17" s="48">
        <v>1897745</v>
      </c>
      <c r="C17" s="48">
        <v>1789186</v>
      </c>
      <c r="D17" s="40">
        <f t="shared" si="0"/>
        <v>3686931</v>
      </c>
      <c r="E17" s="11">
        <v>68.716264790430571</v>
      </c>
      <c r="F17" s="11">
        <v>73.513329307473995</v>
      </c>
      <c r="I17" s="43">
        <f t="shared" si="1"/>
        <v>0</v>
      </c>
      <c r="J17" s="43">
        <v>0</v>
      </c>
      <c r="K17" s="43"/>
      <c r="L17" s="43">
        <f t="shared" si="2"/>
        <v>0</v>
      </c>
      <c r="M17" s="8"/>
      <c r="N17" s="15"/>
    </row>
    <row r="18" spans="1:14" x14ac:dyDescent="0.25">
      <c r="A18" t="s">
        <v>31</v>
      </c>
      <c r="B18" s="48">
        <v>2188434</v>
      </c>
      <c r="C18" s="48">
        <v>1992983</v>
      </c>
      <c r="D18" s="40">
        <f t="shared" si="0"/>
        <v>4181417</v>
      </c>
      <c r="E18" s="11">
        <v>63.745050895098856</v>
      </c>
      <c r="F18" s="11">
        <v>68.543080823826017</v>
      </c>
      <c r="G18" s="15">
        <v>4</v>
      </c>
      <c r="H18" s="15">
        <v>1</v>
      </c>
      <c r="I18" s="43">
        <f t="shared" si="1"/>
        <v>5</v>
      </c>
      <c r="J18" s="43">
        <v>0</v>
      </c>
      <c r="K18" s="43"/>
      <c r="L18" s="43">
        <f t="shared" si="2"/>
        <v>0</v>
      </c>
      <c r="M18" s="8">
        <v>6.8521550550167927E-3</v>
      </c>
      <c r="N18" s="15">
        <v>4.7154949353410778E-3</v>
      </c>
    </row>
    <row r="19" spans="1:14" x14ac:dyDescent="0.25">
      <c r="A19" t="s">
        <v>32</v>
      </c>
      <c r="B19" s="48">
        <v>2397249</v>
      </c>
      <c r="C19" s="48">
        <v>2183706</v>
      </c>
      <c r="D19" s="40">
        <f t="shared" si="0"/>
        <v>4580955</v>
      </c>
      <c r="E19" s="11">
        <v>58.834024163834435</v>
      </c>
      <c r="F19" s="11">
        <v>63.596153570051591</v>
      </c>
      <c r="G19" s="15">
        <v>3</v>
      </c>
      <c r="I19" s="43">
        <f t="shared" si="1"/>
        <v>3</v>
      </c>
      <c r="J19" s="43">
        <f>0.004*B19</f>
        <v>9588.996000000001</v>
      </c>
      <c r="K19" s="43">
        <f>0.002*C19</f>
        <v>4367.4120000000003</v>
      </c>
      <c r="L19" s="43">
        <f>J19+K19</f>
        <v>13956.408000000001</v>
      </c>
      <c r="M19" s="8">
        <v>1.6378648711051283E-2</v>
      </c>
      <c r="N19" s="15">
        <v>1.0431013227418084E-2</v>
      </c>
    </row>
    <row r="20" spans="1:14" x14ac:dyDescent="0.25">
      <c r="A20" t="s">
        <v>33</v>
      </c>
      <c r="B20" s="48">
        <v>2792910</v>
      </c>
      <c r="C20" s="48">
        <v>2584309</v>
      </c>
      <c r="D20" s="40">
        <f t="shared" si="0"/>
        <v>5377219</v>
      </c>
      <c r="E20" s="11">
        <v>53.959625590672438</v>
      </c>
      <c r="F20" s="11">
        <v>58.651810775894504</v>
      </c>
      <c r="G20" s="15">
        <v>22</v>
      </c>
      <c r="H20" s="15">
        <v>7</v>
      </c>
      <c r="I20" s="43">
        <f t="shared" si="1"/>
        <v>29</v>
      </c>
      <c r="J20" s="43">
        <f t="shared" ref="J20:J22" si="3">0.004*B20</f>
        <v>11171.64</v>
      </c>
      <c r="K20" s="43">
        <f t="shared" ref="K20:K23" si="4">0.002*C20</f>
        <v>5168.6180000000004</v>
      </c>
      <c r="L20" s="43">
        <f t="shared" si="2"/>
        <v>16340.258</v>
      </c>
      <c r="M20" s="8">
        <v>1.5654848158393006E-2</v>
      </c>
      <c r="N20" s="15">
        <v>9.4750703854695178E-3</v>
      </c>
    </row>
    <row r="21" spans="1:14" x14ac:dyDescent="0.25">
      <c r="A21" t="s">
        <v>34</v>
      </c>
      <c r="B21" s="48">
        <v>2661625</v>
      </c>
      <c r="C21" s="48">
        <v>2532843</v>
      </c>
      <c r="D21" s="40">
        <f t="shared" si="0"/>
        <v>5194468</v>
      </c>
      <c r="E21" s="11">
        <v>49.086992216719651</v>
      </c>
      <c r="F21" s="11">
        <v>53.714343898038535</v>
      </c>
      <c r="G21" s="15">
        <v>34</v>
      </c>
      <c r="H21" s="15">
        <v>16</v>
      </c>
      <c r="I21" s="43">
        <f t="shared" si="1"/>
        <v>50</v>
      </c>
      <c r="J21" s="43">
        <f t="shared" si="3"/>
        <v>10646.5</v>
      </c>
      <c r="K21" s="43">
        <f t="shared" si="4"/>
        <v>5065.6859999999997</v>
      </c>
      <c r="L21" s="43">
        <f t="shared" si="2"/>
        <v>15712.186</v>
      </c>
      <c r="M21" s="8">
        <v>1.3868777328532682E-2</v>
      </c>
      <c r="N21" s="15">
        <v>8.4920793634130892E-3</v>
      </c>
    </row>
    <row r="22" spans="1:14" x14ac:dyDescent="0.25">
      <c r="A22" t="s">
        <v>35</v>
      </c>
      <c r="B22" s="48">
        <v>2532443</v>
      </c>
      <c r="C22" s="48">
        <v>2472448</v>
      </c>
      <c r="D22" s="40">
        <f t="shared" si="0"/>
        <v>5004891</v>
      </c>
      <c r="E22" s="11">
        <v>44.248548124851823</v>
      </c>
      <c r="F22" s="11">
        <v>48.803753402773189</v>
      </c>
      <c r="G22" s="15">
        <v>117</v>
      </c>
      <c r="H22" s="15">
        <v>30</v>
      </c>
      <c r="I22" s="43">
        <f t="shared" si="1"/>
        <v>147</v>
      </c>
      <c r="J22" s="43">
        <f t="shared" si="3"/>
        <v>10129.772000000001</v>
      </c>
      <c r="K22" s="43">
        <f t="shared" si="4"/>
        <v>4944.8959999999997</v>
      </c>
      <c r="L22" s="43">
        <f t="shared" si="2"/>
        <v>15074.668000000001</v>
      </c>
      <c r="M22" s="8">
        <v>1.367051226848361E-2</v>
      </c>
      <c r="N22" s="15">
        <v>9.1575416975855899E-3</v>
      </c>
    </row>
    <row r="23" spans="1:14" ht="15" customHeight="1" x14ac:dyDescent="0.25">
      <c r="A23" t="s">
        <v>36</v>
      </c>
      <c r="B23" s="48">
        <v>2473583</v>
      </c>
      <c r="C23" s="48">
        <v>2432455</v>
      </c>
      <c r="D23" s="40">
        <f t="shared" si="0"/>
        <v>4906038</v>
      </c>
      <c r="E23" s="11">
        <v>39.452263746155317</v>
      </c>
      <c r="F23" s="11">
        <v>43.919843330590155</v>
      </c>
      <c r="G23" s="15">
        <v>273</v>
      </c>
      <c r="H23" s="15">
        <v>50</v>
      </c>
      <c r="I23" s="43">
        <f t="shared" si="1"/>
        <v>323</v>
      </c>
      <c r="J23" s="43">
        <f>0.004*B23</f>
        <v>9894.3320000000003</v>
      </c>
      <c r="K23" s="43">
        <f t="shared" si="4"/>
        <v>4864.91</v>
      </c>
      <c r="L23" s="43">
        <f t="shared" si="2"/>
        <v>14759.242</v>
      </c>
      <c r="M23" s="8">
        <v>1.4517927917297641E-2</v>
      </c>
      <c r="N23" s="15">
        <v>1.2767669046957678E-2</v>
      </c>
    </row>
    <row r="24" spans="1:14" x14ac:dyDescent="0.25">
      <c r="A24" t="s">
        <v>37</v>
      </c>
      <c r="B24" s="48">
        <v>3232644</v>
      </c>
      <c r="C24" s="48">
        <v>3159164</v>
      </c>
      <c r="D24" s="40">
        <f t="shared" si="0"/>
        <v>6391808</v>
      </c>
      <c r="E24" s="11">
        <v>34.72626637216441</v>
      </c>
      <c r="F24" s="11">
        <v>39.090427574853415</v>
      </c>
      <c r="G24" s="15">
        <v>768</v>
      </c>
      <c r="H24" s="15">
        <v>165</v>
      </c>
      <c r="I24" s="43">
        <f t="shared" si="1"/>
        <v>933</v>
      </c>
      <c r="J24" s="43">
        <f>B24*0.034</f>
        <v>109909.89600000001</v>
      </c>
      <c r="K24" s="43">
        <f>C24*0.009</f>
        <v>28432.475999999999</v>
      </c>
      <c r="L24" s="43">
        <f t="shared" si="2"/>
        <v>138342.372</v>
      </c>
      <c r="M24" s="8">
        <v>1.5960309647659203E-2</v>
      </c>
      <c r="N24" s="15">
        <v>1.8218770525647673E-2</v>
      </c>
    </row>
    <row r="25" spans="1:14" x14ac:dyDescent="0.25">
      <c r="A25" t="s">
        <v>38</v>
      </c>
      <c r="B25" s="48">
        <v>3518540</v>
      </c>
      <c r="C25" s="48">
        <v>3450997</v>
      </c>
      <c r="D25" s="40">
        <f t="shared" si="0"/>
        <v>6969537</v>
      </c>
      <c r="E25" s="11">
        <v>30.126916048692024</v>
      </c>
      <c r="F25" s="11">
        <v>34.35237759993705</v>
      </c>
      <c r="G25" s="48">
        <v>1710</v>
      </c>
      <c r="H25" s="15">
        <v>374</v>
      </c>
      <c r="I25" s="43">
        <f t="shared" si="1"/>
        <v>2084</v>
      </c>
      <c r="J25" s="43">
        <f>B25*0.034</f>
        <v>119630.36000000002</v>
      </c>
      <c r="K25" s="43">
        <f>C25*0.009</f>
        <v>31058.972999999998</v>
      </c>
      <c r="L25" s="43">
        <f t="shared" si="2"/>
        <v>150689.33300000001</v>
      </c>
      <c r="M25" s="8">
        <v>1.5745636108871312E-2</v>
      </c>
      <c r="N25" s="15">
        <v>2.2019344485450312E-2</v>
      </c>
    </row>
    <row r="26" spans="1:14" x14ac:dyDescent="0.25">
      <c r="A26" t="s">
        <v>39</v>
      </c>
      <c r="B26" s="48">
        <v>3058619</v>
      </c>
      <c r="C26" s="48">
        <v>3072264</v>
      </c>
      <c r="D26" s="40">
        <f t="shared" si="0"/>
        <v>6130883</v>
      </c>
      <c r="E26" s="11">
        <v>25.730362474751189</v>
      </c>
      <c r="F26" s="11">
        <v>29.737210775207519</v>
      </c>
      <c r="G26" s="48">
        <v>2783</v>
      </c>
      <c r="H26" s="15">
        <v>666</v>
      </c>
      <c r="I26" s="43">
        <f t="shared" si="1"/>
        <v>3449</v>
      </c>
      <c r="J26" s="43">
        <f>B26*0.077</f>
        <v>235513.663</v>
      </c>
      <c r="K26" s="43">
        <f>C26*0.034</f>
        <v>104456.97600000001</v>
      </c>
      <c r="L26" s="43">
        <f t="shared" si="2"/>
        <v>339970.63900000002</v>
      </c>
      <c r="M26" s="8">
        <v>1.5237447030518577E-2</v>
      </c>
      <c r="N26" s="15">
        <v>2.3425103365718805E-2</v>
      </c>
    </row>
    <row r="27" spans="1:14" x14ac:dyDescent="0.25">
      <c r="A27" t="s">
        <v>40</v>
      </c>
      <c r="B27" s="48">
        <v>2551358</v>
      </c>
      <c r="C27" s="48">
        <v>2690311</v>
      </c>
      <c r="D27" s="40">
        <f t="shared" si="0"/>
        <v>5241669</v>
      </c>
      <c r="E27" s="11">
        <v>21.617604582666086</v>
      </c>
      <c r="F27" s="11">
        <v>25.284693172877706</v>
      </c>
      <c r="G27" s="48">
        <v>3942</v>
      </c>
      <c r="H27" s="48">
        <v>1028</v>
      </c>
      <c r="I27" s="43">
        <f t="shared" si="1"/>
        <v>4970</v>
      </c>
      <c r="J27" s="43">
        <f>B27*0.077</f>
        <v>196454.56599999999</v>
      </c>
      <c r="K27" s="43">
        <f>C27*0.034</f>
        <v>91470.574000000008</v>
      </c>
      <c r="L27" s="43">
        <f t="shared" si="2"/>
        <v>287925.14</v>
      </c>
      <c r="M27" s="8">
        <v>1.6827578314401629E-2</v>
      </c>
      <c r="N27" s="15">
        <v>2.7212155336455726E-2</v>
      </c>
    </row>
    <row r="28" spans="1:14" x14ac:dyDescent="0.25">
      <c r="A28" t="s">
        <v>41</v>
      </c>
      <c r="B28" s="48">
        <v>2133465</v>
      </c>
      <c r="C28" s="48">
        <v>2314128</v>
      </c>
      <c r="D28" s="40">
        <f t="shared" si="0"/>
        <v>4447593</v>
      </c>
      <c r="E28" s="11">
        <v>17.802541976762068</v>
      </c>
      <c r="F28" s="11">
        <v>21.004625873387859</v>
      </c>
      <c r="G28" s="48">
        <v>5126</v>
      </c>
      <c r="H28" s="48">
        <v>1540</v>
      </c>
      <c r="I28" s="43">
        <f t="shared" si="1"/>
        <v>6666</v>
      </c>
      <c r="J28" s="43">
        <f>B28*0.13</f>
        <v>277350.45</v>
      </c>
      <c r="K28" s="43">
        <f>C28*0.071</f>
        <v>164303.08799999999</v>
      </c>
      <c r="L28" s="43">
        <f t="shared" si="2"/>
        <v>441653.538</v>
      </c>
      <c r="M28" s="8">
        <v>2.0708793465567657E-2</v>
      </c>
      <c r="N28" s="15">
        <v>3.3818602540090906E-2</v>
      </c>
    </row>
    <row r="29" spans="1:14" x14ac:dyDescent="0.25">
      <c r="A29" t="s">
        <v>42</v>
      </c>
      <c r="B29" s="48">
        <v>1775543</v>
      </c>
      <c r="C29" s="48">
        <v>2036523</v>
      </c>
      <c r="D29" s="40">
        <f t="shared" si="0"/>
        <v>3812066</v>
      </c>
      <c r="E29" s="11">
        <v>14.247805517007889</v>
      </c>
      <c r="F29" s="11">
        <v>16.913099168517341</v>
      </c>
      <c r="G29" s="48">
        <v>6600</v>
      </c>
      <c r="H29" s="48">
        <v>2683</v>
      </c>
      <c r="I29" s="43">
        <f t="shared" si="1"/>
        <v>9283</v>
      </c>
      <c r="J29" s="43">
        <f>B29*0.13</f>
        <v>230820.59</v>
      </c>
      <c r="K29" s="43">
        <f>C29*0.071</f>
        <v>144593.133</v>
      </c>
      <c r="L29" s="43">
        <f t="shared" si="2"/>
        <v>375413.723</v>
      </c>
      <c r="M29" s="8">
        <v>2.4741231015664642E-2</v>
      </c>
      <c r="N29" s="15">
        <v>3.7159823665169435E-2</v>
      </c>
    </row>
    <row r="30" spans="1:14" x14ac:dyDescent="0.25">
      <c r="A30" t="s">
        <v>43</v>
      </c>
      <c r="B30" s="48">
        <v>1910175</v>
      </c>
      <c r="C30" s="48">
        <v>2399553</v>
      </c>
      <c r="D30" s="40">
        <f t="shared" si="0"/>
        <v>4309728</v>
      </c>
      <c r="E30" s="11">
        <v>10.931072770218767</v>
      </c>
      <c r="F30" s="11">
        <v>13.027475530963203</v>
      </c>
      <c r="G30" s="48">
        <v>12008</v>
      </c>
      <c r="H30" s="48">
        <v>6251</v>
      </c>
      <c r="I30" s="43">
        <f t="shared" si="1"/>
        <v>18259</v>
      </c>
      <c r="J30" s="43">
        <f>B30*0.241</f>
        <v>460352.17499999999</v>
      </c>
      <c r="K30" s="43">
        <f>C30*0.16</f>
        <v>383928.48</v>
      </c>
      <c r="L30" s="43">
        <f t="shared" si="2"/>
        <v>844280.65500000003</v>
      </c>
      <c r="M30" s="8">
        <v>2.6355900905627516E-2</v>
      </c>
      <c r="N30" s="15">
        <v>3.5192021991742609E-2</v>
      </c>
    </row>
    <row r="31" spans="1:14" x14ac:dyDescent="0.25">
      <c r="A31" t="s">
        <v>44</v>
      </c>
      <c r="B31" s="48">
        <v>1059509</v>
      </c>
      <c r="C31" s="48">
        <v>1550183</v>
      </c>
      <c r="D31" s="40">
        <f t="shared" si="0"/>
        <v>2609692</v>
      </c>
      <c r="E31" s="11">
        <v>7.9212320273484433</v>
      </c>
      <c r="F31" s="11">
        <v>9.4200686586476223</v>
      </c>
      <c r="G31" s="48">
        <v>13129</v>
      </c>
      <c r="H31" s="48">
        <v>9707</v>
      </c>
      <c r="I31" s="43">
        <f t="shared" si="1"/>
        <v>22836</v>
      </c>
      <c r="J31" s="43">
        <f t="shared" ref="J31:J33" si="5">B31*0.241</f>
        <v>255341.66899999999</v>
      </c>
      <c r="K31" s="43">
        <f t="shared" ref="K31:K33" si="6">C31*0.16</f>
        <v>248029.28</v>
      </c>
      <c r="L31" s="43">
        <f t="shared" si="2"/>
        <v>503370.94900000002</v>
      </c>
      <c r="M31" s="8">
        <v>2.8656897584752584E-2</v>
      </c>
      <c r="N31" s="15">
        <v>3.4818007019682191E-2</v>
      </c>
    </row>
    <row r="32" spans="1:14" x14ac:dyDescent="0.25">
      <c r="A32" t="s">
        <v>45</v>
      </c>
      <c r="B32" s="48">
        <v>512116</v>
      </c>
      <c r="C32" s="48">
        <v>979905</v>
      </c>
      <c r="D32" s="40">
        <f t="shared" si="0"/>
        <v>1492021</v>
      </c>
      <c r="E32" s="11">
        <v>5.4720529116657692</v>
      </c>
      <c r="F32" s="11">
        <v>6.4516154127946672</v>
      </c>
      <c r="G32" s="48">
        <v>12490</v>
      </c>
      <c r="H32" s="48">
        <v>14321</v>
      </c>
      <c r="I32" s="43">
        <f t="shared" si="1"/>
        <v>26811</v>
      </c>
      <c r="J32" s="43">
        <f t="shared" si="5"/>
        <v>123419.95599999999</v>
      </c>
      <c r="K32" s="43">
        <f t="shared" si="6"/>
        <v>156784.80000000002</v>
      </c>
      <c r="L32" s="43">
        <f t="shared" si="2"/>
        <v>280204.75599999999</v>
      </c>
      <c r="M32" s="8">
        <v>3.3136582622826094E-2</v>
      </c>
      <c r="N32" s="15">
        <v>3.7995570406975307E-2</v>
      </c>
    </row>
    <row r="33" spans="1:17" x14ac:dyDescent="0.25">
      <c r="A33" t="s">
        <v>46</v>
      </c>
      <c r="B33" s="48">
        <v>170744</v>
      </c>
      <c r="C33" s="48">
        <v>563116</v>
      </c>
      <c r="D33" s="40">
        <f t="shared" si="0"/>
        <v>733860</v>
      </c>
      <c r="E33" s="11">
        <v>3.704256933272656</v>
      </c>
      <c r="F33" s="11">
        <v>4.2563000910622586</v>
      </c>
      <c r="G33" s="48">
        <v>7780</v>
      </c>
      <c r="H33" s="48">
        <v>18646</v>
      </c>
      <c r="I33" s="43">
        <f t="shared" si="1"/>
        <v>26426</v>
      </c>
      <c r="J33" s="43">
        <f t="shared" si="5"/>
        <v>41149.303999999996</v>
      </c>
      <c r="K33" s="43">
        <f t="shared" si="6"/>
        <v>90098.559999999998</v>
      </c>
      <c r="L33" s="43">
        <f t="shared" si="2"/>
        <v>131247.864</v>
      </c>
      <c r="M33" s="8">
        <v>4.0176026993010101E-2</v>
      </c>
      <c r="N33" s="15">
        <v>4.2637888307635007E-2</v>
      </c>
    </row>
    <row r="34" spans="1:17" x14ac:dyDescent="0.25">
      <c r="A34" t="s">
        <v>47</v>
      </c>
      <c r="B34" s="40"/>
      <c r="C34" s="40"/>
      <c r="D34" s="40"/>
      <c r="E34" s="11">
        <v>2.5473289672133648</v>
      </c>
      <c r="F34" s="11">
        <v>2.8759457160834323</v>
      </c>
      <c r="G34" s="43"/>
      <c r="H34" s="43"/>
      <c r="I34" s="43"/>
      <c r="J34" s="43"/>
      <c r="K34" s="43"/>
      <c r="L34" s="43"/>
      <c r="M34" s="8">
        <v>5.1192341133893988E-2</v>
      </c>
      <c r="N34" s="15">
        <v>4.90809774622726E-2</v>
      </c>
    </row>
    <row r="35" spans="1:17" x14ac:dyDescent="0.25">
      <c r="A35" t="s">
        <v>20</v>
      </c>
      <c r="B35" s="40"/>
      <c r="C35" s="40"/>
      <c r="D35" s="40"/>
      <c r="E35" s="11">
        <v>1.9134957080626538</v>
      </c>
      <c r="F35" s="11">
        <v>2.1055147409893027</v>
      </c>
      <c r="G35" s="43"/>
      <c r="H35" s="43"/>
      <c r="I35" s="43"/>
      <c r="J35" s="43"/>
      <c r="K35" s="43"/>
      <c r="L35" s="43"/>
      <c r="M35" s="8"/>
    </row>
    <row r="36" spans="1:17" x14ac:dyDescent="0.25">
      <c r="B36" s="14"/>
      <c r="G36" s="8"/>
      <c r="H36" s="8"/>
      <c r="I36" s="8"/>
      <c r="J36" s="8"/>
      <c r="K36" s="8"/>
      <c r="L36" s="8"/>
      <c r="M36" s="8"/>
    </row>
    <row r="37" spans="1:17" x14ac:dyDescent="0.25">
      <c r="B37" s="14"/>
      <c r="G37"/>
      <c r="H37"/>
    </row>
    <row r="38" spans="1:17" x14ac:dyDescent="0.25">
      <c r="A38" t="s">
        <v>19</v>
      </c>
      <c r="B38" s="40">
        <f>SUM(B14:B35)</f>
        <v>40605633</v>
      </c>
      <c r="C38" s="40">
        <f>SUM(C14:C35)</f>
        <v>41743061</v>
      </c>
      <c r="D38" s="40">
        <f>SUM(D14:D35)</f>
        <v>82348694</v>
      </c>
      <c r="E38" s="40"/>
      <c r="F38" s="40"/>
      <c r="G38" s="40">
        <f t="shared" ref="G38:K38" si="7">SUM(G14:G35)</f>
        <v>66789</v>
      </c>
      <c r="H38" s="40">
        <f t="shared" si="7"/>
        <v>55485</v>
      </c>
      <c r="I38" s="40">
        <f>SUM(I14:I35)</f>
        <v>122274</v>
      </c>
      <c r="J38" s="40">
        <f t="shared" si="7"/>
        <v>2101373.8689999999</v>
      </c>
      <c r="K38" s="40">
        <f t="shared" si="7"/>
        <v>1467567.862</v>
      </c>
      <c r="L38" s="40">
        <f>SUM(L14:L35)</f>
        <v>3568941.7310000006</v>
      </c>
      <c r="M38" s="15"/>
      <c r="N38" s="12"/>
      <c r="Q38" s="15"/>
    </row>
    <row r="39" spans="1:17" x14ac:dyDescent="0.25">
      <c r="B39" s="14"/>
      <c r="I39" s="11"/>
      <c r="J39" s="11"/>
      <c r="M39" s="12"/>
      <c r="N39" s="12"/>
      <c r="Q39" s="15"/>
    </row>
    <row r="41" spans="1:17" x14ac:dyDescent="0.25">
      <c r="A41" t="s">
        <v>13</v>
      </c>
      <c r="B41" s="15" t="s">
        <v>89</v>
      </c>
      <c r="E41" t="s">
        <v>94</v>
      </c>
      <c r="G41" s="15" t="s">
        <v>96</v>
      </c>
      <c r="J41" t="s">
        <v>82</v>
      </c>
      <c r="M41" t="s">
        <v>112</v>
      </c>
    </row>
    <row r="42" spans="1:17" x14ac:dyDescent="0.25">
      <c r="B42" s="14"/>
      <c r="I42" s="11"/>
      <c r="J42" s="11"/>
      <c r="M42" s="12"/>
      <c r="N42" s="12"/>
      <c r="Q42" s="15"/>
    </row>
    <row r="45" spans="1:17" x14ac:dyDescent="0.25">
      <c r="B45" s="14"/>
      <c r="I45" s="11"/>
      <c r="J45" s="11"/>
      <c r="N45" s="12"/>
      <c r="Q45" s="15"/>
    </row>
    <row r="46" spans="1:17" x14ac:dyDescent="0.25">
      <c r="B46" s="14"/>
      <c r="I46" s="11"/>
      <c r="J46" s="11"/>
      <c r="N46" s="12"/>
    </row>
    <row r="47" spans="1:17" x14ac:dyDescent="0.25">
      <c r="B47" s="14"/>
      <c r="I47" s="11"/>
      <c r="J47" s="11"/>
      <c r="N47" s="12"/>
    </row>
    <row r="48" spans="1:17" x14ac:dyDescent="0.25">
      <c r="B48" s="14"/>
      <c r="I48" s="11"/>
      <c r="J48" s="11"/>
      <c r="M48" s="12"/>
      <c r="N48" s="12"/>
      <c r="O48" s="12"/>
      <c r="P48" s="12"/>
      <c r="Q48" s="12"/>
    </row>
    <row r="49" spans="2:10" x14ac:dyDescent="0.25">
      <c r="B49" s="14"/>
      <c r="I49" s="11"/>
      <c r="J49" s="11"/>
    </row>
    <row r="50" spans="2:10" x14ac:dyDescent="0.25">
      <c r="B50" s="14"/>
      <c r="I50" s="11"/>
      <c r="J50" s="11"/>
    </row>
    <row r="51" spans="2:10" x14ac:dyDescent="0.25">
      <c r="B51" s="14"/>
      <c r="I51" s="11"/>
      <c r="J51" s="11"/>
    </row>
    <row r="52" spans="2:10" x14ac:dyDescent="0.25">
      <c r="B52" s="14"/>
      <c r="I52" s="11"/>
      <c r="J52" s="11"/>
    </row>
    <row r="53" spans="2:10" x14ac:dyDescent="0.25">
      <c r="B53" s="14"/>
      <c r="I53" s="11"/>
      <c r="J53" s="11"/>
    </row>
    <row r="54" spans="2:10" x14ac:dyDescent="0.25">
      <c r="B54" s="14"/>
      <c r="I54" s="11"/>
      <c r="J54" s="11"/>
    </row>
    <row r="55" spans="2:10" x14ac:dyDescent="0.25">
      <c r="B55" s="14"/>
      <c r="I55" s="11"/>
      <c r="J55" s="11"/>
    </row>
    <row r="56" spans="2:10" x14ac:dyDescent="0.25">
      <c r="B56" s="14"/>
      <c r="I56" s="11"/>
      <c r="J56" s="11"/>
    </row>
    <row r="57" spans="2:10" x14ac:dyDescent="0.25">
      <c r="B57" s="14"/>
      <c r="I57" s="11"/>
      <c r="J57" s="11"/>
    </row>
    <row r="58" spans="2:10" x14ac:dyDescent="0.25">
      <c r="B58" s="14"/>
      <c r="I58" s="11"/>
      <c r="J58" s="11"/>
    </row>
    <row r="59" spans="2:10" x14ac:dyDescent="0.25">
      <c r="B59" s="14"/>
      <c r="I59" s="11"/>
      <c r="J59" s="11"/>
    </row>
    <row r="60" spans="2:10" x14ac:dyDescent="0.25">
      <c r="B60" s="14"/>
      <c r="I60" s="11"/>
      <c r="J60" s="11"/>
    </row>
    <row r="61" spans="2:10" x14ac:dyDescent="0.25">
      <c r="B61" s="14"/>
      <c r="I61" s="11"/>
      <c r="J61" s="11"/>
    </row>
    <row r="62" spans="2:10" x14ac:dyDescent="0.25">
      <c r="B62" s="14"/>
      <c r="I62" s="11"/>
      <c r="J62" s="11"/>
    </row>
    <row r="63" spans="2:10" x14ac:dyDescent="0.25">
      <c r="B63" s="14"/>
      <c r="I63" s="11"/>
      <c r="J63" s="11"/>
    </row>
    <row r="64" spans="2:10" x14ac:dyDescent="0.25">
      <c r="B64" s="14"/>
      <c r="I64" s="11"/>
      <c r="J64" s="11"/>
    </row>
    <row r="65" spans="2:10" x14ac:dyDescent="0.25">
      <c r="B65" s="14"/>
      <c r="I65" s="11"/>
      <c r="J65" s="11"/>
    </row>
    <row r="66" spans="2:10" x14ac:dyDescent="0.25">
      <c r="B66" s="14"/>
      <c r="I66" s="11"/>
      <c r="J66" s="11"/>
    </row>
    <row r="67" spans="2:10" x14ac:dyDescent="0.25">
      <c r="B67" s="14"/>
      <c r="I67" s="11"/>
      <c r="J67" s="11"/>
    </row>
    <row r="68" spans="2:10" x14ac:dyDescent="0.25">
      <c r="B68" s="14"/>
      <c r="I68" s="11"/>
      <c r="J68" s="11"/>
    </row>
    <row r="69" spans="2:10" x14ac:dyDescent="0.25">
      <c r="B69" s="14"/>
      <c r="I69" s="11"/>
      <c r="J69" s="11"/>
    </row>
    <row r="70" spans="2:10" x14ac:dyDescent="0.25">
      <c r="B70" s="14"/>
      <c r="I70" s="11"/>
      <c r="J70" s="11"/>
    </row>
    <row r="71" spans="2:10" x14ac:dyDescent="0.25">
      <c r="B71" s="14"/>
      <c r="I71" s="11"/>
      <c r="J71" s="11"/>
    </row>
    <row r="72" spans="2:10" x14ac:dyDescent="0.25">
      <c r="B72" s="14"/>
      <c r="I72" s="11"/>
      <c r="J72" s="11"/>
    </row>
    <row r="73" spans="2:10" x14ac:dyDescent="0.25">
      <c r="B73" s="14"/>
      <c r="I73" s="11"/>
      <c r="J73" s="11"/>
    </row>
    <row r="74" spans="2:10" x14ac:dyDescent="0.25">
      <c r="B74" s="14"/>
      <c r="I74" s="11"/>
      <c r="J74" s="11"/>
    </row>
    <row r="75" spans="2:10" x14ac:dyDescent="0.25">
      <c r="B75" s="14"/>
      <c r="I75" s="11"/>
      <c r="J75" s="11"/>
    </row>
    <row r="76" spans="2:10" x14ac:dyDescent="0.25">
      <c r="B76" s="14"/>
      <c r="I76" s="11"/>
      <c r="J76" s="11"/>
    </row>
    <row r="77" spans="2:10" x14ac:dyDescent="0.25">
      <c r="B77" s="14"/>
      <c r="I77" s="11"/>
      <c r="J77" s="11"/>
    </row>
    <row r="78" spans="2:10" x14ac:dyDescent="0.25">
      <c r="B78" s="14"/>
      <c r="I78" s="11"/>
      <c r="J78" s="11"/>
    </row>
    <row r="79" spans="2:10" x14ac:dyDescent="0.25">
      <c r="B79" s="14"/>
      <c r="I79" s="11"/>
      <c r="J79" s="11"/>
    </row>
    <row r="80" spans="2:10" x14ac:dyDescent="0.25">
      <c r="B80" s="14"/>
      <c r="I80" s="11"/>
      <c r="J80" s="11"/>
    </row>
    <row r="81" spans="2:10" x14ac:dyDescent="0.25">
      <c r="B81" s="14"/>
      <c r="I81" s="11"/>
      <c r="J81" s="11"/>
    </row>
    <row r="82" spans="2:10" x14ac:dyDescent="0.25">
      <c r="B82" s="14"/>
      <c r="I82" s="11"/>
      <c r="J82" s="11"/>
    </row>
    <row r="83" spans="2:10" x14ac:dyDescent="0.25">
      <c r="B83" s="14"/>
      <c r="I83" s="11"/>
      <c r="J83" s="11"/>
    </row>
    <row r="84" spans="2:10" x14ac:dyDescent="0.25">
      <c r="B84" s="14"/>
      <c r="I84" s="11"/>
      <c r="J84" s="11"/>
    </row>
    <row r="85" spans="2:10" x14ac:dyDescent="0.25">
      <c r="B85" s="14"/>
      <c r="I85" s="11"/>
      <c r="J85" s="11"/>
    </row>
    <row r="86" spans="2:10" x14ac:dyDescent="0.25">
      <c r="B86" s="14"/>
      <c r="I86" s="11"/>
      <c r="J86" s="11"/>
    </row>
    <row r="87" spans="2:10" x14ac:dyDescent="0.25">
      <c r="B87" s="14"/>
      <c r="I87" s="11"/>
      <c r="J87" s="11"/>
    </row>
    <row r="88" spans="2:10" x14ac:dyDescent="0.25">
      <c r="B88" s="14"/>
      <c r="I88" s="11"/>
      <c r="J88" s="11"/>
    </row>
    <row r="89" spans="2:10" x14ac:dyDescent="0.25">
      <c r="B89" s="14"/>
      <c r="I89" s="11"/>
      <c r="J89" s="11"/>
    </row>
    <row r="90" spans="2:10" x14ac:dyDescent="0.25">
      <c r="B90" s="14"/>
      <c r="I90" s="11"/>
      <c r="J90" s="11"/>
    </row>
    <row r="91" spans="2:10" x14ac:dyDescent="0.25">
      <c r="B91" s="14"/>
      <c r="I91" s="11"/>
      <c r="J91" s="11"/>
    </row>
    <row r="92" spans="2:10" x14ac:dyDescent="0.25">
      <c r="B92" s="14"/>
      <c r="I92" s="11"/>
      <c r="J92" s="11"/>
    </row>
    <row r="93" spans="2:10" x14ac:dyDescent="0.25">
      <c r="B93" s="14"/>
      <c r="I93" s="11"/>
      <c r="J93" s="11"/>
    </row>
    <row r="94" spans="2:10" x14ac:dyDescent="0.25">
      <c r="B94" s="14"/>
      <c r="I94" s="11"/>
      <c r="J94" s="11"/>
    </row>
    <row r="95" spans="2:10" x14ac:dyDescent="0.25">
      <c r="B95" s="14"/>
      <c r="I95" s="11"/>
      <c r="J95" s="11"/>
    </row>
    <row r="96" spans="2:10" x14ac:dyDescent="0.25">
      <c r="B96" s="14"/>
      <c r="I96" s="11"/>
      <c r="J96" s="11"/>
    </row>
    <row r="97" spans="2:10" x14ac:dyDescent="0.25">
      <c r="B97" s="14"/>
      <c r="I97" s="11"/>
      <c r="J97" s="11"/>
    </row>
    <row r="98" spans="2:10" x14ac:dyDescent="0.25">
      <c r="B98" s="14"/>
      <c r="I98" s="11"/>
      <c r="J98" s="11"/>
    </row>
    <row r="99" spans="2:10" x14ac:dyDescent="0.25">
      <c r="B99" s="14"/>
      <c r="I99" s="11"/>
      <c r="J99" s="11"/>
    </row>
    <row r="100" spans="2:10" x14ac:dyDescent="0.25">
      <c r="B100" s="14"/>
      <c r="I100" s="11"/>
      <c r="J100" s="11"/>
    </row>
    <row r="101" spans="2:10" x14ac:dyDescent="0.25">
      <c r="B101" s="14"/>
      <c r="I101" s="11"/>
      <c r="J101" s="11"/>
    </row>
    <row r="102" spans="2:10" x14ac:dyDescent="0.25">
      <c r="B102" s="14"/>
      <c r="I102" s="11"/>
      <c r="J102" s="11"/>
    </row>
    <row r="103" spans="2:10" x14ac:dyDescent="0.25">
      <c r="B103" s="14"/>
      <c r="I103" s="11"/>
      <c r="J103" s="11"/>
    </row>
    <row r="104" spans="2:10" x14ac:dyDescent="0.25">
      <c r="B104" s="14"/>
      <c r="I104" s="11"/>
      <c r="J104" s="11"/>
    </row>
    <row r="105" spans="2:10" x14ac:dyDescent="0.25">
      <c r="B105" s="14"/>
      <c r="I105" s="11"/>
      <c r="J105" s="11"/>
    </row>
    <row r="106" spans="2:10" x14ac:dyDescent="0.25">
      <c r="B106" s="14"/>
      <c r="I106" s="11"/>
      <c r="J106" s="11"/>
    </row>
    <row r="107" spans="2:10" x14ac:dyDescent="0.25">
      <c r="B107" s="14"/>
      <c r="I107" s="11"/>
      <c r="J107" s="11"/>
    </row>
    <row r="108" spans="2:10" x14ac:dyDescent="0.25">
      <c r="B108" s="14"/>
      <c r="I108" s="11"/>
      <c r="J108" s="11"/>
    </row>
    <row r="109" spans="2:10" x14ac:dyDescent="0.25">
      <c r="B109" s="14"/>
      <c r="I109" s="11"/>
      <c r="J109" s="11"/>
    </row>
    <row r="110" spans="2:10" x14ac:dyDescent="0.25">
      <c r="B110" s="14"/>
      <c r="I110" s="11"/>
      <c r="J110" s="11"/>
    </row>
    <row r="111" spans="2:10" x14ac:dyDescent="0.25">
      <c r="B111" s="14"/>
      <c r="I111" s="11"/>
      <c r="J111" s="11"/>
    </row>
    <row r="112" spans="2:10" x14ac:dyDescent="0.25">
      <c r="B112" s="14"/>
      <c r="I112" s="11"/>
      <c r="J112" s="11"/>
    </row>
    <row r="113" spans="2:10" x14ac:dyDescent="0.25">
      <c r="B113" s="14"/>
      <c r="I113" s="11"/>
      <c r="J113" s="11"/>
    </row>
    <row r="114" spans="2:10" x14ac:dyDescent="0.25">
      <c r="B114" s="14"/>
      <c r="I114" s="11"/>
      <c r="J114" s="11"/>
    </row>
    <row r="115" spans="2:10" x14ac:dyDescent="0.25">
      <c r="I115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2"/>
  <sheetViews>
    <sheetView topLeftCell="A10" workbookViewId="0">
      <selection activeCell="F27" sqref="F27"/>
    </sheetView>
  </sheetViews>
  <sheetFormatPr baseColWidth="10" defaultRowHeight="15" x14ac:dyDescent="0.25"/>
  <cols>
    <col min="2" max="3" width="13" bestFit="1" customWidth="1"/>
    <col min="4" max="4" width="14.42578125" bestFit="1" customWidth="1"/>
    <col min="5" max="5" width="13" style="15" bestFit="1" customWidth="1"/>
    <col min="6" max="6" width="13" bestFit="1" customWidth="1"/>
    <col min="7" max="9" width="14.42578125" bestFit="1" customWidth="1"/>
    <col min="10" max="10" width="15.7109375" bestFit="1" customWidth="1"/>
  </cols>
  <sheetData>
    <row r="1" spans="1:32" ht="26.25" customHeight="1" x14ac:dyDescent="0.3">
      <c r="A1" s="5" t="s">
        <v>0</v>
      </c>
      <c r="B1" s="2"/>
      <c r="C1" s="2"/>
      <c r="D1" s="2"/>
      <c r="E1" s="2"/>
      <c r="G1" s="4" t="s">
        <v>53</v>
      </c>
      <c r="H1" s="1"/>
      <c r="I1" s="4"/>
      <c r="J1" s="1"/>
    </row>
    <row r="2" spans="1:32" x14ac:dyDescent="0.25">
      <c r="A2" s="3" t="s">
        <v>2</v>
      </c>
      <c r="B2" s="2" t="str">
        <f>'Input data BoD'!B2</f>
        <v>Myriam</v>
      </c>
      <c r="C2" s="2"/>
      <c r="D2" s="2"/>
      <c r="E2" s="2"/>
    </row>
    <row r="3" spans="1:32" x14ac:dyDescent="0.25">
      <c r="A3" s="3" t="s">
        <v>3</v>
      </c>
      <c r="B3" s="2" t="str">
        <f>'Input data BoD'!B3</f>
        <v>April 2018</v>
      </c>
      <c r="C3" s="2"/>
      <c r="D3" s="2"/>
      <c r="E3" s="2"/>
    </row>
    <row r="4" spans="1:32" x14ac:dyDescent="0.25">
      <c r="A4" s="3" t="s">
        <v>4</v>
      </c>
      <c r="B4" s="2" t="str">
        <f>'Input data BoD'!B5</f>
        <v>Railway noise</v>
      </c>
      <c r="C4" s="2"/>
      <c r="D4" s="2"/>
      <c r="E4" s="2"/>
    </row>
    <row r="5" spans="1:32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</row>
    <row r="6" spans="1:32" x14ac:dyDescent="0.25">
      <c r="A6" s="3" t="s">
        <v>6</v>
      </c>
      <c r="B6" s="2" t="str">
        <f>'Input data BoD'!B7</f>
        <v>Ischaemic heart disease</v>
      </c>
      <c r="C6" s="2"/>
      <c r="D6" s="2"/>
      <c r="E6" s="2"/>
    </row>
    <row r="7" spans="1:32" x14ac:dyDescent="0.25">
      <c r="A7" s="3" t="s">
        <v>7</v>
      </c>
      <c r="B7" s="2" t="str">
        <f>'Input data BoD'!B8</f>
        <v>I20-I25</v>
      </c>
      <c r="C7" s="2"/>
      <c r="D7" s="2"/>
      <c r="E7" s="2"/>
    </row>
    <row r="8" spans="1:32" x14ac:dyDescent="0.25">
      <c r="A8" s="3" t="s">
        <v>8</v>
      </c>
      <c r="B8" s="2">
        <f>'Input data BoD'!B9</f>
        <v>2016</v>
      </c>
      <c r="C8" s="2"/>
      <c r="D8" s="2"/>
      <c r="E8" s="2"/>
    </row>
    <row r="9" spans="1:3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1" spans="1:32" x14ac:dyDescent="0.25">
      <c r="B11" s="7"/>
      <c r="C11" s="7"/>
      <c r="D11" s="7"/>
      <c r="E11" s="25" t="s">
        <v>54</v>
      </c>
      <c r="F11" s="7"/>
      <c r="G11" s="7"/>
      <c r="H11" s="7"/>
      <c r="I11" s="7"/>
      <c r="J11" s="7"/>
      <c r="K11" s="7"/>
      <c r="L11" s="7"/>
      <c r="M11" s="7"/>
      <c r="N11" s="44"/>
      <c r="O11" s="44"/>
      <c r="P11" s="44"/>
      <c r="Q11" s="44"/>
      <c r="R11" s="44"/>
      <c r="S11" s="44"/>
      <c r="T11" s="6"/>
      <c r="U11" s="44"/>
      <c r="V11" s="44"/>
      <c r="W11" s="44"/>
      <c r="X11" s="44"/>
      <c r="Y11" s="44"/>
      <c r="Z11" s="44"/>
      <c r="AA11" s="8"/>
      <c r="AB11" s="8"/>
      <c r="AC11" s="8"/>
      <c r="AD11" s="8"/>
      <c r="AE11" s="8"/>
      <c r="AF11" s="8"/>
    </row>
    <row r="12" spans="1:32" x14ac:dyDescent="0.25">
      <c r="A12" s="6"/>
      <c r="B12" s="7" t="s">
        <v>21</v>
      </c>
      <c r="C12" s="7"/>
      <c r="D12" s="7"/>
      <c r="E12" s="7" t="s">
        <v>55</v>
      </c>
      <c r="F12" s="7"/>
      <c r="G12" s="7"/>
      <c r="H12" s="7" t="s">
        <v>24</v>
      </c>
      <c r="I12" s="7"/>
      <c r="J12" s="7"/>
      <c r="K12" s="21" t="s">
        <v>61</v>
      </c>
      <c r="L12" s="47" t="s">
        <v>102</v>
      </c>
      <c r="M12" s="7"/>
      <c r="N12" s="44"/>
      <c r="O12" s="44"/>
      <c r="P12" s="44"/>
      <c r="Q12" s="44"/>
      <c r="R12" s="44"/>
      <c r="S12" s="44"/>
      <c r="T12" s="6"/>
      <c r="U12" s="44"/>
      <c r="V12" s="44"/>
      <c r="W12" s="44"/>
      <c r="X12" s="44"/>
      <c r="Y12" s="44"/>
      <c r="Z12" s="44"/>
      <c r="AA12" s="8"/>
      <c r="AB12" s="8"/>
      <c r="AC12" s="8"/>
      <c r="AD12" s="8"/>
      <c r="AE12" s="8"/>
      <c r="AF12" s="8"/>
    </row>
    <row r="13" spans="1:32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10</v>
      </c>
      <c r="H13" s="7" t="s">
        <v>22</v>
      </c>
      <c r="I13" s="7" t="s">
        <v>23</v>
      </c>
      <c r="J13" s="7" t="s">
        <v>10</v>
      </c>
      <c r="K13" s="21"/>
      <c r="L13" s="22"/>
      <c r="M13" s="7"/>
      <c r="N13" s="44"/>
      <c r="O13" s="44"/>
      <c r="P13" s="44"/>
      <c r="Q13" s="44"/>
      <c r="R13" s="44"/>
      <c r="S13" s="44"/>
      <c r="T13" s="6"/>
      <c r="U13" s="44"/>
      <c r="V13" s="44"/>
      <c r="W13" s="44"/>
      <c r="X13" s="44"/>
      <c r="Y13" s="44"/>
      <c r="Z13" s="44"/>
      <c r="AA13" s="8"/>
      <c r="AB13" s="8"/>
      <c r="AC13" s="8"/>
      <c r="AD13" s="8"/>
      <c r="AE13" s="8"/>
      <c r="AF13" s="8"/>
    </row>
    <row r="14" spans="1:32" x14ac:dyDescent="0.25">
      <c r="A14" s="15" t="s">
        <v>62</v>
      </c>
      <c r="B14" s="40">
        <f>'Input data BoD'!G14*'Input data BoD'!E14</f>
        <v>0</v>
      </c>
      <c r="C14" s="40">
        <f>'Input data BoD'!H14*'Input data BoD'!F14</f>
        <v>0</v>
      </c>
      <c r="D14" s="40">
        <f t="shared" ref="D14:D33" si="0">B14+C14</f>
        <v>0</v>
      </c>
      <c r="E14" s="40">
        <f>'Input data BoD'!J14*'Input data BoD'!M14</f>
        <v>0</v>
      </c>
      <c r="F14" s="40">
        <f>'Input data BoD'!K14*'Input data BoD'!N14</f>
        <v>0</v>
      </c>
      <c r="G14" s="40">
        <f t="shared" ref="G14:G33" si="1">F14+E14</f>
        <v>0</v>
      </c>
      <c r="H14" s="40">
        <f t="shared" ref="H14:H33" si="2">E14+B14</f>
        <v>0</v>
      </c>
      <c r="I14" s="40">
        <f t="shared" ref="I14:J14" si="3">F14+C14</f>
        <v>0</v>
      </c>
      <c r="J14" s="40">
        <f t="shared" si="3"/>
        <v>0</v>
      </c>
      <c r="K14" s="22"/>
      <c r="L14" s="22"/>
      <c r="N14" s="45"/>
      <c r="O14" s="45"/>
      <c r="P14" s="45"/>
      <c r="Q14" s="45"/>
      <c r="R14" s="45"/>
      <c r="S14" s="45"/>
      <c r="T14" s="8"/>
      <c r="U14" s="45"/>
      <c r="V14" s="45"/>
      <c r="W14" s="45"/>
      <c r="X14" s="45"/>
      <c r="Y14" s="45"/>
      <c r="Z14" s="45"/>
      <c r="AA14" s="8"/>
      <c r="AB14" s="8"/>
      <c r="AC14" s="8"/>
      <c r="AD14" s="8"/>
      <c r="AE14" s="8"/>
      <c r="AF14" s="8"/>
    </row>
    <row r="15" spans="1:32" x14ac:dyDescent="0.25">
      <c r="A15" s="15" t="s">
        <v>28</v>
      </c>
      <c r="B15" s="40">
        <f>'Input data BoD'!G15*'Input data BoD'!E15</f>
        <v>0</v>
      </c>
      <c r="C15" s="40">
        <f>'Input data BoD'!H15*'Input data BoD'!F15</f>
        <v>0</v>
      </c>
      <c r="D15" s="40">
        <f t="shared" si="0"/>
        <v>0</v>
      </c>
      <c r="E15" s="40">
        <f>'Input data BoD'!J15*'Input data BoD'!M15</f>
        <v>0</v>
      </c>
      <c r="F15" s="40">
        <f>'Input data BoD'!K15*'Input data BoD'!N15</f>
        <v>0</v>
      </c>
      <c r="G15" s="40">
        <f t="shared" si="1"/>
        <v>0</v>
      </c>
      <c r="H15" s="40">
        <f t="shared" si="2"/>
        <v>0</v>
      </c>
      <c r="I15" s="40">
        <f t="shared" ref="I15:I33" si="4">F15+C15</f>
        <v>0</v>
      </c>
      <c r="J15" s="40">
        <f t="shared" ref="J15:J33" si="5">G15+D15</f>
        <v>0</v>
      </c>
      <c r="K15" s="22"/>
      <c r="L15" s="22"/>
      <c r="N15" s="45"/>
      <c r="O15" s="45"/>
      <c r="P15" s="45"/>
      <c r="Q15" s="45"/>
      <c r="R15" s="45"/>
      <c r="S15" s="45"/>
      <c r="T15" s="8"/>
      <c r="U15" s="45"/>
      <c r="V15" s="45"/>
      <c r="W15" s="45"/>
      <c r="X15" s="45"/>
      <c r="Y15" s="45"/>
      <c r="Z15" s="45"/>
      <c r="AA15" s="8"/>
      <c r="AB15" s="8"/>
      <c r="AC15" s="8"/>
      <c r="AD15" s="8"/>
      <c r="AE15" s="8"/>
      <c r="AF15" s="8"/>
    </row>
    <row r="16" spans="1:32" x14ac:dyDescent="0.25">
      <c r="A16" s="15" t="s">
        <v>29</v>
      </c>
      <c r="B16" s="40">
        <f>'Input data BoD'!G16*'Input data BoD'!E16</f>
        <v>0</v>
      </c>
      <c r="C16" s="40">
        <f>'Input data BoD'!H16*'Input data BoD'!F16</f>
        <v>0</v>
      </c>
      <c r="D16" s="40">
        <f t="shared" si="0"/>
        <v>0</v>
      </c>
      <c r="E16" s="40">
        <f>'Input data BoD'!J16*'Input data BoD'!M16</f>
        <v>0</v>
      </c>
      <c r="F16" s="40">
        <f>'Input data BoD'!K16*'Input data BoD'!N16</f>
        <v>0</v>
      </c>
      <c r="G16" s="40">
        <f t="shared" si="1"/>
        <v>0</v>
      </c>
      <c r="H16" s="40">
        <f t="shared" si="2"/>
        <v>0</v>
      </c>
      <c r="I16" s="40">
        <f t="shared" si="4"/>
        <v>0</v>
      </c>
      <c r="J16" s="40">
        <f t="shared" si="5"/>
        <v>0</v>
      </c>
      <c r="K16" s="22"/>
      <c r="L16" s="22"/>
      <c r="N16" s="45"/>
      <c r="O16" s="45"/>
      <c r="P16" s="45"/>
      <c r="Q16" s="45"/>
      <c r="R16" s="45"/>
      <c r="S16" s="45"/>
      <c r="T16" s="8"/>
      <c r="U16" s="45"/>
      <c r="V16" s="45"/>
      <c r="W16" s="45"/>
      <c r="X16" s="45"/>
      <c r="Y16" s="45"/>
      <c r="Z16" s="45"/>
      <c r="AA16" s="8"/>
      <c r="AB16" s="8"/>
      <c r="AC16" s="8"/>
      <c r="AD16" s="8"/>
      <c r="AE16" s="8"/>
      <c r="AF16" s="8"/>
    </row>
    <row r="17" spans="1:32" x14ac:dyDescent="0.25">
      <c r="A17" s="15" t="s">
        <v>30</v>
      </c>
      <c r="B17" s="40">
        <f>'Input data BoD'!G17*'Input data BoD'!E17</f>
        <v>0</v>
      </c>
      <c r="C17" s="40">
        <f>'Input data BoD'!H17*'Input data BoD'!F17</f>
        <v>0</v>
      </c>
      <c r="D17" s="40">
        <f t="shared" si="0"/>
        <v>0</v>
      </c>
      <c r="E17" s="40">
        <f>'Input data BoD'!J17*'Input data BoD'!M17</f>
        <v>0</v>
      </c>
      <c r="F17" s="40">
        <f>'Input data BoD'!K17*'Input data BoD'!N17</f>
        <v>0</v>
      </c>
      <c r="G17" s="40">
        <f t="shared" si="1"/>
        <v>0</v>
      </c>
      <c r="H17" s="40">
        <f t="shared" si="2"/>
        <v>0</v>
      </c>
      <c r="I17" s="40">
        <f t="shared" si="4"/>
        <v>0</v>
      </c>
      <c r="J17" s="40">
        <f t="shared" si="5"/>
        <v>0</v>
      </c>
      <c r="K17" s="22"/>
      <c r="L17" s="22"/>
      <c r="N17" s="45"/>
      <c r="O17" s="45"/>
      <c r="P17" s="45"/>
      <c r="Q17" s="45"/>
      <c r="R17" s="45"/>
      <c r="S17" s="45"/>
      <c r="T17" s="8"/>
      <c r="U17" s="45"/>
      <c r="V17" s="45"/>
      <c r="W17" s="45"/>
      <c r="X17" s="45"/>
      <c r="Y17" s="45"/>
      <c r="Z17" s="45"/>
      <c r="AA17" s="8"/>
      <c r="AB17" s="8"/>
      <c r="AC17" s="8"/>
      <c r="AD17" s="8"/>
      <c r="AE17" s="8"/>
      <c r="AF17" s="8"/>
    </row>
    <row r="18" spans="1:32" x14ac:dyDescent="0.25">
      <c r="A18" s="15" t="s">
        <v>31</v>
      </c>
      <c r="B18" s="40">
        <f>'Input data BoD'!G18*'Input data BoD'!E18</f>
        <v>254.98020358039543</v>
      </c>
      <c r="C18" s="40">
        <f>'Input data BoD'!H18*'Input data BoD'!F18</f>
        <v>68.543080823826017</v>
      </c>
      <c r="D18" s="40">
        <f t="shared" si="0"/>
        <v>323.52328440422144</v>
      </c>
      <c r="E18" s="40">
        <f>'Input data BoD'!J18*'Input data BoD'!M18</f>
        <v>0</v>
      </c>
      <c r="F18" s="40">
        <f>'Input data BoD'!K18*'Input data BoD'!N18</f>
        <v>0</v>
      </c>
      <c r="G18" s="40">
        <f t="shared" si="1"/>
        <v>0</v>
      </c>
      <c r="H18" s="40">
        <f t="shared" si="2"/>
        <v>254.98020358039543</v>
      </c>
      <c r="I18" s="40">
        <f t="shared" si="4"/>
        <v>68.543080823826017</v>
      </c>
      <c r="J18" s="40">
        <f t="shared" si="5"/>
        <v>323.52328440422144</v>
      </c>
      <c r="K18" s="22">
        <f t="shared" ref="K15:K32" si="6">G18/J18</f>
        <v>0</v>
      </c>
      <c r="L18" s="22">
        <f t="shared" ref="L15:L33" si="7">H18/J18</f>
        <v>0.78813555583781147</v>
      </c>
      <c r="N18" s="45"/>
      <c r="O18" s="45"/>
      <c r="P18" s="45"/>
      <c r="Q18" s="45"/>
      <c r="R18" s="45"/>
      <c r="S18" s="45"/>
      <c r="T18" s="8"/>
      <c r="U18" s="45"/>
      <c r="V18" s="45"/>
      <c r="W18" s="45"/>
      <c r="X18" s="45"/>
      <c r="Y18" s="45"/>
      <c r="Z18" s="45"/>
      <c r="AA18" s="8"/>
      <c r="AB18" s="8"/>
      <c r="AC18" s="8"/>
      <c r="AD18" s="8"/>
      <c r="AE18" s="8"/>
      <c r="AF18" s="8"/>
    </row>
    <row r="19" spans="1:32" x14ac:dyDescent="0.25">
      <c r="A19" s="15" t="s">
        <v>32</v>
      </c>
      <c r="B19" s="40">
        <f>'Input data BoD'!G19*'Input data BoD'!E19</f>
        <v>176.5020724915033</v>
      </c>
      <c r="C19" s="40">
        <f>'Input data BoD'!H19*'Input data BoD'!F19</f>
        <v>0</v>
      </c>
      <c r="D19" s="40">
        <f t="shared" si="0"/>
        <v>176.5020724915033</v>
      </c>
      <c r="E19" s="40">
        <f>'Input data BoD'!J19*'Input data BoD'!M19</f>
        <v>157.05479697567591</v>
      </c>
      <c r="F19" s="40">
        <f>'Input data BoD'!K19*'Input data BoD'!N19</f>
        <v>45.556532341584472</v>
      </c>
      <c r="G19" s="40">
        <f t="shared" si="1"/>
        <v>202.61132931726038</v>
      </c>
      <c r="H19" s="40">
        <f t="shared" si="2"/>
        <v>333.55686946717924</v>
      </c>
      <c r="I19" s="40">
        <f t="shared" si="4"/>
        <v>45.556532341584472</v>
      </c>
      <c r="J19" s="40">
        <f t="shared" si="5"/>
        <v>379.11340180876368</v>
      </c>
      <c r="K19" s="22">
        <f>G19/J19</f>
        <v>0.53443462655393992</v>
      </c>
      <c r="L19" s="22">
        <f t="shared" si="7"/>
        <v>0.87983402294872037</v>
      </c>
      <c r="N19" s="45"/>
      <c r="O19" s="45"/>
      <c r="P19" s="45"/>
      <c r="Q19" s="45"/>
      <c r="R19" s="45"/>
      <c r="S19" s="45"/>
      <c r="T19" s="8"/>
      <c r="U19" s="45"/>
      <c r="V19" s="45"/>
      <c r="W19" s="45"/>
      <c r="X19" s="45"/>
      <c r="Y19" s="45"/>
      <c r="Z19" s="45"/>
      <c r="AA19" s="8"/>
      <c r="AB19" s="8"/>
      <c r="AC19" s="8"/>
      <c r="AD19" s="8"/>
      <c r="AE19" s="8"/>
      <c r="AF19" s="8"/>
    </row>
    <row r="20" spans="1:32" x14ac:dyDescent="0.25">
      <c r="A20" s="15" t="s">
        <v>33</v>
      </c>
      <c r="B20" s="40">
        <f>'Input data BoD'!G20*'Input data BoD'!E20</f>
        <v>1187.1117629947937</v>
      </c>
      <c r="C20" s="40">
        <f>'Input data BoD'!H20*'Input data BoD'!F20</f>
        <v>410.56267543126154</v>
      </c>
      <c r="D20" s="40">
        <f t="shared" si="0"/>
        <v>1597.6744384260553</v>
      </c>
      <c r="E20" s="40">
        <f>'Input data BoD'!J20*'Input data BoD'!M20</f>
        <v>174.89032788022962</v>
      </c>
      <c r="F20" s="40">
        <f>'Input data BoD'!K20*'Input data BoD'!N20</f>
        <v>48.97301934560469</v>
      </c>
      <c r="G20" s="40">
        <f t="shared" si="1"/>
        <v>223.8633472258343</v>
      </c>
      <c r="H20" s="40">
        <f t="shared" si="2"/>
        <v>1362.0020908750234</v>
      </c>
      <c r="I20" s="40">
        <f t="shared" si="4"/>
        <v>459.53569477686625</v>
      </c>
      <c r="J20" s="40">
        <f t="shared" si="5"/>
        <v>1821.5377856518896</v>
      </c>
      <c r="K20" s="22">
        <f t="shared" si="6"/>
        <v>0.12289799804823613</v>
      </c>
      <c r="L20" s="22">
        <f t="shared" si="7"/>
        <v>0.74772101990055173</v>
      </c>
      <c r="N20" s="45"/>
      <c r="O20" s="45"/>
      <c r="P20" s="45"/>
      <c r="Q20" s="45"/>
      <c r="R20" s="45"/>
      <c r="S20" s="45"/>
      <c r="T20" s="8"/>
      <c r="U20" s="45"/>
      <c r="V20" s="45"/>
      <c r="W20" s="45"/>
      <c r="X20" s="45"/>
      <c r="Y20" s="45"/>
      <c r="Z20" s="45"/>
      <c r="AA20" s="8"/>
      <c r="AB20" s="8"/>
      <c r="AC20" s="8"/>
      <c r="AD20" s="8"/>
      <c r="AE20" s="8"/>
      <c r="AF20" s="8"/>
    </row>
    <row r="21" spans="1:32" x14ac:dyDescent="0.25">
      <c r="A21" s="15" t="s">
        <v>34</v>
      </c>
      <c r="B21" s="40">
        <f>'Input data BoD'!G21*'Input data BoD'!E21</f>
        <v>1668.9577353684681</v>
      </c>
      <c r="C21" s="40">
        <f>'Input data BoD'!H21*'Input data BoD'!F21</f>
        <v>859.42950236861657</v>
      </c>
      <c r="D21" s="40">
        <f t="shared" si="0"/>
        <v>2528.3872377370844</v>
      </c>
      <c r="E21" s="40">
        <f>'Input data BoD'!J21*'Input data BoD'!M21</f>
        <v>147.65393782822321</v>
      </c>
      <c r="F21" s="40">
        <f>'Input data BoD'!K21*'Input data BoD'!N21</f>
        <v>43.018207542130597</v>
      </c>
      <c r="G21" s="40">
        <f t="shared" si="1"/>
        <v>190.6721453703538</v>
      </c>
      <c r="H21" s="40">
        <f t="shared" si="2"/>
        <v>1816.6116731966913</v>
      </c>
      <c r="I21" s="40">
        <f t="shared" si="4"/>
        <v>902.44770991074711</v>
      </c>
      <c r="J21" s="40">
        <f t="shared" si="5"/>
        <v>2719.0593831074384</v>
      </c>
      <c r="K21" s="22">
        <f t="shared" si="6"/>
        <v>7.0124303483378447E-2</v>
      </c>
      <c r="L21" s="22">
        <f t="shared" si="7"/>
        <v>0.66810297872957902</v>
      </c>
      <c r="N21" s="45"/>
      <c r="O21" s="45"/>
      <c r="P21" s="45"/>
      <c r="Q21" s="45"/>
      <c r="R21" s="45"/>
      <c r="S21" s="45"/>
      <c r="T21" s="8"/>
      <c r="U21" s="45"/>
      <c r="V21" s="45"/>
      <c r="W21" s="45"/>
      <c r="X21" s="45"/>
      <c r="Y21" s="45"/>
      <c r="Z21" s="45"/>
      <c r="AA21" s="8"/>
      <c r="AB21" s="8"/>
      <c r="AC21" s="8"/>
      <c r="AD21" s="8"/>
      <c r="AE21" s="8"/>
      <c r="AF21" s="8"/>
    </row>
    <row r="22" spans="1:32" x14ac:dyDescent="0.25">
      <c r="A22" s="15" t="s">
        <v>35</v>
      </c>
      <c r="B22" s="40">
        <f>'Input data BoD'!G22*'Input data BoD'!E22</f>
        <v>5177.0801306076628</v>
      </c>
      <c r="C22" s="40">
        <f>'Input data BoD'!H22*'Input data BoD'!F22</f>
        <v>1464.1126020831957</v>
      </c>
      <c r="D22" s="40">
        <f t="shared" si="0"/>
        <v>6641.192732690859</v>
      </c>
      <c r="E22" s="40">
        <f>'Input data BoD'!J22*'Input data BoD'!M22</f>
        <v>138.47917240294177</v>
      </c>
      <c r="F22" s="40">
        <f>'Input data BoD'!K22*'Input data BoD'!N22</f>
        <v>45.283091310224194</v>
      </c>
      <c r="G22" s="40">
        <f t="shared" si="1"/>
        <v>183.76226371316596</v>
      </c>
      <c r="H22" s="40">
        <f t="shared" si="2"/>
        <v>5315.5593030106047</v>
      </c>
      <c r="I22" s="40">
        <f t="shared" si="4"/>
        <v>1509.3956933934198</v>
      </c>
      <c r="J22" s="40">
        <f t="shared" si="5"/>
        <v>6824.9549964040252</v>
      </c>
      <c r="K22" s="22">
        <f t="shared" si="6"/>
        <v>2.6925051346124301E-2</v>
      </c>
      <c r="L22" s="22">
        <f t="shared" si="7"/>
        <v>0.77884166354375961</v>
      </c>
      <c r="N22" s="45"/>
      <c r="O22" s="45"/>
      <c r="P22" s="45"/>
      <c r="Q22" s="45"/>
      <c r="R22" s="45"/>
      <c r="S22" s="45"/>
      <c r="T22" s="8"/>
      <c r="U22" s="45"/>
      <c r="V22" s="45"/>
      <c r="W22" s="45"/>
      <c r="X22" s="45"/>
      <c r="Y22" s="45"/>
      <c r="Z22" s="45"/>
      <c r="AA22" s="8"/>
      <c r="AB22" s="8"/>
      <c r="AC22" s="8"/>
      <c r="AD22" s="8"/>
      <c r="AE22" s="8"/>
      <c r="AF22" s="8"/>
    </row>
    <row r="23" spans="1:32" x14ac:dyDescent="0.25">
      <c r="A23" s="15" t="s">
        <v>36</v>
      </c>
      <c r="B23" s="40">
        <f>'Input data BoD'!G23*'Input data BoD'!E23</f>
        <v>10770.468002700401</v>
      </c>
      <c r="C23" s="40">
        <f>'Input data BoD'!H23*'Input data BoD'!F23</f>
        <v>2195.9921665295078</v>
      </c>
      <c r="D23" s="40">
        <f t="shared" si="0"/>
        <v>12966.460169229909</v>
      </c>
      <c r="E23" s="40">
        <f>'Input data BoD'!J23*'Input data BoD'!M23</f>
        <v>143.64519876581141</v>
      </c>
      <c r="F23" s="40">
        <f>'Input data BoD'!K23*'Input data BoD'!N23</f>
        <v>62.113560823234877</v>
      </c>
      <c r="G23" s="40">
        <f t="shared" si="1"/>
        <v>205.75875958904629</v>
      </c>
      <c r="H23" s="40">
        <f t="shared" si="2"/>
        <v>10914.113201466213</v>
      </c>
      <c r="I23" s="40">
        <f t="shared" si="4"/>
        <v>2258.1057273527426</v>
      </c>
      <c r="J23" s="40">
        <f t="shared" si="5"/>
        <v>13172.218928818955</v>
      </c>
      <c r="K23" s="22">
        <f t="shared" si="6"/>
        <v>1.5620660474969421E-2</v>
      </c>
      <c r="L23" s="22">
        <f t="shared" si="7"/>
        <v>0.82857058939308048</v>
      </c>
      <c r="N23" s="45"/>
      <c r="O23" s="45"/>
      <c r="P23" s="45"/>
      <c r="Q23" s="45"/>
      <c r="R23" s="45"/>
      <c r="S23" s="45"/>
      <c r="T23" s="8"/>
      <c r="U23" s="45"/>
      <c r="V23" s="45"/>
      <c r="W23" s="45"/>
      <c r="X23" s="45"/>
      <c r="Y23" s="45"/>
      <c r="Z23" s="45"/>
      <c r="AA23" s="8"/>
      <c r="AB23" s="8"/>
      <c r="AC23" s="8"/>
      <c r="AD23" s="8"/>
      <c r="AE23" s="8"/>
      <c r="AF23" s="8"/>
    </row>
    <row r="24" spans="1:32" x14ac:dyDescent="0.25">
      <c r="A24" s="15" t="s">
        <v>37</v>
      </c>
      <c r="B24" s="40">
        <f>'Input data BoD'!G24*'Input data BoD'!E24</f>
        <v>26669.772573822265</v>
      </c>
      <c r="C24" s="40">
        <f>'Input data BoD'!H24*'Input data BoD'!F24</f>
        <v>6449.9205498508136</v>
      </c>
      <c r="D24" s="40">
        <f t="shared" si="0"/>
        <v>33119.693123673082</v>
      </c>
      <c r="E24" s="40">
        <f>'Input data BoD'!J24*'Input data BoD'!M24</f>
        <v>1754.1959735020198</v>
      </c>
      <c r="F24" s="40">
        <f>'Input data BoD'!K24*'Input data BoD'!N24</f>
        <v>518.00475571998481</v>
      </c>
      <c r="G24" s="40">
        <f t="shared" si="1"/>
        <v>2272.2007292220046</v>
      </c>
      <c r="H24" s="40">
        <f t="shared" si="2"/>
        <v>28423.968547324286</v>
      </c>
      <c r="I24" s="40">
        <f t="shared" si="4"/>
        <v>6967.9253055707986</v>
      </c>
      <c r="J24" s="40">
        <f t="shared" si="5"/>
        <v>35391.893852895089</v>
      </c>
      <c r="K24" s="22">
        <f t="shared" si="6"/>
        <v>6.4201162522308383E-2</v>
      </c>
      <c r="L24" s="22">
        <f t="shared" si="7"/>
        <v>0.80312086901784097</v>
      </c>
      <c r="N24" s="45"/>
      <c r="O24" s="45"/>
      <c r="P24" s="45"/>
      <c r="Q24" s="45"/>
      <c r="R24" s="45"/>
      <c r="S24" s="45"/>
      <c r="T24" s="8"/>
      <c r="U24" s="45"/>
      <c r="V24" s="45"/>
      <c r="W24" s="45"/>
      <c r="X24" s="45"/>
      <c r="Y24" s="45"/>
      <c r="Z24" s="45"/>
      <c r="AA24" s="8"/>
      <c r="AB24" s="8"/>
      <c r="AC24" s="8"/>
      <c r="AD24" s="8"/>
      <c r="AE24" s="8"/>
      <c r="AF24" s="8"/>
    </row>
    <row r="25" spans="1:32" x14ac:dyDescent="0.25">
      <c r="A25" s="15" t="s">
        <v>38</v>
      </c>
      <c r="B25" s="40">
        <f>'Input data BoD'!G25*'Input data BoD'!E25</f>
        <v>51517.026443263363</v>
      </c>
      <c r="C25" s="40">
        <f>'Input data BoD'!H25*'Input data BoD'!F25</f>
        <v>12847.789222376457</v>
      </c>
      <c r="D25" s="40">
        <f t="shared" si="0"/>
        <v>64364.815665639821</v>
      </c>
      <c r="E25" s="40">
        <f>'Input data BoD'!J25*'Input data BoD'!M25</f>
        <v>1883.6561161332745</v>
      </c>
      <c r="F25" s="40">
        <f>'Input data BoD'!K25*'Input data BoD'!N25</f>
        <v>683.89822585130003</v>
      </c>
      <c r="G25" s="40">
        <f t="shared" si="1"/>
        <v>2567.5543419845744</v>
      </c>
      <c r="H25" s="40">
        <f t="shared" si="2"/>
        <v>53400.682559396635</v>
      </c>
      <c r="I25" s="40">
        <f t="shared" si="4"/>
        <v>13531.687448227758</v>
      </c>
      <c r="J25" s="40">
        <f t="shared" si="5"/>
        <v>66932.370007624399</v>
      </c>
      <c r="K25" s="22">
        <f t="shared" si="6"/>
        <v>3.8360427722671397E-2</v>
      </c>
      <c r="L25" s="22">
        <f t="shared" si="7"/>
        <v>0.79783044516896173</v>
      </c>
      <c r="N25" s="45"/>
      <c r="O25" s="45"/>
      <c r="P25" s="45"/>
      <c r="Q25" s="45"/>
      <c r="R25" s="45"/>
      <c r="S25" s="45"/>
      <c r="T25" s="8"/>
      <c r="U25" s="45"/>
      <c r="V25" s="45"/>
      <c r="W25" s="45"/>
      <c r="X25" s="45"/>
      <c r="Y25" s="45"/>
      <c r="Z25" s="45"/>
      <c r="AA25" s="8"/>
      <c r="AB25" s="8"/>
      <c r="AC25" s="8"/>
      <c r="AD25" s="8"/>
      <c r="AE25" s="8"/>
      <c r="AF25" s="8"/>
    </row>
    <row r="26" spans="1:32" x14ac:dyDescent="0.25">
      <c r="A26" s="15" t="s">
        <v>39</v>
      </c>
      <c r="B26" s="40">
        <f>'Input data BoD'!G26*'Input data BoD'!E26</f>
        <v>71607.598767232557</v>
      </c>
      <c r="C26" s="40">
        <f>'Input data BoD'!H26*'Input data BoD'!F26</f>
        <v>19804.982376288208</v>
      </c>
      <c r="D26" s="40">
        <f t="shared" si="0"/>
        <v>91412.581143520772</v>
      </c>
      <c r="E26" s="40">
        <f>'Input data BoD'!J26*'Input data BoD'!M26</f>
        <v>3588.6269649259029</v>
      </c>
      <c r="F26" s="40">
        <f>'Input data BoD'!K26*'Input data BoD'!N26</f>
        <v>2446.9154600704087</v>
      </c>
      <c r="G26" s="40">
        <f t="shared" si="1"/>
        <v>6035.5424249963116</v>
      </c>
      <c r="H26" s="40">
        <f t="shared" si="2"/>
        <v>75196.225732158462</v>
      </c>
      <c r="I26" s="40">
        <f t="shared" si="4"/>
        <v>22251.897836358617</v>
      </c>
      <c r="J26" s="40">
        <f t="shared" si="5"/>
        <v>97448.123568517083</v>
      </c>
      <c r="K26" s="22">
        <f t="shared" si="6"/>
        <v>6.1935953243395611E-2</v>
      </c>
      <c r="L26" s="22">
        <f t="shared" si="7"/>
        <v>0.77165391162495789</v>
      </c>
      <c r="N26" s="45"/>
      <c r="O26" s="45"/>
      <c r="P26" s="45"/>
      <c r="Q26" s="45"/>
      <c r="R26" s="45"/>
      <c r="S26" s="45"/>
      <c r="T26" s="8"/>
      <c r="U26" s="45"/>
      <c r="V26" s="45"/>
      <c r="W26" s="45"/>
      <c r="X26" s="45"/>
      <c r="Y26" s="45"/>
      <c r="Z26" s="45"/>
      <c r="AA26" s="8"/>
      <c r="AB26" s="8"/>
      <c r="AC26" s="8"/>
      <c r="AD26" s="8"/>
      <c r="AE26" s="8"/>
      <c r="AF26" s="8"/>
    </row>
    <row r="27" spans="1:32" x14ac:dyDescent="0.25">
      <c r="A27" s="15" t="s">
        <v>40</v>
      </c>
      <c r="B27" s="40">
        <f>'Input data BoD'!G27*'Input data BoD'!E27</f>
        <v>85216.597264869706</v>
      </c>
      <c r="C27" s="40">
        <f>'Input data BoD'!H27*'Input data BoD'!F27</f>
        <v>25992.66458171828</v>
      </c>
      <c r="D27" s="40">
        <f t="shared" si="0"/>
        <v>111209.26184658799</v>
      </c>
      <c r="E27" s="40">
        <f>'Input data BoD'!J27*'Input data BoD'!M27</f>
        <v>3305.8545945867836</v>
      </c>
      <c r="F27" s="40">
        <f>'Input data BoD'!K27*'Input data BoD'!N27</f>
        <v>2489.1114684027684</v>
      </c>
      <c r="G27" s="40">
        <f t="shared" si="1"/>
        <v>5794.9660629895516</v>
      </c>
      <c r="H27" s="40">
        <f t="shared" si="2"/>
        <v>88522.451859456487</v>
      </c>
      <c r="I27" s="40">
        <f t="shared" si="4"/>
        <v>28481.776050121047</v>
      </c>
      <c r="J27" s="40">
        <f t="shared" si="5"/>
        <v>117004.22790957754</v>
      </c>
      <c r="K27" s="22">
        <f t="shared" si="6"/>
        <v>4.9527834733185713E-2</v>
      </c>
      <c r="L27" s="22">
        <f t="shared" si="7"/>
        <v>0.75657481307314667</v>
      </c>
      <c r="N27" s="45"/>
      <c r="O27" s="45"/>
      <c r="P27" s="45"/>
      <c r="Q27" s="45"/>
      <c r="R27" s="45"/>
      <c r="S27" s="45"/>
      <c r="T27" s="8"/>
      <c r="U27" s="45"/>
      <c r="V27" s="45"/>
      <c r="W27" s="45"/>
      <c r="X27" s="45"/>
      <c r="Y27" s="45"/>
      <c r="Z27" s="45"/>
      <c r="AA27" s="8"/>
      <c r="AB27" s="8"/>
      <c r="AC27" s="8"/>
      <c r="AD27" s="8"/>
      <c r="AE27" s="8"/>
      <c r="AF27" s="8"/>
    </row>
    <row r="28" spans="1:32" x14ac:dyDescent="0.25">
      <c r="A28" s="15" t="s">
        <v>41</v>
      </c>
      <c r="B28" s="40">
        <f>'Input data BoD'!G28*'Input data BoD'!E28</f>
        <v>91255.830172882357</v>
      </c>
      <c r="C28" s="40">
        <f>'Input data BoD'!H28*'Input data BoD'!F28</f>
        <v>32347.123845017304</v>
      </c>
      <c r="D28" s="40">
        <f t="shared" si="0"/>
        <v>123602.95401789967</v>
      </c>
      <c r="E28" s="40">
        <f>'Input data BoD'!J28*'Input data BoD'!M28</f>
        <v>5743.5931866322499</v>
      </c>
      <c r="F28" s="40">
        <f>'Input data BoD'!K28*'Input data BoD'!N28</f>
        <v>5556.5008291815793</v>
      </c>
      <c r="G28" s="40">
        <f t="shared" si="1"/>
        <v>11300.094015813829</v>
      </c>
      <c r="H28" s="40">
        <f t="shared" si="2"/>
        <v>96999.423359514607</v>
      </c>
      <c r="I28" s="40">
        <f t="shared" si="4"/>
        <v>37903.624674198887</v>
      </c>
      <c r="J28" s="40">
        <f t="shared" si="5"/>
        <v>134903.04803371351</v>
      </c>
      <c r="K28" s="22">
        <f t="shared" si="6"/>
        <v>8.3764556698450815E-2</v>
      </c>
      <c r="L28" s="22">
        <f t="shared" si="7"/>
        <v>0.71903062809428564</v>
      </c>
      <c r="N28" s="45"/>
      <c r="O28" s="45"/>
      <c r="P28" s="45"/>
      <c r="Q28" s="45"/>
      <c r="R28" s="45"/>
      <c r="S28" s="45"/>
      <c r="T28" s="8"/>
      <c r="U28" s="45"/>
      <c r="V28" s="45"/>
      <c r="W28" s="45"/>
      <c r="X28" s="45"/>
      <c r="Y28" s="45"/>
      <c r="Z28" s="45"/>
      <c r="AA28" s="8"/>
      <c r="AB28" s="8"/>
      <c r="AC28" s="8"/>
      <c r="AD28" s="8"/>
      <c r="AE28" s="8"/>
      <c r="AF28" s="8"/>
    </row>
    <row r="29" spans="1:32" x14ac:dyDescent="0.25">
      <c r="A29" s="15" t="s">
        <v>42</v>
      </c>
      <c r="B29" s="40">
        <f>'Input data BoD'!G29*'Input data BoD'!E29</f>
        <v>94035.516412252065</v>
      </c>
      <c r="C29" s="40">
        <f>'Input data BoD'!H29*'Input data BoD'!F29</f>
        <v>45377.845069132025</v>
      </c>
      <c r="D29" s="40">
        <f t="shared" si="0"/>
        <v>139413.36148138408</v>
      </c>
      <c r="E29" s="40">
        <f>'Input data BoD'!J29*'Input data BoD'!M29</f>
        <v>5710.7855403620115</v>
      </c>
      <c r="F29" s="40">
        <f>'Input data BoD'!K29*'Input data BoD'!N29</f>
        <v>5373.0553254743918</v>
      </c>
      <c r="G29" s="40">
        <f t="shared" si="1"/>
        <v>11083.840865836402</v>
      </c>
      <c r="H29" s="40">
        <f t="shared" si="2"/>
        <v>99746.301952614071</v>
      </c>
      <c r="I29" s="40">
        <f t="shared" si="4"/>
        <v>50750.900394606419</v>
      </c>
      <c r="J29" s="40">
        <f t="shared" si="5"/>
        <v>150497.20234722047</v>
      </c>
      <c r="K29" s="22">
        <f t="shared" si="6"/>
        <v>7.364815221125677E-2</v>
      </c>
      <c r="L29" s="22">
        <f t="shared" si="7"/>
        <v>0.66277844635599159</v>
      </c>
      <c r="N29" s="45"/>
      <c r="O29" s="45"/>
      <c r="P29" s="45"/>
      <c r="Q29" s="45"/>
      <c r="R29" s="45"/>
      <c r="S29" s="45"/>
      <c r="T29" s="8"/>
      <c r="U29" s="45"/>
      <c r="V29" s="45"/>
      <c r="W29" s="45"/>
      <c r="X29" s="45"/>
      <c r="Y29" s="45"/>
      <c r="Z29" s="45"/>
      <c r="AA29" s="8"/>
      <c r="AB29" s="8"/>
      <c r="AC29" s="8"/>
      <c r="AD29" s="8"/>
      <c r="AE29" s="8"/>
      <c r="AF29" s="8"/>
    </row>
    <row r="30" spans="1:32" x14ac:dyDescent="0.25">
      <c r="A30" s="15" t="s">
        <v>43</v>
      </c>
      <c r="B30" s="40">
        <f>'Input data BoD'!G30*'Input data BoD'!E30</f>
        <v>131260.32182478695</v>
      </c>
      <c r="C30" s="40">
        <f>'Input data BoD'!H30*'Input data BoD'!F30</f>
        <v>81434.749544050981</v>
      </c>
      <c r="D30" s="40">
        <f t="shared" si="0"/>
        <v>212695.07136883793</v>
      </c>
      <c r="E30" s="40">
        <f>'Input data BoD'!J30*'Input data BoD'!M30</f>
        <v>12132.996305990097</v>
      </c>
      <c r="F30" s="40">
        <f>'Input data BoD'!K30*'Input data BoD'!N30</f>
        <v>13511.219511416311</v>
      </c>
      <c r="G30" s="40">
        <f t="shared" si="1"/>
        <v>25644.21581740641</v>
      </c>
      <c r="H30" s="40">
        <f t="shared" si="2"/>
        <v>143393.31813077704</v>
      </c>
      <c r="I30" s="40">
        <f t="shared" si="4"/>
        <v>94945.969055467285</v>
      </c>
      <c r="J30" s="40">
        <f t="shared" si="5"/>
        <v>238339.28718624433</v>
      </c>
      <c r="K30" s="22">
        <f t="shared" si="6"/>
        <v>0.10759542046195419</v>
      </c>
      <c r="L30" s="22">
        <f t="shared" si="7"/>
        <v>0.60163525629211889</v>
      </c>
      <c r="N30" s="45"/>
      <c r="O30" s="45"/>
      <c r="P30" s="45"/>
      <c r="Q30" s="45"/>
      <c r="R30" s="45"/>
      <c r="S30" s="45"/>
      <c r="T30" s="8"/>
      <c r="U30" s="45"/>
      <c r="V30" s="45"/>
      <c r="W30" s="45"/>
      <c r="X30" s="45"/>
      <c r="Y30" s="45"/>
      <c r="Z30" s="45"/>
      <c r="AA30" s="8"/>
      <c r="AB30" s="8"/>
      <c r="AC30" s="8"/>
      <c r="AD30" s="8"/>
      <c r="AE30" s="8"/>
      <c r="AF30" s="8"/>
    </row>
    <row r="31" spans="1:32" x14ac:dyDescent="0.25">
      <c r="A31" s="15" t="s">
        <v>44</v>
      </c>
      <c r="B31" s="40">
        <f>'Input data BoD'!G31*'Input data BoD'!E31</f>
        <v>103997.85528705771</v>
      </c>
      <c r="C31" s="40">
        <f>'Input data BoD'!H31*'Input data BoD'!F31</f>
        <v>91440.606469492472</v>
      </c>
      <c r="D31" s="40">
        <f t="shared" si="0"/>
        <v>195438.46175655018</v>
      </c>
      <c r="E31" s="40">
        <f>'Input data BoD'!J31*'Input data BoD'!M31</f>
        <v>7317.3000576527938</v>
      </c>
      <c r="F31" s="40">
        <f>'Input data BoD'!K31*'Input data BoD'!N31</f>
        <v>8635.8852121267191</v>
      </c>
      <c r="G31" s="40">
        <f t="shared" si="1"/>
        <v>15953.185269779513</v>
      </c>
      <c r="H31" s="40">
        <f t="shared" si="2"/>
        <v>111315.15534471051</v>
      </c>
      <c r="I31" s="40">
        <f t="shared" si="4"/>
        <v>100076.4916816192</v>
      </c>
      <c r="J31" s="40">
        <f t="shared" si="5"/>
        <v>211391.64702632971</v>
      </c>
      <c r="K31" s="22">
        <f t="shared" si="6"/>
        <v>7.5467434471488251E-2</v>
      </c>
      <c r="L31" s="22">
        <f t="shared" si="7"/>
        <v>0.52658256326866948</v>
      </c>
      <c r="N31" s="45"/>
      <c r="O31" s="45"/>
      <c r="P31" s="45"/>
      <c r="Q31" s="45"/>
      <c r="R31" s="45"/>
      <c r="S31" s="45"/>
      <c r="T31" s="8"/>
      <c r="U31" s="45"/>
      <c r="V31" s="45"/>
      <c r="W31" s="45"/>
      <c r="X31" s="45"/>
      <c r="Y31" s="45"/>
      <c r="Z31" s="45"/>
      <c r="AA31" s="8"/>
      <c r="AB31" s="8"/>
      <c r="AC31" s="8"/>
      <c r="AD31" s="8"/>
      <c r="AE31" s="8"/>
      <c r="AF31" s="8"/>
    </row>
    <row r="32" spans="1:32" x14ac:dyDescent="0.25">
      <c r="A32" s="15" t="s">
        <v>45</v>
      </c>
      <c r="B32" s="40">
        <f>'Input data BoD'!G32*'Input data BoD'!E32</f>
        <v>68345.940866705452</v>
      </c>
      <c r="C32" s="40">
        <f>'Input data BoD'!H32*'Input data BoD'!F32</f>
        <v>92393.584326632423</v>
      </c>
      <c r="D32" s="40">
        <f t="shared" si="0"/>
        <v>160739.52519333787</v>
      </c>
      <c r="E32" s="40">
        <f>'Input data BoD'!J32*'Input data BoD'!M32</f>
        <v>4089.7155692995607</v>
      </c>
      <c r="F32" s="40">
        <f>'Input data BoD'!K32*'Input data BoD'!N32</f>
        <v>5957.1279071435429</v>
      </c>
      <c r="G32" s="40">
        <f t="shared" si="1"/>
        <v>10046.843476443104</v>
      </c>
      <c r="H32" s="40">
        <f t="shared" si="2"/>
        <v>72435.656436005011</v>
      </c>
      <c r="I32" s="40">
        <f t="shared" si="4"/>
        <v>98350.712233775965</v>
      </c>
      <c r="J32" s="40">
        <f t="shared" si="5"/>
        <v>170786.36866978099</v>
      </c>
      <c r="K32" s="22">
        <f t="shared" si="6"/>
        <v>5.8826963502391021E-2</v>
      </c>
      <c r="L32" s="22">
        <f t="shared" si="7"/>
        <v>0.42413019844728278</v>
      </c>
      <c r="N32" s="45"/>
      <c r="O32" s="45"/>
      <c r="P32" s="45"/>
      <c r="Q32" s="45"/>
      <c r="R32" s="45"/>
      <c r="S32" s="45"/>
      <c r="T32" s="8"/>
      <c r="U32" s="45"/>
      <c r="V32" s="45"/>
      <c r="W32" s="45"/>
      <c r="X32" s="45"/>
      <c r="Y32" s="45"/>
      <c r="Z32" s="45"/>
      <c r="AA32" s="8"/>
      <c r="AB32" s="8"/>
      <c r="AC32" s="8"/>
      <c r="AD32" s="8"/>
      <c r="AE32" s="8"/>
      <c r="AF32" s="8"/>
    </row>
    <row r="33" spans="1:32" x14ac:dyDescent="0.25">
      <c r="A33" s="15" t="s">
        <v>100</v>
      </c>
      <c r="B33" s="40">
        <f>'Input data BoD'!G33*'Input data BoD'!E33</f>
        <v>28819.118940861263</v>
      </c>
      <c r="C33" s="40">
        <f>'Input data BoD'!H33*'Input data BoD'!F33</f>
        <v>79362.97149794687</v>
      </c>
      <c r="D33" s="40">
        <f t="shared" si="0"/>
        <v>108182.09043880814</v>
      </c>
      <c r="E33" s="40">
        <f>'Input data BoD'!J33*'Input data BoD'!M33</f>
        <v>1653.2155482475785</v>
      </c>
      <c r="F33" s="40">
        <f>'Input data BoD'!K33*'Input data BoD'!N33</f>
        <v>3841.6123379587511</v>
      </c>
      <c r="G33" s="40">
        <f t="shared" si="1"/>
        <v>5494.8278862063298</v>
      </c>
      <c r="H33" s="40">
        <f t="shared" si="2"/>
        <v>30472.334489108842</v>
      </c>
      <c r="I33" s="40">
        <f t="shared" si="4"/>
        <v>83204.583835905622</v>
      </c>
      <c r="J33" s="40">
        <f t="shared" si="5"/>
        <v>113676.91832501447</v>
      </c>
      <c r="K33" s="22">
        <f>G33/J33</f>
        <v>4.8337234745368704E-2</v>
      </c>
      <c r="L33" s="22">
        <f t="shared" si="7"/>
        <v>0.26806087760036895</v>
      </c>
      <c r="N33" s="45"/>
      <c r="O33" s="45"/>
      <c r="P33" s="45"/>
      <c r="Q33" s="45"/>
      <c r="R33" s="45"/>
      <c r="S33" s="45"/>
      <c r="T33" s="8"/>
      <c r="U33" s="45"/>
      <c r="V33" s="45"/>
      <c r="W33" s="45"/>
      <c r="X33" s="45"/>
      <c r="Y33" s="45"/>
      <c r="Z33" s="45"/>
      <c r="AA33" s="8"/>
      <c r="AB33" s="8"/>
      <c r="AC33" s="8"/>
      <c r="AD33" s="8"/>
      <c r="AE33" s="8"/>
      <c r="AF33" s="8"/>
    </row>
    <row r="34" spans="1:32" x14ac:dyDescent="0.25">
      <c r="A34" s="15"/>
      <c r="B34" s="40"/>
      <c r="C34" s="40"/>
      <c r="D34" s="40"/>
      <c r="E34" s="40"/>
      <c r="F34" s="40"/>
      <c r="G34" s="40"/>
      <c r="H34" s="40"/>
      <c r="I34" s="40"/>
      <c r="J34" s="40"/>
      <c r="K34" s="22"/>
      <c r="L34" s="22"/>
      <c r="N34" s="46"/>
      <c r="O34" s="46"/>
      <c r="P34" s="46"/>
      <c r="Q34" s="46"/>
      <c r="R34" s="46"/>
      <c r="S34" s="46"/>
      <c r="T34" s="8"/>
      <c r="U34" s="46"/>
      <c r="V34" s="46"/>
      <c r="W34" s="46"/>
      <c r="X34" s="46"/>
      <c r="Y34" s="46"/>
      <c r="Z34" s="46"/>
      <c r="AA34" s="8"/>
      <c r="AB34" s="8"/>
      <c r="AC34" s="8"/>
      <c r="AD34" s="8"/>
      <c r="AE34" s="8"/>
      <c r="AF34" s="8"/>
    </row>
    <row r="35" spans="1:32" x14ac:dyDescent="0.25">
      <c r="A35" s="15"/>
      <c r="B35" s="40"/>
      <c r="C35" s="40"/>
      <c r="D35" s="40"/>
      <c r="E35" s="40"/>
      <c r="F35" s="40"/>
      <c r="G35" s="40"/>
      <c r="H35" s="40"/>
      <c r="I35" s="40"/>
      <c r="J35" s="40"/>
      <c r="K35" s="22"/>
      <c r="L35" s="22"/>
      <c r="N35" s="46"/>
      <c r="O35" s="46"/>
      <c r="P35" s="46"/>
      <c r="Q35" s="46"/>
      <c r="R35" s="46"/>
      <c r="S35" s="46"/>
      <c r="T35" s="8"/>
      <c r="U35" s="46"/>
      <c r="V35" s="46"/>
      <c r="W35" s="46"/>
      <c r="X35" s="46"/>
      <c r="Y35" s="46"/>
      <c r="Z35" s="46"/>
      <c r="AA35" s="8"/>
      <c r="AB35" s="8"/>
      <c r="AC35" s="8"/>
      <c r="AD35" s="8"/>
      <c r="AE35" s="8"/>
      <c r="AF35" s="8"/>
    </row>
    <row r="36" spans="1:32" x14ac:dyDescent="0.25">
      <c r="A36" s="15"/>
      <c r="B36" s="40"/>
      <c r="C36" s="40"/>
      <c r="D36" s="40"/>
      <c r="E36" s="40"/>
      <c r="F36" s="40"/>
      <c r="G36" s="40"/>
      <c r="H36" s="40"/>
      <c r="I36" s="40"/>
      <c r="J36" s="40"/>
      <c r="K36" s="22"/>
      <c r="L36" s="22"/>
      <c r="N36" s="46"/>
      <c r="O36" s="46"/>
      <c r="P36" s="46"/>
      <c r="Q36" s="46"/>
      <c r="R36" s="46"/>
      <c r="S36" s="46"/>
      <c r="T36" s="8"/>
      <c r="U36" s="46"/>
      <c r="V36" s="46"/>
      <c r="W36" s="46"/>
      <c r="X36" s="46"/>
      <c r="Y36" s="46"/>
      <c r="Z36" s="46"/>
      <c r="AA36" s="8"/>
      <c r="AB36" s="8"/>
      <c r="AC36" s="8"/>
      <c r="AD36" s="8"/>
      <c r="AE36" s="8"/>
      <c r="AF36" s="8"/>
    </row>
    <row r="37" spans="1:32" x14ac:dyDescent="0.25">
      <c r="A37" s="7" t="s">
        <v>19</v>
      </c>
      <c r="B37" s="40">
        <f t="shared" ref="B37:J37" si="8">SUM(B14:B33)</f>
        <v>771960.67846147704</v>
      </c>
      <c r="C37" s="40">
        <f t="shared" si="8"/>
        <v>492450.87750974228</v>
      </c>
      <c r="D37" s="40">
        <f t="shared" si="8"/>
        <v>1264411.5559712192</v>
      </c>
      <c r="E37" s="40">
        <f t="shared" si="8"/>
        <v>47941.663291185148</v>
      </c>
      <c r="F37" s="40">
        <f t="shared" si="8"/>
        <v>49258.275444708532</v>
      </c>
      <c r="G37" s="40">
        <f t="shared" si="8"/>
        <v>97199.938735893695</v>
      </c>
      <c r="H37" s="40">
        <f t="shared" si="8"/>
        <v>819902.34175266209</v>
      </c>
      <c r="I37" s="40">
        <f t="shared" si="8"/>
        <v>541709.15295445081</v>
      </c>
      <c r="J37" s="40">
        <f t="shared" si="8"/>
        <v>1361611.4947071129</v>
      </c>
      <c r="K37" s="22">
        <f t="shared" ref="K37" si="9">G37/J37</f>
        <v>7.1385956356663782E-2</v>
      </c>
      <c r="L37" s="22">
        <f>H37/J37</f>
        <v>0.60215586086031525</v>
      </c>
      <c r="M37" s="12"/>
      <c r="N37" s="45"/>
      <c r="O37" s="45"/>
      <c r="P37" s="45"/>
      <c r="Q37" s="45"/>
      <c r="R37" s="45"/>
      <c r="S37" s="45"/>
      <c r="T37" s="34"/>
      <c r="U37" s="45"/>
      <c r="V37" s="45"/>
      <c r="W37" s="45"/>
      <c r="X37" s="45"/>
      <c r="Y37" s="45"/>
      <c r="Z37" s="45"/>
      <c r="AA37" s="8"/>
      <c r="AB37" s="8"/>
      <c r="AC37" s="8"/>
      <c r="AD37" s="8"/>
      <c r="AE37" s="8"/>
      <c r="AF37" s="8"/>
    </row>
    <row r="38" spans="1:32" x14ac:dyDescent="0.25">
      <c r="A38" s="15"/>
      <c r="B38" s="12"/>
      <c r="C38" s="12"/>
      <c r="D38" s="12"/>
      <c r="F38" s="15"/>
      <c r="G38" s="15"/>
      <c r="H38" s="12"/>
      <c r="I38" s="12"/>
      <c r="J38" s="12"/>
      <c r="K38" s="10"/>
      <c r="L38" s="22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x14ac:dyDescent="0.25">
      <c r="A39" s="15"/>
      <c r="B39" s="14"/>
      <c r="C39" s="12"/>
      <c r="D39" s="12"/>
      <c r="E39" s="12"/>
      <c r="F39" s="15"/>
      <c r="G39" s="15"/>
      <c r="H39" s="15"/>
      <c r="I39" s="12"/>
      <c r="J39" s="12"/>
      <c r="K39" s="12"/>
      <c r="L39" s="10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x14ac:dyDescent="0.25">
      <c r="A40" s="15"/>
      <c r="B40" s="14"/>
      <c r="C40" s="12"/>
      <c r="D40" s="12"/>
      <c r="E40" s="12"/>
      <c r="F40" s="15"/>
      <c r="G40" s="15"/>
      <c r="H40" s="15"/>
      <c r="I40" s="12"/>
      <c r="J40" s="12"/>
      <c r="K40" s="12"/>
      <c r="L40" s="10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x14ac:dyDescent="0.25">
      <c r="A41" s="15"/>
      <c r="B41" s="14"/>
      <c r="C41" s="12"/>
      <c r="D41" s="12"/>
      <c r="E41" s="12"/>
      <c r="F41" s="15"/>
      <c r="G41" s="15"/>
      <c r="H41" s="15"/>
      <c r="I41" s="12"/>
      <c r="J41" s="12"/>
      <c r="K41" s="12"/>
      <c r="L41" s="10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x14ac:dyDescent="0.25">
      <c r="A42" s="15"/>
      <c r="B42" s="14"/>
      <c r="C42" s="12"/>
      <c r="D42" s="12"/>
      <c r="E42" s="12"/>
      <c r="F42" s="15"/>
      <c r="G42" s="15"/>
      <c r="H42" s="15"/>
      <c r="I42" s="12"/>
      <c r="J42" s="12"/>
      <c r="K42" s="12"/>
      <c r="L42" s="10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x14ac:dyDescent="0.25">
      <c r="A43" s="15"/>
      <c r="B43" s="14"/>
      <c r="C43" s="12"/>
      <c r="D43" s="12"/>
      <c r="E43" s="12"/>
      <c r="F43" s="15"/>
      <c r="G43" s="15"/>
      <c r="H43" s="15"/>
      <c r="I43" s="12"/>
      <c r="J43" s="12"/>
      <c r="K43" s="12"/>
      <c r="L43" s="10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x14ac:dyDescent="0.25">
      <c r="A44" s="15"/>
      <c r="B44" s="14"/>
      <c r="C44" s="12"/>
      <c r="D44" s="12"/>
      <c r="E44" s="12"/>
      <c r="F44" s="15"/>
      <c r="G44" s="15"/>
      <c r="H44" s="15"/>
      <c r="I44" s="12"/>
      <c r="J44" s="12"/>
      <c r="K44" s="12"/>
      <c r="L44" s="10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x14ac:dyDescent="0.25">
      <c r="A45" s="15"/>
      <c r="B45" s="14"/>
      <c r="C45" s="12"/>
      <c r="D45" s="12"/>
      <c r="E45" s="12"/>
      <c r="F45" s="15"/>
      <c r="G45" s="15"/>
      <c r="H45" s="15"/>
      <c r="I45" s="12"/>
      <c r="J45" s="12"/>
      <c r="K45" s="12"/>
      <c r="L45" s="1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x14ac:dyDescent="0.25">
      <c r="A46" s="15"/>
      <c r="B46" s="14"/>
      <c r="C46" s="12"/>
      <c r="D46" s="12"/>
      <c r="E46" s="12"/>
      <c r="F46" s="15"/>
      <c r="G46" s="15"/>
      <c r="H46" s="15"/>
      <c r="I46" s="12"/>
      <c r="J46" s="12"/>
      <c r="K46" s="12"/>
      <c r="L46" s="10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x14ac:dyDescent="0.25">
      <c r="A47" s="15"/>
      <c r="B47" s="14"/>
      <c r="C47" s="12"/>
      <c r="D47" s="12"/>
      <c r="E47" s="12"/>
      <c r="F47" s="15"/>
      <c r="G47" s="15"/>
      <c r="H47" s="15"/>
      <c r="I47" s="12"/>
      <c r="J47" s="12"/>
      <c r="K47" s="12"/>
      <c r="L47" s="10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x14ac:dyDescent="0.25">
      <c r="A48" s="15"/>
      <c r="B48" s="14"/>
      <c r="C48" s="12"/>
      <c r="D48" s="12"/>
      <c r="E48" s="12"/>
      <c r="F48" s="15"/>
      <c r="G48" s="15"/>
      <c r="H48" s="15"/>
      <c r="I48" s="12"/>
      <c r="J48" s="12"/>
      <c r="K48" s="12"/>
      <c r="L48" s="1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x14ac:dyDescent="0.25">
      <c r="A49" s="15"/>
      <c r="B49" s="14"/>
      <c r="C49" s="12"/>
      <c r="D49" s="12"/>
      <c r="E49" s="12"/>
      <c r="F49" s="15"/>
      <c r="G49" s="15"/>
      <c r="H49" s="15"/>
      <c r="I49" s="12"/>
      <c r="J49" s="12"/>
      <c r="K49" s="12"/>
      <c r="L49" s="10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x14ac:dyDescent="0.25">
      <c r="A50" s="15"/>
      <c r="B50" s="14"/>
      <c r="C50" s="12"/>
      <c r="D50" s="12"/>
      <c r="E50" s="12"/>
      <c r="F50" s="15"/>
      <c r="G50" s="15"/>
      <c r="H50" s="15"/>
      <c r="I50" s="12"/>
      <c r="J50" s="12"/>
      <c r="K50" s="12"/>
      <c r="L50" s="10"/>
    </row>
    <row r="51" spans="1:32" x14ac:dyDescent="0.25">
      <c r="A51" s="15"/>
      <c r="B51" s="14"/>
      <c r="C51" s="12"/>
      <c r="D51" s="12"/>
      <c r="E51" s="12"/>
      <c r="F51" s="15"/>
      <c r="G51" s="15"/>
      <c r="H51" s="15"/>
      <c r="I51" s="12"/>
      <c r="J51" s="12"/>
      <c r="K51" s="12"/>
      <c r="L51" s="10"/>
    </row>
    <row r="52" spans="1:32" x14ac:dyDescent="0.25">
      <c r="A52" s="15"/>
      <c r="B52" s="14"/>
      <c r="C52" s="12"/>
      <c r="D52" s="12"/>
      <c r="E52" s="12"/>
      <c r="F52" s="15"/>
      <c r="G52" s="15"/>
      <c r="H52" s="15"/>
      <c r="I52" s="12"/>
      <c r="J52" s="12"/>
      <c r="K52" s="12"/>
      <c r="L52" s="10"/>
    </row>
    <row r="53" spans="1:32" x14ac:dyDescent="0.25">
      <c r="A53" s="15"/>
      <c r="B53" s="14"/>
      <c r="C53" s="12"/>
      <c r="D53" s="12"/>
      <c r="E53" s="12"/>
      <c r="F53" s="15"/>
      <c r="G53" s="15"/>
      <c r="H53" s="15"/>
      <c r="I53" s="12"/>
      <c r="J53" s="12"/>
      <c r="K53" s="12"/>
      <c r="L53" s="10"/>
    </row>
    <row r="54" spans="1:32" x14ac:dyDescent="0.25">
      <c r="A54" s="15"/>
      <c r="B54" s="14"/>
      <c r="C54" s="12"/>
      <c r="D54" s="12"/>
      <c r="E54" s="12"/>
      <c r="F54" s="15"/>
      <c r="G54" s="15"/>
      <c r="H54" s="15"/>
      <c r="I54" s="12"/>
      <c r="J54" s="12"/>
      <c r="K54" s="12"/>
      <c r="L54" s="10"/>
    </row>
    <row r="55" spans="1:32" x14ac:dyDescent="0.25">
      <c r="A55" s="15"/>
      <c r="B55" s="14"/>
      <c r="C55" s="12"/>
      <c r="D55" s="12"/>
      <c r="E55" s="12"/>
      <c r="F55" s="15"/>
      <c r="G55" s="15"/>
      <c r="H55" s="15"/>
      <c r="I55" s="12"/>
      <c r="J55" s="12"/>
      <c r="K55" s="12"/>
      <c r="L55" s="10"/>
    </row>
    <row r="56" spans="1:32" x14ac:dyDescent="0.25">
      <c r="A56" s="15"/>
      <c r="B56" s="14"/>
      <c r="C56" s="12"/>
      <c r="D56" s="12"/>
      <c r="E56" s="12"/>
      <c r="F56" s="15"/>
      <c r="G56" s="15"/>
      <c r="H56" s="15"/>
      <c r="I56" s="12"/>
      <c r="J56" s="12"/>
      <c r="K56" s="12"/>
      <c r="L56" s="10"/>
    </row>
    <row r="57" spans="1:32" x14ac:dyDescent="0.25">
      <c r="A57" s="15"/>
      <c r="B57" s="14"/>
      <c r="C57" s="12"/>
      <c r="D57" s="12"/>
      <c r="E57" s="12"/>
      <c r="F57" s="15"/>
      <c r="G57" s="15"/>
      <c r="H57" s="15"/>
      <c r="I57" s="12"/>
      <c r="J57" s="12"/>
      <c r="K57" s="12"/>
      <c r="L57" s="10"/>
    </row>
    <row r="58" spans="1:32" x14ac:dyDescent="0.25">
      <c r="A58" s="15"/>
      <c r="B58" s="14"/>
      <c r="C58" s="12"/>
      <c r="D58" s="12"/>
      <c r="E58" s="12"/>
      <c r="F58" s="15"/>
      <c r="G58" s="15"/>
      <c r="H58" s="15"/>
      <c r="I58" s="12"/>
      <c r="J58" s="12"/>
      <c r="K58" s="12"/>
      <c r="L58" s="10"/>
    </row>
    <row r="59" spans="1:32" x14ac:dyDescent="0.25">
      <c r="A59" s="15"/>
      <c r="B59" s="14"/>
      <c r="C59" s="12"/>
      <c r="D59" s="12"/>
      <c r="E59" s="12"/>
      <c r="F59" s="15"/>
      <c r="G59" s="15"/>
      <c r="H59" s="15"/>
      <c r="I59" s="12"/>
      <c r="J59" s="12"/>
      <c r="K59" s="12"/>
      <c r="L59" s="10"/>
    </row>
    <row r="60" spans="1:32" x14ac:dyDescent="0.25">
      <c r="A60" s="15"/>
      <c r="B60" s="14"/>
      <c r="C60" s="12"/>
      <c r="D60" s="12"/>
      <c r="E60" s="12"/>
      <c r="F60" s="15"/>
      <c r="G60" s="15"/>
      <c r="H60" s="15"/>
      <c r="I60" s="12"/>
      <c r="J60" s="12"/>
      <c r="K60" s="12"/>
      <c r="L60" s="10"/>
    </row>
    <row r="61" spans="1:32" x14ac:dyDescent="0.25">
      <c r="A61" s="15"/>
      <c r="B61" s="14"/>
      <c r="C61" s="12"/>
      <c r="D61" s="12"/>
      <c r="E61" s="12"/>
      <c r="F61" s="15"/>
      <c r="G61" s="15"/>
      <c r="H61" s="15"/>
      <c r="I61" s="12"/>
      <c r="J61" s="12"/>
      <c r="K61" s="12"/>
      <c r="L61" s="10"/>
    </row>
    <row r="62" spans="1:32" x14ac:dyDescent="0.25">
      <c r="A62" s="15"/>
      <c r="B62" s="14"/>
      <c r="C62" s="12"/>
      <c r="D62" s="12"/>
      <c r="E62" s="12"/>
      <c r="F62" s="15"/>
      <c r="G62" s="15"/>
      <c r="H62" s="15"/>
      <c r="I62" s="12"/>
      <c r="J62" s="12"/>
      <c r="K62" s="12"/>
      <c r="L62" s="10"/>
    </row>
    <row r="63" spans="1:32" x14ac:dyDescent="0.25">
      <c r="A63" s="15"/>
      <c r="B63" s="14"/>
      <c r="C63" s="12"/>
      <c r="D63" s="12"/>
      <c r="E63" s="12"/>
      <c r="F63" s="15"/>
      <c r="G63" s="15"/>
      <c r="H63" s="15"/>
      <c r="I63" s="12"/>
      <c r="J63" s="12"/>
      <c r="K63" s="12"/>
      <c r="L63" s="10"/>
    </row>
    <row r="64" spans="1:32" x14ac:dyDescent="0.25">
      <c r="A64" s="15"/>
      <c r="B64" s="14"/>
      <c r="C64" s="12"/>
      <c r="D64" s="12"/>
      <c r="E64" s="12"/>
      <c r="F64" s="15"/>
      <c r="G64" s="15"/>
      <c r="H64" s="15"/>
      <c r="I64" s="12"/>
      <c r="J64" s="12"/>
      <c r="K64" s="12"/>
      <c r="L64" s="10"/>
    </row>
    <row r="65" spans="1:12" x14ac:dyDescent="0.25">
      <c r="A65" s="15"/>
      <c r="B65" s="14"/>
      <c r="C65" s="12"/>
      <c r="D65" s="12"/>
      <c r="E65" s="12"/>
      <c r="F65" s="15"/>
      <c r="G65" s="15"/>
      <c r="H65" s="15"/>
      <c r="I65" s="12"/>
      <c r="J65" s="12"/>
      <c r="K65" s="12"/>
      <c r="L65" s="10"/>
    </row>
    <row r="66" spans="1:12" x14ac:dyDescent="0.25">
      <c r="A66" s="15"/>
      <c r="B66" s="14"/>
      <c r="C66" s="12"/>
      <c r="D66" s="12"/>
      <c r="E66" s="12"/>
      <c r="F66" s="15"/>
      <c r="G66" s="15"/>
      <c r="H66" s="15"/>
      <c r="I66" s="12"/>
      <c r="J66" s="12"/>
      <c r="K66" s="12"/>
      <c r="L66" s="10"/>
    </row>
    <row r="67" spans="1:12" x14ac:dyDescent="0.25">
      <c r="A67" s="15"/>
      <c r="B67" s="14"/>
      <c r="C67" s="12"/>
      <c r="D67" s="12"/>
      <c r="E67" s="12"/>
      <c r="F67" s="15"/>
      <c r="G67" s="15"/>
      <c r="H67" s="15"/>
      <c r="I67" s="12"/>
      <c r="J67" s="12"/>
      <c r="K67" s="12"/>
      <c r="L67" s="10"/>
    </row>
    <row r="68" spans="1:12" x14ac:dyDescent="0.25">
      <c r="A68" s="15"/>
      <c r="B68" s="14"/>
      <c r="C68" s="12"/>
      <c r="D68" s="12"/>
      <c r="E68" s="12"/>
      <c r="F68" s="15"/>
      <c r="G68" s="15"/>
      <c r="H68" s="15"/>
      <c r="I68" s="12"/>
      <c r="J68" s="12"/>
      <c r="K68" s="12"/>
      <c r="L68" s="10"/>
    </row>
    <row r="69" spans="1:12" x14ac:dyDescent="0.25">
      <c r="A69" s="15"/>
      <c r="B69" s="14"/>
      <c r="C69" s="12"/>
      <c r="D69" s="12"/>
      <c r="E69" s="12"/>
      <c r="F69" s="15"/>
      <c r="G69" s="15"/>
      <c r="H69" s="15"/>
      <c r="I69" s="12"/>
      <c r="J69" s="12"/>
      <c r="K69" s="12"/>
      <c r="L69" s="10"/>
    </row>
    <row r="70" spans="1:12" x14ac:dyDescent="0.25">
      <c r="A70" s="15"/>
      <c r="B70" s="14"/>
      <c r="C70" s="12"/>
      <c r="D70" s="12"/>
      <c r="E70" s="12"/>
      <c r="F70" s="15"/>
      <c r="G70" s="15"/>
      <c r="H70" s="15"/>
      <c r="I70" s="12"/>
      <c r="J70" s="12"/>
      <c r="K70" s="12"/>
      <c r="L70" s="10"/>
    </row>
    <row r="71" spans="1:12" x14ac:dyDescent="0.25">
      <c r="A71" s="15"/>
      <c r="B71" s="14"/>
      <c r="C71" s="12"/>
      <c r="D71" s="12"/>
      <c r="E71" s="12"/>
      <c r="F71" s="15"/>
      <c r="G71" s="15"/>
      <c r="H71" s="15"/>
      <c r="I71" s="12"/>
      <c r="J71" s="12"/>
      <c r="K71" s="12"/>
      <c r="L71" s="10"/>
    </row>
    <row r="72" spans="1:12" x14ac:dyDescent="0.25">
      <c r="A72" s="15"/>
      <c r="B72" s="14"/>
      <c r="C72" s="12"/>
      <c r="D72" s="12"/>
      <c r="E72" s="12"/>
      <c r="F72" s="15"/>
      <c r="G72" s="15"/>
      <c r="H72" s="15"/>
      <c r="I72" s="12"/>
      <c r="J72" s="12"/>
      <c r="K72" s="12"/>
      <c r="L72" s="10"/>
    </row>
    <row r="73" spans="1:12" x14ac:dyDescent="0.25">
      <c r="A73" s="15"/>
      <c r="B73" s="14"/>
      <c r="C73" s="12"/>
      <c r="D73" s="12"/>
      <c r="E73" s="12"/>
      <c r="F73" s="15"/>
      <c r="G73" s="15"/>
      <c r="H73" s="15"/>
      <c r="I73" s="12"/>
      <c r="J73" s="12"/>
      <c r="K73" s="12"/>
      <c r="L73" s="10"/>
    </row>
    <row r="74" spans="1:12" x14ac:dyDescent="0.25">
      <c r="A74" s="15"/>
      <c r="B74" s="14"/>
      <c r="C74" s="12"/>
      <c r="D74" s="12"/>
      <c r="E74" s="12"/>
      <c r="F74" s="15"/>
      <c r="G74" s="15"/>
      <c r="H74" s="15"/>
      <c r="I74" s="12"/>
      <c r="J74" s="12"/>
      <c r="K74" s="12"/>
      <c r="L74" s="10"/>
    </row>
    <row r="75" spans="1:12" x14ac:dyDescent="0.25">
      <c r="A75" s="15"/>
      <c r="B75" s="14"/>
      <c r="C75" s="12"/>
      <c r="D75" s="12"/>
      <c r="E75" s="12"/>
      <c r="F75" s="15"/>
      <c r="G75" s="15"/>
      <c r="H75" s="15"/>
      <c r="I75" s="12"/>
      <c r="J75" s="12"/>
      <c r="K75" s="12"/>
      <c r="L75" s="10"/>
    </row>
    <row r="76" spans="1:12" x14ac:dyDescent="0.25">
      <c r="A76" s="15"/>
      <c r="B76" s="14"/>
      <c r="C76" s="12"/>
      <c r="D76" s="12"/>
      <c r="E76" s="12"/>
      <c r="F76" s="15"/>
      <c r="G76" s="15"/>
      <c r="H76" s="15"/>
      <c r="I76" s="12"/>
      <c r="J76" s="12"/>
      <c r="K76" s="12"/>
      <c r="L76" s="10"/>
    </row>
    <row r="77" spans="1:12" x14ac:dyDescent="0.25">
      <c r="A77" s="15"/>
      <c r="B77" s="14"/>
      <c r="C77" s="12"/>
      <c r="D77" s="12"/>
      <c r="E77" s="12"/>
      <c r="F77" s="15"/>
      <c r="G77" s="15"/>
      <c r="H77" s="15"/>
      <c r="I77" s="12"/>
      <c r="J77" s="12"/>
      <c r="K77" s="12"/>
      <c r="L77" s="10"/>
    </row>
    <row r="78" spans="1:12" x14ac:dyDescent="0.25">
      <c r="A78" s="15"/>
      <c r="B78" s="14"/>
      <c r="C78" s="12"/>
      <c r="D78" s="12"/>
      <c r="E78" s="12"/>
      <c r="F78" s="15"/>
      <c r="G78" s="15"/>
      <c r="H78" s="15"/>
      <c r="I78" s="12"/>
      <c r="J78" s="12"/>
      <c r="K78" s="12"/>
      <c r="L78" s="10"/>
    </row>
    <row r="79" spans="1:12" x14ac:dyDescent="0.25">
      <c r="A79" s="15"/>
      <c r="B79" s="14"/>
      <c r="C79" s="12"/>
      <c r="D79" s="12"/>
      <c r="E79" s="12"/>
      <c r="F79" s="15"/>
      <c r="G79" s="15"/>
      <c r="H79" s="15"/>
      <c r="I79" s="12"/>
      <c r="J79" s="12"/>
      <c r="K79" s="12"/>
      <c r="L79" s="10"/>
    </row>
    <row r="80" spans="1:12" x14ac:dyDescent="0.25">
      <c r="A80" s="15"/>
      <c r="B80" s="14"/>
      <c r="C80" s="12"/>
      <c r="D80" s="12"/>
      <c r="E80" s="12"/>
      <c r="F80" s="15"/>
      <c r="G80" s="15"/>
      <c r="H80" s="15"/>
      <c r="I80" s="12"/>
      <c r="J80" s="12"/>
      <c r="K80" s="12"/>
      <c r="L80" s="10"/>
    </row>
    <row r="81" spans="1:12" x14ac:dyDescent="0.25">
      <c r="A81" s="15"/>
      <c r="B81" s="14"/>
      <c r="C81" s="12"/>
      <c r="D81" s="12"/>
      <c r="E81" s="12"/>
      <c r="F81" s="15"/>
      <c r="G81" s="15"/>
      <c r="H81" s="15"/>
      <c r="I81" s="12"/>
      <c r="J81" s="12"/>
      <c r="K81" s="12"/>
      <c r="L81" s="10"/>
    </row>
    <row r="82" spans="1:12" x14ac:dyDescent="0.25">
      <c r="A82" s="15"/>
      <c r="B82" s="14"/>
      <c r="C82" s="12"/>
      <c r="D82" s="12"/>
      <c r="E82" s="12"/>
      <c r="F82" s="15"/>
      <c r="G82" s="15"/>
      <c r="H82" s="15"/>
      <c r="I82" s="12"/>
      <c r="J82" s="12"/>
      <c r="K82" s="12"/>
      <c r="L82" s="10"/>
    </row>
    <row r="83" spans="1:12" x14ac:dyDescent="0.25">
      <c r="A83" s="15"/>
      <c r="B83" s="14"/>
      <c r="C83" s="12"/>
      <c r="D83" s="12"/>
      <c r="E83" s="12"/>
      <c r="F83" s="15"/>
      <c r="G83" s="15"/>
      <c r="H83" s="15"/>
      <c r="I83" s="12"/>
      <c r="J83" s="12"/>
      <c r="K83" s="12"/>
      <c r="L83" s="10"/>
    </row>
    <row r="84" spans="1:12" x14ac:dyDescent="0.25">
      <c r="A84" s="15"/>
      <c r="B84" s="14"/>
      <c r="C84" s="12"/>
      <c r="D84" s="12"/>
      <c r="E84" s="12"/>
      <c r="F84" s="15"/>
      <c r="G84" s="15"/>
      <c r="H84" s="15"/>
      <c r="I84" s="12"/>
      <c r="J84" s="12"/>
      <c r="K84" s="12"/>
      <c r="L84" s="10"/>
    </row>
    <row r="85" spans="1:12" x14ac:dyDescent="0.25">
      <c r="A85" s="15"/>
      <c r="B85" s="14"/>
      <c r="C85" s="12"/>
      <c r="D85" s="12"/>
      <c r="E85" s="12"/>
      <c r="F85" s="15"/>
      <c r="G85" s="15"/>
      <c r="H85" s="15"/>
      <c r="I85" s="12"/>
      <c r="J85" s="12"/>
      <c r="K85" s="12"/>
      <c r="L85" s="10"/>
    </row>
    <row r="86" spans="1:12" x14ac:dyDescent="0.25">
      <c r="A86" s="15"/>
      <c r="B86" s="14"/>
      <c r="C86" s="12"/>
      <c r="D86" s="12"/>
      <c r="E86" s="12"/>
      <c r="F86" s="15"/>
      <c r="G86" s="15"/>
      <c r="H86" s="15"/>
      <c r="I86" s="12"/>
      <c r="J86" s="12"/>
      <c r="K86" s="12"/>
      <c r="L86" s="10"/>
    </row>
    <row r="87" spans="1:12" x14ac:dyDescent="0.25">
      <c r="A87" s="15"/>
      <c r="B87" s="14"/>
      <c r="C87" s="12"/>
      <c r="D87" s="12"/>
      <c r="E87" s="12"/>
      <c r="F87" s="15"/>
      <c r="G87" s="15"/>
      <c r="H87" s="15"/>
      <c r="I87" s="12"/>
      <c r="J87" s="12"/>
      <c r="K87" s="12"/>
      <c r="L87" s="10"/>
    </row>
    <row r="88" spans="1:12" x14ac:dyDescent="0.25">
      <c r="A88" s="15"/>
      <c r="B88" s="14"/>
      <c r="C88" s="12"/>
      <c r="D88" s="12"/>
      <c r="E88" s="12"/>
      <c r="F88" s="15"/>
      <c r="G88" s="15"/>
      <c r="H88" s="15"/>
      <c r="I88" s="12"/>
      <c r="J88" s="12"/>
      <c r="K88" s="12"/>
      <c r="L88" s="10"/>
    </row>
    <row r="89" spans="1:12" x14ac:dyDescent="0.25">
      <c r="A89" s="15"/>
      <c r="B89" s="14"/>
      <c r="C89" s="12"/>
      <c r="D89" s="12"/>
      <c r="E89" s="12"/>
      <c r="F89" s="15"/>
      <c r="G89" s="15"/>
      <c r="H89" s="15"/>
      <c r="I89" s="12"/>
      <c r="J89" s="12"/>
      <c r="K89" s="12"/>
      <c r="L89" s="10"/>
    </row>
    <row r="90" spans="1:12" x14ac:dyDescent="0.25">
      <c r="A90" s="15"/>
      <c r="B90" s="14"/>
      <c r="C90" s="12"/>
      <c r="D90" s="12"/>
      <c r="E90" s="12"/>
      <c r="F90" s="15"/>
      <c r="G90" s="15"/>
      <c r="H90" s="15"/>
      <c r="I90" s="12"/>
      <c r="J90" s="12"/>
      <c r="K90" s="12"/>
      <c r="L90" s="10"/>
    </row>
    <row r="91" spans="1:12" x14ac:dyDescent="0.25">
      <c r="A91" s="15"/>
      <c r="B91" s="14"/>
      <c r="C91" s="12"/>
      <c r="D91" s="12"/>
      <c r="E91" s="12"/>
      <c r="F91" s="15"/>
      <c r="G91" s="15"/>
      <c r="H91" s="15"/>
      <c r="I91" s="12"/>
      <c r="J91" s="12"/>
      <c r="K91" s="12"/>
      <c r="L91" s="10"/>
    </row>
    <row r="92" spans="1:12" x14ac:dyDescent="0.25">
      <c r="A92" s="15"/>
      <c r="B92" s="14"/>
      <c r="C92" s="12"/>
      <c r="D92" s="12"/>
      <c r="E92" s="12"/>
      <c r="F92" s="15"/>
      <c r="G92" s="15"/>
      <c r="H92" s="15"/>
      <c r="I92" s="12"/>
      <c r="J92" s="12"/>
      <c r="K92" s="12"/>
      <c r="L92" s="10"/>
    </row>
    <row r="93" spans="1:12" x14ac:dyDescent="0.25">
      <c r="A93" s="15"/>
      <c r="B93" s="14"/>
      <c r="C93" s="12"/>
      <c r="D93" s="12"/>
      <c r="E93" s="12"/>
      <c r="F93" s="15"/>
      <c r="G93" s="15"/>
      <c r="H93" s="15"/>
      <c r="I93" s="12"/>
      <c r="J93" s="12"/>
      <c r="K93" s="12"/>
      <c r="L93" s="10"/>
    </row>
    <row r="94" spans="1:12" x14ac:dyDescent="0.25">
      <c r="A94" s="15"/>
      <c r="B94" s="14"/>
      <c r="C94" s="12"/>
      <c r="D94" s="12"/>
      <c r="E94" s="12"/>
      <c r="F94" s="15"/>
      <c r="G94" s="15"/>
      <c r="H94" s="15"/>
      <c r="I94" s="12"/>
      <c r="J94" s="12"/>
      <c r="K94" s="12"/>
      <c r="L94" s="10"/>
    </row>
    <row r="95" spans="1:12" x14ac:dyDescent="0.25">
      <c r="A95" s="15"/>
      <c r="B95" s="14"/>
      <c r="C95" s="12"/>
      <c r="D95" s="12"/>
      <c r="E95" s="12"/>
      <c r="F95" s="15"/>
      <c r="G95" s="15"/>
      <c r="H95" s="15"/>
      <c r="I95" s="12"/>
      <c r="J95" s="12"/>
      <c r="K95" s="12"/>
      <c r="L95" s="10"/>
    </row>
    <row r="96" spans="1:12" x14ac:dyDescent="0.25">
      <c r="A96" s="15"/>
      <c r="B96" s="14"/>
      <c r="C96" s="12"/>
      <c r="D96" s="12"/>
      <c r="E96" s="12"/>
      <c r="F96" s="15"/>
      <c r="G96" s="15"/>
      <c r="H96" s="15"/>
      <c r="I96" s="12"/>
      <c r="J96" s="12"/>
      <c r="K96" s="12"/>
      <c r="L96" s="10"/>
    </row>
    <row r="97" spans="1:12" x14ac:dyDescent="0.25">
      <c r="A97" s="15"/>
      <c r="B97" s="14"/>
      <c r="C97" s="12"/>
      <c r="D97" s="12"/>
      <c r="E97" s="12"/>
      <c r="F97" s="15"/>
      <c r="G97" s="15"/>
      <c r="H97" s="15"/>
      <c r="I97" s="12"/>
      <c r="J97" s="12"/>
      <c r="K97" s="12"/>
      <c r="L97" s="10"/>
    </row>
    <row r="98" spans="1:12" x14ac:dyDescent="0.25">
      <c r="A98" s="15"/>
      <c r="B98" s="14"/>
      <c r="C98" s="12"/>
      <c r="D98" s="12"/>
      <c r="E98" s="12"/>
      <c r="F98" s="15"/>
      <c r="G98" s="15"/>
      <c r="H98" s="15"/>
      <c r="I98" s="12"/>
      <c r="J98" s="12"/>
      <c r="K98" s="12"/>
      <c r="L98" s="10"/>
    </row>
    <row r="99" spans="1:12" x14ac:dyDescent="0.25">
      <c r="A99" s="15"/>
      <c r="B99" s="14"/>
      <c r="C99" s="12"/>
      <c r="D99" s="12"/>
      <c r="E99" s="12"/>
      <c r="F99" s="15"/>
      <c r="G99" s="15"/>
      <c r="H99" s="15"/>
      <c r="I99" s="12"/>
      <c r="J99" s="12"/>
      <c r="K99" s="12"/>
      <c r="L99" s="10"/>
    </row>
    <row r="100" spans="1:12" x14ac:dyDescent="0.25">
      <c r="A100" s="15"/>
      <c r="B100" s="14"/>
      <c r="C100" s="12"/>
      <c r="D100" s="12"/>
      <c r="E100" s="12"/>
      <c r="F100" s="15"/>
      <c r="G100" s="15"/>
      <c r="H100" s="15"/>
      <c r="I100" s="12"/>
      <c r="J100" s="12"/>
      <c r="K100" s="12"/>
      <c r="L100" s="10"/>
    </row>
    <row r="101" spans="1:12" x14ac:dyDescent="0.25">
      <c r="A101" s="15"/>
      <c r="B101" s="14"/>
      <c r="C101" s="12"/>
      <c r="D101" s="12"/>
      <c r="E101" s="12"/>
      <c r="F101" s="15"/>
      <c r="G101" s="15"/>
      <c r="H101" s="15"/>
      <c r="I101" s="12"/>
      <c r="J101" s="12"/>
      <c r="K101" s="12"/>
      <c r="L101" s="10"/>
    </row>
    <row r="102" spans="1:12" x14ac:dyDescent="0.25">
      <c r="A102" s="15"/>
      <c r="B102" s="14"/>
      <c r="C102" s="12"/>
      <c r="D102" s="12"/>
      <c r="E102" s="12"/>
      <c r="F102" s="15"/>
      <c r="G102" s="15"/>
      <c r="H102" s="15"/>
      <c r="I102" s="12"/>
      <c r="J102" s="12"/>
      <c r="K102" s="12"/>
      <c r="L102" s="10"/>
    </row>
    <row r="103" spans="1:12" x14ac:dyDescent="0.25">
      <c r="A103" s="15"/>
      <c r="B103" s="14"/>
      <c r="C103" s="12"/>
      <c r="D103" s="12"/>
      <c r="E103" s="12"/>
      <c r="F103" s="15"/>
      <c r="G103" s="15"/>
      <c r="H103" s="15"/>
      <c r="I103" s="12"/>
      <c r="J103" s="12"/>
      <c r="K103" s="12"/>
      <c r="L103" s="10"/>
    </row>
    <row r="104" spans="1:12" x14ac:dyDescent="0.25">
      <c r="A104" s="15"/>
      <c r="B104" s="14"/>
      <c r="C104" s="12"/>
      <c r="D104" s="12"/>
      <c r="E104" s="12"/>
      <c r="F104" s="15"/>
      <c r="G104" s="15"/>
      <c r="H104" s="15"/>
      <c r="I104" s="12"/>
      <c r="J104" s="12"/>
      <c r="K104" s="12"/>
      <c r="L104" s="10"/>
    </row>
    <row r="105" spans="1:12" x14ac:dyDescent="0.25">
      <c r="A105" s="15"/>
      <c r="B105" s="14"/>
      <c r="C105" s="12"/>
      <c r="D105" s="12"/>
      <c r="E105" s="12"/>
      <c r="F105" s="15"/>
      <c r="G105" s="15"/>
      <c r="H105" s="15"/>
      <c r="I105" s="12"/>
      <c r="J105" s="12"/>
      <c r="K105" s="12"/>
      <c r="L105" s="10"/>
    </row>
    <row r="106" spans="1:12" x14ac:dyDescent="0.25">
      <c r="A106" s="15"/>
      <c r="B106" s="14"/>
      <c r="C106" s="12"/>
      <c r="D106" s="12"/>
      <c r="E106" s="12"/>
      <c r="F106" s="15"/>
      <c r="G106" s="15"/>
      <c r="H106" s="15"/>
      <c r="I106" s="12"/>
      <c r="J106" s="12"/>
      <c r="K106" s="12"/>
      <c r="L106" s="10"/>
    </row>
    <row r="107" spans="1:12" x14ac:dyDescent="0.25">
      <c r="A107" s="15"/>
      <c r="B107" s="14"/>
      <c r="C107" s="12"/>
      <c r="D107" s="12"/>
      <c r="E107" s="12"/>
      <c r="F107" s="15"/>
      <c r="G107" s="15"/>
      <c r="H107" s="15"/>
      <c r="I107" s="12"/>
      <c r="J107" s="12"/>
      <c r="K107" s="12"/>
      <c r="L107" s="10"/>
    </row>
    <row r="108" spans="1:12" x14ac:dyDescent="0.25">
      <c r="A108" s="15"/>
      <c r="B108" s="14"/>
      <c r="C108" s="12"/>
      <c r="D108" s="12"/>
      <c r="E108" s="12"/>
      <c r="F108" s="15"/>
      <c r="G108" s="15"/>
      <c r="H108" s="15"/>
      <c r="I108" s="12"/>
      <c r="J108" s="12"/>
      <c r="K108" s="12"/>
      <c r="L108" s="10"/>
    </row>
    <row r="109" spans="1:12" x14ac:dyDescent="0.25">
      <c r="A109" s="15"/>
      <c r="B109" s="14"/>
      <c r="C109" s="12"/>
      <c r="D109" s="12"/>
      <c r="E109" s="12"/>
      <c r="F109" s="15"/>
      <c r="G109" s="15"/>
      <c r="H109" s="15"/>
      <c r="I109" s="12"/>
      <c r="J109" s="12"/>
      <c r="K109" s="12"/>
      <c r="L109" s="10"/>
    </row>
    <row r="110" spans="1:12" x14ac:dyDescent="0.25">
      <c r="A110" s="15"/>
      <c r="B110" s="14"/>
      <c r="C110" s="12"/>
      <c r="D110" s="12"/>
      <c r="E110" s="12"/>
      <c r="F110" s="15"/>
      <c r="G110" s="15"/>
      <c r="H110" s="15"/>
      <c r="I110" s="12"/>
      <c r="J110" s="12"/>
      <c r="K110" s="12"/>
      <c r="L110" s="10"/>
    </row>
    <row r="111" spans="1:12" x14ac:dyDescent="0.25">
      <c r="A111" s="15"/>
      <c r="B111" s="14"/>
      <c r="C111" s="12"/>
      <c r="D111" s="12"/>
      <c r="E111" s="12"/>
      <c r="F111" s="15"/>
      <c r="G111" s="15"/>
      <c r="H111" s="15"/>
      <c r="I111" s="12"/>
      <c r="J111" s="12"/>
      <c r="K111" s="12"/>
      <c r="L111" s="10"/>
    </row>
    <row r="112" spans="1:12" x14ac:dyDescent="0.25">
      <c r="A112" s="15"/>
      <c r="B112" s="15"/>
      <c r="C112" s="12"/>
      <c r="D112" s="12"/>
      <c r="E112" s="12"/>
      <c r="F112" s="15"/>
      <c r="G112" s="15"/>
      <c r="H112" s="15"/>
      <c r="I112" s="12"/>
      <c r="J112" s="12"/>
      <c r="K112" s="12"/>
      <c r="L112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3"/>
  <sheetViews>
    <sheetView workbookViewId="0">
      <selection activeCell="G37" sqref="G37"/>
    </sheetView>
  </sheetViews>
  <sheetFormatPr baseColWidth="10" defaultRowHeight="15" x14ac:dyDescent="0.25"/>
  <cols>
    <col min="3" max="3" width="12.42578125" customWidth="1"/>
    <col min="4" max="4" width="14" customWidth="1"/>
  </cols>
  <sheetData>
    <row r="1" spans="1:8" ht="28.5" customHeight="1" x14ac:dyDescent="0.3">
      <c r="A1" s="5" t="s">
        <v>0</v>
      </c>
      <c r="B1" s="2"/>
      <c r="C1" s="2"/>
      <c r="D1" s="2"/>
      <c r="F1" s="4" t="s">
        <v>14</v>
      </c>
      <c r="G1" s="1"/>
      <c r="H1" s="4"/>
    </row>
    <row r="2" spans="1:8" x14ac:dyDescent="0.25">
      <c r="A2" s="3" t="s">
        <v>2</v>
      </c>
      <c r="B2" s="2" t="str">
        <f>'Input data BoD'!B2</f>
        <v>Myriam</v>
      </c>
      <c r="C2" s="2"/>
      <c r="D2" s="2"/>
    </row>
    <row r="3" spans="1:8" x14ac:dyDescent="0.25">
      <c r="A3" s="3" t="s">
        <v>3</v>
      </c>
      <c r="B3" s="2" t="str">
        <f>'Input data BoD'!B3</f>
        <v>April 2018</v>
      </c>
      <c r="C3" s="2"/>
      <c r="D3" s="2"/>
    </row>
    <row r="4" spans="1:8" x14ac:dyDescent="0.25">
      <c r="A4" s="3" t="s">
        <v>4</v>
      </c>
      <c r="B4" s="2" t="str">
        <f>'Input data BoD'!B5</f>
        <v>Railway noise</v>
      </c>
      <c r="C4" s="2"/>
      <c r="D4" s="2"/>
    </row>
    <row r="5" spans="1:8" x14ac:dyDescent="0.25">
      <c r="A5" s="3" t="s">
        <v>5</v>
      </c>
      <c r="B5" s="2" t="str">
        <f>'Input data BoD'!B6</f>
        <v xml:space="preserve">Germany </v>
      </c>
      <c r="C5" s="2"/>
      <c r="D5" s="2"/>
    </row>
    <row r="6" spans="1:8" x14ac:dyDescent="0.25">
      <c r="A6" s="3" t="s">
        <v>6</v>
      </c>
      <c r="B6" s="2" t="str">
        <f>'Input data BoD'!B7</f>
        <v>Ischaemic heart disease</v>
      </c>
      <c r="C6" s="2"/>
      <c r="D6" s="2"/>
    </row>
    <row r="7" spans="1:8" x14ac:dyDescent="0.25">
      <c r="A7" s="3" t="s">
        <v>7</v>
      </c>
      <c r="B7" s="2" t="str">
        <f>'Input data BoD'!B8</f>
        <v>I20-I25</v>
      </c>
      <c r="C7" s="2"/>
      <c r="D7" s="2"/>
    </row>
    <row r="8" spans="1:8" x14ac:dyDescent="0.25">
      <c r="A8" s="3" t="s">
        <v>8</v>
      </c>
      <c r="B8" s="37">
        <v>2016</v>
      </c>
      <c r="C8" s="2"/>
      <c r="D8" s="2"/>
    </row>
    <row r="11" spans="1:8" x14ac:dyDescent="0.25">
      <c r="A11" s="26" t="s">
        <v>67</v>
      </c>
      <c r="B11" s="27" t="s">
        <v>68</v>
      </c>
      <c r="C11" s="28" t="s">
        <v>16</v>
      </c>
    </row>
    <row r="12" spans="1:8" s="15" customFormat="1" x14ac:dyDescent="0.25">
      <c r="A12" t="s">
        <v>108</v>
      </c>
      <c r="B12" s="27"/>
      <c r="C12">
        <v>61428002</v>
      </c>
    </row>
    <row r="13" spans="1:8" x14ac:dyDescent="0.25">
      <c r="A13" s="29" t="s">
        <v>69</v>
      </c>
      <c r="B13" s="30">
        <v>52</v>
      </c>
      <c r="C13">
        <v>11515000</v>
      </c>
    </row>
    <row r="14" spans="1:8" x14ac:dyDescent="0.25">
      <c r="A14" s="29" t="s">
        <v>103</v>
      </c>
      <c r="B14" s="30">
        <v>57</v>
      </c>
      <c r="C14">
        <v>5758000</v>
      </c>
      <c r="D14" s="10"/>
    </row>
    <row r="15" spans="1:8" x14ac:dyDescent="0.25">
      <c r="A15" s="29" t="s">
        <v>70</v>
      </c>
      <c r="B15" s="30">
        <v>62</v>
      </c>
      <c r="C15">
        <v>2484000</v>
      </c>
      <c r="D15" s="10"/>
    </row>
    <row r="16" spans="1:8" x14ac:dyDescent="0.25">
      <c r="A16" s="29" t="s">
        <v>71</v>
      </c>
      <c r="B16" s="30">
        <v>67</v>
      </c>
      <c r="C16">
        <v>980000</v>
      </c>
      <c r="D16" s="10"/>
    </row>
    <row r="17" spans="1:4" x14ac:dyDescent="0.25">
      <c r="A17" s="29" t="s">
        <v>72</v>
      </c>
      <c r="B17" s="30">
        <v>72</v>
      </c>
      <c r="C17">
        <v>343000</v>
      </c>
      <c r="D17" s="10"/>
    </row>
    <row r="18" spans="1:4" x14ac:dyDescent="0.25">
      <c r="A18" s="29" t="s">
        <v>73</v>
      </c>
      <c r="B18" s="30">
        <v>75</v>
      </c>
      <c r="C18">
        <v>149000</v>
      </c>
      <c r="D18" s="10"/>
    </row>
    <row r="19" spans="1:4" x14ac:dyDescent="0.25">
      <c r="A19" s="31" t="s">
        <v>19</v>
      </c>
      <c r="B19" s="19"/>
      <c r="C19" s="32">
        <f>SUM(C12:C18)</f>
        <v>82657002</v>
      </c>
      <c r="D19" s="10"/>
    </row>
    <row r="20" spans="1:4" x14ac:dyDescent="0.25">
      <c r="A20" s="19"/>
      <c r="B20" s="33"/>
      <c r="C20" s="32"/>
      <c r="D20" s="10"/>
    </row>
    <row r="21" spans="1:4" x14ac:dyDescent="0.25">
      <c r="A21" s="19"/>
      <c r="B21" s="31"/>
      <c r="C21" s="19"/>
      <c r="D21" s="10"/>
    </row>
    <row r="22" spans="1:4" x14ac:dyDescent="0.25">
      <c r="A22" s="19"/>
      <c r="B22" s="19"/>
      <c r="C22" s="19" t="s">
        <v>106</v>
      </c>
      <c r="D22" s="10"/>
    </row>
    <row r="23" spans="1:4" x14ac:dyDescent="0.25">
      <c r="A23" s="9"/>
      <c r="B23" s="9"/>
      <c r="C23" s="8"/>
      <c r="D23" s="10"/>
    </row>
    <row r="24" spans="1:4" x14ac:dyDescent="0.25">
      <c r="A24" s="49"/>
      <c r="B24" s="31"/>
      <c r="C24" s="19"/>
      <c r="D24" s="10"/>
    </row>
    <row r="25" spans="1:4" x14ac:dyDescent="0.25">
      <c r="A25" s="9"/>
      <c r="B25" s="9"/>
      <c r="C25" s="50"/>
      <c r="D25" s="10"/>
    </row>
    <row r="26" spans="1:4" x14ac:dyDescent="0.25">
      <c r="A26" s="9"/>
      <c r="B26" s="9"/>
      <c r="C26" s="34"/>
      <c r="D26" s="10"/>
    </row>
    <row r="27" spans="1:4" x14ac:dyDescent="0.25">
      <c r="A27" s="9"/>
      <c r="B27" s="9"/>
      <c r="C27" s="34"/>
      <c r="D27" s="10"/>
    </row>
    <row r="28" spans="1:4" x14ac:dyDescent="0.25">
      <c r="A28" s="9"/>
      <c r="B28" s="9"/>
      <c r="C28" s="34"/>
      <c r="D28" s="10"/>
    </row>
    <row r="29" spans="1:4" x14ac:dyDescent="0.25">
      <c r="A29" s="9"/>
      <c r="B29" s="9"/>
      <c r="C29" s="34"/>
      <c r="D29" s="10"/>
    </row>
    <row r="30" spans="1:4" x14ac:dyDescent="0.25">
      <c r="A30" s="9"/>
      <c r="B30" s="9"/>
      <c r="C30" s="34"/>
      <c r="D30" s="10"/>
    </row>
    <row r="31" spans="1:4" x14ac:dyDescent="0.25">
      <c r="A31" s="9"/>
      <c r="B31" s="9"/>
      <c r="C31" s="34"/>
      <c r="D31" s="10"/>
    </row>
    <row r="32" spans="1:4" x14ac:dyDescent="0.25">
      <c r="A32" s="9"/>
      <c r="B32" s="9"/>
      <c r="C32" s="34"/>
      <c r="D32" s="10"/>
    </row>
    <row r="33" spans="1:4" x14ac:dyDescent="0.25">
      <c r="A33" s="9"/>
      <c r="B33" s="15"/>
      <c r="C33" s="8"/>
      <c r="D33" s="10"/>
    </row>
    <row r="34" spans="1:4" x14ac:dyDescent="0.25">
      <c r="A34" s="9"/>
      <c r="B34" s="9"/>
      <c r="C34" s="15"/>
      <c r="D34" s="10"/>
    </row>
    <row r="35" spans="1:4" x14ac:dyDescent="0.25">
      <c r="A35" s="9"/>
      <c r="B35" s="9"/>
      <c r="C35" s="12"/>
      <c r="D35" s="10"/>
    </row>
    <row r="36" spans="1:4" x14ac:dyDescent="0.25">
      <c r="A36" s="9"/>
      <c r="B36" s="9"/>
      <c r="D36" s="10"/>
    </row>
    <row r="37" spans="1:4" x14ac:dyDescent="0.25">
      <c r="A37" s="9"/>
      <c r="B37" s="9"/>
      <c r="D37" s="10"/>
    </row>
    <row r="38" spans="1:4" x14ac:dyDescent="0.25">
      <c r="A38" s="9"/>
      <c r="B38" s="9"/>
      <c r="D38" s="10"/>
    </row>
    <row r="39" spans="1:4" x14ac:dyDescent="0.25">
      <c r="A39" s="9"/>
      <c r="B39" s="9"/>
      <c r="D39" s="10"/>
    </row>
    <row r="40" spans="1:4" x14ac:dyDescent="0.25">
      <c r="A40" s="9"/>
      <c r="B40" s="9"/>
      <c r="D40" s="10"/>
    </row>
    <row r="41" spans="1:4" x14ac:dyDescent="0.25">
      <c r="A41" s="9"/>
      <c r="B41" s="9"/>
      <c r="D41" s="10"/>
    </row>
    <row r="42" spans="1:4" x14ac:dyDescent="0.25">
      <c r="A42" s="9"/>
      <c r="B42" s="9"/>
      <c r="D42" s="10"/>
    </row>
    <row r="43" spans="1:4" x14ac:dyDescent="0.25">
      <c r="A43" s="9"/>
      <c r="B43" s="9"/>
      <c r="D43" s="10"/>
    </row>
    <row r="44" spans="1:4" x14ac:dyDescent="0.25">
      <c r="A44" s="9"/>
      <c r="B44" s="9"/>
      <c r="D44" s="10"/>
    </row>
    <row r="45" spans="1:4" x14ac:dyDescent="0.25">
      <c r="A45" s="9"/>
      <c r="B45" s="9"/>
      <c r="D45" s="10"/>
    </row>
    <row r="46" spans="1:4" x14ac:dyDescent="0.25">
      <c r="A46" s="9"/>
      <c r="B46" s="9"/>
      <c r="D46" s="10"/>
    </row>
    <row r="47" spans="1:4" x14ac:dyDescent="0.25">
      <c r="A47" s="9"/>
      <c r="B47" s="9"/>
      <c r="D47" s="10"/>
    </row>
    <row r="48" spans="1:4" x14ac:dyDescent="0.25">
      <c r="A48" s="9"/>
      <c r="B48" s="9"/>
      <c r="D48" s="10"/>
    </row>
    <row r="49" spans="1:4" x14ac:dyDescent="0.25">
      <c r="A49" s="9"/>
      <c r="B49" s="9"/>
      <c r="D49" s="10"/>
    </row>
    <row r="50" spans="1:4" x14ac:dyDescent="0.25">
      <c r="A50" s="9"/>
      <c r="B50" s="9"/>
      <c r="D50" s="10"/>
    </row>
    <row r="51" spans="1:4" x14ac:dyDescent="0.25">
      <c r="A51" s="9"/>
      <c r="B51" s="9"/>
      <c r="D51" s="10"/>
    </row>
    <row r="52" spans="1:4" x14ac:dyDescent="0.25">
      <c r="A52" s="9"/>
      <c r="B52" s="9"/>
      <c r="D52" s="10"/>
    </row>
    <row r="53" spans="1:4" x14ac:dyDescent="0.25">
      <c r="A53" s="9"/>
      <c r="B53" s="9"/>
      <c r="D53" s="10"/>
    </row>
    <row r="54" spans="1:4" x14ac:dyDescent="0.25">
      <c r="A54" s="9"/>
      <c r="B54" s="9"/>
    </row>
    <row r="55" spans="1:4" x14ac:dyDescent="0.25">
      <c r="A55" s="9"/>
      <c r="B55" s="9"/>
    </row>
    <row r="56" spans="1:4" x14ac:dyDescent="0.25">
      <c r="A56" s="9"/>
      <c r="B56" s="9"/>
    </row>
    <row r="57" spans="1:4" x14ac:dyDescent="0.25">
      <c r="A57" s="9"/>
      <c r="B57" s="9"/>
    </row>
    <row r="58" spans="1:4" x14ac:dyDescent="0.25">
      <c r="A58" s="9"/>
      <c r="B58" s="9"/>
    </row>
    <row r="59" spans="1:4" x14ac:dyDescent="0.25">
      <c r="B59" s="9"/>
    </row>
    <row r="60" spans="1:4" x14ac:dyDescent="0.25">
      <c r="A60" s="9"/>
      <c r="B60" s="9"/>
    </row>
    <row r="61" spans="1:4" x14ac:dyDescent="0.25">
      <c r="A61" s="9"/>
      <c r="B61" s="9"/>
    </row>
    <row r="62" spans="1:4" x14ac:dyDescent="0.25">
      <c r="A62" s="9"/>
      <c r="B62" s="9"/>
    </row>
    <row r="63" spans="1:4" x14ac:dyDescent="0.25">
      <c r="A63" s="9"/>
      <c r="B63" s="9"/>
    </row>
    <row r="64" spans="1:4" x14ac:dyDescent="0.25">
      <c r="A64" s="9"/>
      <c r="B64" s="9"/>
    </row>
    <row r="65" spans="1:2" x14ac:dyDescent="0.25">
      <c r="A65" s="9"/>
      <c r="B65" s="9"/>
    </row>
    <row r="66" spans="1:2" x14ac:dyDescent="0.25">
      <c r="A66" s="9"/>
      <c r="B66" s="9"/>
    </row>
    <row r="67" spans="1:2" x14ac:dyDescent="0.25">
      <c r="A67" s="9"/>
      <c r="B67" s="9"/>
    </row>
    <row r="68" spans="1:2" x14ac:dyDescent="0.25">
      <c r="A68" s="9"/>
      <c r="B68" s="9"/>
    </row>
    <row r="69" spans="1:2" x14ac:dyDescent="0.25">
      <c r="A69" s="9"/>
      <c r="B69" s="9"/>
    </row>
    <row r="70" spans="1:2" x14ac:dyDescent="0.25">
      <c r="A70" s="9"/>
      <c r="B70" s="9"/>
    </row>
    <row r="71" spans="1:2" x14ac:dyDescent="0.25">
      <c r="A71" s="9"/>
      <c r="B71" s="9"/>
    </row>
    <row r="72" spans="1:2" x14ac:dyDescent="0.25">
      <c r="A72" s="9"/>
      <c r="B72" s="9"/>
    </row>
    <row r="73" spans="1:2" x14ac:dyDescent="0.25">
      <c r="A73" s="9"/>
      <c r="B73" s="9"/>
    </row>
    <row r="74" spans="1:2" x14ac:dyDescent="0.25">
      <c r="A74" s="9"/>
      <c r="B74" s="9"/>
    </row>
    <row r="75" spans="1:2" x14ac:dyDescent="0.25">
      <c r="A75" s="9"/>
      <c r="B75" s="9"/>
    </row>
    <row r="76" spans="1:2" x14ac:dyDescent="0.25">
      <c r="A76" s="9"/>
      <c r="B76" s="9"/>
    </row>
    <row r="77" spans="1:2" x14ac:dyDescent="0.25">
      <c r="A77" s="9"/>
      <c r="B77" s="9"/>
    </row>
    <row r="78" spans="1:2" x14ac:dyDescent="0.25">
      <c r="A78" s="9"/>
      <c r="B78" s="9"/>
    </row>
    <row r="79" spans="1:2" x14ac:dyDescent="0.25">
      <c r="A79" s="9"/>
      <c r="B79" s="9"/>
    </row>
    <row r="80" spans="1:2" x14ac:dyDescent="0.25">
      <c r="A80" s="9"/>
      <c r="B80" s="9"/>
    </row>
    <row r="81" spans="1:2" x14ac:dyDescent="0.25">
      <c r="A81" s="9"/>
      <c r="B81" s="9"/>
    </row>
    <row r="82" spans="1:2" x14ac:dyDescent="0.25">
      <c r="A82" s="9"/>
      <c r="B82" s="9"/>
    </row>
    <row r="83" spans="1:2" x14ac:dyDescent="0.25">
      <c r="A83" s="9"/>
      <c r="B83" s="9"/>
    </row>
    <row r="84" spans="1:2" x14ac:dyDescent="0.25">
      <c r="A84" s="9"/>
      <c r="B84" s="9"/>
    </row>
    <row r="85" spans="1:2" x14ac:dyDescent="0.25">
      <c r="A85" s="9"/>
      <c r="B85" s="9"/>
    </row>
    <row r="86" spans="1:2" x14ac:dyDescent="0.25">
      <c r="A86" s="9"/>
      <c r="B86" s="9"/>
    </row>
    <row r="87" spans="1:2" x14ac:dyDescent="0.25">
      <c r="A87" s="9"/>
      <c r="B87" s="9"/>
    </row>
    <row r="88" spans="1:2" x14ac:dyDescent="0.25">
      <c r="A88" s="9"/>
      <c r="B88" s="9"/>
    </row>
    <row r="89" spans="1:2" x14ac:dyDescent="0.25">
      <c r="A89" s="9"/>
      <c r="B89" s="9"/>
    </row>
    <row r="90" spans="1:2" x14ac:dyDescent="0.25">
      <c r="A90" s="9"/>
      <c r="B90" s="9"/>
    </row>
    <row r="91" spans="1:2" x14ac:dyDescent="0.25">
      <c r="A91" s="9"/>
      <c r="B91" s="9"/>
    </row>
    <row r="92" spans="1:2" x14ac:dyDescent="0.25">
      <c r="A92" s="9"/>
      <c r="B92" s="9"/>
    </row>
    <row r="93" spans="1:2" x14ac:dyDescent="0.25">
      <c r="A93" s="9"/>
      <c r="B93" s="9"/>
    </row>
    <row r="94" spans="1:2" x14ac:dyDescent="0.25">
      <c r="A94" s="9"/>
      <c r="B94" s="9"/>
    </row>
    <row r="95" spans="1:2" x14ac:dyDescent="0.25">
      <c r="A95" s="9"/>
      <c r="B95" s="9"/>
    </row>
    <row r="96" spans="1:2" x14ac:dyDescent="0.25">
      <c r="A96" s="9"/>
      <c r="B96" s="9"/>
    </row>
    <row r="97" spans="1:2" x14ac:dyDescent="0.25">
      <c r="A97" s="9"/>
      <c r="B97" s="9"/>
    </row>
    <row r="98" spans="1:2" x14ac:dyDescent="0.25">
      <c r="A98" s="9"/>
      <c r="B98" s="9"/>
    </row>
    <row r="99" spans="1:2" x14ac:dyDescent="0.25">
      <c r="A99" s="9"/>
      <c r="B99" s="9"/>
    </row>
    <row r="100" spans="1:2" x14ac:dyDescent="0.25">
      <c r="A100" s="9"/>
      <c r="B100" s="9"/>
    </row>
    <row r="101" spans="1:2" x14ac:dyDescent="0.25">
      <c r="A101" s="9"/>
      <c r="B101" s="9"/>
    </row>
    <row r="102" spans="1:2" x14ac:dyDescent="0.25">
      <c r="A102" s="9"/>
      <c r="B102" s="9"/>
    </row>
    <row r="103" spans="1:2" x14ac:dyDescent="0.25">
      <c r="A103" s="9"/>
      <c r="B103" s="9"/>
    </row>
    <row r="104" spans="1:2" x14ac:dyDescent="0.25">
      <c r="A104" s="9"/>
      <c r="B104" s="9"/>
    </row>
    <row r="105" spans="1:2" x14ac:dyDescent="0.25">
      <c r="A105" s="9"/>
      <c r="B105" s="9"/>
    </row>
    <row r="106" spans="1:2" x14ac:dyDescent="0.25">
      <c r="A106" s="9"/>
      <c r="B106" s="9"/>
    </row>
    <row r="107" spans="1:2" x14ac:dyDescent="0.25">
      <c r="A107" s="9"/>
      <c r="B107" s="9"/>
    </row>
    <row r="108" spans="1:2" x14ac:dyDescent="0.25">
      <c r="A108" s="9"/>
      <c r="B108" s="9"/>
    </row>
    <row r="109" spans="1:2" x14ac:dyDescent="0.25">
      <c r="A109" s="9"/>
      <c r="B109" s="9"/>
    </row>
    <row r="110" spans="1:2" x14ac:dyDescent="0.25">
      <c r="A110" s="9"/>
      <c r="B110" s="9"/>
    </row>
    <row r="111" spans="1:2" x14ac:dyDescent="0.25">
      <c r="A111" s="9"/>
      <c r="B111" s="9"/>
    </row>
    <row r="112" spans="1:2" x14ac:dyDescent="0.25">
      <c r="A112" s="9"/>
      <c r="B112" s="9"/>
    </row>
    <row r="113" spans="1:2" x14ac:dyDescent="0.25">
      <c r="A113" s="9"/>
      <c r="B113" s="9"/>
    </row>
    <row r="114" spans="1:2" x14ac:dyDescent="0.25">
      <c r="A114" s="9"/>
      <c r="B114" s="9"/>
    </row>
    <row r="115" spans="1:2" x14ac:dyDescent="0.25">
      <c r="A115" s="9"/>
      <c r="B115" s="9"/>
    </row>
    <row r="116" spans="1:2" x14ac:dyDescent="0.25">
      <c r="A116" s="9"/>
      <c r="B116" s="9"/>
    </row>
    <row r="117" spans="1:2" x14ac:dyDescent="0.25">
      <c r="A117" s="9"/>
      <c r="B117" s="9"/>
    </row>
    <row r="118" spans="1:2" x14ac:dyDescent="0.25">
      <c r="A118" s="9"/>
      <c r="B118" s="9"/>
    </row>
    <row r="119" spans="1:2" x14ac:dyDescent="0.25">
      <c r="A119" s="9"/>
      <c r="B119" s="9"/>
    </row>
    <row r="120" spans="1:2" x14ac:dyDescent="0.25">
      <c r="A120" s="9"/>
      <c r="B120" s="9"/>
    </row>
    <row r="121" spans="1:2" x14ac:dyDescent="0.25">
      <c r="A121" s="9"/>
      <c r="B121" s="9"/>
    </row>
    <row r="122" spans="1:2" x14ac:dyDescent="0.25">
      <c r="A122" s="9"/>
      <c r="B122" s="9"/>
    </row>
    <row r="123" spans="1:2" x14ac:dyDescent="0.25">
      <c r="A123" s="9"/>
      <c r="B123" s="9"/>
    </row>
    <row r="124" spans="1:2" x14ac:dyDescent="0.25">
      <c r="A124" s="9"/>
      <c r="B124" s="9"/>
    </row>
    <row r="125" spans="1:2" x14ac:dyDescent="0.25">
      <c r="A125" s="9"/>
      <c r="B125" s="9"/>
    </row>
    <row r="126" spans="1:2" x14ac:dyDescent="0.25">
      <c r="A126" s="9"/>
      <c r="B126" s="9"/>
    </row>
    <row r="127" spans="1:2" x14ac:dyDescent="0.25">
      <c r="A127" s="9"/>
      <c r="B127" s="9"/>
    </row>
    <row r="128" spans="1:2" x14ac:dyDescent="0.25">
      <c r="A128" s="9"/>
      <c r="B128" s="9"/>
    </row>
    <row r="129" spans="1:2" x14ac:dyDescent="0.25">
      <c r="A129" s="9"/>
      <c r="B129" s="9"/>
    </row>
    <row r="130" spans="1:2" x14ac:dyDescent="0.25">
      <c r="A130" s="9"/>
      <c r="B130" s="9"/>
    </row>
    <row r="131" spans="1:2" x14ac:dyDescent="0.25">
      <c r="A131" s="9"/>
      <c r="B131" s="9"/>
    </row>
    <row r="132" spans="1:2" x14ac:dyDescent="0.25">
      <c r="A132" s="9"/>
      <c r="B132" s="9"/>
    </row>
    <row r="133" spans="1:2" x14ac:dyDescent="0.25">
      <c r="A133" s="9"/>
      <c r="B133" s="9"/>
    </row>
    <row r="134" spans="1:2" x14ac:dyDescent="0.25">
      <c r="A134" s="9"/>
      <c r="B134" s="9"/>
    </row>
    <row r="135" spans="1:2" x14ac:dyDescent="0.25">
      <c r="A135" s="9"/>
      <c r="B135" s="9"/>
    </row>
    <row r="136" spans="1:2" x14ac:dyDescent="0.25">
      <c r="A136" s="9"/>
      <c r="B136" s="9"/>
    </row>
    <row r="137" spans="1:2" x14ac:dyDescent="0.25">
      <c r="A137" s="9"/>
      <c r="B137" s="9"/>
    </row>
    <row r="138" spans="1:2" x14ac:dyDescent="0.25">
      <c r="A138" s="9"/>
      <c r="B138" s="9"/>
    </row>
    <row r="139" spans="1:2" x14ac:dyDescent="0.25">
      <c r="A139" s="9"/>
      <c r="B139" s="9"/>
    </row>
    <row r="140" spans="1:2" x14ac:dyDescent="0.25">
      <c r="A140" s="9"/>
      <c r="B140" s="9"/>
    </row>
    <row r="141" spans="1:2" x14ac:dyDescent="0.25">
      <c r="A141" s="9"/>
      <c r="B141" s="9"/>
    </row>
    <row r="142" spans="1:2" x14ac:dyDescent="0.25">
      <c r="A142" s="9"/>
      <c r="B142" s="9"/>
    </row>
    <row r="143" spans="1:2" x14ac:dyDescent="0.25">
      <c r="A143" s="9"/>
      <c r="B143" s="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3"/>
  <sheetViews>
    <sheetView workbookViewId="0">
      <selection activeCell="H27" sqref="H27"/>
    </sheetView>
  </sheetViews>
  <sheetFormatPr baseColWidth="10" defaultRowHeight="15" x14ac:dyDescent="0.25"/>
  <cols>
    <col min="4" max="4" width="13.42578125" bestFit="1" customWidth="1"/>
    <col min="7" max="8" width="11.7109375" customWidth="1"/>
    <col min="9" max="9" width="9.85546875" customWidth="1"/>
    <col min="10" max="10" width="9.7109375" customWidth="1"/>
    <col min="11" max="11" width="10.28515625" customWidth="1"/>
    <col min="12" max="12" width="12.28515625" customWidth="1"/>
    <col min="13" max="13" width="10.42578125" customWidth="1"/>
    <col min="14" max="14" width="9.42578125" customWidth="1"/>
    <col min="15" max="15" width="10.140625" customWidth="1"/>
    <col min="16" max="16" width="10.7109375" customWidth="1"/>
    <col min="17" max="17" width="12.42578125" customWidth="1"/>
    <col min="18" max="18" width="10.7109375" customWidth="1"/>
    <col min="19" max="19" width="10.140625" customWidth="1"/>
    <col min="20" max="20" width="10.42578125" customWidth="1"/>
    <col min="21" max="21" width="11.85546875" customWidth="1"/>
  </cols>
  <sheetData>
    <row r="1" spans="1:23" ht="18.75" x14ac:dyDescent="0.3">
      <c r="A1" s="5" t="s">
        <v>0</v>
      </c>
      <c r="B1" s="2"/>
      <c r="C1" s="2"/>
      <c r="D1" s="2"/>
      <c r="E1" s="2"/>
      <c r="G1" s="4" t="s">
        <v>59</v>
      </c>
      <c r="H1" s="18"/>
      <c r="I1" s="18"/>
      <c r="J1" s="1"/>
      <c r="L1" s="23"/>
    </row>
    <row r="2" spans="1:23" x14ac:dyDescent="0.25">
      <c r="A2" s="3" t="s">
        <v>2</v>
      </c>
      <c r="B2" s="2" t="str">
        <f>'Input data BoD'!B2</f>
        <v>Myriam</v>
      </c>
      <c r="C2" s="2"/>
      <c r="D2" s="2"/>
      <c r="E2" s="2"/>
      <c r="H2" s="38" t="s">
        <v>77</v>
      </c>
      <c r="L2" s="38" t="s">
        <v>80</v>
      </c>
    </row>
    <row r="3" spans="1:23" x14ac:dyDescent="0.25">
      <c r="A3" s="3" t="s">
        <v>3</v>
      </c>
      <c r="B3" s="2" t="str">
        <f>'Input data BoD'!B3</f>
        <v>April 2018</v>
      </c>
      <c r="C3" s="2"/>
      <c r="D3" s="2"/>
      <c r="E3" s="2"/>
      <c r="H3" t="s">
        <v>49</v>
      </c>
      <c r="I3" t="s">
        <v>86</v>
      </c>
      <c r="J3" t="s">
        <v>87</v>
      </c>
      <c r="L3" s="15" t="s">
        <v>49</v>
      </c>
      <c r="M3" s="15" t="s">
        <v>86</v>
      </c>
      <c r="N3" s="15" t="s">
        <v>87</v>
      </c>
    </row>
    <row r="4" spans="1:23" x14ac:dyDescent="0.25">
      <c r="A4" s="3" t="s">
        <v>4</v>
      </c>
      <c r="B4" s="2" t="str">
        <f>'Input data BoD'!B5</f>
        <v>Railway noise</v>
      </c>
      <c r="C4" s="2"/>
      <c r="D4" s="2"/>
      <c r="E4" s="2"/>
      <c r="G4" t="s">
        <v>74</v>
      </c>
      <c r="H4" s="15">
        <v>1.18</v>
      </c>
      <c r="I4" s="15">
        <v>1</v>
      </c>
      <c r="J4" s="15">
        <v>1.68</v>
      </c>
      <c r="L4">
        <v>1.18</v>
      </c>
      <c r="M4">
        <v>1</v>
      </c>
      <c r="N4">
        <v>1.68</v>
      </c>
    </row>
    <row r="5" spans="1:23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  <c r="G5" t="s">
        <v>26</v>
      </c>
      <c r="H5" s="8">
        <f>(H4-1)/10</f>
        <v>1.7999999999999995E-2</v>
      </c>
      <c r="I5" s="8">
        <v>0</v>
      </c>
      <c r="J5" s="8">
        <f t="shared" ref="J5" si="0">(J4-1)/10</f>
        <v>6.7999999999999991E-2</v>
      </c>
      <c r="L5">
        <f>(L4-1)/10</f>
        <v>1.7999999999999995E-2</v>
      </c>
      <c r="M5" s="15">
        <f>(M4-1)/10</f>
        <v>0</v>
      </c>
      <c r="N5" s="15">
        <f t="shared" ref="N5" si="1">(N4-1)/10</f>
        <v>6.7999999999999991E-2</v>
      </c>
    </row>
    <row r="6" spans="1:23" x14ac:dyDescent="0.25">
      <c r="A6" s="3" t="s">
        <v>6</v>
      </c>
      <c r="B6" s="2" t="str">
        <f>'Input data BoD'!B7</f>
        <v>Ischaemic heart disease</v>
      </c>
      <c r="C6" s="2"/>
      <c r="D6" s="2"/>
      <c r="E6" s="2"/>
      <c r="G6" t="s">
        <v>17</v>
      </c>
      <c r="H6" s="8" t="s">
        <v>83</v>
      </c>
      <c r="L6" s="8" t="s">
        <v>83</v>
      </c>
    </row>
    <row r="7" spans="1:23" x14ac:dyDescent="0.25">
      <c r="A7" s="3" t="s">
        <v>7</v>
      </c>
      <c r="B7" s="2" t="str">
        <f>'Input data BoD'!B8</f>
        <v>I20-I25</v>
      </c>
      <c r="C7" s="2"/>
      <c r="D7" s="2"/>
      <c r="E7" s="2"/>
      <c r="G7" t="s">
        <v>27</v>
      </c>
      <c r="H7" s="8">
        <v>53</v>
      </c>
    </row>
    <row r="8" spans="1:23" x14ac:dyDescent="0.25">
      <c r="A8" s="3" t="s">
        <v>8</v>
      </c>
      <c r="B8" s="2">
        <f>'Input data BoD'!B9</f>
        <v>2016</v>
      </c>
      <c r="C8" s="2"/>
      <c r="D8" s="2"/>
      <c r="E8" s="2"/>
      <c r="G8" t="s">
        <v>17</v>
      </c>
      <c r="H8" t="s">
        <v>90</v>
      </c>
    </row>
    <row r="10" spans="1:23" x14ac:dyDescent="0.25">
      <c r="D10" s="38" t="s">
        <v>77</v>
      </c>
      <c r="H10" s="8"/>
      <c r="N10" s="38" t="s">
        <v>80</v>
      </c>
    </row>
    <row r="11" spans="1:23" x14ac:dyDescent="0.25">
      <c r="A11" s="15" t="s">
        <v>15</v>
      </c>
      <c r="B11" s="15"/>
      <c r="D11" t="s">
        <v>75</v>
      </c>
      <c r="G11" t="s">
        <v>57</v>
      </c>
      <c r="J11" t="s">
        <v>76</v>
      </c>
      <c r="L11" s="15"/>
      <c r="N11" s="15" t="s">
        <v>75</v>
      </c>
      <c r="O11" s="15"/>
      <c r="P11" s="15"/>
      <c r="Q11" s="15" t="s">
        <v>57</v>
      </c>
      <c r="T11" s="15" t="s">
        <v>76</v>
      </c>
      <c r="U11" s="15"/>
      <c r="V11" s="15"/>
      <c r="W11" s="15"/>
    </row>
    <row r="12" spans="1:23" x14ac:dyDescent="0.25">
      <c r="A12" s="15" t="str">
        <f>'Input data Exposure'!A11</f>
        <v>Lden</v>
      </c>
      <c r="B12" s="15"/>
      <c r="C12" t="s">
        <v>58</v>
      </c>
      <c r="D12" t="s">
        <v>49</v>
      </c>
      <c r="E12" t="s">
        <v>48</v>
      </c>
      <c r="F12" t="s">
        <v>56</v>
      </c>
      <c r="G12" s="15" t="s">
        <v>49</v>
      </c>
      <c r="H12" s="15" t="s">
        <v>48</v>
      </c>
      <c r="I12" s="15" t="s">
        <v>56</v>
      </c>
      <c r="J12" s="15" t="s">
        <v>49</v>
      </c>
      <c r="K12" s="15" t="s">
        <v>48</v>
      </c>
      <c r="L12" s="15" t="s">
        <v>56</v>
      </c>
      <c r="N12" s="15" t="s">
        <v>49</v>
      </c>
      <c r="O12" s="15" t="s">
        <v>48</v>
      </c>
      <c r="P12" s="15" t="s">
        <v>56</v>
      </c>
      <c r="Q12" s="15" t="s">
        <v>49</v>
      </c>
      <c r="R12" s="15" t="s">
        <v>48</v>
      </c>
      <c r="S12" s="15" t="s">
        <v>56</v>
      </c>
      <c r="T12" s="15" t="s">
        <v>49</v>
      </c>
      <c r="U12" s="15" t="s">
        <v>48</v>
      </c>
      <c r="V12" s="15" t="s">
        <v>56</v>
      </c>
      <c r="W12" s="15"/>
    </row>
    <row r="13" spans="1:23" s="15" customFormat="1" x14ac:dyDescent="0.25">
      <c r="A13" s="15" t="s">
        <v>109</v>
      </c>
      <c r="C13" s="15">
        <f>'Input data Exposure'!C12</f>
        <v>61428002</v>
      </c>
      <c r="D13" s="35">
        <v>1</v>
      </c>
      <c r="E13" s="35">
        <v>1</v>
      </c>
      <c r="F13" s="35">
        <v>1</v>
      </c>
      <c r="G13" s="11">
        <f t="shared" ref="G13:G14" si="2">(C13*(D13-1))/(C13*((D13-1)+1))</f>
        <v>0</v>
      </c>
      <c r="H13" s="11">
        <f t="shared" ref="H13:H14" si="3">(C13*(E13-1))/(C13*((E13-1)+1))</f>
        <v>0</v>
      </c>
      <c r="I13" s="11">
        <f t="shared" ref="I13" si="4">(C13*(F13-1))/(C13*((F13-1)+1))</f>
        <v>0</v>
      </c>
      <c r="J13" s="11">
        <f t="shared" ref="J13:J14" si="5">G13*C13</f>
        <v>0</v>
      </c>
      <c r="K13" s="11">
        <f t="shared" ref="K13:K14" si="6">H13*C13</f>
        <v>0</v>
      </c>
      <c r="L13" s="11">
        <f t="shared" ref="L13:L14" si="7">I13*C13</f>
        <v>0</v>
      </c>
    </row>
    <row r="14" spans="1:23" x14ac:dyDescent="0.25">
      <c r="A14" s="15" t="s">
        <v>110</v>
      </c>
      <c r="B14" s="15">
        <f>'Input data Exposure'!B13</f>
        <v>52</v>
      </c>
      <c r="C14" s="15">
        <f>'Input data Exposure'!C13</f>
        <v>11515000</v>
      </c>
      <c r="D14" s="35">
        <v>1</v>
      </c>
      <c r="E14" s="35">
        <v>1</v>
      </c>
      <c r="F14" s="35">
        <v>1</v>
      </c>
      <c r="G14" s="11">
        <f t="shared" si="2"/>
        <v>0</v>
      </c>
      <c r="H14" s="11">
        <f t="shared" si="3"/>
        <v>0</v>
      </c>
      <c r="I14" s="11">
        <f>(C14*(F14-1))/(C14*((F14-1)+1))</f>
        <v>0</v>
      </c>
      <c r="J14" s="11">
        <f t="shared" si="5"/>
        <v>0</v>
      </c>
      <c r="K14" s="11">
        <f t="shared" si="6"/>
        <v>0</v>
      </c>
      <c r="L14" s="11">
        <f t="shared" si="7"/>
        <v>0</v>
      </c>
    </row>
    <row r="15" spans="1:23" x14ac:dyDescent="0.25">
      <c r="A15" s="15" t="str">
        <f>'Input data Exposure'!A14</f>
        <v>&gt; 55 &lt;=60</v>
      </c>
      <c r="B15" s="15">
        <f>'Input data Exposure'!B14</f>
        <v>57</v>
      </c>
      <c r="C15" s="15">
        <f>'Input data Exposure'!C14</f>
        <v>5758000</v>
      </c>
      <c r="D15" s="35">
        <f>EXP(H$5*($B$15-$H$7))</f>
        <v>1.0746553440638136</v>
      </c>
      <c r="E15" s="35">
        <f t="shared" ref="E15:F19" si="8">EXP(I$5*($B15-$H$7))</f>
        <v>1</v>
      </c>
      <c r="F15" s="35">
        <f t="shared" si="8"/>
        <v>1.3125870013111083</v>
      </c>
      <c r="G15" s="11">
        <f>(C15*(D15-1))/(C15*((D15-1)+1))</f>
        <v>6.9469104188794234E-2</v>
      </c>
      <c r="H15" s="11">
        <f>(C15*(E15-1))/(C15*((E15-1)+1))</f>
        <v>0</v>
      </c>
      <c r="I15" s="11">
        <f>(C15*(F15-1))/(C15*((F15-1)+1))</f>
        <v>0.23814573891016247</v>
      </c>
      <c r="J15" s="11">
        <f>G15*C15</f>
        <v>400003.10191907722</v>
      </c>
      <c r="K15" s="11">
        <f>H15*C15</f>
        <v>0</v>
      </c>
      <c r="L15" s="11">
        <f>I15*C15</f>
        <v>1371243.1646447156</v>
      </c>
      <c r="N15" s="39">
        <f>EXP(L$5*($B$15-$H$7))</f>
        <v>1.0746553440638136</v>
      </c>
      <c r="O15" s="39">
        <f>EXP(M$5*(B15-$H$7))</f>
        <v>1</v>
      </c>
      <c r="P15" s="39">
        <f>EXP(N$5*(B15-$H$7))</f>
        <v>1.3125870013111083</v>
      </c>
      <c r="Q15" s="11">
        <f>(C15*(N15-1))/(C15*((N15-1)+1))</f>
        <v>6.9469104188794234E-2</v>
      </c>
      <c r="R15" s="11">
        <f>(C15*(O15-1))/(C15*((O15-1)+1))</f>
        <v>0</v>
      </c>
      <c r="S15" s="11">
        <f>(C15*(P15-1))/(C15*((P15-1)+1))</f>
        <v>0.23814573891016247</v>
      </c>
      <c r="T15" s="11">
        <f>Q15*C15</f>
        <v>400003.10191907722</v>
      </c>
      <c r="U15" s="11">
        <f>R15*C15</f>
        <v>0</v>
      </c>
      <c r="V15" s="11">
        <f>S15*C15</f>
        <v>1371243.1646447156</v>
      </c>
    </row>
    <row r="16" spans="1:23" x14ac:dyDescent="0.25">
      <c r="A16" s="15" t="str">
        <f>'Input data Exposure'!A15</f>
        <v>&gt; 60 &lt;= 65</v>
      </c>
      <c r="B16" s="15">
        <f>'Input data Exposure'!B15</f>
        <v>62</v>
      </c>
      <c r="C16" s="15">
        <f>'Input data Exposure'!C15</f>
        <v>2484000</v>
      </c>
      <c r="D16" s="35">
        <f>EXP(H$5*(B16-H$7))</f>
        <v>1.1758602413209995</v>
      </c>
      <c r="E16" s="35">
        <f t="shared" si="8"/>
        <v>1</v>
      </c>
      <c r="F16" s="35">
        <f t="shared" si="8"/>
        <v>1.844115944897134</v>
      </c>
      <c r="G16" s="11">
        <f t="shared" ref="G16:G18" si="9">(C16*(D16-1))/(C16*((D16-1)+1))</f>
        <v>0.14955879545976691</v>
      </c>
      <c r="H16" s="11">
        <f>(C16*(E16-1))/(C16*((E16-1)+1))</f>
        <v>0</v>
      </c>
      <c r="I16" s="11">
        <f>(C16*(F16-1))/(C16*((F16-1)+1))</f>
        <v>0.45773474668601677</v>
      </c>
      <c r="J16" s="11">
        <f t="shared" ref="J16:J19" si="10">G16*C16</f>
        <v>371504.047922061</v>
      </c>
      <c r="K16" s="11">
        <f>H16*C16</f>
        <v>0</v>
      </c>
      <c r="L16" s="11">
        <f>I16*C16</f>
        <v>1137013.1107680656</v>
      </c>
      <c r="N16" s="39">
        <f>EXP(L$5*(B16-$H$7))</f>
        <v>1.1758602413209995</v>
      </c>
      <c r="O16" s="39">
        <f>EXP(M$5*(B16-$H$7))</f>
        <v>1</v>
      </c>
      <c r="P16" s="39">
        <f>EXP(N$5*(B16-$H$7))</f>
        <v>1.844115944897134</v>
      </c>
      <c r="Q16" s="11">
        <f>(C16*(N16-1))/(C16*((N16-1)+1))</f>
        <v>0.14955879545976691</v>
      </c>
      <c r="R16" s="11">
        <f>(C16*(O16-1))/(C16*((O16-1)+1))</f>
        <v>0</v>
      </c>
      <c r="S16" s="11">
        <f>(C16*(P16-1))/(C16*((P16-1)+1))</f>
        <v>0.45773474668601677</v>
      </c>
      <c r="T16" s="11">
        <f>Q16*C16</f>
        <v>371504.047922061</v>
      </c>
      <c r="U16" s="11">
        <f>R16*C16</f>
        <v>0</v>
      </c>
      <c r="V16" s="11">
        <f>S16*C16</f>
        <v>1137013.1107680656</v>
      </c>
    </row>
    <row r="17" spans="1:24" x14ac:dyDescent="0.25">
      <c r="A17" s="15" t="str">
        <f>'Input data Exposure'!A16</f>
        <v>&gt; 65 &lt;= 70</v>
      </c>
      <c r="B17" s="15">
        <f>'Input data Exposure'!B16</f>
        <v>67</v>
      </c>
      <c r="C17" s="15">
        <f>'Input data Exposure'!C16</f>
        <v>980000</v>
      </c>
      <c r="D17" s="35">
        <f>EXP(H$5*(B17-H$7))</f>
        <v>1.2865960372848406</v>
      </c>
      <c r="E17" s="35">
        <f t="shared" si="8"/>
        <v>1</v>
      </c>
      <c r="F17" s="35">
        <f t="shared" si="8"/>
        <v>2.5908862535031334</v>
      </c>
      <c r="G17" s="11">
        <f t="shared" si="9"/>
        <v>0.22275526193105386</v>
      </c>
      <c r="H17" s="11">
        <f>(C17*(E17-1))/(C17*((E17-1)+1))</f>
        <v>0</v>
      </c>
      <c r="I17" s="11">
        <f>(C17*(F17-1))/(C17*((F17-1)+1))</f>
        <v>0.61403168562575783</v>
      </c>
      <c r="J17" s="11">
        <f t="shared" si="10"/>
        <v>218300.15669243276</v>
      </c>
      <c r="K17" s="11">
        <f>H17*C17</f>
        <v>0</v>
      </c>
      <c r="L17" s="11">
        <f>I17*C17</f>
        <v>601751.05191324267</v>
      </c>
      <c r="N17" s="39">
        <f>EXP(L$5*(B17-$H$7))</f>
        <v>1.2865960372848406</v>
      </c>
      <c r="O17" s="39">
        <f>EXP(M$5*(B17-$H$7))</f>
        <v>1</v>
      </c>
      <c r="P17" s="39">
        <f>EXP(N$5*(B17-$H$7))</f>
        <v>2.5908862535031334</v>
      </c>
      <c r="Q17" s="11">
        <f>(C17*(N17-1))/(C17*((N17-1)+1))</f>
        <v>0.22275526193105386</v>
      </c>
      <c r="R17" s="11">
        <f>(C17*(O17-1))/(C17*((O17-1)+1))</f>
        <v>0</v>
      </c>
      <c r="S17" s="11">
        <f>(C17*(P17-1))/(C17*((P17-1)+1))</f>
        <v>0.61403168562575783</v>
      </c>
      <c r="T17" s="11">
        <f>Q17*C17</f>
        <v>218300.15669243276</v>
      </c>
      <c r="U17" s="11">
        <f>R17*C17</f>
        <v>0</v>
      </c>
      <c r="V17" s="11">
        <f>S17*C17</f>
        <v>601751.05191324267</v>
      </c>
    </row>
    <row r="18" spans="1:24" x14ac:dyDescent="0.25">
      <c r="A18" s="15" t="str">
        <f>'Input data Exposure'!A17</f>
        <v>&gt; 70 &lt;= 75</v>
      </c>
      <c r="B18" s="15">
        <f>'Input data Exposure'!B17</f>
        <v>72</v>
      </c>
      <c r="C18" s="15">
        <f>'Input data Exposure'!C17</f>
        <v>343000</v>
      </c>
      <c r="D18" s="35">
        <f>EXP(H$5*(B18-H$7))</f>
        <v>1.4077602975141024</v>
      </c>
      <c r="E18" s="35">
        <f t="shared" si="8"/>
        <v>1</v>
      </c>
      <c r="F18" s="35">
        <f t="shared" si="8"/>
        <v>3.6400593992835639</v>
      </c>
      <c r="G18" s="11">
        <f t="shared" si="9"/>
        <v>0.28965179529082269</v>
      </c>
      <c r="H18" s="11">
        <f>(C18*(E18-1))/(C18*((E18-1)+1))</f>
        <v>0</v>
      </c>
      <c r="I18" s="11">
        <f>(C18*(F18-1))/(C18*((F18-1)+1))</f>
        <v>0.72527920830170534</v>
      </c>
      <c r="J18" s="11">
        <f t="shared" si="10"/>
        <v>99350.56578475218</v>
      </c>
      <c r="K18" s="11">
        <f>H18*C18</f>
        <v>0</v>
      </c>
      <c r="L18" s="11">
        <f>I18*C18</f>
        <v>248770.76844748494</v>
      </c>
      <c r="N18" s="39">
        <f>EXP(L$5*(B18-$H$7))</f>
        <v>1.4077602975141024</v>
      </c>
      <c r="O18" s="39">
        <f>EXP(M$5*(B18-$H$7))</f>
        <v>1</v>
      </c>
      <c r="P18" s="39">
        <f>EXP(N$5*(B18-$H$7))</f>
        <v>3.6400593992835639</v>
      </c>
      <c r="Q18" s="11">
        <f>(C18*(N18-1))/(C18*((N18-1)+1))</f>
        <v>0.28965179529082269</v>
      </c>
      <c r="R18" s="11">
        <f>(C18*(O18-1))/(C18*((O18-1)+1))</f>
        <v>0</v>
      </c>
      <c r="S18" s="11">
        <f>(C18*(P18-1))/(C18*((P18-1)+1))</f>
        <v>0.72527920830170534</v>
      </c>
      <c r="T18" s="11">
        <f>Q18*C18</f>
        <v>99350.56578475218</v>
      </c>
      <c r="U18" s="11">
        <f>R18*C18</f>
        <v>0</v>
      </c>
      <c r="V18" s="11">
        <f>S18*C18</f>
        <v>248770.76844748494</v>
      </c>
    </row>
    <row r="19" spans="1:24" x14ac:dyDescent="0.25">
      <c r="A19" s="15" t="str">
        <f>'Input data Exposure'!A18</f>
        <v xml:space="preserve"> &gt; 75</v>
      </c>
      <c r="B19" s="15">
        <f>'Input data Exposure'!B18</f>
        <v>75</v>
      </c>
      <c r="C19" s="15">
        <f>'Input data Exposure'!C18</f>
        <v>149000</v>
      </c>
      <c r="D19" s="35">
        <f>EXP(H$5*(B19-H$7))</f>
        <v>1.4858693175513895</v>
      </c>
      <c r="E19" s="35">
        <f t="shared" si="8"/>
        <v>1</v>
      </c>
      <c r="F19" s="35">
        <f t="shared" si="8"/>
        <v>4.4637981198123571</v>
      </c>
      <c r="G19" s="15">
        <v>0</v>
      </c>
      <c r="H19" s="15">
        <v>0</v>
      </c>
      <c r="I19" s="20">
        <v>0</v>
      </c>
      <c r="J19" s="15">
        <f t="shared" si="10"/>
        <v>0</v>
      </c>
      <c r="K19" s="15">
        <f>H19*C19</f>
        <v>0</v>
      </c>
      <c r="L19" s="15">
        <f>I19*C19</f>
        <v>0</v>
      </c>
      <c r="N19" s="35">
        <f>EXP(L$5*(B19-$H$7))</f>
        <v>1.4858693175513895</v>
      </c>
      <c r="O19" s="35">
        <f>EXP(M$5*(B19-$H$7))</f>
        <v>1</v>
      </c>
      <c r="P19" s="35">
        <f>EXP(N$5*(B19-$H$7))</f>
        <v>4.4637981198123571</v>
      </c>
      <c r="Q19" s="15">
        <v>0</v>
      </c>
      <c r="R19" s="15">
        <v>0</v>
      </c>
      <c r="S19" s="15">
        <v>0</v>
      </c>
      <c r="T19" s="15">
        <f>Q19*C19</f>
        <v>0</v>
      </c>
      <c r="U19" s="15">
        <f>R19*C19</f>
        <v>0</v>
      </c>
      <c r="V19" s="15">
        <f>S19*C19</f>
        <v>0</v>
      </c>
    </row>
    <row r="20" spans="1:24" x14ac:dyDescent="0.25">
      <c r="A20" s="9"/>
      <c r="B20" s="9"/>
      <c r="D20" s="36"/>
      <c r="E20" s="36"/>
      <c r="F20" s="36"/>
      <c r="G20" s="20"/>
      <c r="J20" s="20"/>
      <c r="K20" s="15"/>
    </row>
    <row r="21" spans="1:24" x14ac:dyDescent="0.25">
      <c r="A21" s="9" t="s">
        <v>19</v>
      </c>
      <c r="B21" s="9"/>
      <c r="C21" s="12">
        <f>SUM(C13:C19)</f>
        <v>82657002</v>
      </c>
      <c r="D21" s="36"/>
      <c r="E21" s="36"/>
      <c r="F21" s="36"/>
      <c r="G21" s="20"/>
      <c r="J21" s="10">
        <f>SUM(J13:J19)/C21</f>
        <v>1.317683736361891E-2</v>
      </c>
      <c r="K21" s="10">
        <f>SUM(K13:K19)/C21</f>
        <v>0</v>
      </c>
      <c r="L21" s="10">
        <f>SUM(L13:L19)/C21</f>
        <v>4.0635130896394096E-2</v>
      </c>
      <c r="N21" s="10"/>
      <c r="P21" s="20"/>
      <c r="Q21" s="20"/>
      <c r="R21" s="20"/>
      <c r="S21" s="20"/>
      <c r="T21" s="10">
        <f>SUM(T14:T19)/$C21</f>
        <v>1.317683736361891E-2</v>
      </c>
      <c r="U21" s="10">
        <f>SUM(U14:U19)/$C21</f>
        <v>0</v>
      </c>
      <c r="V21" s="10">
        <f>SUM(V14:V19)/$C21</f>
        <v>4.0635130896394096E-2</v>
      </c>
    </row>
    <row r="22" spans="1:24" x14ac:dyDescent="0.25">
      <c r="A22" s="9"/>
      <c r="B22" s="9"/>
      <c r="D22" s="36"/>
      <c r="E22" s="36"/>
      <c r="F22" s="36"/>
      <c r="G22" s="20"/>
      <c r="J22" s="20"/>
      <c r="K22" s="15"/>
    </row>
    <row r="23" spans="1:24" x14ac:dyDescent="0.25">
      <c r="A23" s="9"/>
      <c r="B23" s="9"/>
      <c r="D23" s="36"/>
      <c r="E23" s="36"/>
      <c r="F23" s="36"/>
      <c r="G23" s="20"/>
      <c r="J23" s="20"/>
      <c r="K23" s="15"/>
    </row>
    <row r="24" spans="1:24" x14ac:dyDescent="0.25">
      <c r="X24" s="20"/>
    </row>
    <row r="25" spans="1:24" x14ac:dyDescent="0.25">
      <c r="A25" s="9"/>
      <c r="B25" s="9"/>
      <c r="C25" s="12"/>
      <c r="D25" s="36"/>
      <c r="E25" s="36"/>
      <c r="F25" s="36"/>
      <c r="G25" s="20"/>
      <c r="J25" s="20"/>
      <c r="K25" s="15"/>
    </row>
    <row r="26" spans="1:24" x14ac:dyDescent="0.25">
      <c r="A26" s="9"/>
      <c r="B26" s="9"/>
      <c r="C26" s="12"/>
      <c r="D26" s="36"/>
      <c r="E26" s="36"/>
      <c r="F26" s="36"/>
      <c r="G26" s="20"/>
      <c r="J26" s="20"/>
      <c r="K26" s="20"/>
      <c r="L26" s="15"/>
    </row>
    <row r="27" spans="1:24" x14ac:dyDescent="0.25">
      <c r="A27" s="9"/>
      <c r="B27" s="9"/>
      <c r="C27" s="12"/>
      <c r="D27" s="36"/>
      <c r="E27" s="36"/>
      <c r="F27" s="36"/>
      <c r="G27" s="20"/>
      <c r="J27" s="20"/>
      <c r="K27" s="20"/>
      <c r="L27" s="15"/>
    </row>
    <row r="28" spans="1:24" x14ac:dyDescent="0.25">
      <c r="A28" s="9"/>
      <c r="B28" s="9"/>
      <c r="C28" s="12"/>
      <c r="D28" s="36"/>
      <c r="E28" s="36"/>
      <c r="F28" s="36"/>
      <c r="G28" s="20"/>
      <c r="J28" s="20"/>
      <c r="K28" s="20"/>
      <c r="L28" s="15"/>
    </row>
    <row r="29" spans="1:24" x14ac:dyDescent="0.25">
      <c r="A29" s="9"/>
      <c r="B29" s="9"/>
      <c r="C29" s="12"/>
      <c r="D29" s="36"/>
      <c r="E29" s="36"/>
      <c r="F29" s="36"/>
      <c r="G29" s="20"/>
      <c r="J29" s="20"/>
      <c r="K29" s="20"/>
      <c r="L29" s="15"/>
    </row>
    <row r="30" spans="1:24" x14ac:dyDescent="0.25">
      <c r="A30" s="9"/>
      <c r="B30" s="9"/>
      <c r="C30" s="12"/>
      <c r="D30" s="36"/>
      <c r="E30" s="36"/>
      <c r="F30" s="36"/>
      <c r="G30" s="20"/>
      <c r="J30" s="20"/>
      <c r="K30" s="20"/>
    </row>
    <row r="31" spans="1:24" x14ac:dyDescent="0.25">
      <c r="A31" s="9"/>
    </row>
    <row r="32" spans="1:24" x14ac:dyDescent="0.25">
      <c r="A32" s="9"/>
      <c r="B32" s="9"/>
    </row>
    <row r="33" spans="1:9" x14ac:dyDescent="0.25">
      <c r="H33" s="15"/>
      <c r="I33" s="15"/>
    </row>
    <row r="34" spans="1:9" x14ac:dyDescent="0.25">
      <c r="A34" s="9"/>
      <c r="B34" s="9"/>
      <c r="C34" s="12"/>
      <c r="G34" s="10"/>
      <c r="H34" s="15"/>
      <c r="I34" s="15"/>
    </row>
    <row r="35" spans="1:9" x14ac:dyDescent="0.25">
      <c r="A35" s="9"/>
      <c r="B35" s="9"/>
    </row>
    <row r="36" spans="1:9" x14ac:dyDescent="0.25">
      <c r="A36" s="9"/>
      <c r="B36" s="9"/>
    </row>
    <row r="37" spans="1:9" x14ac:dyDescent="0.25">
      <c r="A37" s="9"/>
      <c r="B37" s="9"/>
    </row>
    <row r="38" spans="1:9" x14ac:dyDescent="0.25">
      <c r="A38" s="9"/>
      <c r="B38" s="9"/>
    </row>
    <row r="39" spans="1:9" x14ac:dyDescent="0.25">
      <c r="A39" s="9"/>
      <c r="B39" s="9"/>
    </row>
    <row r="40" spans="1:9" x14ac:dyDescent="0.25">
      <c r="A40" s="9"/>
      <c r="B40" s="9"/>
    </row>
    <row r="41" spans="1:9" x14ac:dyDescent="0.25">
      <c r="A41" s="9"/>
      <c r="B41" s="9"/>
    </row>
    <row r="42" spans="1:9" x14ac:dyDescent="0.25">
      <c r="A42" s="9"/>
      <c r="B42" s="9"/>
    </row>
    <row r="43" spans="1:9" x14ac:dyDescent="0.25">
      <c r="A43" s="9"/>
      <c r="B43" s="9"/>
    </row>
    <row r="44" spans="1:9" x14ac:dyDescent="0.25">
      <c r="A44" s="9"/>
      <c r="B44" s="9"/>
    </row>
    <row r="45" spans="1:9" x14ac:dyDescent="0.25">
      <c r="A45" s="9"/>
      <c r="B45" s="9"/>
    </row>
    <row r="46" spans="1:9" x14ac:dyDescent="0.25">
      <c r="A46" s="9"/>
      <c r="B46" s="9"/>
    </row>
    <row r="47" spans="1:9" x14ac:dyDescent="0.25">
      <c r="A47" s="9"/>
      <c r="B47" s="9"/>
    </row>
    <row r="48" spans="1:9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topLeftCell="A13" workbookViewId="0">
      <selection activeCell="E16" sqref="E16"/>
    </sheetView>
  </sheetViews>
  <sheetFormatPr baseColWidth="10" defaultRowHeight="15" x14ac:dyDescent="0.25"/>
  <cols>
    <col min="2" max="2" width="14" bestFit="1" customWidth="1"/>
    <col min="3" max="10" width="13.140625" bestFit="1" customWidth="1"/>
    <col min="12" max="20" width="11.42578125" bestFit="1" customWidth="1"/>
    <col min="22" max="24" width="12" bestFit="1" customWidth="1"/>
    <col min="25" max="25" width="13" bestFit="1" customWidth="1"/>
    <col min="26" max="26" width="12" bestFit="1" customWidth="1"/>
    <col min="27" max="30" width="13" bestFit="1" customWidth="1"/>
  </cols>
  <sheetData>
    <row r="1" spans="1:31" ht="18.75" x14ac:dyDescent="0.3">
      <c r="A1" s="5" t="s">
        <v>0</v>
      </c>
      <c r="B1" s="2"/>
      <c r="C1" s="2"/>
      <c r="D1" s="2"/>
      <c r="E1" s="2"/>
      <c r="F1" s="15"/>
      <c r="G1" s="4" t="s">
        <v>25</v>
      </c>
      <c r="H1" s="18"/>
      <c r="I1" s="18"/>
      <c r="J1" s="1"/>
    </row>
    <row r="2" spans="1:31" x14ac:dyDescent="0.25">
      <c r="A2" s="3" t="s">
        <v>2</v>
      </c>
      <c r="B2" s="2" t="str">
        <f>'Input data BoD'!B2</f>
        <v>Myriam</v>
      </c>
      <c r="C2" s="2"/>
      <c r="D2" s="2"/>
      <c r="E2" s="2"/>
      <c r="F2" s="15"/>
      <c r="G2" s="15"/>
      <c r="H2" s="15"/>
      <c r="I2" s="15"/>
    </row>
    <row r="3" spans="1:31" x14ac:dyDescent="0.25">
      <c r="A3" s="3" t="s">
        <v>3</v>
      </c>
      <c r="B3" s="2" t="str">
        <f>'Input data BoD'!B3</f>
        <v>April 2018</v>
      </c>
      <c r="C3" s="2"/>
      <c r="D3" s="2"/>
      <c r="E3" s="2"/>
      <c r="F3" s="15"/>
      <c r="H3" t="s">
        <v>49</v>
      </c>
      <c r="I3" t="s">
        <v>86</v>
      </c>
      <c r="J3" t="s">
        <v>87</v>
      </c>
    </row>
    <row r="4" spans="1:31" x14ac:dyDescent="0.25">
      <c r="A4" s="3" t="s">
        <v>4</v>
      </c>
      <c r="B4" s="2" t="str">
        <f>'Input data BoD'!B5</f>
        <v>Railway noise</v>
      </c>
      <c r="C4" s="2"/>
      <c r="D4" s="2"/>
      <c r="E4" s="2"/>
      <c r="F4" s="15"/>
      <c r="G4" s="15" t="s">
        <v>78</v>
      </c>
      <c r="H4" s="51">
        <f>PAF!J21</f>
        <v>1.317683736361891E-2</v>
      </c>
      <c r="I4" s="51">
        <f>PAF!K21</f>
        <v>0</v>
      </c>
      <c r="J4" s="51">
        <f>PAF!L21</f>
        <v>4.0635130896394096E-2</v>
      </c>
    </row>
    <row r="5" spans="1:31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  <c r="F5" s="15"/>
      <c r="G5" s="15" t="s">
        <v>79</v>
      </c>
      <c r="H5" s="51">
        <f>PAF!T21</f>
        <v>1.317683736361891E-2</v>
      </c>
      <c r="I5" s="51">
        <f>PAF!U21</f>
        <v>0</v>
      </c>
      <c r="J5" s="51">
        <f>PAF!V21</f>
        <v>4.0635130896394096E-2</v>
      </c>
    </row>
    <row r="6" spans="1:31" x14ac:dyDescent="0.25">
      <c r="A6" s="3" t="s">
        <v>6</v>
      </c>
      <c r="B6" s="2" t="str">
        <f>'Input data BoD'!B7</f>
        <v>Ischaemic heart disease</v>
      </c>
      <c r="C6" s="2"/>
      <c r="D6" s="2"/>
      <c r="E6" s="2"/>
      <c r="F6" s="15"/>
      <c r="G6" s="15"/>
      <c r="H6" s="15"/>
      <c r="I6" s="15"/>
    </row>
    <row r="7" spans="1:31" x14ac:dyDescent="0.25">
      <c r="A7" s="3" t="s">
        <v>7</v>
      </c>
      <c r="B7" s="2" t="str">
        <f>'Input data BoD'!B8</f>
        <v>I20-I25</v>
      </c>
      <c r="C7" s="2"/>
      <c r="D7" s="2"/>
      <c r="E7" s="2"/>
      <c r="F7" s="15"/>
      <c r="G7" s="15" t="s">
        <v>111</v>
      </c>
      <c r="H7" s="52">
        <f>AVERAGE(H4:H5)</f>
        <v>1.317683736361891E-2</v>
      </c>
      <c r="I7" s="52">
        <f t="shared" ref="I7:J7" si="0">AVERAGE(I4:I5)</f>
        <v>0</v>
      </c>
      <c r="J7" s="52">
        <f t="shared" si="0"/>
        <v>4.0635130896394096E-2</v>
      </c>
    </row>
    <row r="8" spans="1:31" x14ac:dyDescent="0.25">
      <c r="A8" s="3" t="s">
        <v>8</v>
      </c>
      <c r="B8" s="2">
        <f>'Input data BoD'!B9</f>
        <v>2016</v>
      </c>
      <c r="C8" s="2"/>
      <c r="D8" s="2"/>
      <c r="E8" s="2"/>
      <c r="F8" s="15"/>
      <c r="G8" s="15"/>
      <c r="H8" s="15"/>
      <c r="I8" s="15"/>
    </row>
    <row r="10" spans="1:31" x14ac:dyDescent="0.25">
      <c r="B10" s="41" t="s">
        <v>88</v>
      </c>
      <c r="L10" s="41" t="s">
        <v>84</v>
      </c>
      <c r="M10" s="15"/>
      <c r="N10" s="15"/>
      <c r="O10" s="15"/>
      <c r="P10" s="15"/>
      <c r="Q10" s="15"/>
      <c r="R10" s="15"/>
      <c r="S10" s="15"/>
      <c r="T10" s="15"/>
      <c r="V10" s="41" t="s">
        <v>85</v>
      </c>
      <c r="W10" s="15"/>
      <c r="X10" s="15"/>
      <c r="Y10" s="15"/>
      <c r="Z10" s="15"/>
      <c r="AA10" s="15"/>
      <c r="AB10" s="15"/>
      <c r="AC10" s="15"/>
      <c r="AD10" s="15"/>
    </row>
    <row r="11" spans="1:31" x14ac:dyDescent="0.25">
      <c r="B11" s="7"/>
      <c r="C11" s="7"/>
      <c r="D11" s="7"/>
      <c r="E11" s="25" t="s">
        <v>54</v>
      </c>
      <c r="F11" s="7"/>
      <c r="G11" s="7"/>
      <c r="H11" s="7"/>
      <c r="I11" s="7"/>
      <c r="J11" s="7"/>
      <c r="K11" s="7"/>
      <c r="L11" s="7"/>
      <c r="M11" s="7"/>
      <c r="N11" s="7"/>
      <c r="O11" s="25" t="s">
        <v>54</v>
      </c>
      <c r="P11" s="7"/>
      <c r="Q11" s="7"/>
      <c r="R11" s="7"/>
      <c r="S11" s="7"/>
      <c r="T11" s="7"/>
      <c r="V11" s="7"/>
      <c r="W11" s="7"/>
      <c r="X11" s="7"/>
      <c r="Y11" s="25" t="s">
        <v>54</v>
      </c>
      <c r="Z11" s="7"/>
      <c r="AA11" s="7"/>
      <c r="AB11" s="7"/>
      <c r="AC11" s="7"/>
      <c r="AD11" s="7"/>
    </row>
    <row r="12" spans="1:31" x14ac:dyDescent="0.25">
      <c r="B12" s="7" t="s">
        <v>21</v>
      </c>
      <c r="C12" s="7"/>
      <c r="D12" s="7"/>
      <c r="E12" s="7" t="s">
        <v>55</v>
      </c>
      <c r="F12" s="7"/>
      <c r="G12" s="7"/>
      <c r="H12" s="7" t="s">
        <v>24</v>
      </c>
      <c r="I12" s="7"/>
      <c r="J12" s="7"/>
      <c r="K12" s="7"/>
      <c r="L12" s="7" t="s">
        <v>21</v>
      </c>
      <c r="M12" s="7"/>
      <c r="N12" s="7"/>
      <c r="O12" s="7" t="s">
        <v>55</v>
      </c>
      <c r="P12" s="7"/>
      <c r="Q12" s="7"/>
      <c r="R12" s="7" t="s">
        <v>24</v>
      </c>
      <c r="S12" s="7"/>
      <c r="T12" s="7"/>
      <c r="V12" s="7" t="s">
        <v>21</v>
      </c>
      <c r="W12" s="7"/>
      <c r="X12" s="7"/>
      <c r="Y12" s="7" t="s">
        <v>55</v>
      </c>
      <c r="Z12" s="7"/>
      <c r="AA12" s="7"/>
      <c r="AB12" s="7" t="s">
        <v>24</v>
      </c>
      <c r="AC12" s="7"/>
      <c r="AD12" s="7"/>
    </row>
    <row r="13" spans="1:31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10</v>
      </c>
      <c r="H13" s="7" t="s">
        <v>22</v>
      </c>
      <c r="I13" s="7" t="s">
        <v>23</v>
      </c>
      <c r="J13" s="7" t="s">
        <v>10</v>
      </c>
      <c r="K13" s="7"/>
      <c r="L13" s="7" t="s">
        <v>22</v>
      </c>
      <c r="M13" s="7" t="s">
        <v>23</v>
      </c>
      <c r="N13" s="7" t="s">
        <v>10</v>
      </c>
      <c r="O13" s="7" t="s">
        <v>22</v>
      </c>
      <c r="P13" s="7" t="s">
        <v>23</v>
      </c>
      <c r="Q13" s="7" t="s">
        <v>10</v>
      </c>
      <c r="R13" s="7" t="s">
        <v>22</v>
      </c>
      <c r="S13" s="7" t="s">
        <v>23</v>
      </c>
      <c r="T13" s="7" t="s">
        <v>10</v>
      </c>
      <c r="V13" s="7" t="s">
        <v>22</v>
      </c>
      <c r="W13" s="7" t="s">
        <v>23</v>
      </c>
      <c r="X13" s="7" t="s">
        <v>10</v>
      </c>
      <c r="Y13" s="7" t="s">
        <v>22</v>
      </c>
      <c r="Z13" s="7" t="s">
        <v>23</v>
      </c>
      <c r="AA13" s="7" t="s">
        <v>10</v>
      </c>
      <c r="AB13" s="7" t="s">
        <v>22</v>
      </c>
      <c r="AC13" s="7" t="s">
        <v>23</v>
      </c>
      <c r="AD13" s="7" t="s">
        <v>10</v>
      </c>
    </row>
    <row r="14" spans="1:31" x14ac:dyDescent="0.25">
      <c r="A14" s="15" t="s">
        <v>62</v>
      </c>
      <c r="B14" s="40">
        <f>'Quantification BoD'!B14*$H$4</f>
        <v>0</v>
      </c>
      <c r="C14" s="40">
        <f>'Quantification BoD'!C14*$H$4</f>
        <v>0</v>
      </c>
      <c r="D14" s="40">
        <f>'Quantification BoD'!D14*$H$4</f>
        <v>0</v>
      </c>
      <c r="E14" s="40">
        <f>'Quantification BoD'!E14*$H$5</f>
        <v>0</v>
      </c>
      <c r="F14" s="40">
        <f>'Quantification BoD'!F14*$H$5</f>
        <v>0</v>
      </c>
      <c r="G14" s="40">
        <f>'Quantification BoD'!G14*$H$5</f>
        <v>0</v>
      </c>
      <c r="H14" s="40">
        <f t="shared" ref="H14:H20" si="1">SUM(E14+B14)</f>
        <v>0</v>
      </c>
      <c r="I14" s="40">
        <f t="shared" ref="I14:I20" si="2">SUM(F14+C14)</f>
        <v>0</v>
      </c>
      <c r="J14" s="40">
        <f t="shared" ref="J14:J20" si="3">SUM(G14+D14)</f>
        <v>0</v>
      </c>
      <c r="K14" s="40"/>
      <c r="L14" s="40">
        <f>'Quantification BoD'!B14*$I$4</f>
        <v>0</v>
      </c>
      <c r="M14" s="40">
        <f>'Quantification BoD'!C14*$I$4</f>
        <v>0</v>
      </c>
      <c r="N14" s="40">
        <f>'Quantification BoD'!D14*$I$4</f>
        <v>0</v>
      </c>
      <c r="O14" s="40">
        <f>'Quantification BoD'!E14*$I$5</f>
        <v>0</v>
      </c>
      <c r="P14" s="40">
        <f>'Quantification BoD'!F14*$I$5</f>
        <v>0</v>
      </c>
      <c r="Q14" s="40">
        <f>'Quantification BoD'!G14*$I$5</f>
        <v>0</v>
      </c>
      <c r="R14" s="40">
        <f t="shared" ref="R14:R20" si="4">SUM(O14+L14)</f>
        <v>0</v>
      </c>
      <c r="S14" s="40">
        <f t="shared" ref="S14:S20" si="5">SUM(P14+M14)</f>
        <v>0</v>
      </c>
      <c r="T14" s="40">
        <f t="shared" ref="T14:T20" si="6">SUM(Q14+N14)</f>
        <v>0</v>
      </c>
      <c r="U14" s="40"/>
      <c r="V14" s="40">
        <f>'Quantification BoD'!B14*$J$4</f>
        <v>0</v>
      </c>
      <c r="W14" s="40">
        <f>'Quantification BoD'!C14*$J$4</f>
        <v>0</v>
      </c>
      <c r="X14" s="40">
        <f>'Quantification BoD'!D14*$J$4</f>
        <v>0</v>
      </c>
      <c r="Y14" s="40">
        <f>'Quantification BoD'!E14*$J$5</f>
        <v>0</v>
      </c>
      <c r="Z14" s="40">
        <f>'Quantification BoD'!F14*$J$5</f>
        <v>0</v>
      </c>
      <c r="AA14" s="40">
        <f>'Quantification BoD'!G14*$J$5</f>
        <v>0</v>
      </c>
      <c r="AB14" s="40">
        <f t="shared" ref="AB14:AB20" si="7">SUM(Y14+V14)</f>
        <v>0</v>
      </c>
      <c r="AC14" s="40">
        <f t="shared" ref="AC14:AC20" si="8">SUM(Z14+W14)</f>
        <v>0</v>
      </c>
      <c r="AD14" s="40">
        <f t="shared" ref="AD14:AD20" si="9">SUM(AA14+X14)</f>
        <v>0</v>
      </c>
      <c r="AE14" s="40"/>
    </row>
    <row r="15" spans="1:31" x14ac:dyDescent="0.25">
      <c r="A15" s="15" t="s">
        <v>28</v>
      </c>
      <c r="B15" s="40">
        <f>'Quantification BoD'!B15*$H$4</f>
        <v>0</v>
      </c>
      <c r="C15" s="40">
        <f>'Quantification BoD'!C15*$H$4</f>
        <v>0</v>
      </c>
      <c r="D15" s="40">
        <f>'Quantification BoD'!D15*$H$4</f>
        <v>0</v>
      </c>
      <c r="E15" s="40">
        <f>'Quantification BoD'!E15*$H$5</f>
        <v>0</v>
      </c>
      <c r="F15" s="40">
        <f>'Quantification BoD'!F15*$H$5</f>
        <v>0</v>
      </c>
      <c r="G15" s="40">
        <f>'Quantification BoD'!G15*$H$5</f>
        <v>0</v>
      </c>
      <c r="H15" s="40">
        <f t="shared" si="1"/>
        <v>0</v>
      </c>
      <c r="I15" s="40">
        <f t="shared" si="2"/>
        <v>0</v>
      </c>
      <c r="J15" s="40">
        <f t="shared" si="3"/>
        <v>0</v>
      </c>
      <c r="K15" s="40"/>
      <c r="L15" s="40">
        <f>'Quantification BoD'!B15*$I$4</f>
        <v>0</v>
      </c>
      <c r="M15" s="40">
        <f>'Quantification BoD'!C15*$I$4</f>
        <v>0</v>
      </c>
      <c r="N15" s="40">
        <f>'Quantification BoD'!D15*$I$4</f>
        <v>0</v>
      </c>
      <c r="O15" s="40">
        <f>'Quantification BoD'!E15*$I$5</f>
        <v>0</v>
      </c>
      <c r="P15" s="40">
        <f>'Quantification BoD'!F15*$I$5</f>
        <v>0</v>
      </c>
      <c r="Q15" s="40">
        <f>'Quantification BoD'!G15*$I$5</f>
        <v>0</v>
      </c>
      <c r="R15" s="40">
        <f t="shared" si="4"/>
        <v>0</v>
      </c>
      <c r="S15" s="40">
        <f t="shared" si="5"/>
        <v>0</v>
      </c>
      <c r="T15" s="40">
        <f t="shared" si="6"/>
        <v>0</v>
      </c>
      <c r="U15" s="40"/>
      <c r="V15" s="40">
        <f>'Quantification BoD'!B15*$J$4</f>
        <v>0</v>
      </c>
      <c r="W15" s="40">
        <f>'Quantification BoD'!C15*$J$4</f>
        <v>0</v>
      </c>
      <c r="X15" s="40">
        <f>'Quantification BoD'!D15*$J$4</f>
        <v>0</v>
      </c>
      <c r="Y15" s="40">
        <f>'Quantification BoD'!E15*$J$5</f>
        <v>0</v>
      </c>
      <c r="Z15" s="40">
        <f>'Quantification BoD'!F15*$J$5</f>
        <v>0</v>
      </c>
      <c r="AA15" s="40">
        <f>'Quantification BoD'!G15*$J$5</f>
        <v>0</v>
      </c>
      <c r="AB15" s="40">
        <f t="shared" si="7"/>
        <v>0</v>
      </c>
      <c r="AC15" s="40">
        <f t="shared" si="8"/>
        <v>0</v>
      </c>
      <c r="AD15" s="40">
        <f t="shared" si="9"/>
        <v>0</v>
      </c>
      <c r="AE15" s="40"/>
    </row>
    <row r="16" spans="1:31" x14ac:dyDescent="0.25">
      <c r="A16" s="15" t="s">
        <v>29</v>
      </c>
      <c r="B16" s="40">
        <f>'Quantification BoD'!B16*$H$4</f>
        <v>0</v>
      </c>
      <c r="C16" s="40">
        <f>'Quantification BoD'!C16*$H$4</f>
        <v>0</v>
      </c>
      <c r="D16" s="40">
        <f>'Quantification BoD'!D16*$H$4</f>
        <v>0</v>
      </c>
      <c r="E16" s="40">
        <f>'Quantification BoD'!E16*$H$5</f>
        <v>0</v>
      </c>
      <c r="F16" s="40">
        <f>'Quantification BoD'!F16*$H$5</f>
        <v>0</v>
      </c>
      <c r="G16" s="40">
        <f>'Quantification BoD'!G16*$H$5</f>
        <v>0</v>
      </c>
      <c r="H16" s="40">
        <f t="shared" si="1"/>
        <v>0</v>
      </c>
      <c r="I16" s="40">
        <f t="shared" si="2"/>
        <v>0</v>
      </c>
      <c r="J16" s="40">
        <f t="shared" si="3"/>
        <v>0</v>
      </c>
      <c r="K16" s="40"/>
      <c r="L16" s="40">
        <f>'Quantification BoD'!B16*$I$4</f>
        <v>0</v>
      </c>
      <c r="M16" s="40">
        <f>'Quantification BoD'!C16*$I$4</f>
        <v>0</v>
      </c>
      <c r="N16" s="40">
        <f>'Quantification BoD'!D16*$I$4</f>
        <v>0</v>
      </c>
      <c r="O16" s="40">
        <f>'Quantification BoD'!E16*$I$5</f>
        <v>0</v>
      </c>
      <c r="P16" s="40">
        <f>'Quantification BoD'!F16*$I$5</f>
        <v>0</v>
      </c>
      <c r="Q16" s="40">
        <f>'Quantification BoD'!G16*$I$5</f>
        <v>0</v>
      </c>
      <c r="R16" s="40">
        <f t="shared" si="4"/>
        <v>0</v>
      </c>
      <c r="S16" s="40">
        <f t="shared" si="5"/>
        <v>0</v>
      </c>
      <c r="T16" s="40">
        <f t="shared" si="6"/>
        <v>0</v>
      </c>
      <c r="U16" s="40"/>
      <c r="V16" s="40">
        <f>'Quantification BoD'!B16*$J$4</f>
        <v>0</v>
      </c>
      <c r="W16" s="40">
        <f>'Quantification BoD'!C16*$J$4</f>
        <v>0</v>
      </c>
      <c r="X16" s="40">
        <f>'Quantification BoD'!D16*$J$4</f>
        <v>0</v>
      </c>
      <c r="Y16" s="40">
        <f>'Quantification BoD'!E16*$J$5</f>
        <v>0</v>
      </c>
      <c r="Z16" s="40">
        <f>'Quantification BoD'!F16*$J$5</f>
        <v>0</v>
      </c>
      <c r="AA16" s="40">
        <f>'Quantification BoD'!G16*$J$5</f>
        <v>0</v>
      </c>
      <c r="AB16" s="40">
        <f t="shared" si="7"/>
        <v>0</v>
      </c>
      <c r="AC16" s="40">
        <f t="shared" si="8"/>
        <v>0</v>
      </c>
      <c r="AD16" s="40">
        <f t="shared" si="9"/>
        <v>0</v>
      </c>
      <c r="AE16" s="40"/>
    </row>
    <row r="17" spans="1:31" x14ac:dyDescent="0.25">
      <c r="A17" s="15" t="s">
        <v>30</v>
      </c>
      <c r="B17" s="40">
        <f>'Quantification BoD'!B17*$H$4</f>
        <v>0</v>
      </c>
      <c r="C17" s="40">
        <f>'Quantification BoD'!C17*$H$4</f>
        <v>0</v>
      </c>
      <c r="D17" s="40">
        <f>'Quantification BoD'!D17*$H$4</f>
        <v>0</v>
      </c>
      <c r="E17" s="40">
        <f>'Quantification BoD'!E17*$H$5</f>
        <v>0</v>
      </c>
      <c r="F17" s="40">
        <f>'Quantification BoD'!F17*$H$5</f>
        <v>0</v>
      </c>
      <c r="G17" s="40">
        <f>'Quantification BoD'!G17*$H$5</f>
        <v>0</v>
      </c>
      <c r="H17" s="40">
        <f t="shared" si="1"/>
        <v>0</v>
      </c>
      <c r="I17" s="40">
        <f t="shared" si="2"/>
        <v>0</v>
      </c>
      <c r="J17" s="40">
        <f t="shared" si="3"/>
        <v>0</v>
      </c>
      <c r="K17" s="40"/>
      <c r="L17" s="40">
        <f>'Quantification BoD'!B17*$I$4</f>
        <v>0</v>
      </c>
      <c r="M17" s="40">
        <f>'Quantification BoD'!C17*$I$4</f>
        <v>0</v>
      </c>
      <c r="N17" s="40">
        <f>'Quantification BoD'!D17*$I$4</f>
        <v>0</v>
      </c>
      <c r="O17" s="40">
        <f>'Quantification BoD'!E17*$I$5</f>
        <v>0</v>
      </c>
      <c r="P17" s="40">
        <f>'Quantification BoD'!F17*$I$5</f>
        <v>0</v>
      </c>
      <c r="Q17" s="40">
        <f>'Quantification BoD'!G17*$I$5</f>
        <v>0</v>
      </c>
      <c r="R17" s="40">
        <f t="shared" si="4"/>
        <v>0</v>
      </c>
      <c r="S17" s="40">
        <f t="shared" si="5"/>
        <v>0</v>
      </c>
      <c r="T17" s="40">
        <f t="shared" si="6"/>
        <v>0</v>
      </c>
      <c r="U17" s="40"/>
      <c r="V17" s="40">
        <f>'Quantification BoD'!B17*$J$4</f>
        <v>0</v>
      </c>
      <c r="W17" s="40">
        <f>'Quantification BoD'!C17*$J$4</f>
        <v>0</v>
      </c>
      <c r="X17" s="40">
        <f>'Quantification BoD'!D17*$J$4</f>
        <v>0</v>
      </c>
      <c r="Y17" s="40">
        <f>'Quantification BoD'!E17*$J$5</f>
        <v>0</v>
      </c>
      <c r="Z17" s="40">
        <f>'Quantification BoD'!F17*$J$5</f>
        <v>0</v>
      </c>
      <c r="AA17" s="40">
        <f>'Quantification BoD'!G17*$J$5</f>
        <v>0</v>
      </c>
      <c r="AB17" s="40">
        <f t="shared" si="7"/>
        <v>0</v>
      </c>
      <c r="AC17" s="40">
        <f t="shared" si="8"/>
        <v>0</v>
      </c>
      <c r="AD17" s="40">
        <f t="shared" si="9"/>
        <v>0</v>
      </c>
      <c r="AE17" s="40"/>
    </row>
    <row r="18" spans="1:31" x14ac:dyDescent="0.25">
      <c r="A18" s="15" t="s">
        <v>31</v>
      </c>
      <c r="B18" s="40">
        <f>'Quantification BoD'!B18*$H$4</f>
        <v>3.3598326735213107</v>
      </c>
      <c r="C18" s="40">
        <f>'Quantification BoD'!C18*$H$4</f>
        <v>0.90318102841694148</v>
      </c>
      <c r="D18" s="40">
        <f>'Quantification BoD'!D18*$H$4</f>
        <v>4.2630137019382524</v>
      </c>
      <c r="E18" s="40">
        <f>'Quantification BoD'!E18*$H$5</f>
        <v>0</v>
      </c>
      <c r="F18" s="40">
        <f>'Quantification BoD'!F18*$H$5</f>
        <v>0</v>
      </c>
      <c r="G18" s="40">
        <f>'Quantification BoD'!G18*$H$5</f>
        <v>0</v>
      </c>
      <c r="H18" s="40">
        <f t="shared" si="1"/>
        <v>3.3598326735213107</v>
      </c>
      <c r="I18" s="40">
        <f t="shared" si="2"/>
        <v>0.90318102841694148</v>
      </c>
      <c r="J18" s="40">
        <f t="shared" si="3"/>
        <v>4.2630137019382524</v>
      </c>
      <c r="K18" s="40"/>
      <c r="L18" s="40">
        <f>'Quantification BoD'!B18*$I$4</f>
        <v>0</v>
      </c>
      <c r="M18" s="40">
        <f>'Quantification BoD'!C18*$I$4</f>
        <v>0</v>
      </c>
      <c r="N18" s="40">
        <f>'Quantification BoD'!D18*$I$4</f>
        <v>0</v>
      </c>
      <c r="O18" s="40">
        <f>'Quantification BoD'!E18*$I$5</f>
        <v>0</v>
      </c>
      <c r="P18" s="40">
        <f>'Quantification BoD'!F18*$I$5</f>
        <v>0</v>
      </c>
      <c r="Q18" s="40">
        <f>'Quantification BoD'!G18*$I$5</f>
        <v>0</v>
      </c>
      <c r="R18" s="40">
        <f t="shared" si="4"/>
        <v>0</v>
      </c>
      <c r="S18" s="40">
        <f t="shared" si="5"/>
        <v>0</v>
      </c>
      <c r="T18" s="40">
        <f t="shared" si="6"/>
        <v>0</v>
      </c>
      <c r="U18" s="40"/>
      <c r="V18" s="40">
        <f>'Quantification BoD'!B18*$J$4</f>
        <v>10.361153948478583</v>
      </c>
      <c r="W18" s="40">
        <f>'Quantification BoD'!C18*$J$4</f>
        <v>2.7852570613182901</v>
      </c>
      <c r="X18" s="40">
        <f>'Quantification BoD'!D18*$J$4</f>
        <v>13.146411009796873</v>
      </c>
      <c r="Y18" s="40">
        <f>'Quantification BoD'!E18*$J$5</f>
        <v>0</v>
      </c>
      <c r="Z18" s="40">
        <f>'Quantification BoD'!F18*$J$5</f>
        <v>0</v>
      </c>
      <c r="AA18" s="40">
        <f>'Quantification BoD'!G18*$J$5</f>
        <v>0</v>
      </c>
      <c r="AB18" s="40">
        <f t="shared" si="7"/>
        <v>10.361153948478583</v>
      </c>
      <c r="AC18" s="40">
        <f t="shared" si="8"/>
        <v>2.7852570613182901</v>
      </c>
      <c r="AD18" s="40">
        <f t="shared" si="9"/>
        <v>13.146411009796873</v>
      </c>
      <c r="AE18" s="40"/>
    </row>
    <row r="19" spans="1:31" x14ac:dyDescent="0.25">
      <c r="A19" s="15" t="s">
        <v>32</v>
      </c>
      <c r="B19" s="40">
        <f>'Quantification BoD'!B19*$H$4</f>
        <v>2.3257391035622139</v>
      </c>
      <c r="C19" s="40">
        <f>'Quantification BoD'!C19*$H$4</f>
        <v>0</v>
      </c>
      <c r="D19" s="40">
        <f>'Quantification BoD'!D19*$H$4</f>
        <v>2.3257391035622139</v>
      </c>
      <c r="E19" s="40">
        <f>'Quantification BoD'!E19*$H$5</f>
        <v>2.0694855169246686</v>
      </c>
      <c r="F19" s="40">
        <f>'Quantification BoD'!F19*$H$5</f>
        <v>0.60029101751550351</v>
      </c>
      <c r="G19" s="40">
        <f>'Quantification BoD'!G19*$H$5</f>
        <v>2.6697765344401718</v>
      </c>
      <c r="H19" s="40">
        <f t="shared" si="1"/>
        <v>4.3952246204868821</v>
      </c>
      <c r="I19" s="40">
        <f t="shared" si="2"/>
        <v>0.60029101751550351</v>
      </c>
      <c r="J19" s="40">
        <f t="shared" si="3"/>
        <v>4.9955156380023862</v>
      </c>
      <c r="K19" s="40"/>
      <c r="L19" s="40">
        <f>'Quantification BoD'!B19*$I$4</f>
        <v>0</v>
      </c>
      <c r="M19" s="40">
        <f>'Quantification BoD'!C19*$I$4</f>
        <v>0</v>
      </c>
      <c r="N19" s="40">
        <f>'Quantification BoD'!D19*$I$4</f>
        <v>0</v>
      </c>
      <c r="O19" s="40">
        <f>'Quantification BoD'!E19*$I$5</f>
        <v>0</v>
      </c>
      <c r="P19" s="40">
        <f>'Quantification BoD'!F19*$I$5</f>
        <v>0</v>
      </c>
      <c r="Q19" s="40">
        <f>'Quantification BoD'!G19*$I$5</f>
        <v>0</v>
      </c>
      <c r="R19" s="40">
        <f t="shared" si="4"/>
        <v>0</v>
      </c>
      <c r="S19" s="40">
        <f t="shared" si="5"/>
        <v>0</v>
      </c>
      <c r="T19" s="40">
        <f t="shared" si="6"/>
        <v>0</v>
      </c>
      <c r="U19" s="40"/>
      <c r="V19" s="40">
        <f>'Quantification BoD'!B19*$J$4</f>
        <v>7.1721848191770761</v>
      </c>
      <c r="W19" s="40">
        <f>'Quantification BoD'!C19*$J$4</f>
        <v>0</v>
      </c>
      <c r="X19" s="40">
        <f>'Quantification BoD'!D19*$J$4</f>
        <v>7.1721848191770761</v>
      </c>
      <c r="Y19" s="40">
        <f>'Quantification BoD'!E19*$J$5</f>
        <v>6.3819422330131905</v>
      </c>
      <c r="Z19" s="40">
        <f>'Quantification BoD'!F19*$J$5</f>
        <v>1.8511956548860959</v>
      </c>
      <c r="AA19" s="40">
        <f>'Quantification BoD'!G19*$J$5</f>
        <v>8.2331378878992858</v>
      </c>
      <c r="AB19" s="40">
        <f t="shared" si="7"/>
        <v>13.554127052190267</v>
      </c>
      <c r="AC19" s="40">
        <f t="shared" si="8"/>
        <v>1.8511956548860959</v>
      </c>
      <c r="AD19" s="40">
        <f t="shared" si="9"/>
        <v>15.405322707076362</v>
      </c>
      <c r="AE19" s="40"/>
    </row>
    <row r="20" spans="1:31" x14ac:dyDescent="0.25">
      <c r="A20" s="15" t="s">
        <v>33</v>
      </c>
      <c r="B20" s="40">
        <f>'Quantification BoD'!B20*$H$4</f>
        <v>15.642378633421313</v>
      </c>
      <c r="C20" s="40">
        <f>'Quantification BoD'!C20*$H$4</f>
        <v>5.4099176017299904</v>
      </c>
      <c r="D20" s="40">
        <f>'Quantification BoD'!D20*$H$4</f>
        <v>21.052296235151303</v>
      </c>
      <c r="E20" s="40">
        <f>'Quantification BoD'!E20*$H$5</f>
        <v>2.3045014069477716</v>
      </c>
      <c r="F20" s="40">
        <f>'Quantification BoD'!F20*$H$5</f>
        <v>0.64530951112239554</v>
      </c>
      <c r="G20" s="40">
        <f>'Quantification BoD'!G20*$H$5</f>
        <v>2.9498109180701668</v>
      </c>
      <c r="H20" s="40">
        <f t="shared" si="1"/>
        <v>17.946880040369084</v>
      </c>
      <c r="I20" s="40">
        <f t="shared" si="2"/>
        <v>6.0552271128523856</v>
      </c>
      <c r="J20" s="40">
        <f t="shared" si="3"/>
        <v>24.00210715322147</v>
      </c>
      <c r="K20" s="40"/>
      <c r="L20" s="40">
        <f>'Quantification BoD'!B20*$I$4</f>
        <v>0</v>
      </c>
      <c r="M20" s="40">
        <f>'Quantification BoD'!C20*$I$4</f>
        <v>0</v>
      </c>
      <c r="N20" s="40">
        <f>'Quantification BoD'!D20*$I$4</f>
        <v>0</v>
      </c>
      <c r="O20" s="40">
        <f>'Quantification BoD'!E20*$I$5</f>
        <v>0</v>
      </c>
      <c r="P20" s="40">
        <f>'Quantification BoD'!F20*$I$5</f>
        <v>0</v>
      </c>
      <c r="Q20" s="40">
        <f>'Quantification BoD'!G20*$I$5</f>
        <v>0</v>
      </c>
      <c r="R20" s="40">
        <f t="shared" si="4"/>
        <v>0</v>
      </c>
      <c r="S20" s="40">
        <f t="shared" si="5"/>
        <v>0</v>
      </c>
      <c r="T20" s="40">
        <f t="shared" si="6"/>
        <v>0</v>
      </c>
      <c r="U20" s="40"/>
      <c r="V20" s="40">
        <f>'Quantification BoD'!B20*$J$4</f>
        <v>48.238441877942606</v>
      </c>
      <c r="W20" s="40">
        <f>'Quantification BoD'!C20*$J$4</f>
        <v>16.683268057323076</v>
      </c>
      <c r="X20" s="40">
        <f>'Quantification BoD'!D20*$J$4</f>
        <v>64.921709935265682</v>
      </c>
      <c r="Y20" s="40">
        <f>'Quantification BoD'!E20*$J$5</f>
        <v>7.1066913659264124</v>
      </c>
      <c r="Z20" s="40">
        <f>'Quantification BoD'!F20*$J$5</f>
        <v>1.9900250515002869</v>
      </c>
      <c r="AA20" s="40">
        <f>'Quantification BoD'!G20*$J$5</f>
        <v>9.0967164174266983</v>
      </c>
      <c r="AB20" s="40">
        <f t="shared" si="7"/>
        <v>55.345133243869014</v>
      </c>
      <c r="AC20" s="40">
        <f t="shared" si="8"/>
        <v>18.673293108823362</v>
      </c>
      <c r="AD20" s="40">
        <f t="shared" si="9"/>
        <v>74.018426352692387</v>
      </c>
      <c r="AE20" s="40"/>
    </row>
    <row r="21" spans="1:31" x14ac:dyDescent="0.25">
      <c r="A21" s="15" t="s">
        <v>34</v>
      </c>
      <c r="B21" s="40">
        <f>'Quantification BoD'!B21*$H$4</f>
        <v>21.99158464570403</v>
      </c>
      <c r="C21" s="40">
        <f>'Quantification BoD'!C21*$H$4</f>
        <v>11.324562778207193</v>
      </c>
      <c r="D21" s="40">
        <f>'Quantification BoD'!D21*$H$4</f>
        <v>33.316147423911218</v>
      </c>
      <c r="E21" s="40">
        <f>'Quantification BoD'!E21*$H$5</f>
        <v>1.9456119248603951</v>
      </c>
      <c r="F21" s="40">
        <f>'Quantification BoD'!F21*$H$5</f>
        <v>0.56684392445705922</v>
      </c>
      <c r="G21" s="40">
        <f>'Quantification BoD'!G21*$H$5</f>
        <v>2.5124558493174542</v>
      </c>
      <c r="H21" s="40">
        <f>SUM(E21+B21)</f>
        <v>23.937196570564424</v>
      </c>
      <c r="I21" s="40">
        <f t="shared" ref="I21:J21" si="10">SUM(F21+C21)</f>
        <v>11.891406702664252</v>
      </c>
      <c r="J21" s="40">
        <f t="shared" si="10"/>
        <v>35.828603273228673</v>
      </c>
      <c r="K21" s="40"/>
      <c r="L21" s="40">
        <f>'Quantification BoD'!B21*$I$4</f>
        <v>0</v>
      </c>
      <c r="M21" s="40">
        <f>'Quantification BoD'!C21*$I$4</f>
        <v>0</v>
      </c>
      <c r="N21" s="40">
        <f>'Quantification BoD'!D21*$I$4</f>
        <v>0</v>
      </c>
      <c r="O21" s="40">
        <f>'Quantification BoD'!E21*$I$5</f>
        <v>0</v>
      </c>
      <c r="P21" s="40">
        <f>'Quantification BoD'!F21*$I$5</f>
        <v>0</v>
      </c>
      <c r="Q21" s="40">
        <f>'Quantification BoD'!G21*$I$5</f>
        <v>0</v>
      </c>
      <c r="R21" s="40">
        <f>SUM(O21+L21)</f>
        <v>0</v>
      </c>
      <c r="S21" s="40">
        <f t="shared" ref="S21:S33" si="11">SUM(P21+M21)</f>
        <v>0</v>
      </c>
      <c r="T21" s="40">
        <f t="shared" ref="T21:T33" si="12">SUM(Q21+N21)</f>
        <v>0</v>
      </c>
      <c r="U21" s="40"/>
      <c r="V21" s="40">
        <f>'Quantification BoD'!B21*$J$4</f>
        <v>67.818316037247158</v>
      </c>
      <c r="W21" s="40">
        <f>'Quantification BoD'!C21*$J$4</f>
        <v>34.923030324971577</v>
      </c>
      <c r="X21" s="40">
        <f>'Quantification BoD'!D21*$J$4</f>
        <v>102.74134636221872</v>
      </c>
      <c r="Y21" s="40">
        <f>'Quantification BoD'!E21*$J$5</f>
        <v>5.9999370910178857</v>
      </c>
      <c r="Z21" s="40">
        <f>'Quantification BoD'!F21*$J$5</f>
        <v>1.7480504944027246</v>
      </c>
      <c r="AA21" s="40">
        <f>'Quantification BoD'!G21*$J$5</f>
        <v>7.7479875854206099</v>
      </c>
      <c r="AB21" s="40">
        <f>SUM(Y21+V21)</f>
        <v>73.818253128265042</v>
      </c>
      <c r="AC21" s="40">
        <f t="shared" ref="AC21:AC33" si="13">SUM(Z21+W21)</f>
        <v>36.671080819374303</v>
      </c>
      <c r="AD21" s="40">
        <f t="shared" ref="AD21:AD33" si="14">SUM(AA21+X21)</f>
        <v>110.48933394763932</v>
      </c>
      <c r="AE21" s="40"/>
    </row>
    <row r="22" spans="1:31" x14ac:dyDescent="0.25">
      <c r="A22" s="15" t="s">
        <v>35</v>
      </c>
      <c r="B22" s="40">
        <f>'Quantification BoD'!B22*$H$4</f>
        <v>68.217542899440119</v>
      </c>
      <c r="C22" s="40">
        <f>'Quantification BoD'!C22*$H$4</f>
        <v>19.292373639675159</v>
      </c>
      <c r="D22" s="40">
        <f>'Quantification BoD'!D22*$H$4</f>
        <v>87.509916539115281</v>
      </c>
      <c r="E22" s="40">
        <f>'Quantification BoD'!E22*$H$5</f>
        <v>1.8247175330021077</v>
      </c>
      <c r="F22" s="40">
        <f>'Quantification BoD'!F22*$H$5</f>
        <v>0.59668792951672889</v>
      </c>
      <c r="G22" s="40">
        <f>'Quantification BoD'!G22*$H$5</f>
        <v>2.4214054625188366</v>
      </c>
      <c r="H22" s="40">
        <f t="shared" ref="H22:H33" si="15">SUM(E22+B22)</f>
        <v>70.04226043244222</v>
      </c>
      <c r="I22" s="40">
        <f t="shared" ref="I22:I33" si="16">SUM(F22+C22)</f>
        <v>19.889061569191888</v>
      </c>
      <c r="J22" s="40">
        <f t="shared" ref="J22:J33" si="17">SUM(G22+D22)</f>
        <v>89.931322001634115</v>
      </c>
      <c r="K22" s="40"/>
      <c r="L22" s="40">
        <f>'Quantification BoD'!B22*$I$4</f>
        <v>0</v>
      </c>
      <c r="M22" s="40">
        <f>'Quantification BoD'!C22*$I$4</f>
        <v>0</v>
      </c>
      <c r="N22" s="40">
        <f>'Quantification BoD'!D22*$I$4</f>
        <v>0</v>
      </c>
      <c r="O22" s="40">
        <f>'Quantification BoD'!E22*$I$5</f>
        <v>0</v>
      </c>
      <c r="P22" s="40">
        <f>'Quantification BoD'!F22*$I$5</f>
        <v>0</v>
      </c>
      <c r="Q22" s="40">
        <f>'Quantification BoD'!G22*$I$5</f>
        <v>0</v>
      </c>
      <c r="R22" s="40">
        <f t="shared" ref="R22:R33" si="18">SUM(O22+L22)</f>
        <v>0</v>
      </c>
      <c r="S22" s="40">
        <f t="shared" si="11"/>
        <v>0</v>
      </c>
      <c r="T22" s="40">
        <f t="shared" si="12"/>
        <v>0</v>
      </c>
      <c r="U22" s="40"/>
      <c r="V22" s="40">
        <f>'Quantification BoD'!B22*$J$4</f>
        <v>210.37132876836341</v>
      </c>
      <c r="W22" s="40">
        <f>'Quantification BoD'!C22*$J$4</f>
        <v>59.49440723271082</v>
      </c>
      <c r="X22" s="40">
        <f>'Quantification BoD'!D22*$J$4</f>
        <v>269.86573600107425</v>
      </c>
      <c r="Y22" s="40">
        <f>'Quantification BoD'!E22*$J$5</f>
        <v>5.6271192970178641</v>
      </c>
      <c r="Z22" s="40">
        <f>'Quantification BoD'!F22*$J$5</f>
        <v>1.8400843427843261</v>
      </c>
      <c r="AA22" s="40">
        <f>'Quantification BoD'!G22*$J$5</f>
        <v>7.4672036398021904</v>
      </c>
      <c r="AB22" s="40">
        <f t="shared" ref="AB22:AB33" si="19">SUM(Y22+V22)</f>
        <v>215.99844806538127</v>
      </c>
      <c r="AC22" s="40">
        <f t="shared" si="13"/>
        <v>61.334491575495143</v>
      </c>
      <c r="AD22" s="40">
        <f t="shared" si="14"/>
        <v>277.33293964087642</v>
      </c>
      <c r="AE22" s="40"/>
    </row>
    <row r="23" spans="1:31" x14ac:dyDescent="0.25">
      <c r="A23" s="15" t="s">
        <v>36</v>
      </c>
      <c r="B23" s="40">
        <f>'Quantification BoD'!B23*$H$4</f>
        <v>141.92070520164458</v>
      </c>
      <c r="C23" s="40">
        <f>'Quantification BoD'!C23*$H$4</f>
        <v>28.936231630140458</v>
      </c>
      <c r="D23" s="40">
        <f>'Quantification BoD'!D23*$H$4</f>
        <v>170.85693683178505</v>
      </c>
      <c r="E23" s="40">
        <f>'Quantification BoD'!E23*$H$5</f>
        <v>1.8927894222018087</v>
      </c>
      <c r="F23" s="40">
        <f>'Quantification BoD'!F23*$H$5</f>
        <v>0.81846028904301704</v>
      </c>
      <c r="G23" s="40">
        <f>'Quantification BoD'!G23*$H$5</f>
        <v>2.7112497112448257</v>
      </c>
      <c r="H23" s="40">
        <f t="shared" si="15"/>
        <v>143.8134946238464</v>
      </c>
      <c r="I23" s="40">
        <f t="shared" si="16"/>
        <v>29.754691919183475</v>
      </c>
      <c r="J23" s="40">
        <f t="shared" si="17"/>
        <v>173.56818654302987</v>
      </c>
      <c r="K23" s="40"/>
      <c r="L23" s="40">
        <f>'Quantification BoD'!B23*$I$4</f>
        <v>0</v>
      </c>
      <c r="M23" s="40">
        <f>'Quantification BoD'!C23*$I$4</f>
        <v>0</v>
      </c>
      <c r="N23" s="40">
        <f>'Quantification BoD'!D23*$I$4</f>
        <v>0</v>
      </c>
      <c r="O23" s="40">
        <f>'Quantification BoD'!E23*$I$5</f>
        <v>0</v>
      </c>
      <c r="P23" s="40">
        <f>'Quantification BoD'!F23*$I$5</f>
        <v>0</v>
      </c>
      <c r="Q23" s="40">
        <f>'Quantification BoD'!G23*$I$5</f>
        <v>0</v>
      </c>
      <c r="R23" s="40">
        <f t="shared" si="18"/>
        <v>0</v>
      </c>
      <c r="S23" s="40">
        <f t="shared" si="11"/>
        <v>0</v>
      </c>
      <c r="T23" s="40">
        <f t="shared" si="12"/>
        <v>0</v>
      </c>
      <c r="U23" s="40"/>
      <c r="V23" s="40">
        <f>'Quantification BoD'!B23*$J$4</f>
        <v>437.6593771051551</v>
      </c>
      <c r="W23" s="40">
        <f>'Quantification BoD'!C23*$J$4</f>
        <v>89.234429134382609</v>
      </c>
      <c r="X23" s="40">
        <f>'Quantification BoD'!D23*$J$4</f>
        <v>526.89380623953775</v>
      </c>
      <c r="Y23" s="40">
        <f>'Quantification BoD'!E23*$J$5</f>
        <v>5.8370414544872942</v>
      </c>
      <c r="Z23" s="40">
        <f>'Quantification BoD'!F23*$J$5</f>
        <v>2.5239926744932855</v>
      </c>
      <c r="AA23" s="40">
        <f>'Quantification BoD'!G23*$J$5</f>
        <v>8.3610341289805792</v>
      </c>
      <c r="AB23" s="40">
        <f t="shared" si="19"/>
        <v>443.49641855964239</v>
      </c>
      <c r="AC23" s="40">
        <f t="shared" si="13"/>
        <v>91.758421808875894</v>
      </c>
      <c r="AD23" s="40">
        <f t="shared" si="14"/>
        <v>535.25484036851833</v>
      </c>
      <c r="AE23" s="40"/>
    </row>
    <row r="24" spans="1:31" x14ac:dyDescent="0.25">
      <c r="A24" s="15" t="s">
        <v>37</v>
      </c>
      <c r="B24" s="40">
        <f>'Quantification BoD'!B24*$H$4</f>
        <v>351.42325572996009</v>
      </c>
      <c r="C24" s="40">
        <f>'Quantification BoD'!C24*$H$4</f>
        <v>84.989554093647627</v>
      </c>
      <c r="D24" s="40">
        <f>'Quantification BoD'!D24*$H$4</f>
        <v>436.41280982360774</v>
      </c>
      <c r="E24" s="40">
        <f>'Quantification BoD'!E24*$H$5</f>
        <v>23.114755046751259</v>
      </c>
      <c r="F24" s="40">
        <f>'Quantification BoD'!F24*$H$5</f>
        <v>6.825664419703382</v>
      </c>
      <c r="G24" s="40">
        <f>'Quantification BoD'!G24*$H$5</f>
        <v>29.940419466454642</v>
      </c>
      <c r="H24" s="40">
        <f t="shared" si="15"/>
        <v>374.53801077671136</v>
      </c>
      <c r="I24" s="40">
        <f t="shared" si="16"/>
        <v>91.815218513351013</v>
      </c>
      <c r="J24" s="40">
        <f t="shared" si="17"/>
        <v>466.35322929006236</v>
      </c>
      <c r="K24" s="40"/>
      <c r="L24" s="40">
        <f>'Quantification BoD'!B24*$I$4</f>
        <v>0</v>
      </c>
      <c r="M24" s="40">
        <f>'Quantification BoD'!C24*$I$4</f>
        <v>0</v>
      </c>
      <c r="N24" s="40">
        <f>'Quantification BoD'!D24*$I$4</f>
        <v>0</v>
      </c>
      <c r="O24" s="40">
        <f>'Quantification BoD'!E24*$I$5</f>
        <v>0</v>
      </c>
      <c r="P24" s="40">
        <f>'Quantification BoD'!F24*$I$5</f>
        <v>0</v>
      </c>
      <c r="Q24" s="40">
        <f>'Quantification BoD'!G24*$I$5</f>
        <v>0</v>
      </c>
      <c r="R24" s="40">
        <f t="shared" si="18"/>
        <v>0</v>
      </c>
      <c r="S24" s="40">
        <f t="shared" si="11"/>
        <v>0</v>
      </c>
      <c r="T24" s="40">
        <f t="shared" si="12"/>
        <v>0</v>
      </c>
      <c r="U24" s="40"/>
      <c r="V24" s="40">
        <f>'Quantification BoD'!B24*$J$4</f>
        <v>1083.729699514329</v>
      </c>
      <c r="W24" s="40">
        <f>'Quantification BoD'!C24*$J$4</f>
        <v>262.09336581452999</v>
      </c>
      <c r="X24" s="40">
        <f>'Quantification BoD'!D24*$J$4</f>
        <v>1345.8230653288592</v>
      </c>
      <c r="Y24" s="40">
        <f>'Quantification BoD'!E24*$J$5</f>
        <v>71.281983001182041</v>
      </c>
      <c r="Z24" s="40">
        <f>'Quantification BoD'!F24*$J$5</f>
        <v>21.049191053636232</v>
      </c>
      <c r="AA24" s="40">
        <f>'Quantification BoD'!G24*$J$5</f>
        <v>92.331174054818277</v>
      </c>
      <c r="AB24" s="40">
        <f t="shared" si="19"/>
        <v>1155.011682515511</v>
      </c>
      <c r="AC24" s="40">
        <f t="shared" si="13"/>
        <v>283.1425568681662</v>
      </c>
      <c r="AD24" s="40">
        <f t="shared" si="14"/>
        <v>1438.1542393836776</v>
      </c>
      <c r="AE24" s="40"/>
    </row>
    <row r="25" spans="1:31" x14ac:dyDescent="0.25">
      <c r="A25" s="15" t="s">
        <v>38</v>
      </c>
      <c r="B25" s="40">
        <f>'Quantification BoD'!B25*$H$4</f>
        <v>678.83147890013606</v>
      </c>
      <c r="C25" s="40">
        <f>'Quantification BoD'!C25*$H$4</f>
        <v>169.29322906531044</v>
      </c>
      <c r="D25" s="40">
        <f>'Quantification BoD'!D25*$H$4</f>
        <v>848.12470796544653</v>
      </c>
      <c r="E25" s="40">
        <f>'Quantification BoD'!E25*$H$5</f>
        <v>24.820630291274213</v>
      </c>
      <c r="F25" s="40">
        <f>'Quantification BoD'!F25*$H$5</f>
        <v>9.011615695310093</v>
      </c>
      <c r="G25" s="40">
        <f>'Quantification BoD'!G25*$H$5</f>
        <v>33.832245986584304</v>
      </c>
      <c r="H25" s="40">
        <f t="shared" si="15"/>
        <v>703.65210919141032</v>
      </c>
      <c r="I25" s="40">
        <f t="shared" si="16"/>
        <v>178.30484476062054</v>
      </c>
      <c r="J25" s="40">
        <f t="shared" si="17"/>
        <v>881.95695395203086</v>
      </c>
      <c r="K25" s="40"/>
      <c r="L25" s="40">
        <f>'Quantification BoD'!B25*$I$4</f>
        <v>0</v>
      </c>
      <c r="M25" s="40">
        <f>'Quantification BoD'!C25*$I$4</f>
        <v>0</v>
      </c>
      <c r="N25" s="40">
        <f>'Quantification BoD'!D25*$I$4</f>
        <v>0</v>
      </c>
      <c r="O25" s="40">
        <f>'Quantification BoD'!E25*$I$5</f>
        <v>0</v>
      </c>
      <c r="P25" s="40">
        <f>'Quantification BoD'!F25*$I$5</f>
        <v>0</v>
      </c>
      <c r="Q25" s="40">
        <f>'Quantification BoD'!G25*$I$5</f>
        <v>0</v>
      </c>
      <c r="R25" s="40">
        <f t="shared" si="18"/>
        <v>0</v>
      </c>
      <c r="S25" s="40">
        <f t="shared" si="11"/>
        <v>0</v>
      </c>
      <c r="T25" s="40">
        <f t="shared" si="12"/>
        <v>0</v>
      </c>
      <c r="U25" s="40"/>
      <c r="V25" s="40">
        <f>'Quantification BoD'!B25*$J$4</f>
        <v>2093.4011129150026</v>
      </c>
      <c r="W25" s="40">
        <f>'Quantification BoD'!C25*$J$4</f>
        <v>522.0715967805487</v>
      </c>
      <c r="X25" s="40">
        <f>'Quantification BoD'!D25*$J$4</f>
        <v>2615.4727096955512</v>
      </c>
      <c r="Y25" s="40">
        <f>'Quantification BoD'!E25*$J$5</f>
        <v>76.542612842868934</v>
      </c>
      <c r="Z25" s="40">
        <f>'Quantification BoD'!F25*$J$5</f>
        <v>27.790293927279269</v>
      </c>
      <c r="AA25" s="40">
        <f>'Quantification BoD'!G25*$J$5</f>
        <v>104.3329067701482</v>
      </c>
      <c r="AB25" s="40">
        <f t="shared" si="19"/>
        <v>2169.9437257578716</v>
      </c>
      <c r="AC25" s="40">
        <f t="shared" si="13"/>
        <v>549.86189070782802</v>
      </c>
      <c r="AD25" s="40">
        <f t="shared" si="14"/>
        <v>2719.8056164656996</v>
      </c>
      <c r="AE25" s="40"/>
    </row>
    <row r="26" spans="1:31" x14ac:dyDescent="0.25">
      <c r="A26" s="15" t="s">
        <v>39</v>
      </c>
      <c r="B26" s="40">
        <f>'Quantification BoD'!B26*$H$4</f>
        <v>943.56168295510133</v>
      </c>
      <c r="C26" s="40">
        <f>'Quantification BoD'!C26*$H$4</f>
        <v>260.96703176168847</v>
      </c>
      <c r="D26" s="40">
        <f>'Quantification BoD'!D26*$H$4</f>
        <v>1204.5287147167899</v>
      </c>
      <c r="E26" s="40">
        <f>'Quantification BoD'!E26*$H$5</f>
        <v>47.286753875525967</v>
      </c>
      <c r="F26" s="40">
        <f>'Quantification BoD'!F26*$H$5</f>
        <v>32.242607059872512</v>
      </c>
      <c r="G26" s="40">
        <f>'Quantification BoD'!G26*$H$5</f>
        <v>79.529360935398486</v>
      </c>
      <c r="H26" s="40">
        <f t="shared" si="15"/>
        <v>990.84843683062729</v>
      </c>
      <c r="I26" s="40">
        <f t="shared" si="16"/>
        <v>293.20963882156099</v>
      </c>
      <c r="J26" s="40">
        <f t="shared" si="17"/>
        <v>1284.0580756521883</v>
      </c>
      <c r="K26" s="40"/>
      <c r="L26" s="40">
        <f>'Quantification BoD'!B26*$I$4</f>
        <v>0</v>
      </c>
      <c r="M26" s="40">
        <f>'Quantification BoD'!C26*$I$4</f>
        <v>0</v>
      </c>
      <c r="N26" s="40">
        <f>'Quantification BoD'!D26*$I$4</f>
        <v>0</v>
      </c>
      <c r="O26" s="40">
        <f>'Quantification BoD'!E26*$I$5</f>
        <v>0</v>
      </c>
      <c r="P26" s="40">
        <f>'Quantification BoD'!F26*$I$5</f>
        <v>0</v>
      </c>
      <c r="Q26" s="40">
        <f>'Quantification BoD'!G26*$I$5</f>
        <v>0</v>
      </c>
      <c r="R26" s="40">
        <f t="shared" si="18"/>
        <v>0</v>
      </c>
      <c r="S26" s="40">
        <f t="shared" si="11"/>
        <v>0</v>
      </c>
      <c r="T26" s="40">
        <f t="shared" si="12"/>
        <v>0</v>
      </c>
      <c r="U26" s="40"/>
      <c r="V26" s="40">
        <f>'Quantification BoD'!B26*$J$4</f>
        <v>2909.7841490829633</v>
      </c>
      <c r="W26" s="40">
        <f>'Quantification BoD'!C26*$J$4</f>
        <v>804.77805126124952</v>
      </c>
      <c r="X26" s="40">
        <f>'Quantification BoD'!D26*$J$4</f>
        <v>3714.5622003442131</v>
      </c>
      <c r="Y26" s="40">
        <f>'Quantification BoD'!E26*$J$5</f>
        <v>145.82432645809354</v>
      </c>
      <c r="Z26" s="40">
        <f>'Quantification BoD'!F26*$J$5</f>
        <v>99.430730012371441</v>
      </c>
      <c r="AA26" s="40">
        <f>'Quantification BoD'!G26*$J$5</f>
        <v>245.25505647046498</v>
      </c>
      <c r="AB26" s="40">
        <f t="shared" si="19"/>
        <v>3055.6084755410566</v>
      </c>
      <c r="AC26" s="40">
        <f t="shared" si="13"/>
        <v>904.20878127362096</v>
      </c>
      <c r="AD26" s="40">
        <f t="shared" si="14"/>
        <v>3959.8172568146783</v>
      </c>
      <c r="AE26" s="40"/>
    </row>
    <row r="27" spans="1:31" x14ac:dyDescent="0.25">
      <c r="A27" s="15" t="s">
        <v>40</v>
      </c>
      <c r="B27" s="40">
        <f>'Quantification BoD'!B27*$H$4</f>
        <v>1122.8852428402001</v>
      </c>
      <c r="C27" s="40">
        <f>'Quantification BoD'!C27*$H$4</f>
        <v>342.50111384039928</v>
      </c>
      <c r="D27" s="40">
        <f>'Quantification BoD'!D27*$H$4</f>
        <v>1465.3863566805994</v>
      </c>
      <c r="E27" s="40">
        <f>'Quantification BoD'!E27*$H$5</f>
        <v>43.560708340642371</v>
      </c>
      <c r="F27" s="40">
        <f>'Quantification BoD'!F27*$H$5</f>
        <v>32.798616999061927</v>
      </c>
      <c r="G27" s="40">
        <f>'Quantification BoD'!G27*$H$5</f>
        <v>76.359325339704299</v>
      </c>
      <c r="H27" s="40">
        <f t="shared" si="15"/>
        <v>1166.4459511808425</v>
      </c>
      <c r="I27" s="40">
        <f t="shared" si="16"/>
        <v>375.29973083946123</v>
      </c>
      <c r="J27" s="40">
        <f t="shared" si="17"/>
        <v>1541.7456820203038</v>
      </c>
      <c r="K27" s="40"/>
      <c r="L27" s="40">
        <f>'Quantification BoD'!B27*$I$4</f>
        <v>0</v>
      </c>
      <c r="M27" s="40">
        <f>'Quantification BoD'!C27*$I$4</f>
        <v>0</v>
      </c>
      <c r="N27" s="40">
        <f>'Quantification BoD'!D27*$I$4</f>
        <v>0</v>
      </c>
      <c r="O27" s="40">
        <f>'Quantification BoD'!E27*$I$5</f>
        <v>0</v>
      </c>
      <c r="P27" s="40">
        <f>'Quantification BoD'!F27*$I$5</f>
        <v>0</v>
      </c>
      <c r="Q27" s="40">
        <f>'Quantification BoD'!G27*$I$5</f>
        <v>0</v>
      </c>
      <c r="R27" s="40">
        <f t="shared" si="18"/>
        <v>0</v>
      </c>
      <c r="S27" s="40">
        <f t="shared" si="11"/>
        <v>0</v>
      </c>
      <c r="T27" s="40">
        <f t="shared" si="12"/>
        <v>0</v>
      </c>
      <c r="U27" s="40"/>
      <c r="V27" s="40">
        <f>'Quantification BoD'!B27*$J$4</f>
        <v>3462.7875844032797</v>
      </c>
      <c r="W27" s="40">
        <f>'Quantification BoD'!C27*$J$4</f>
        <v>1056.2153276241891</v>
      </c>
      <c r="X27" s="40">
        <f>'Quantification BoD'!D27*$J$4</f>
        <v>4519.0029120274685</v>
      </c>
      <c r="Y27" s="40">
        <f>'Quantification BoD'!E27*$J$5</f>
        <v>134.33383417547978</v>
      </c>
      <c r="Z27" s="40">
        <f>'Quantification BoD'!F27*$J$5</f>
        <v>101.14537033426221</v>
      </c>
      <c r="AA27" s="40">
        <f>'Quantification BoD'!G27*$J$5</f>
        <v>235.47920450974198</v>
      </c>
      <c r="AB27" s="40">
        <f t="shared" si="19"/>
        <v>3597.1214185787594</v>
      </c>
      <c r="AC27" s="40">
        <f t="shared" si="13"/>
        <v>1157.3606979584513</v>
      </c>
      <c r="AD27" s="40">
        <f t="shared" si="14"/>
        <v>4754.4821165372105</v>
      </c>
      <c r="AE27" s="40"/>
    </row>
    <row r="28" spans="1:31" x14ac:dyDescent="0.25">
      <c r="A28" s="15" t="s">
        <v>41</v>
      </c>
      <c r="B28" s="40">
        <f>'Quantification BoD'!B28*$H$4</f>
        <v>1202.463232670098</v>
      </c>
      <c r="C28" s="40">
        <f>'Quantification BoD'!C28*$H$4</f>
        <v>426.23279008663218</v>
      </c>
      <c r="D28" s="40">
        <f>'Quantification BoD'!D28*$H$4</f>
        <v>1628.6960227567304</v>
      </c>
      <c r="E28" s="40">
        <f>'Quantification BoD'!E28*$H$5</f>
        <v>75.682393303042829</v>
      </c>
      <c r="F28" s="40">
        <f>'Quantification BoD'!F28*$H$5</f>
        <v>73.217107736939283</v>
      </c>
      <c r="G28" s="40">
        <f>'Quantification BoD'!G28*$H$5</f>
        <v>148.89950103998211</v>
      </c>
      <c r="H28" s="40">
        <f t="shared" si="15"/>
        <v>1278.1456259731408</v>
      </c>
      <c r="I28" s="40">
        <f t="shared" si="16"/>
        <v>499.44989782357146</v>
      </c>
      <c r="J28" s="40">
        <f t="shared" si="17"/>
        <v>1777.5955237967125</v>
      </c>
      <c r="K28" s="40"/>
      <c r="L28" s="40">
        <f>'Quantification BoD'!B28*$I$4</f>
        <v>0</v>
      </c>
      <c r="M28" s="40">
        <f>'Quantification BoD'!C28*$I$4</f>
        <v>0</v>
      </c>
      <c r="N28" s="40">
        <f>'Quantification BoD'!D28*$I$4</f>
        <v>0</v>
      </c>
      <c r="O28" s="40">
        <f>'Quantification BoD'!E28*$I$5</f>
        <v>0</v>
      </c>
      <c r="P28" s="40">
        <f>'Quantification BoD'!F28*$I$5</f>
        <v>0</v>
      </c>
      <c r="Q28" s="40">
        <f>'Quantification BoD'!G28*$I$5</f>
        <v>0</v>
      </c>
      <c r="R28" s="40">
        <f t="shared" si="18"/>
        <v>0</v>
      </c>
      <c r="S28" s="40">
        <f t="shared" si="11"/>
        <v>0</v>
      </c>
      <c r="T28" s="40">
        <f t="shared" si="12"/>
        <v>0</v>
      </c>
      <c r="U28" s="40"/>
      <c r="V28" s="40">
        <f>'Quantification BoD'!B28*$J$4</f>
        <v>3708.1926041341844</v>
      </c>
      <c r="W28" s="40">
        <f>'Quantification BoD'!C28*$J$4</f>
        <v>1314.4296115641489</v>
      </c>
      <c r="X28" s="40">
        <f>'Quantification BoD'!D28*$J$4</f>
        <v>5022.622215698334</v>
      </c>
      <c r="Y28" s="40">
        <f>'Quantification BoD'!E28*$J$5</f>
        <v>233.39166095443875</v>
      </c>
      <c r="Z28" s="40">
        <f>'Quantification BoD'!F28*$J$5</f>
        <v>225.78913851971581</v>
      </c>
      <c r="AA28" s="40">
        <f>'Quantification BoD'!G28*$J$5</f>
        <v>459.18079947415458</v>
      </c>
      <c r="AB28" s="40">
        <f t="shared" si="19"/>
        <v>3941.5842650886234</v>
      </c>
      <c r="AC28" s="40">
        <f t="shared" si="13"/>
        <v>1540.2187500838647</v>
      </c>
      <c r="AD28" s="40">
        <f t="shared" si="14"/>
        <v>5481.8030151724888</v>
      </c>
      <c r="AE28" s="40"/>
    </row>
    <row r="29" spans="1:31" x14ac:dyDescent="0.25">
      <c r="A29" s="15" t="s">
        <v>42</v>
      </c>
      <c r="B29" s="40">
        <f>'Quantification BoD'!B29*$H$4</f>
        <v>1239.0907061681621</v>
      </c>
      <c r="C29" s="40">
        <f>'Quantification BoD'!C29*$H$4</f>
        <v>597.93648438744901</v>
      </c>
      <c r="D29" s="40">
        <f>'Quantification BoD'!D29*$H$4</f>
        <v>1837.027190555611</v>
      </c>
      <c r="E29" s="40">
        <f>'Quantification BoD'!E29*$H$5</f>
        <v>75.250092283856759</v>
      </c>
      <c r="F29" s="40">
        <f>'Quantification BoD'!F29*$H$5</f>
        <v>70.799876169502525</v>
      </c>
      <c r="G29" s="40">
        <f>'Quantification BoD'!G29*$H$5</f>
        <v>146.04996845335927</v>
      </c>
      <c r="H29" s="40">
        <f t="shared" si="15"/>
        <v>1314.3407984520188</v>
      </c>
      <c r="I29" s="40">
        <f t="shared" si="16"/>
        <v>668.73636055695158</v>
      </c>
      <c r="J29" s="40">
        <f t="shared" si="17"/>
        <v>1983.0771590089703</v>
      </c>
      <c r="K29" s="40"/>
      <c r="L29" s="40">
        <f>'Quantification BoD'!B29*$I$4</f>
        <v>0</v>
      </c>
      <c r="M29" s="40">
        <f>'Quantification BoD'!C29*$I$4</f>
        <v>0</v>
      </c>
      <c r="N29" s="40">
        <f>'Quantification BoD'!D29*$I$4</f>
        <v>0</v>
      </c>
      <c r="O29" s="40">
        <f>'Quantification BoD'!E29*$I$5</f>
        <v>0</v>
      </c>
      <c r="P29" s="40">
        <f>'Quantification BoD'!F29*$I$5</f>
        <v>0</v>
      </c>
      <c r="Q29" s="40">
        <f>'Quantification BoD'!G29*$I$5</f>
        <v>0</v>
      </c>
      <c r="R29" s="40">
        <f t="shared" si="18"/>
        <v>0</v>
      </c>
      <c r="S29" s="40">
        <f t="shared" si="11"/>
        <v>0</v>
      </c>
      <c r="T29" s="40">
        <f t="shared" si="12"/>
        <v>0</v>
      </c>
      <c r="U29" s="40"/>
      <c r="V29" s="40">
        <f>'Quantification BoD'!B29*$J$4</f>
        <v>3821.1455183218782</v>
      </c>
      <c r="W29" s="40">
        <f>'Quantification BoD'!C29*$J$4</f>
        <v>1843.9346741804713</v>
      </c>
      <c r="X29" s="40">
        <f>'Quantification BoD'!D29*$J$4</f>
        <v>5665.0801925023488</v>
      </c>
      <c r="Y29" s="40">
        <f>'Quantification BoD'!E29*$J$5</f>
        <v>232.05851795384504</v>
      </c>
      <c r="Z29" s="40">
        <f>'Quantification BoD'!F29*$J$5</f>
        <v>218.3348064642193</v>
      </c>
      <c r="AA29" s="40">
        <f>'Quantification BoD'!G29*$J$5</f>
        <v>450.39332441806431</v>
      </c>
      <c r="AB29" s="40">
        <f t="shared" si="19"/>
        <v>4053.2040362757234</v>
      </c>
      <c r="AC29" s="40">
        <f t="shared" si="13"/>
        <v>2062.2694806446907</v>
      </c>
      <c r="AD29" s="40">
        <f t="shared" si="14"/>
        <v>6115.4735169204132</v>
      </c>
      <c r="AE29" s="40"/>
    </row>
    <row r="30" spans="1:31" x14ac:dyDescent="0.25">
      <c r="A30" s="15" t="s">
        <v>43</v>
      </c>
      <c r="B30" s="40">
        <f>'Quantification BoD'!B30*$H$4</f>
        <v>1729.5959129814953</v>
      </c>
      <c r="C30" s="40">
        <f>'Quantification BoD'!C30*$H$4</f>
        <v>1073.0524504889988</v>
      </c>
      <c r="D30" s="40">
        <f>'Quantification BoD'!D30*$H$4</f>
        <v>2802.6483634704941</v>
      </c>
      <c r="E30" s="40">
        <f>'Quantification BoD'!E30*$H$5</f>
        <v>159.87451905742051</v>
      </c>
      <c r="F30" s="40">
        <f>'Quantification BoD'!F30*$H$5</f>
        <v>178.03514208608729</v>
      </c>
      <c r="G30" s="40">
        <f>'Quantification BoD'!G30*$H$5</f>
        <v>337.90966114350783</v>
      </c>
      <c r="H30" s="40">
        <f t="shared" si="15"/>
        <v>1889.4704320389158</v>
      </c>
      <c r="I30" s="40">
        <f t="shared" si="16"/>
        <v>1251.0875925750861</v>
      </c>
      <c r="J30" s="40">
        <f t="shared" si="17"/>
        <v>3140.5580246140021</v>
      </c>
      <c r="K30" s="40"/>
      <c r="L30" s="40">
        <f>'Quantification BoD'!B30*$I$4</f>
        <v>0</v>
      </c>
      <c r="M30" s="40">
        <f>'Quantification BoD'!C30*$I$4</f>
        <v>0</v>
      </c>
      <c r="N30" s="40">
        <f>'Quantification BoD'!D30*$I$4</f>
        <v>0</v>
      </c>
      <c r="O30" s="40">
        <f>'Quantification BoD'!E30*$I$5</f>
        <v>0</v>
      </c>
      <c r="P30" s="40">
        <f>'Quantification BoD'!F30*$I$5</f>
        <v>0</v>
      </c>
      <c r="Q30" s="40">
        <f>'Quantification BoD'!G30*$I$5</f>
        <v>0</v>
      </c>
      <c r="R30" s="40">
        <f t="shared" si="18"/>
        <v>0</v>
      </c>
      <c r="S30" s="40">
        <f t="shared" si="11"/>
        <v>0</v>
      </c>
      <c r="T30" s="40">
        <f t="shared" si="12"/>
        <v>0</v>
      </c>
      <c r="U30" s="40"/>
      <c r="V30" s="40">
        <f>'Quantification BoD'!B30*$J$4</f>
        <v>5333.7803588530323</v>
      </c>
      <c r="W30" s="40">
        <f>'Quantification BoD'!C30*$J$4</f>
        <v>3309.111707237581</v>
      </c>
      <c r="X30" s="40">
        <f>'Quantification BoD'!D30*$J$4</f>
        <v>8642.8920660906133</v>
      </c>
      <c r="Y30" s="40">
        <f>'Quantification BoD'!E30*$J$5</f>
        <v>493.02589305937363</v>
      </c>
      <c r="Z30" s="40">
        <f>'Quantification BoD'!F30*$J$5</f>
        <v>549.03017341631573</v>
      </c>
      <c r="AA30" s="40">
        <f>'Quantification BoD'!G30*$J$5</f>
        <v>1042.0560664756895</v>
      </c>
      <c r="AB30" s="40">
        <f t="shared" si="19"/>
        <v>5826.806251912406</v>
      </c>
      <c r="AC30" s="40">
        <f t="shared" si="13"/>
        <v>3858.1418806538968</v>
      </c>
      <c r="AD30" s="40">
        <f t="shared" si="14"/>
        <v>9684.9481325663037</v>
      </c>
      <c r="AE30" s="40"/>
    </row>
    <row r="31" spans="1:31" x14ac:dyDescent="0.25">
      <c r="A31" s="15" t="s">
        <v>44</v>
      </c>
      <c r="B31" s="40">
        <f>'Quantification BoD'!B31*$H$4</f>
        <v>1370.3628252827343</v>
      </c>
      <c r="C31" s="40">
        <f>'Quantification BoD'!C31*$H$4</f>
        <v>1204.8979998791815</v>
      </c>
      <c r="D31" s="40">
        <f>'Quantification BoD'!D31*$H$4</f>
        <v>2575.2608251619158</v>
      </c>
      <c r="E31" s="40">
        <f>'Quantification BoD'!E31*$H$5</f>
        <v>96.418872800490135</v>
      </c>
      <c r="F31" s="40">
        <f>'Quantification BoD'!F31*$H$5</f>
        <v>113.79365493107537</v>
      </c>
      <c r="G31" s="40">
        <f>'Quantification BoD'!G31*$H$5</f>
        <v>210.2125277315655</v>
      </c>
      <c r="H31" s="40">
        <f t="shared" si="15"/>
        <v>1466.7816980832245</v>
      </c>
      <c r="I31" s="40">
        <f t="shared" si="16"/>
        <v>1318.6916548102568</v>
      </c>
      <c r="J31" s="40">
        <f t="shared" si="17"/>
        <v>2785.4733528934812</v>
      </c>
      <c r="K31" s="40"/>
      <c r="L31" s="40">
        <f>'Quantification BoD'!B31*$I$4</f>
        <v>0</v>
      </c>
      <c r="M31" s="40">
        <f>'Quantification BoD'!C31*$I$4</f>
        <v>0</v>
      </c>
      <c r="N31" s="40">
        <f>'Quantification BoD'!D31*$I$4</f>
        <v>0</v>
      </c>
      <c r="O31" s="40">
        <f>'Quantification BoD'!E31*$I$5</f>
        <v>0</v>
      </c>
      <c r="P31" s="40">
        <f>'Quantification BoD'!F31*$I$5</f>
        <v>0</v>
      </c>
      <c r="Q31" s="40">
        <f>'Quantification BoD'!G31*$I$5</f>
        <v>0</v>
      </c>
      <c r="R31" s="40">
        <f t="shared" si="18"/>
        <v>0</v>
      </c>
      <c r="S31" s="40">
        <f t="shared" si="11"/>
        <v>0</v>
      </c>
      <c r="T31" s="40">
        <f t="shared" si="12"/>
        <v>0</v>
      </c>
      <c r="U31" s="40"/>
      <c r="V31" s="40">
        <f>'Quantification BoD'!B31*$J$4</f>
        <v>4225.966462533841</v>
      </c>
      <c r="W31" s="40">
        <f>'Quantification BoD'!C31*$J$4</f>
        <v>3715.7010131334873</v>
      </c>
      <c r="X31" s="40">
        <f>'Quantification BoD'!D31*$J$4</f>
        <v>7941.6674756673283</v>
      </c>
      <c r="Y31" s="40">
        <f>'Quantification BoD'!E31*$J$5</f>
        <v>297.33944565091332</v>
      </c>
      <c r="Z31" s="40">
        <f>'Quantification BoD'!F31*$J$5</f>
        <v>350.92032600100333</v>
      </c>
      <c r="AA31" s="40">
        <f>'Quantification BoD'!G31*$J$5</f>
        <v>648.25977165191671</v>
      </c>
      <c r="AB31" s="40">
        <f t="shared" si="19"/>
        <v>4523.3059081847541</v>
      </c>
      <c r="AC31" s="40">
        <f t="shared" si="13"/>
        <v>4066.6213391344909</v>
      </c>
      <c r="AD31" s="40">
        <f t="shared" si="14"/>
        <v>8589.927247319245</v>
      </c>
      <c r="AE31" s="40"/>
    </row>
    <row r="32" spans="1:31" x14ac:dyDescent="0.25">
      <c r="A32" s="15" t="s">
        <v>45</v>
      </c>
      <c r="B32" s="40">
        <f>'Quantification BoD'!B32*$H$4</f>
        <v>900.58334726409294</v>
      </c>
      <c r="C32" s="40">
        <f>'Quantification BoD'!C32*$H$4</f>
        <v>1217.4552341138447</v>
      </c>
      <c r="D32" s="40">
        <f>'Quantification BoD'!D32*$H$4</f>
        <v>2118.0385813779376</v>
      </c>
      <c r="E32" s="40">
        <f>'Quantification BoD'!E32*$H$5</f>
        <v>53.889516920120428</v>
      </c>
      <c r="F32" s="40">
        <f>'Quantification BoD'!F32*$H$5</f>
        <v>78.496105586705951</v>
      </c>
      <c r="G32" s="40">
        <f>'Quantification BoD'!G32*$H$5</f>
        <v>132.38562250682639</v>
      </c>
      <c r="H32" s="40">
        <f t="shared" si="15"/>
        <v>954.47286418421334</v>
      </c>
      <c r="I32" s="40">
        <f t="shared" si="16"/>
        <v>1295.9513397005505</v>
      </c>
      <c r="J32" s="40">
        <f t="shared" si="17"/>
        <v>2250.4242038847642</v>
      </c>
      <c r="K32" s="40"/>
      <c r="L32" s="40">
        <f>'Quantification BoD'!B32*$I$4</f>
        <v>0</v>
      </c>
      <c r="M32" s="40">
        <f>'Quantification BoD'!C32*$I$4</f>
        <v>0</v>
      </c>
      <c r="N32" s="40">
        <f>'Quantification BoD'!D32*$I$4</f>
        <v>0</v>
      </c>
      <c r="O32" s="40">
        <f>'Quantification BoD'!E32*$I$5</f>
        <v>0</v>
      </c>
      <c r="P32" s="40">
        <f>'Quantification BoD'!F32*$I$5</f>
        <v>0</v>
      </c>
      <c r="Q32" s="40">
        <f>'Quantification BoD'!G32*$I$5</f>
        <v>0</v>
      </c>
      <c r="R32" s="40">
        <f t="shared" si="18"/>
        <v>0</v>
      </c>
      <c r="S32" s="40">
        <f t="shared" si="11"/>
        <v>0</v>
      </c>
      <c r="T32" s="40">
        <f t="shared" si="12"/>
        <v>0</v>
      </c>
      <c r="U32" s="40"/>
      <c r="V32" s="40">
        <f>'Quantification BoD'!B32*$J$4</f>
        <v>2777.2462533557868</v>
      </c>
      <c r="W32" s="40">
        <f>'Quantification BoD'!C32*$J$4</f>
        <v>3754.4253930997343</v>
      </c>
      <c r="X32" s="40">
        <f>'Quantification BoD'!D32*$J$4</f>
        <v>6531.6716464555211</v>
      </c>
      <c r="Y32" s="40">
        <f>'Quantification BoD'!E32*$J$5</f>
        <v>166.18612748750854</v>
      </c>
      <c r="Z32" s="40">
        <f>'Quantification BoD'!F32*$J$5</f>
        <v>242.06867227334007</v>
      </c>
      <c r="AA32" s="40">
        <f>'Quantification BoD'!G32*$J$5</f>
        <v>408.25479976084864</v>
      </c>
      <c r="AB32" s="40">
        <f t="shared" si="19"/>
        <v>2943.4323808432955</v>
      </c>
      <c r="AC32" s="40">
        <f t="shared" si="13"/>
        <v>3996.4940653730741</v>
      </c>
      <c r="AD32" s="40">
        <f t="shared" si="14"/>
        <v>6939.9264462163701</v>
      </c>
      <c r="AE32" s="40"/>
    </row>
    <row r="33" spans="1:31" x14ac:dyDescent="0.25">
      <c r="A33" s="15" t="s">
        <v>99</v>
      </c>
      <c r="B33" s="40">
        <f>'Quantification BoD'!B33*$H$4</f>
        <v>379.74484324651809</v>
      </c>
      <c r="C33" s="40">
        <f>'Quantification BoD'!C33*$H$4</f>
        <v>1045.7529681219689</v>
      </c>
      <c r="D33" s="40">
        <f>'Quantification BoD'!D33*$H$4</f>
        <v>1425.4978113684872</v>
      </c>
      <c r="E33" s="40">
        <f>'Quantification BoD'!E33*$H$5</f>
        <v>21.784152406264411</v>
      </c>
      <c r="F33" s="40">
        <f>'Quantification BoD'!F33*$H$5</f>
        <v>50.620300991354263</v>
      </c>
      <c r="G33" s="40">
        <f>'Quantification BoD'!G33*$H$5</f>
        <v>72.404453397618681</v>
      </c>
      <c r="H33" s="40">
        <f t="shared" si="15"/>
        <v>401.5289956527825</v>
      </c>
      <c r="I33" s="40">
        <f t="shared" si="16"/>
        <v>1096.3732691133232</v>
      </c>
      <c r="J33" s="40">
        <f t="shared" si="17"/>
        <v>1497.9022647661059</v>
      </c>
      <c r="K33" s="40"/>
      <c r="L33" s="40">
        <f>'Quantification BoD'!B33*$I$4</f>
        <v>0</v>
      </c>
      <c r="M33" s="40">
        <f>'Quantification BoD'!C33*$I$4</f>
        <v>0</v>
      </c>
      <c r="N33" s="40">
        <f>'Quantification BoD'!D33*$I$4</f>
        <v>0</v>
      </c>
      <c r="O33" s="40">
        <f>'Quantification BoD'!E33*$I$5</f>
        <v>0</v>
      </c>
      <c r="P33" s="40">
        <f>'Quantification BoD'!F33*$I$5</f>
        <v>0</v>
      </c>
      <c r="Q33" s="40">
        <f>'Quantification BoD'!G33*$I$5</f>
        <v>0</v>
      </c>
      <c r="R33" s="40">
        <f t="shared" si="18"/>
        <v>0</v>
      </c>
      <c r="S33" s="40">
        <f t="shared" si="11"/>
        <v>0</v>
      </c>
      <c r="T33" s="40">
        <f t="shared" si="12"/>
        <v>0</v>
      </c>
      <c r="U33" s="40"/>
      <c r="V33" s="40">
        <f>'Quantification BoD'!B33*$J$4</f>
        <v>1171.0686704806478</v>
      </c>
      <c r="W33" s="40">
        <f>'Quantification BoD'!C33*$J$4</f>
        <v>3224.9247351458648</v>
      </c>
      <c r="X33" s="40">
        <f>'Quantification BoD'!D33*$J$4</f>
        <v>4395.9934056265129</v>
      </c>
      <c r="Y33" s="40">
        <f>'Quantification BoD'!E33*$J$5</f>
        <v>67.178630202994285</v>
      </c>
      <c r="Z33" s="40">
        <f>'Quantification BoD'!F33*$J$5</f>
        <v>156.10442020615642</v>
      </c>
      <c r="AA33" s="40">
        <f>'Quantification BoD'!G33*$J$5</f>
        <v>223.28305040915069</v>
      </c>
      <c r="AB33" s="40">
        <f t="shared" si="19"/>
        <v>1238.2473006836422</v>
      </c>
      <c r="AC33" s="40">
        <f t="shared" si="13"/>
        <v>3381.029155352021</v>
      </c>
      <c r="AD33" s="40">
        <f t="shared" si="14"/>
        <v>4619.2764560356636</v>
      </c>
      <c r="AE33" s="40"/>
    </row>
    <row r="34" spans="1:31" x14ac:dyDescent="0.25">
      <c r="A34" s="15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 spans="1:31" x14ac:dyDescent="0.25">
      <c r="A35" s="15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pans="1:31" x14ac:dyDescent="0.25">
      <c r="A36" s="15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</row>
    <row r="37" spans="1:31" x14ac:dyDescent="0.25">
      <c r="A37" s="7" t="s">
        <v>19</v>
      </c>
      <c r="B37" s="40">
        <f t="shared" ref="B37:J37" si="20">SUM(B14:B33)</f>
        <v>10172.000311195794</v>
      </c>
      <c r="C37" s="40">
        <f t="shared" si="20"/>
        <v>6488.9451225172907</v>
      </c>
      <c r="D37" s="40">
        <f t="shared" si="20"/>
        <v>16660.945433713081</v>
      </c>
      <c r="E37" s="40">
        <f t="shared" si="20"/>
        <v>631.71950012932564</v>
      </c>
      <c r="F37" s="40">
        <f t="shared" si="20"/>
        <v>649.06828434726731</v>
      </c>
      <c r="G37" s="40">
        <f t="shared" si="20"/>
        <v>1280.7877844765931</v>
      </c>
      <c r="H37" s="40">
        <f t="shared" si="20"/>
        <v>10803.719811325118</v>
      </c>
      <c r="I37" s="40">
        <f t="shared" si="20"/>
        <v>7138.0134068645566</v>
      </c>
      <c r="J37" s="40">
        <f t="shared" si="20"/>
        <v>17941.733218189678</v>
      </c>
      <c r="K37" s="40"/>
      <c r="L37" s="40">
        <f t="shared" ref="L37:T37" si="21">SUM(L14:L33)</f>
        <v>0</v>
      </c>
      <c r="M37" s="40">
        <f t="shared" si="21"/>
        <v>0</v>
      </c>
      <c r="N37" s="40">
        <f t="shared" si="21"/>
        <v>0</v>
      </c>
      <c r="O37" s="40">
        <f t="shared" si="21"/>
        <v>0</v>
      </c>
      <c r="P37" s="40">
        <f t="shared" si="21"/>
        <v>0</v>
      </c>
      <c r="Q37" s="40">
        <f t="shared" si="21"/>
        <v>0</v>
      </c>
      <c r="R37" s="40">
        <f t="shared" si="21"/>
        <v>0</v>
      </c>
      <c r="S37" s="40">
        <f t="shared" si="21"/>
        <v>0</v>
      </c>
      <c r="T37" s="40">
        <f t="shared" si="21"/>
        <v>0</v>
      </c>
      <c r="U37" s="40"/>
      <c r="V37" s="40">
        <f t="shared" ref="V37:AD37" si="22">SUM(V14:V33)</f>
        <v>31368.723216151309</v>
      </c>
      <c r="W37" s="40">
        <f t="shared" si="22"/>
        <v>20010.805867652511</v>
      </c>
      <c r="X37" s="40">
        <f t="shared" si="22"/>
        <v>51379.52908380382</v>
      </c>
      <c r="Y37" s="40">
        <f t="shared" si="22"/>
        <v>1948.1157632281604</v>
      </c>
      <c r="Z37" s="40">
        <f t="shared" si="22"/>
        <v>2001.6164704263667</v>
      </c>
      <c r="AA37" s="40">
        <f t="shared" si="22"/>
        <v>3949.7322336545271</v>
      </c>
      <c r="AB37" s="40">
        <f t="shared" si="22"/>
        <v>33316.83897937947</v>
      </c>
      <c r="AC37" s="40">
        <f t="shared" si="22"/>
        <v>22012.422338078879</v>
      </c>
      <c r="AD37" s="40">
        <f t="shared" si="22"/>
        <v>55329.261317458353</v>
      </c>
      <c r="AE37" s="40"/>
    </row>
    <row r="38" spans="1:31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31" x14ac:dyDescent="0.25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31" x14ac:dyDescent="0.25">
      <c r="A40" s="7" t="s">
        <v>104</v>
      </c>
      <c r="B40" s="11">
        <f>(B37*100000)/'Input data BoD'!$B38</f>
        <v>25.050712326528181</v>
      </c>
      <c r="C40" s="11">
        <f>(C37*100000)/'Input data BoD'!$C38</f>
        <v>15.544967156379093</v>
      </c>
      <c r="D40" s="11">
        <f>(D37*100000)/'Input data BoD'!$D38</f>
        <v>20.232191458571378</v>
      </c>
      <c r="E40" s="11">
        <f>(E37*100000)/'Input data BoD'!$B38</f>
        <v>1.5557435100921235</v>
      </c>
      <c r="F40" s="11">
        <f>(F37*100000)/'Input data BoD'!$C38</f>
        <v>1.5549130054148814</v>
      </c>
      <c r="G40" s="11">
        <f>(G37*100000)/'Input data BoD'!$D38</f>
        <v>1.5553225221478231</v>
      </c>
      <c r="H40" s="11">
        <f>(H37*100000)/'Input data BoD'!$B38</f>
        <v>26.606455836620299</v>
      </c>
      <c r="I40" s="11">
        <f>(I37*100000)/'Input data BoD'!$C38</f>
        <v>17.099880161793973</v>
      </c>
      <c r="J40" s="11">
        <f>(J37*100000)/'Input data BoD'!$D38</f>
        <v>21.787513980719208</v>
      </c>
      <c r="L40" s="11">
        <f>(L37*100000)/'Input data BoD'!$B38</f>
        <v>0</v>
      </c>
      <c r="M40" s="11">
        <f>(M37*100000)/'Input data BoD'!$C38</f>
        <v>0</v>
      </c>
      <c r="N40" s="11">
        <f>(N37*100000)/'Input data BoD'!$D38</f>
        <v>0</v>
      </c>
      <c r="O40" s="11">
        <f>(O37*100000)/'Input data BoD'!$B38</f>
        <v>0</v>
      </c>
      <c r="P40" s="11">
        <f>(P37*100000)/'Input data BoD'!$C38</f>
        <v>0</v>
      </c>
      <c r="Q40" s="11">
        <f>(Q37*100000)/'Input data BoD'!$D38</f>
        <v>0</v>
      </c>
      <c r="R40" s="11">
        <f>(R37*100000)/'Input data BoD'!$B38</f>
        <v>0</v>
      </c>
      <c r="S40" s="11">
        <f>(S37*100000)/'Input data BoD'!$C38</f>
        <v>0</v>
      </c>
      <c r="T40" s="11">
        <f>(T37*100000)/'Input data BoD'!$D38</f>
        <v>0</v>
      </c>
      <c r="V40" s="11">
        <f>(V37*100000)/'Input data BoD'!$B38</f>
        <v>77.252146804733499</v>
      </c>
      <c r="W40" s="11">
        <f>(W37*100000)/'Input data BoD'!$C38</f>
        <v>47.938041409211728</v>
      </c>
      <c r="X40" s="11">
        <f>(X37*100000)/'Input data BoD'!$D38</f>
        <v>62.392645940206187</v>
      </c>
      <c r="Y40" s="11">
        <f>(Y37*100000)/'Input data BoD'!$B38</f>
        <v>4.7976490434914796</v>
      </c>
      <c r="Z40" s="11">
        <f>(Z37*100000)/'Input data BoD'!$C38</f>
        <v>4.7950879079671864</v>
      </c>
      <c r="AA40" s="11">
        <f>(AA37*100000)/'Input data BoD'!$D38</f>
        <v>4.7963507880944984</v>
      </c>
      <c r="AB40" s="11">
        <f>(AB37*100000)/'Input data BoD'!$B38</f>
        <v>82.049795848224974</v>
      </c>
      <c r="AC40" s="11">
        <f>(AC37*100000)/'Input data BoD'!$C38</f>
        <v>52.733129317178921</v>
      </c>
      <c r="AD40" s="11">
        <f>(AD37*100000)/'Input data BoD'!$D38</f>
        <v>67.188996728300694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24"/>
  <sheetViews>
    <sheetView tabSelected="1" workbookViewId="0">
      <selection activeCell="H19" sqref="H19"/>
    </sheetView>
  </sheetViews>
  <sheetFormatPr baseColWidth="10" defaultRowHeight="15" x14ac:dyDescent="0.25"/>
  <sheetData>
    <row r="2" spans="1:1" x14ac:dyDescent="0.25">
      <c r="A2" s="7" t="s">
        <v>91</v>
      </c>
    </row>
    <row r="3" spans="1:1" x14ac:dyDescent="0.25">
      <c r="A3" s="15"/>
    </row>
    <row r="4" spans="1:1" x14ac:dyDescent="0.25">
      <c r="A4" s="15"/>
    </row>
    <row r="5" spans="1:1" x14ac:dyDescent="0.25">
      <c r="A5" t="str">
        <f>'Input data BoD'!B41</f>
        <v>Gesundheitsberichtserstattung des Bundes (2018)</v>
      </c>
    </row>
    <row r="6" spans="1:1" x14ac:dyDescent="0.25">
      <c r="A6" s="15" t="s">
        <v>92</v>
      </c>
    </row>
    <row r="7" spans="1:1" x14ac:dyDescent="0.25">
      <c r="A7" s="15"/>
    </row>
    <row r="8" spans="1:1" x14ac:dyDescent="0.25">
      <c r="A8" s="15" t="str">
        <f>'Input data BoD'!E41</f>
        <v>Destatis (2018)</v>
      </c>
    </row>
    <row r="9" spans="1:1" x14ac:dyDescent="0.25">
      <c r="A9" s="15" t="s">
        <v>93</v>
      </c>
    </row>
    <row r="10" spans="1:1" x14ac:dyDescent="0.25">
      <c r="A10" s="15"/>
    </row>
    <row r="11" spans="1:1" x14ac:dyDescent="0.25">
      <c r="A11" s="15" t="str">
        <f>'Input data BoD'!G41</f>
        <v>Gesundheitsberichtserstattung des Bundes (2017)</v>
      </c>
    </row>
    <row r="12" spans="1:1" x14ac:dyDescent="0.25">
      <c r="A12" s="15" t="s">
        <v>95</v>
      </c>
    </row>
    <row r="13" spans="1:1" x14ac:dyDescent="0.25">
      <c r="A13" s="15"/>
    </row>
    <row r="14" spans="1:1" x14ac:dyDescent="0.25">
      <c r="A14" s="15" t="str">
        <f>'Input data BoD'!J41</f>
        <v>Geda (Busch &amp; Kuhnert 2017)</v>
      </c>
    </row>
    <row r="15" spans="1:1" x14ac:dyDescent="0.25">
      <c r="A15" t="s">
        <v>97</v>
      </c>
    </row>
    <row r="16" spans="1:1" x14ac:dyDescent="0.25">
      <c r="A16" s="15"/>
    </row>
    <row r="17" spans="1:1" x14ac:dyDescent="0.25">
      <c r="A17" t="str">
        <f>'Input data BoD'!M41</f>
        <v>own based on GBD</v>
      </c>
    </row>
    <row r="18" spans="1:1" x14ac:dyDescent="0.25">
      <c r="A18" t="s">
        <v>113</v>
      </c>
    </row>
    <row r="20" spans="1:1" x14ac:dyDescent="0.25">
      <c r="A20" s="19" t="s">
        <v>106</v>
      </c>
    </row>
    <row r="21" spans="1:1" x14ac:dyDescent="0.25">
      <c r="A21" s="42" t="s">
        <v>106</v>
      </c>
    </row>
    <row r="23" spans="1:1" x14ac:dyDescent="0.25">
      <c r="A23" t="str">
        <f>PAF!H6</f>
        <v>van Kempen et al 2018 S. 7</v>
      </c>
    </row>
    <row r="24" spans="1:1" x14ac:dyDescent="0.25">
      <c r="A24" t="s">
        <v>98</v>
      </c>
    </row>
  </sheetData>
  <hyperlinks>
    <hyperlink ref="A21" r:id="rId1" xr:uid="{00000000-0004-0000-06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Input data BoD</vt:lpstr>
      <vt:lpstr>Quantification BoD</vt:lpstr>
      <vt:lpstr>Input data Exposure</vt:lpstr>
      <vt:lpstr>PAF</vt:lpstr>
      <vt:lpstr>Quantification EBD</vt:lpstr>
      <vt:lpstr>Description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Tobollik, Myriam</cp:lastModifiedBy>
  <dcterms:created xsi:type="dcterms:W3CDTF">2017-09-20T12:58:31Z</dcterms:created>
  <dcterms:modified xsi:type="dcterms:W3CDTF">2023-07-07T08:36:01Z</dcterms:modified>
</cp:coreProperties>
</file>