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Kurs-and-Projects-44\"/>
    </mc:Choice>
  </mc:AlternateContent>
  <bookViews>
    <workbookView xWindow="0" yWindow="0" windowWidth="28800" windowHeight="12300" firstSheet="1" activeTab="2"/>
  </bookViews>
  <sheets>
    <sheet name="ФинПлан" sheetId="8" r:id="rId1"/>
    <sheet name="1. ГП" sheetId="4" r:id="rId2"/>
    <sheet name="1. Спецификация ГП" sheetId="3" r:id="rId3"/>
    <sheet name="2. Маршруты" sheetId="7" r:id="rId4"/>
    <sheet name="3.2. Комиссионеры" sheetId="9" r:id="rId5"/>
    <sheet name="3.3. Комитент" sheetId="10" r:id="rId6"/>
    <sheet name="Покупатели" sheetId="5" r:id="rId7"/>
    <sheet name="3. Товары" sheetId="6" r:id="rId8"/>
    <sheet name="СтруктураОрганизации" sheetId="2" r:id="rId9"/>
    <sheet name="ТЗ" sheetId="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8" l="1"/>
  <c r="M9" i="8"/>
  <c r="L11" i="8"/>
  <c r="L9" i="8"/>
  <c r="N4" i="8"/>
  <c r="J11" i="8"/>
  <c r="F11" i="8"/>
  <c r="F18" i="8"/>
  <c r="F15" i="8"/>
  <c r="F12" i="8"/>
  <c r="E11" i="8"/>
  <c r="E15" i="8"/>
  <c r="E16" i="8"/>
  <c r="E13" i="8"/>
  <c r="E12" i="8"/>
  <c r="D16" i="8"/>
  <c r="C16" i="8"/>
  <c r="B16" i="8"/>
  <c r="D15" i="8"/>
  <c r="C15" i="8"/>
  <c r="C13" i="8"/>
  <c r="D13" i="8"/>
  <c r="B13" i="8"/>
  <c r="D12" i="8"/>
  <c r="C12" i="8"/>
  <c r="G4" i="10"/>
  <c r="D4" i="10"/>
  <c r="E4" i="10"/>
  <c r="F4" i="10"/>
  <c r="C4" i="10"/>
  <c r="F3" i="10"/>
  <c r="I9" i="8"/>
  <c r="F9" i="8"/>
  <c r="E9" i="8"/>
  <c r="D10" i="4"/>
  <c r="D12" i="4"/>
  <c r="D13" i="4"/>
  <c r="D14" i="4"/>
  <c r="D15" i="4"/>
  <c r="C9" i="4"/>
  <c r="D9" i="4" s="1"/>
  <c r="C15" i="4"/>
  <c r="C14" i="4"/>
  <c r="C13" i="4"/>
  <c r="C12" i="4"/>
  <c r="C10" i="4"/>
  <c r="E24" i="4"/>
  <c r="E30" i="4"/>
  <c r="G27" i="4"/>
  <c r="E28" i="4"/>
  <c r="E26" i="4"/>
  <c r="C28" i="4"/>
  <c r="D28" i="4" s="1"/>
  <c r="B7" i="7"/>
  <c r="C5" i="7"/>
  <c r="B5" i="7"/>
  <c r="C3" i="7"/>
  <c r="C4" i="7"/>
  <c r="C2" i="7"/>
  <c r="C11" i="5"/>
  <c r="D11" i="5"/>
  <c r="E11" i="5"/>
  <c r="F11" i="5"/>
  <c r="B11" i="5"/>
  <c r="D3" i="6"/>
  <c r="C12" i="5" s="1"/>
  <c r="D4" i="6"/>
  <c r="D12" i="5" s="1"/>
  <c r="D5" i="6"/>
  <c r="E12" i="5" s="1"/>
  <c r="D6" i="6"/>
  <c r="F12" i="5" s="1"/>
  <c r="H12" i="5" s="1"/>
  <c r="D2" i="6"/>
  <c r="F2" i="6" s="1"/>
  <c r="B5" i="5"/>
  <c r="F3" i="5"/>
  <c r="F4" i="5"/>
  <c r="F2" i="5"/>
  <c r="F5" i="5" s="1"/>
  <c r="E4" i="5"/>
  <c r="D4" i="5"/>
  <c r="E2" i="5"/>
  <c r="D2" i="5"/>
  <c r="G7" i="3"/>
  <c r="H7" i="3"/>
  <c r="D7" i="3"/>
  <c r="G5" i="3"/>
  <c r="H5" i="3"/>
  <c r="G6" i="3"/>
  <c r="H6" i="3"/>
  <c r="E6" i="3"/>
  <c r="E5" i="3"/>
  <c r="E3" i="3"/>
  <c r="E4" i="3"/>
  <c r="G4" i="3" s="1"/>
  <c r="H2" i="3"/>
  <c r="G2" i="3"/>
  <c r="E2" i="3"/>
  <c r="B3" i="4" l="1"/>
  <c r="D3" i="4" s="1"/>
  <c r="D4" i="8" s="1"/>
  <c r="H5" i="5"/>
  <c r="C17" i="4"/>
  <c r="C21" i="4"/>
  <c r="D21" i="4" s="1"/>
  <c r="C20" i="4"/>
  <c r="D20" i="4" s="1"/>
  <c r="C19" i="4"/>
  <c r="D19" i="4" s="1"/>
  <c r="C18" i="4"/>
  <c r="D18" i="4" s="1"/>
  <c r="F3" i="6"/>
  <c r="F4" i="6"/>
  <c r="F5" i="6"/>
  <c r="F6" i="6"/>
  <c r="B12" i="5"/>
  <c r="G12" i="5" s="1"/>
  <c r="B11" i="8" s="1"/>
  <c r="H4" i="3"/>
  <c r="E7" i="3"/>
  <c r="H3" i="3"/>
  <c r="G3" i="3"/>
  <c r="C3" i="4" l="1"/>
  <c r="C4" i="8" s="1"/>
  <c r="B4" i="8"/>
  <c r="C16" i="4"/>
  <c r="D16" i="4" s="1"/>
  <c r="E9" i="4" s="1"/>
  <c r="E6" i="4" s="1"/>
  <c r="E7" i="8" s="1"/>
  <c r="D17" i="4"/>
  <c r="F7" i="6"/>
  <c r="C11" i="8"/>
  <c r="D11" i="8"/>
  <c r="E3" i="4" l="1"/>
  <c r="G3" i="4" s="1"/>
  <c r="H4" i="8" s="1"/>
  <c r="E4" i="8"/>
  <c r="L4" i="8" s="1"/>
  <c r="F4" i="8" l="1"/>
  <c r="M4" i="8" s="1"/>
  <c r="E3" i="8"/>
  <c r="L3" i="8" l="1"/>
  <c r="F3" i="8"/>
  <c r="M3" i="8" s="1"/>
</calcChain>
</file>

<file path=xl/comments1.xml><?xml version="1.0" encoding="utf-8"?>
<comments xmlns="http://schemas.openxmlformats.org/spreadsheetml/2006/main">
  <authors>
    <author>ws2022</author>
  </authors>
  <commentLis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ws2022:</t>
        </r>
        <r>
          <rPr>
            <sz val="9"/>
            <color indexed="81"/>
            <rFont val="Tahoma"/>
            <family val="2"/>
            <charset val="204"/>
          </rPr>
          <t xml:space="preserve">
срок службы в месяцах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ws2022:</t>
        </r>
        <r>
          <rPr>
            <sz val="9"/>
            <color indexed="81"/>
            <rFont val="Tahoma"/>
            <family val="2"/>
            <charset val="204"/>
          </rPr>
          <t xml:space="preserve">
максимальный километраж</t>
        </r>
      </text>
    </comment>
  </commentList>
</comments>
</file>

<file path=xl/comments2.xml><?xml version="1.0" encoding="utf-8"?>
<comments xmlns="http://schemas.openxmlformats.org/spreadsheetml/2006/main">
  <authors>
    <author>ws2022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ws2022:</t>
        </r>
        <r>
          <rPr>
            <sz val="9"/>
            <color indexed="81"/>
            <rFont val="Tahoma"/>
            <family val="2"/>
            <charset val="204"/>
          </rPr>
          <t xml:space="preserve">
привязан к дате</t>
        </r>
      </text>
    </comment>
  </commentList>
</comments>
</file>

<file path=xl/sharedStrings.xml><?xml version="1.0" encoding="utf-8"?>
<sst xmlns="http://schemas.openxmlformats.org/spreadsheetml/2006/main" count="163" uniqueCount="136">
  <si>
    <t>Организация</t>
  </si>
  <si>
    <t>Отдел закупок</t>
  </si>
  <si>
    <t>Отдел продаж</t>
  </si>
  <si>
    <t>Производство</t>
  </si>
  <si>
    <t>Изготовление продукции по спецификации в соответствии с заказами</t>
  </si>
  <si>
    <t>Администрация</t>
  </si>
  <si>
    <t>Руководитель+бухгалтер</t>
  </si>
  <si>
    <t>Оптовый склад</t>
  </si>
  <si>
    <t>Отдел Транспортных перевозок</t>
  </si>
  <si>
    <t>№пп</t>
  </si>
  <si>
    <t>Сырье</t>
  </si>
  <si>
    <t>Цена</t>
  </si>
  <si>
    <t>Количество</t>
  </si>
  <si>
    <t>Сумма</t>
  </si>
  <si>
    <t>включая НДС</t>
  </si>
  <si>
    <t>НДС сверху</t>
  </si>
  <si>
    <t>Тесто</t>
  </si>
  <si>
    <t>Свинина</t>
  </si>
  <si>
    <t>Говядина</t>
  </si>
  <si>
    <t>Лук</t>
  </si>
  <si>
    <t>Специи</t>
  </si>
  <si>
    <t>Статьи доходов/расходов</t>
  </si>
  <si>
    <t>1 декада</t>
  </si>
  <si>
    <t>2 декада</t>
  </si>
  <si>
    <t>3 декада</t>
  </si>
  <si>
    <t>Итого:</t>
  </si>
  <si>
    <t>А) Доход от реализации:</t>
  </si>
  <si>
    <t>1. Готовая продукция (цена продажи*количество)</t>
  </si>
  <si>
    <t>Покупатели</t>
  </si>
  <si>
    <t>Цена продажи (опт)</t>
  </si>
  <si>
    <t>скидка Если (&gt;300 скидка=%5)</t>
  </si>
  <si>
    <t>Цена продажи (Б.опт)</t>
  </si>
  <si>
    <t>Стоимость (доходность)</t>
  </si>
  <si>
    <t>НДС10%</t>
  </si>
  <si>
    <t>Собственные товары:</t>
  </si>
  <si>
    <t>ед.изм</t>
  </si>
  <si>
    <t>шт.</t>
  </si>
  <si>
    <t>цена покупки</t>
  </si>
  <si>
    <t>цена продажи</t>
  </si>
  <si>
    <t>%наценки</t>
  </si>
  <si>
    <t>Выручка руб.</t>
  </si>
  <si>
    <t>Итого штук</t>
  </si>
  <si>
    <t>Итого продажи</t>
  </si>
  <si>
    <t>50% аванс</t>
  </si>
  <si>
    <t>Б) Расходы</t>
  </si>
  <si>
    <t>Б.2) Зарплата сотрудникам (ФОТ)</t>
  </si>
  <si>
    <t>Б.2.1) Администрация</t>
  </si>
  <si>
    <t>Б.2.3)  Отдел закупок</t>
  </si>
  <si>
    <t>Б.2.4)  Отдел продаж</t>
  </si>
  <si>
    <t>Б.2.5) Склад</t>
  </si>
  <si>
    <t>Б.2.6) Отдел транспорта</t>
  </si>
  <si>
    <t>В) Налоги с ФОТ+НДФЛ</t>
  </si>
  <si>
    <t>В.1) ПФР (сч. 69.02.1)</t>
  </si>
  <si>
    <t>В.2) ФСС (сч. 69.01)</t>
  </si>
  <si>
    <t>В.3) ФОМС (сч. 69.03)</t>
  </si>
  <si>
    <t>В.4) НСиПЗ (от НС и проф заболеваний) сч.69.11</t>
  </si>
  <si>
    <t>В.5) НДФЛ (сч. 68.01)</t>
  </si>
  <si>
    <t>Г) Амортизация ОС</t>
  </si>
  <si>
    <t>Г.2) Автомобиль</t>
  </si>
  <si>
    <t>Д. ГСМ</t>
  </si>
  <si>
    <t xml:space="preserve"> - норма расхода ГСМ на 100 км (литры)</t>
  </si>
  <si>
    <t>расход л/км</t>
  </si>
  <si>
    <t>цена 1 л</t>
  </si>
  <si>
    <t>расход л-ежемесячно</t>
  </si>
  <si>
    <t>маршрут</t>
  </si>
  <si>
    <t>расход ГСМ (л)</t>
  </si>
  <si>
    <t>цена 1 ездки</t>
  </si>
  <si>
    <t>Маршруты</t>
  </si>
  <si>
    <t>км</t>
  </si>
  <si>
    <t>выручка от услуг</t>
  </si>
  <si>
    <t>Производство-Пельменной на Ленинградском</t>
  </si>
  <si>
    <t>Производство-Чебуречной на Курском</t>
  </si>
  <si>
    <t>Производство-Пельменной на Павелецком</t>
  </si>
  <si>
    <t>Итог</t>
  </si>
  <si>
    <t>Пробег за месяц</t>
  </si>
  <si>
    <t>Стоимость в месяц</t>
  </si>
  <si>
    <t>Итого за месяц</t>
  </si>
  <si>
    <t>аванс под отчет</t>
  </si>
  <si>
    <t>Е) ТР ТО авто</t>
  </si>
  <si>
    <t>Период ТО</t>
  </si>
  <si>
    <t>Стоимость ТО</t>
  </si>
  <si>
    <t>Амортизация в месяц</t>
  </si>
  <si>
    <t>з/п в месяц</t>
  </si>
  <si>
    <t>аванс 20 числа</t>
  </si>
  <si>
    <t>зарплата 5 числа</t>
  </si>
  <si>
    <t>маржа</t>
  </si>
  <si>
    <t>НДС18%</t>
  </si>
  <si>
    <t>Налог на прибыль 20%</t>
  </si>
  <si>
    <t>факт готовая продукция (ЦенаПрод*Кол-во)</t>
  </si>
  <si>
    <t>доход от ГП+Авто</t>
  </si>
  <si>
    <t>1. Расходы ГП</t>
  </si>
  <si>
    <t>2. Услуги по автоперевозкам ГП (30р*км)</t>
  </si>
  <si>
    <t>за вычетом</t>
  </si>
  <si>
    <t>3. Продажа товаров</t>
  </si>
  <si>
    <t>3.1. Собственных самостоятельно</t>
  </si>
  <si>
    <t>3.1. Расходы</t>
  </si>
  <si>
    <t>3.2. Собственных через комиссионера</t>
  </si>
  <si>
    <t>3.2. Расходы</t>
  </si>
  <si>
    <t>3.3. Переданных для реализации комитентом</t>
  </si>
  <si>
    <t>3.3. Расходы</t>
  </si>
  <si>
    <t>ИП Пупкин ПП</t>
  </si>
  <si>
    <t>договор комиссии</t>
  </si>
  <si>
    <t>услуги комиссионера</t>
  </si>
  <si>
    <t>Цены определяет ОП</t>
  </si>
  <si>
    <t>ИП Белов ББ</t>
  </si>
  <si>
    <t>Таможенный склад "Шереметьево"</t>
  </si>
  <si>
    <t>Договор на реализацию товара</t>
  </si>
  <si>
    <t>Итого</t>
  </si>
  <si>
    <t>Телевизор</t>
  </si>
  <si>
    <t>%за реализацию</t>
  </si>
  <si>
    <t>ИП</t>
  </si>
  <si>
    <t>НДС6%</t>
  </si>
  <si>
    <t>Упрощенка ИП НДС15%</t>
  </si>
  <si>
    <t>ФСС ИП</t>
  </si>
  <si>
    <t>на обязательное пенсионное страхование - 26 545 рублей</t>
  </si>
  <si>
    <t>на обязательное медицинское страхование - 5 840 рублей.</t>
  </si>
  <si>
    <t>Тов</t>
  </si>
  <si>
    <t>Усл</t>
  </si>
  <si>
    <t>ГП</t>
  </si>
  <si>
    <t>маржа ГП+Авто</t>
  </si>
  <si>
    <t>ООО"Обувь и точка"</t>
  </si>
  <si>
    <t>Кросовки женские</t>
  </si>
  <si>
    <t>Кросовки мужские</t>
  </si>
  <si>
    <t>Туфли мужские</t>
  </si>
  <si>
    <t>Туфли женские</t>
  </si>
  <si>
    <t>Сапоги</t>
  </si>
  <si>
    <t>обеспечение продукцией</t>
  </si>
  <si>
    <t>реализация продукции</t>
  </si>
  <si>
    <t>Магазин на Курском</t>
  </si>
  <si>
    <t>Магазин на Павелецком</t>
  </si>
  <si>
    <t>Магазинна Ленинградском</t>
  </si>
  <si>
    <t>Автоперевозка товаров</t>
  </si>
  <si>
    <t>хранение товаров</t>
  </si>
  <si>
    <t>размер партии (шт)</t>
  </si>
  <si>
    <t>доставка  товара от поставщика</t>
  </si>
  <si>
    <t>1. Товар (цена продажи*количество)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</si>
</sst>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0.0%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164" fontId="3" fillId="0" borderId="0" xfId="0" applyNumberFormat="1" applyFont="1"/>
    <xf numFmtId="9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0" fontId="1" fillId="0" borderId="0" xfId="0" applyFont="1"/>
    <xf numFmtId="0" fontId="6" fillId="0" borderId="0" xfId="0" applyFont="1"/>
    <xf numFmtId="165" fontId="1" fillId="0" borderId="0" xfId="0" applyNumberFormat="1" applyFont="1"/>
    <xf numFmtId="164" fontId="6" fillId="5" borderId="0" xfId="0" applyNumberFormat="1" applyFont="1" applyFill="1"/>
    <xf numFmtId="164" fontId="0" fillId="5" borderId="0" xfId="0" applyNumberFormat="1" applyFill="1"/>
    <xf numFmtId="164" fontId="6" fillId="6" borderId="0" xfId="0" applyNumberFormat="1" applyFont="1" applyFill="1"/>
    <xf numFmtId="164" fontId="0" fillId="6" borderId="0" xfId="0" applyNumberFormat="1" applyFill="1"/>
    <xf numFmtId="164" fontId="1" fillId="6" borderId="0" xfId="0" applyNumberFormat="1" applyFont="1" applyFill="1"/>
    <xf numFmtId="164" fontId="2" fillId="4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9" fillId="0" borderId="0" xfId="0" applyFont="1"/>
    <xf numFmtId="164" fontId="0" fillId="2" borderId="1" xfId="0" applyNumberFormat="1" applyFill="1" applyBorder="1"/>
    <xf numFmtId="164" fontId="1" fillId="7" borderId="0" xfId="0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7" borderId="0" xfId="0" applyFont="1" applyFill="1"/>
    <xf numFmtId="164" fontId="2" fillId="7" borderId="0" xfId="0" applyNumberFormat="1" applyFont="1" applyFill="1"/>
    <xf numFmtId="0" fontId="0" fillId="3" borderId="3" xfId="0" applyFill="1" applyBorder="1"/>
    <xf numFmtId="164" fontId="0" fillId="0" borderId="3" xfId="0" applyNumberFormat="1" applyBorder="1"/>
    <xf numFmtId="164" fontId="0" fillId="0" borderId="4" xfId="0" applyNumberFormat="1" applyBorder="1"/>
    <xf numFmtId="0" fontId="0" fillId="8" borderId="0" xfId="0" applyFon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 applyAlignment="1">
      <alignment wrapText="1"/>
    </xf>
    <xf numFmtId="0" fontId="0" fillId="9" borderId="0" xfId="0" applyFill="1"/>
    <xf numFmtId="9" fontId="0" fillId="8" borderId="0" xfId="0" applyNumberFormat="1" applyFill="1"/>
    <xf numFmtId="164" fontId="0" fillId="9" borderId="0" xfId="0" applyNumberFormat="1" applyFill="1"/>
    <xf numFmtId="164" fontId="3" fillId="9" borderId="0" xfId="0" applyNumberFormat="1" applyFont="1" applyFill="1"/>
    <xf numFmtId="0" fontId="10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J22" sqref="J22"/>
    </sheetView>
  </sheetViews>
  <sheetFormatPr defaultRowHeight="15" x14ac:dyDescent="0.25"/>
  <cols>
    <col min="1" max="1" width="63.42578125" customWidth="1"/>
    <col min="2" max="2" width="11.5703125" bestFit="1" customWidth="1"/>
    <col min="3" max="3" width="19.28515625" customWidth="1"/>
    <col min="4" max="4" width="18.7109375" customWidth="1"/>
    <col min="5" max="5" width="26.140625" customWidth="1"/>
    <col min="6" max="6" width="15.42578125" customWidth="1"/>
    <col min="8" max="8" width="11.28515625" bestFit="1" customWidth="1"/>
    <col min="9" max="9" width="9.5703125" bestFit="1" customWidth="1"/>
    <col min="10" max="10" width="25.5703125" customWidth="1"/>
    <col min="12" max="12" width="11.5703125" bestFit="1" customWidth="1"/>
    <col min="13" max="13" width="29" customWidth="1"/>
    <col min="14" max="14" width="59.5703125" customWidth="1"/>
  </cols>
  <sheetData>
    <row r="1" spans="1:1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85</v>
      </c>
      <c r="H1" t="s">
        <v>33</v>
      </c>
      <c r="I1" t="s">
        <v>86</v>
      </c>
      <c r="J1" t="s">
        <v>87</v>
      </c>
      <c r="K1" s="24" t="s">
        <v>110</v>
      </c>
      <c r="L1" s="24" t="s">
        <v>111</v>
      </c>
      <c r="M1" s="24" t="s">
        <v>112</v>
      </c>
      <c r="N1" s="24" t="s">
        <v>113</v>
      </c>
    </row>
    <row r="2" spans="1:14" x14ac:dyDescent="0.25">
      <c r="E2" s="27" t="s">
        <v>89</v>
      </c>
      <c r="F2" s="27" t="s">
        <v>119</v>
      </c>
      <c r="K2" s="25"/>
      <c r="L2" s="25"/>
      <c r="M2" s="25"/>
      <c r="N2" s="25" t="s">
        <v>114</v>
      </c>
    </row>
    <row r="3" spans="1:14" x14ac:dyDescent="0.25">
      <c r="A3" s="18" t="s">
        <v>26</v>
      </c>
      <c r="E3" s="28">
        <f>E4+E9</f>
        <v>1203337.5</v>
      </c>
      <c r="F3" s="28">
        <f>E3-E7</f>
        <v>841017.5</v>
      </c>
      <c r="H3" t="s">
        <v>92</v>
      </c>
      <c r="K3" s="25"/>
      <c r="L3" s="29">
        <f>(E3+E11-N4)*6/100</f>
        <v>203996.25</v>
      </c>
      <c r="M3" s="25">
        <f>(F3+F11-N4)*15/100</f>
        <v>261844.21875</v>
      </c>
      <c r="N3" s="25" t="s">
        <v>115</v>
      </c>
    </row>
    <row r="4" spans="1:14" x14ac:dyDescent="0.25">
      <c r="A4" s="18" t="s">
        <v>27</v>
      </c>
      <c r="B4" s="1">
        <f>'1. ГП'!B3</f>
        <v>404250</v>
      </c>
      <c r="C4" s="1">
        <f>'1. ГП'!C3</f>
        <v>424462.5</v>
      </c>
      <c r="D4" s="1">
        <f>'1. ГП'!D3</f>
        <v>363825</v>
      </c>
      <c r="E4" s="22">
        <f>SUM(B4:D4)</f>
        <v>1192537.5</v>
      </c>
      <c r="F4" s="22">
        <f>E4-E7</f>
        <v>830217.5</v>
      </c>
      <c r="H4" s="8">
        <f>'1. ГП'!G3-'1. ГП'!G7</f>
        <v>119253.75</v>
      </c>
      <c r="K4" s="25" t="s">
        <v>118</v>
      </c>
      <c r="L4" s="30">
        <f>E4*6/100</f>
        <v>71552.25</v>
      </c>
      <c r="M4" s="25">
        <f>(F4)*15/100</f>
        <v>124532.625</v>
      </c>
      <c r="N4" s="25">
        <f>26545+5840</f>
        <v>32385</v>
      </c>
    </row>
    <row r="5" spans="1:14" x14ac:dyDescent="0.25">
      <c r="A5" s="19" t="s">
        <v>88</v>
      </c>
      <c r="B5" s="20">
        <v>423600</v>
      </c>
      <c r="K5" s="25"/>
      <c r="L5" s="25"/>
      <c r="M5" s="25"/>
      <c r="N5" s="25"/>
    </row>
    <row r="6" spans="1:14" x14ac:dyDescent="0.25">
      <c r="K6" s="25"/>
      <c r="L6" s="25"/>
      <c r="M6" s="25"/>
      <c r="N6" s="25"/>
    </row>
    <row r="7" spans="1:14" x14ac:dyDescent="0.25">
      <c r="A7" s="21" t="s">
        <v>90</v>
      </c>
      <c r="E7" s="22">
        <f>'1. ГП'!E6</f>
        <v>362320</v>
      </c>
      <c r="K7" s="25"/>
      <c r="L7" s="25"/>
      <c r="M7" s="25"/>
      <c r="N7" s="25"/>
    </row>
    <row r="8" spans="1:14" x14ac:dyDescent="0.25">
      <c r="K8" s="25"/>
      <c r="L8" s="25"/>
      <c r="M8" s="25"/>
      <c r="N8" s="25"/>
    </row>
    <row r="9" spans="1:14" x14ac:dyDescent="0.25">
      <c r="A9" t="s">
        <v>91</v>
      </c>
      <c r="B9" s="1">
        <v>3600</v>
      </c>
      <c r="C9" s="1">
        <v>3600</v>
      </c>
      <c r="D9" s="1">
        <v>3600</v>
      </c>
      <c r="E9" s="22">
        <f>SUM(B9:D9)</f>
        <v>10800</v>
      </c>
      <c r="F9" s="1">
        <f>E9</f>
        <v>10800</v>
      </c>
      <c r="I9" s="8">
        <f>F9*18/100</f>
        <v>1944</v>
      </c>
      <c r="K9" s="25" t="s">
        <v>117</v>
      </c>
      <c r="L9" s="30">
        <f>E9*6/100</f>
        <v>648</v>
      </c>
      <c r="M9" s="30">
        <f>E9*15/100</f>
        <v>1620</v>
      </c>
      <c r="N9" s="25"/>
    </row>
    <row r="10" spans="1:14" x14ac:dyDescent="0.25">
      <c r="K10" s="25"/>
      <c r="L10" s="25"/>
      <c r="M10" s="25"/>
      <c r="N10" s="25"/>
    </row>
    <row r="11" spans="1:14" ht="15.75" thickBot="1" x14ac:dyDescent="0.3">
      <c r="A11" t="s">
        <v>93</v>
      </c>
      <c r="B11" s="1">
        <f>Покупатели!G12</f>
        <v>36480000</v>
      </c>
      <c r="C11" s="1">
        <f>B11*0.05+B11</f>
        <v>38304000</v>
      </c>
      <c r="D11" s="1">
        <f>-B11*0.1+B11</f>
        <v>32832000</v>
      </c>
      <c r="E11" s="1">
        <f>E12+E15+E18</f>
        <v>2228985</v>
      </c>
      <c r="F11" s="23">
        <f>F12+F15+F18</f>
        <v>936995.625</v>
      </c>
      <c r="J11" s="1">
        <f>F11*20/100</f>
        <v>187399.125</v>
      </c>
      <c r="K11" s="26" t="s">
        <v>116</v>
      </c>
      <c r="L11" s="31">
        <f>E11*6/100</f>
        <v>133739.1</v>
      </c>
      <c r="M11" s="31">
        <f>F11*15/100</f>
        <v>140549.34375</v>
      </c>
      <c r="N11" s="26"/>
    </row>
    <row r="12" spans="1:14" x14ac:dyDescent="0.25">
      <c r="A12" t="s">
        <v>94</v>
      </c>
      <c r="B12" s="1">
        <v>309150</v>
      </c>
      <c r="C12" s="1">
        <f>B12*1.05</f>
        <v>324607.5</v>
      </c>
      <c r="D12" s="1">
        <f>B12*0.9</f>
        <v>278235</v>
      </c>
      <c r="E12" s="22">
        <f>SUM(B12:D12)</f>
        <v>911992.5</v>
      </c>
      <c r="F12" s="1">
        <f>E12-E13</f>
        <v>303997.5</v>
      </c>
    </row>
    <row r="13" spans="1:14" x14ac:dyDescent="0.25">
      <c r="A13" t="s">
        <v>95</v>
      </c>
      <c r="B13" s="1">
        <f>B12/1.5</f>
        <v>206100</v>
      </c>
      <c r="C13" s="1">
        <f t="shared" ref="C13:D13" si="0">C12/1.5</f>
        <v>216405</v>
      </c>
      <c r="D13" s="1">
        <f t="shared" si="0"/>
        <v>185490</v>
      </c>
      <c r="E13" s="22">
        <f>SUM(B13:D13)</f>
        <v>607995</v>
      </c>
    </row>
    <row r="14" spans="1:14" x14ac:dyDescent="0.25">
      <c r="B14" s="1"/>
      <c r="C14" s="1"/>
      <c r="D14" s="1"/>
      <c r="E14" s="1"/>
    </row>
    <row r="15" spans="1:14" x14ac:dyDescent="0.25">
      <c r="A15" t="s">
        <v>96</v>
      </c>
      <c r="B15" s="1">
        <v>309150</v>
      </c>
      <c r="C15" s="1">
        <f>B15*1.05</f>
        <v>324607.5</v>
      </c>
      <c r="D15" s="1">
        <f>B15*0.9</f>
        <v>278235</v>
      </c>
      <c r="E15" s="22">
        <f t="shared" ref="E15:E16" si="1">SUM(B15:D15)</f>
        <v>911992.5</v>
      </c>
      <c r="F15" s="1">
        <f>E15-E16</f>
        <v>227998.125</v>
      </c>
    </row>
    <row r="16" spans="1:14" x14ac:dyDescent="0.25">
      <c r="A16" t="s">
        <v>97</v>
      </c>
      <c r="B16" s="1">
        <f>B15/1.5+B15/1.5*12.5/100</f>
        <v>231862.5</v>
      </c>
      <c r="C16" s="1">
        <f>B16*1.05</f>
        <v>243455.625</v>
      </c>
      <c r="D16" s="1">
        <f>B16*0.9</f>
        <v>208676.25</v>
      </c>
      <c r="E16" s="22">
        <f t="shared" si="1"/>
        <v>683994.375</v>
      </c>
    </row>
    <row r="17" spans="1:6" x14ac:dyDescent="0.25">
      <c r="B17" s="1"/>
      <c r="C17" s="1"/>
      <c r="D17" s="1"/>
    </row>
    <row r="18" spans="1:6" x14ac:dyDescent="0.25">
      <c r="A18" t="s">
        <v>98</v>
      </c>
      <c r="B18" s="1"/>
      <c r="C18" s="1"/>
      <c r="D18" s="1"/>
      <c r="E18" s="22">
        <v>405000</v>
      </c>
      <c r="F18" s="1">
        <f>E18</f>
        <v>405000</v>
      </c>
    </row>
    <row r="19" spans="1:6" x14ac:dyDescent="0.25">
      <c r="A19" t="s">
        <v>99</v>
      </c>
      <c r="B19" s="1"/>
      <c r="C19" s="1"/>
      <c r="D1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C4" sqref="C4"/>
    </sheetView>
  </sheetViews>
  <sheetFormatPr defaultRowHeight="15" x14ac:dyDescent="0.25"/>
  <cols>
    <col min="1" max="1" width="50.140625" customWidth="1"/>
    <col min="2" max="3" width="11.5703125" bestFit="1" customWidth="1"/>
    <col min="4" max="4" width="18.28515625" customWidth="1"/>
    <col min="5" max="5" width="23.140625" customWidth="1"/>
    <col min="7" max="7" width="19.710937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G1" t="s">
        <v>33</v>
      </c>
    </row>
    <row r="2" spans="1:7" x14ac:dyDescent="0.25">
      <c r="A2" t="s">
        <v>26</v>
      </c>
    </row>
    <row r="3" spans="1:7" x14ac:dyDescent="0.25">
      <c r="A3" t="s">
        <v>135</v>
      </c>
      <c r="B3" s="1">
        <f>Покупатели!F5</f>
        <v>404250</v>
      </c>
      <c r="C3" s="1">
        <f>B3*0.05+B3</f>
        <v>424462.5</v>
      </c>
      <c r="D3" s="1">
        <f>-B3*0.1+B3</f>
        <v>363825</v>
      </c>
      <c r="E3" s="1">
        <f>SUM(B3:D3)</f>
        <v>1192537.5</v>
      </c>
      <c r="G3" s="2">
        <f>E3*10/100</f>
        <v>119253.75</v>
      </c>
    </row>
    <row r="4" spans="1:7" x14ac:dyDescent="0.25">
      <c r="C4" t="s">
        <v>43</v>
      </c>
    </row>
    <row r="6" spans="1:7" x14ac:dyDescent="0.25">
      <c r="A6" t="s">
        <v>44</v>
      </c>
      <c r="E6" s="17">
        <f>E7+E9+E23+E24+G27+E30</f>
        <v>362320</v>
      </c>
    </row>
    <row r="7" spans="1:7" x14ac:dyDescent="0.25">
      <c r="B7" s="1"/>
      <c r="C7" s="1"/>
      <c r="D7" s="1"/>
      <c r="E7" s="38"/>
      <c r="G7" s="38"/>
    </row>
    <row r="8" spans="1:7" x14ac:dyDescent="0.25">
      <c r="C8" t="s">
        <v>83</v>
      </c>
      <c r="D8" t="s">
        <v>84</v>
      </c>
    </row>
    <row r="9" spans="1:7" x14ac:dyDescent="0.25">
      <c r="A9" s="10" t="s">
        <v>45</v>
      </c>
      <c r="C9" s="12">
        <f>SUM(C10:C15)</f>
        <v>125000</v>
      </c>
      <c r="D9" s="13">
        <f>C9*2</f>
        <v>250000</v>
      </c>
      <c r="E9" s="8">
        <f>D9+D16</f>
        <v>358000</v>
      </c>
      <c r="F9" t="s">
        <v>82</v>
      </c>
    </row>
    <row r="10" spans="1:7" x14ac:dyDescent="0.25">
      <c r="A10" t="s">
        <v>46</v>
      </c>
      <c r="C10" s="13">
        <f>50000+25000</f>
        <v>75000</v>
      </c>
      <c r="D10" s="13">
        <f t="shared" ref="D10:D21" si="0">C10*2</f>
        <v>150000</v>
      </c>
    </row>
    <row r="11" spans="1:7" x14ac:dyDescent="0.25">
      <c r="C11" s="13"/>
      <c r="D11" s="13"/>
    </row>
    <row r="12" spans="1:7" x14ac:dyDescent="0.25">
      <c r="A12" t="s">
        <v>47</v>
      </c>
      <c r="C12" s="13">
        <f>10000</f>
        <v>10000</v>
      </c>
      <c r="D12" s="13">
        <f t="shared" si="0"/>
        <v>20000</v>
      </c>
    </row>
    <row r="13" spans="1:7" x14ac:dyDescent="0.25">
      <c r="A13" t="s">
        <v>48</v>
      </c>
      <c r="C13" s="13">
        <f>15000</f>
        <v>15000</v>
      </c>
      <c r="D13" s="13">
        <f t="shared" si="0"/>
        <v>30000</v>
      </c>
    </row>
    <row r="14" spans="1:7" x14ac:dyDescent="0.25">
      <c r="A14" t="s">
        <v>49</v>
      </c>
      <c r="C14" s="13">
        <f>5000</f>
        <v>5000</v>
      </c>
      <c r="D14" s="13">
        <f t="shared" si="0"/>
        <v>10000</v>
      </c>
    </row>
    <row r="15" spans="1:7" x14ac:dyDescent="0.25">
      <c r="A15" t="s">
        <v>50</v>
      </c>
      <c r="C15" s="13">
        <f>20000</f>
        <v>20000</v>
      </c>
      <c r="D15" s="13">
        <f t="shared" si="0"/>
        <v>40000</v>
      </c>
    </row>
    <row r="16" spans="1:7" x14ac:dyDescent="0.25">
      <c r="A16" s="10" t="s">
        <v>51</v>
      </c>
      <c r="C16" s="14">
        <f>SUM(C17:C21)</f>
        <v>54000</v>
      </c>
      <c r="D16" s="15">
        <f t="shared" si="0"/>
        <v>108000</v>
      </c>
    </row>
    <row r="17" spans="1:7" x14ac:dyDescent="0.25">
      <c r="A17" t="s">
        <v>52</v>
      </c>
      <c r="B17" s="7">
        <v>0.22</v>
      </c>
      <c r="C17" s="15">
        <f>$C$9*B17</f>
        <v>27500</v>
      </c>
      <c r="D17" s="15">
        <f t="shared" si="0"/>
        <v>55000</v>
      </c>
    </row>
    <row r="18" spans="1:7" x14ac:dyDescent="0.25">
      <c r="A18" t="s">
        <v>53</v>
      </c>
      <c r="B18" s="7">
        <v>2.9000000000000001E-2</v>
      </c>
      <c r="C18" s="15">
        <f t="shared" ref="C18:C21" si="1">$C$9*B18</f>
        <v>3625</v>
      </c>
      <c r="D18" s="15">
        <f t="shared" si="0"/>
        <v>7250</v>
      </c>
    </row>
    <row r="19" spans="1:7" x14ac:dyDescent="0.25">
      <c r="A19" t="s">
        <v>54</v>
      </c>
      <c r="B19" s="7">
        <v>5.0999999999999997E-2</v>
      </c>
      <c r="C19" s="15">
        <f t="shared" si="1"/>
        <v>6375</v>
      </c>
      <c r="D19" s="15">
        <f t="shared" si="0"/>
        <v>12750</v>
      </c>
    </row>
    <row r="20" spans="1:7" x14ac:dyDescent="0.25">
      <c r="A20" t="s">
        <v>55</v>
      </c>
      <c r="B20" s="7">
        <v>2E-3</v>
      </c>
      <c r="C20" s="15">
        <f t="shared" si="1"/>
        <v>250</v>
      </c>
      <c r="D20" s="15">
        <f t="shared" si="0"/>
        <v>500</v>
      </c>
    </row>
    <row r="21" spans="1:7" x14ac:dyDescent="0.25">
      <c r="A21" s="9" t="s">
        <v>56</v>
      </c>
      <c r="B21" s="11">
        <v>0.13</v>
      </c>
      <c r="C21" s="16">
        <f t="shared" si="1"/>
        <v>16250</v>
      </c>
      <c r="D21" s="15">
        <f t="shared" si="0"/>
        <v>32500</v>
      </c>
    </row>
    <row r="22" spans="1:7" x14ac:dyDescent="0.25">
      <c r="A22" t="s">
        <v>57</v>
      </c>
      <c r="E22" t="s">
        <v>81</v>
      </c>
    </row>
    <row r="23" spans="1:7" x14ac:dyDescent="0.25">
      <c r="B23" s="1"/>
      <c r="E23" s="38"/>
    </row>
    <row r="24" spans="1:7" x14ac:dyDescent="0.25">
      <c r="A24" t="s">
        <v>58</v>
      </c>
      <c r="B24" s="1">
        <v>300000</v>
      </c>
      <c r="C24" s="6">
        <v>300000</v>
      </c>
      <c r="E24" s="8">
        <f>'2. Маршруты'!B7/'1. ГП'!B24*'1. ГП'!C24</f>
        <v>719.99999999999989</v>
      </c>
    </row>
    <row r="25" spans="1:7" x14ac:dyDescent="0.25">
      <c r="A25" t="s">
        <v>59</v>
      </c>
      <c r="B25" t="s">
        <v>61</v>
      </c>
      <c r="C25" t="s">
        <v>62</v>
      </c>
      <c r="D25" t="s">
        <v>63</v>
      </c>
      <c r="E25" t="s">
        <v>75</v>
      </c>
    </row>
    <row r="26" spans="1:7" x14ac:dyDescent="0.25">
      <c r="A26" t="s">
        <v>60</v>
      </c>
      <c r="B26">
        <v>10</v>
      </c>
      <c r="C26" s="1">
        <v>40</v>
      </c>
      <c r="D26">
        <v>72</v>
      </c>
      <c r="E26" s="8">
        <f>'2. Маршруты'!B7/'1. ГП'!B26*'1. ГП'!C26</f>
        <v>2880</v>
      </c>
      <c r="G26" t="s">
        <v>77</v>
      </c>
    </row>
    <row r="27" spans="1:7" x14ac:dyDescent="0.25">
      <c r="B27" t="s">
        <v>64</v>
      </c>
      <c r="C27" t="s">
        <v>65</v>
      </c>
      <c r="D27" t="s">
        <v>66</v>
      </c>
      <c r="E27" t="s">
        <v>76</v>
      </c>
      <c r="G27" s="1">
        <f>E26+E28</f>
        <v>3360</v>
      </c>
    </row>
    <row r="28" spans="1:7" x14ac:dyDescent="0.25">
      <c r="A28" t="s">
        <v>134</v>
      </c>
      <c r="B28">
        <v>20</v>
      </c>
      <c r="C28">
        <f>B28*2/100*B26</f>
        <v>4</v>
      </c>
      <c r="D28" s="1">
        <f>C28*C26</f>
        <v>160</v>
      </c>
      <c r="E28" s="8">
        <f>D28*3</f>
        <v>480</v>
      </c>
    </row>
    <row r="29" spans="1:7" x14ac:dyDescent="0.25">
      <c r="B29" t="s">
        <v>79</v>
      </c>
      <c r="C29" t="s">
        <v>80</v>
      </c>
      <c r="E29" t="s">
        <v>75</v>
      </c>
    </row>
    <row r="30" spans="1:7" x14ac:dyDescent="0.25">
      <c r="A30" t="s">
        <v>78</v>
      </c>
      <c r="B30">
        <v>15000</v>
      </c>
      <c r="C30" s="1">
        <v>5000</v>
      </c>
      <c r="E30" s="8">
        <f>'2. Маршруты'!B7/'1. ГП'!B30*'1. ГП'!C30</f>
        <v>240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3" sqref="D13"/>
    </sheetView>
  </sheetViews>
  <sheetFormatPr defaultRowHeight="15" x14ac:dyDescent="0.25"/>
  <cols>
    <col min="3" max="3" width="8.85546875" customWidth="1"/>
    <col min="4" max="4" width="11.5703125" bestFit="1" customWidth="1"/>
    <col min="7" max="7" width="13.140625" bestFit="1" customWidth="1"/>
    <col min="8" max="8" width="11.42578125" bestFit="1" customWidth="1"/>
  </cols>
  <sheetData>
    <row r="1" spans="1:8" x14ac:dyDescent="0.25">
      <c r="A1" s="36" t="s">
        <v>9</v>
      </c>
      <c r="B1" s="33" t="s">
        <v>10</v>
      </c>
      <c r="C1" s="33" t="s">
        <v>11</v>
      </c>
      <c r="D1" s="33" t="s">
        <v>12</v>
      </c>
      <c r="E1" s="33" t="s">
        <v>13</v>
      </c>
      <c r="F1" s="33"/>
      <c r="G1" s="33" t="s">
        <v>14</v>
      </c>
      <c r="H1" s="33" t="s">
        <v>15</v>
      </c>
    </row>
    <row r="2" spans="1:8" x14ac:dyDescent="0.25">
      <c r="A2" s="36">
        <v>1</v>
      </c>
      <c r="B2" s="33" t="s">
        <v>16</v>
      </c>
      <c r="C2" s="34">
        <v>60</v>
      </c>
      <c r="D2" s="33">
        <v>0.4</v>
      </c>
      <c r="E2" s="34">
        <f>C2*D2</f>
        <v>24</v>
      </c>
      <c r="F2" s="33"/>
      <c r="G2" s="34">
        <f>E2/110*10</f>
        <v>2.1818181818181817</v>
      </c>
      <c r="H2" s="34">
        <f>E2*1.1</f>
        <v>26.400000000000002</v>
      </c>
    </row>
    <row r="3" spans="1:8" x14ac:dyDescent="0.25">
      <c r="A3" s="36">
        <v>2</v>
      </c>
      <c r="B3" s="33" t="s">
        <v>17</v>
      </c>
      <c r="C3" s="34">
        <v>200</v>
      </c>
      <c r="D3" s="33">
        <v>0.2</v>
      </c>
      <c r="E3" s="34">
        <f t="shared" ref="E3:E6" si="0">C3*D3</f>
        <v>40</v>
      </c>
      <c r="F3" s="33"/>
      <c r="G3" s="34">
        <f t="shared" ref="G3:G4" si="1">E3/110*10</f>
        <v>3.6363636363636367</v>
      </c>
      <c r="H3" s="34">
        <f t="shared" ref="H3:H4" si="2">E3*1.1</f>
        <v>44</v>
      </c>
    </row>
    <row r="4" spans="1:8" x14ac:dyDescent="0.25">
      <c r="A4" s="36">
        <v>3</v>
      </c>
      <c r="B4" s="33" t="s">
        <v>18</v>
      </c>
      <c r="C4" s="34">
        <v>300</v>
      </c>
      <c r="D4" s="33">
        <v>0.2</v>
      </c>
      <c r="E4" s="34">
        <f t="shared" si="0"/>
        <v>60</v>
      </c>
      <c r="F4" s="33"/>
      <c r="G4" s="34">
        <f t="shared" si="1"/>
        <v>5.4545454545454541</v>
      </c>
      <c r="H4" s="34">
        <f t="shared" si="2"/>
        <v>66</v>
      </c>
    </row>
    <row r="5" spans="1:8" x14ac:dyDescent="0.25">
      <c r="A5" s="36">
        <v>4</v>
      </c>
      <c r="B5" s="33" t="s">
        <v>19</v>
      </c>
      <c r="C5" s="34">
        <v>20</v>
      </c>
      <c r="D5" s="33">
        <v>0.15</v>
      </c>
      <c r="E5" s="34">
        <f t="shared" si="0"/>
        <v>3</v>
      </c>
      <c r="F5" s="33"/>
      <c r="G5" s="34">
        <f t="shared" ref="G5:G6" si="3">E5/110*10</f>
        <v>0.27272727272727271</v>
      </c>
      <c r="H5" s="34">
        <f t="shared" ref="H5:H6" si="4">E5*1.1</f>
        <v>3.3000000000000003</v>
      </c>
    </row>
    <row r="6" spans="1:8" x14ac:dyDescent="0.25">
      <c r="A6" s="36">
        <v>5</v>
      </c>
      <c r="B6" s="33" t="s">
        <v>20</v>
      </c>
      <c r="C6" s="34">
        <v>200</v>
      </c>
      <c r="D6" s="33">
        <v>0.05</v>
      </c>
      <c r="E6" s="34">
        <f t="shared" si="0"/>
        <v>10</v>
      </c>
      <c r="F6" s="33"/>
      <c r="G6" s="34">
        <f t="shared" si="3"/>
        <v>0.90909090909090917</v>
      </c>
      <c r="H6" s="34">
        <f t="shared" si="4"/>
        <v>11</v>
      </c>
    </row>
    <row r="7" spans="1:8" x14ac:dyDescent="0.25">
      <c r="A7" s="36"/>
      <c r="B7" s="33"/>
      <c r="C7" s="33"/>
      <c r="D7" s="33">
        <f>SUM(D2:D6)</f>
        <v>1</v>
      </c>
      <c r="E7" s="34">
        <f>SUM(E2:E6)</f>
        <v>137</v>
      </c>
      <c r="F7" s="33"/>
      <c r="G7" s="34">
        <f t="shared" ref="G7:H7" si="5">SUM(G2:G6)</f>
        <v>12.454545454545457</v>
      </c>
      <c r="H7" s="34">
        <f t="shared" si="5"/>
        <v>150.70000000000002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 x14ac:dyDescent="0.25"/>
  <cols>
    <col min="1" max="1" width="67.7109375" customWidth="1"/>
    <col min="3" max="3" width="16.28515625" bestFit="1" customWidth="1"/>
  </cols>
  <sheetData>
    <row r="1" spans="1:3" x14ac:dyDescent="0.25">
      <c r="A1" s="33" t="s">
        <v>67</v>
      </c>
      <c r="B1" s="33" t="s">
        <v>68</v>
      </c>
      <c r="C1" s="33" t="s">
        <v>69</v>
      </c>
    </row>
    <row r="2" spans="1:3" x14ac:dyDescent="0.25">
      <c r="A2" s="33" t="s">
        <v>70</v>
      </c>
      <c r="B2" s="33">
        <v>30</v>
      </c>
      <c r="C2" s="33">
        <f>B2*30</f>
        <v>900</v>
      </c>
    </row>
    <row r="3" spans="1:3" x14ac:dyDescent="0.25">
      <c r="A3" s="33" t="s">
        <v>71</v>
      </c>
      <c r="B3" s="33">
        <v>40</v>
      </c>
      <c r="C3" s="33">
        <f t="shared" ref="C3:C4" si="0">B3*30</f>
        <v>1200</v>
      </c>
    </row>
    <row r="4" spans="1:3" x14ac:dyDescent="0.25">
      <c r="A4" s="33" t="s">
        <v>72</v>
      </c>
      <c r="B4" s="33">
        <v>50</v>
      </c>
      <c r="C4" s="33">
        <f t="shared" si="0"/>
        <v>1500</v>
      </c>
    </row>
    <row r="5" spans="1:3" x14ac:dyDescent="0.25">
      <c r="A5" s="33" t="s">
        <v>73</v>
      </c>
      <c r="B5" s="33">
        <f>SUM(B2:B4)*2</f>
        <v>240</v>
      </c>
      <c r="C5" s="33">
        <f>SUM(C2:C4)</f>
        <v>3600</v>
      </c>
    </row>
    <row r="6" spans="1:3" x14ac:dyDescent="0.25">
      <c r="A6" s="33"/>
      <c r="B6" s="33"/>
      <c r="C6" s="33"/>
    </row>
    <row r="7" spans="1:3" x14ac:dyDescent="0.25">
      <c r="A7" s="33" t="s">
        <v>74</v>
      </c>
      <c r="B7" s="33">
        <f>B5*3</f>
        <v>720</v>
      </c>
      <c r="C7" s="33"/>
    </row>
    <row r="8" spans="1:3" x14ac:dyDescent="0.25">
      <c r="A8" s="33"/>
      <c r="B8" s="33"/>
      <c r="C8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B39" sqref="B39"/>
    </sheetView>
  </sheetViews>
  <sheetFormatPr defaultRowHeight="15" x14ac:dyDescent="0.25"/>
  <cols>
    <col min="1" max="1" width="42.42578125" customWidth="1"/>
    <col min="2" max="4" width="22.28515625" customWidth="1"/>
  </cols>
  <sheetData>
    <row r="1" spans="1:4" x14ac:dyDescent="0.25">
      <c r="B1" t="s">
        <v>101</v>
      </c>
      <c r="D1" t="s">
        <v>103</v>
      </c>
    </row>
    <row r="2" spans="1:4" x14ac:dyDescent="0.25">
      <c r="A2" t="s">
        <v>100</v>
      </c>
      <c r="B2" s="5">
        <v>0.1</v>
      </c>
      <c r="C2" t="s">
        <v>102</v>
      </c>
    </row>
    <row r="3" spans="1:4" x14ac:dyDescent="0.25">
      <c r="A3" t="s">
        <v>104</v>
      </c>
      <c r="B3" s="5">
        <v>0.15</v>
      </c>
      <c r="C3" t="s">
        <v>102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1" sqref="E21"/>
    </sheetView>
  </sheetViews>
  <sheetFormatPr defaultRowHeight="15" x14ac:dyDescent="0.25"/>
  <cols>
    <col min="1" max="1" width="50.28515625" customWidth="1"/>
    <col min="2" max="2" width="42" customWidth="1"/>
    <col min="3" max="4" width="11.5703125" bestFit="1" customWidth="1"/>
    <col min="5" max="6" width="13.140625" bestFit="1" customWidth="1"/>
    <col min="7" max="7" width="21.140625" customWidth="1"/>
  </cols>
  <sheetData>
    <row r="1" spans="1:7" x14ac:dyDescent="0.25">
      <c r="A1" s="33"/>
      <c r="B1" s="33" t="s">
        <v>106</v>
      </c>
      <c r="C1" s="33"/>
      <c r="D1" s="33"/>
      <c r="E1" s="33"/>
      <c r="F1" s="33"/>
      <c r="G1" s="33"/>
    </row>
    <row r="2" spans="1:7" x14ac:dyDescent="0.25">
      <c r="A2" s="33" t="s">
        <v>105</v>
      </c>
      <c r="B2" s="37">
        <v>0.15</v>
      </c>
      <c r="C2" s="33" t="s">
        <v>22</v>
      </c>
      <c r="D2" s="33" t="s">
        <v>23</v>
      </c>
      <c r="E2" s="33" t="s">
        <v>24</v>
      </c>
      <c r="F2" s="33" t="s">
        <v>107</v>
      </c>
      <c r="G2" s="33"/>
    </row>
    <row r="3" spans="1:7" x14ac:dyDescent="0.25">
      <c r="A3" s="33"/>
      <c r="B3" s="33" t="s">
        <v>38</v>
      </c>
      <c r="C3" s="33">
        <v>50</v>
      </c>
      <c r="D3" s="33">
        <v>60</v>
      </c>
      <c r="E3" s="33">
        <v>70</v>
      </c>
      <c r="F3" s="33">
        <f>SUM(C3:E3)</f>
        <v>180</v>
      </c>
      <c r="G3" s="33" t="s">
        <v>109</v>
      </c>
    </row>
    <row r="4" spans="1:7" x14ac:dyDescent="0.25">
      <c r="A4" s="33" t="s">
        <v>108</v>
      </c>
      <c r="B4" s="34">
        <v>15000</v>
      </c>
      <c r="C4" s="34">
        <f>$B$4*C3</f>
        <v>750000</v>
      </c>
      <c r="D4" s="34">
        <f t="shared" ref="D4:F4" si="0">$B$4*D3</f>
        <v>900000</v>
      </c>
      <c r="E4" s="34">
        <f t="shared" si="0"/>
        <v>1050000</v>
      </c>
      <c r="F4" s="34">
        <f t="shared" si="0"/>
        <v>2700000</v>
      </c>
      <c r="G4" s="34">
        <f>F4*0.15</f>
        <v>405000</v>
      </c>
    </row>
    <row r="5" spans="1:7" x14ac:dyDescent="0.25">
      <c r="A5" s="33"/>
      <c r="B5" s="33"/>
      <c r="C5" s="33"/>
      <c r="D5" s="33"/>
      <c r="E5" s="33"/>
      <c r="F5" s="33"/>
      <c r="G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7" sqref="D27"/>
    </sheetView>
  </sheetViews>
  <sheetFormatPr defaultRowHeight="15" x14ac:dyDescent="0.25"/>
  <cols>
    <col min="1" max="1" width="45.5703125" customWidth="1"/>
    <col min="2" max="2" width="22" customWidth="1"/>
    <col min="3" max="3" width="22.42578125" customWidth="1"/>
    <col min="4" max="4" width="21.7109375" customWidth="1"/>
    <col min="5" max="5" width="26.140625" customWidth="1"/>
    <col min="6" max="6" width="21" customWidth="1"/>
    <col min="7" max="7" width="26.85546875" customWidth="1"/>
    <col min="8" max="8" width="23.85546875" customWidth="1"/>
  </cols>
  <sheetData>
    <row r="1" spans="1:8" ht="45" x14ac:dyDescent="0.25">
      <c r="A1" t="s">
        <v>28</v>
      </c>
      <c r="B1" s="35" t="s">
        <v>133</v>
      </c>
      <c r="C1" s="35" t="s">
        <v>29</v>
      </c>
      <c r="D1" s="35" t="s">
        <v>30</v>
      </c>
      <c r="E1" s="35" t="s">
        <v>31</v>
      </c>
      <c r="F1" s="35" t="s">
        <v>32</v>
      </c>
      <c r="G1" s="35"/>
      <c r="H1" s="35" t="s">
        <v>33</v>
      </c>
    </row>
    <row r="2" spans="1:8" x14ac:dyDescent="0.25">
      <c r="A2" t="s">
        <v>128</v>
      </c>
      <c r="B2" s="36">
        <v>500</v>
      </c>
      <c r="C2" s="38">
        <v>350</v>
      </c>
      <c r="D2" s="38">
        <f>C2*0.05</f>
        <v>17.5</v>
      </c>
      <c r="E2" s="38">
        <f>C2-D2</f>
        <v>332.5</v>
      </c>
      <c r="F2" s="38">
        <f>B2*(C2-D2)</f>
        <v>166250</v>
      </c>
      <c r="G2" s="36"/>
      <c r="H2" s="36"/>
    </row>
    <row r="3" spans="1:8" x14ac:dyDescent="0.25">
      <c r="A3" t="s">
        <v>129</v>
      </c>
      <c r="B3" s="36">
        <v>300</v>
      </c>
      <c r="C3" s="38">
        <v>350</v>
      </c>
      <c r="D3" s="36">
        <v>0</v>
      </c>
      <c r="E3" s="36"/>
      <c r="F3" s="38">
        <f t="shared" ref="F3:F4" si="0">B3*(C3-D3)</f>
        <v>105000</v>
      </c>
      <c r="G3" s="36"/>
      <c r="H3" s="36"/>
    </row>
    <row r="4" spans="1:8" x14ac:dyDescent="0.25">
      <c r="A4" t="s">
        <v>130</v>
      </c>
      <c r="B4" s="36">
        <v>400</v>
      </c>
      <c r="C4" s="38">
        <v>350</v>
      </c>
      <c r="D4" s="38">
        <f>C4*0.05</f>
        <v>17.5</v>
      </c>
      <c r="E4" s="38">
        <f>C4-D4</f>
        <v>332.5</v>
      </c>
      <c r="F4" s="38">
        <f t="shared" si="0"/>
        <v>133000</v>
      </c>
      <c r="G4" s="36"/>
      <c r="H4" s="36"/>
    </row>
    <row r="5" spans="1:8" x14ac:dyDescent="0.25">
      <c r="B5" s="40">
        <f>SUM(B2:B4)</f>
        <v>1200</v>
      </c>
      <c r="C5" s="36"/>
      <c r="D5" s="36"/>
      <c r="E5" s="36" t="s">
        <v>25</v>
      </c>
      <c r="F5" s="38">
        <f>SUM(F2:F4)</f>
        <v>404250</v>
      </c>
      <c r="G5" s="36"/>
      <c r="H5" s="38">
        <f>F5*10/100</f>
        <v>40425</v>
      </c>
    </row>
    <row r="6" spans="1:8" x14ac:dyDescent="0.25">
      <c r="B6" s="36"/>
      <c r="C6" s="36"/>
      <c r="D6" s="36"/>
      <c r="E6" s="36"/>
      <c r="F6" s="36"/>
      <c r="G6" s="36"/>
      <c r="H6" s="38"/>
    </row>
    <row r="7" spans="1:8" x14ac:dyDescent="0.25">
      <c r="B7" s="36" t="s">
        <v>121</v>
      </c>
      <c r="C7" s="36" t="s">
        <v>122</v>
      </c>
      <c r="D7" s="36" t="s">
        <v>123</v>
      </c>
      <c r="E7" s="36" t="s">
        <v>124</v>
      </c>
      <c r="F7" s="36" t="s">
        <v>125</v>
      </c>
      <c r="G7" s="36"/>
      <c r="H7" s="38"/>
    </row>
    <row r="8" spans="1:8" x14ac:dyDescent="0.25">
      <c r="A8" t="s">
        <v>128</v>
      </c>
      <c r="B8" s="36">
        <v>2000</v>
      </c>
      <c r="C8" s="36">
        <v>500</v>
      </c>
      <c r="D8" s="36">
        <v>500</v>
      </c>
      <c r="E8" s="36">
        <v>1500</v>
      </c>
      <c r="F8" s="36">
        <v>1000</v>
      </c>
      <c r="G8" s="36"/>
      <c r="H8" s="38"/>
    </row>
    <row r="9" spans="1:8" x14ac:dyDescent="0.25">
      <c r="A9" t="s">
        <v>129</v>
      </c>
      <c r="B9" s="36">
        <v>1200</v>
      </c>
      <c r="C9" s="36">
        <v>300</v>
      </c>
      <c r="D9" s="36">
        <v>300</v>
      </c>
      <c r="E9" s="36">
        <v>900</v>
      </c>
      <c r="F9" s="36">
        <v>600</v>
      </c>
      <c r="G9" s="36"/>
      <c r="H9" s="38"/>
    </row>
    <row r="10" spans="1:8" x14ac:dyDescent="0.25">
      <c r="A10" t="s">
        <v>130</v>
      </c>
      <c r="B10" s="36">
        <v>1600</v>
      </c>
      <c r="C10" s="36">
        <v>400</v>
      </c>
      <c r="D10" s="36">
        <v>400</v>
      </c>
      <c r="E10" s="36">
        <v>1200</v>
      </c>
      <c r="F10" s="36">
        <v>800</v>
      </c>
      <c r="G10" s="36"/>
      <c r="H10" s="38"/>
    </row>
    <row r="11" spans="1:8" x14ac:dyDescent="0.25">
      <c r="A11" s="36" t="s">
        <v>41</v>
      </c>
      <c r="B11" s="36">
        <f>SUM(B8:B10)</f>
        <v>4800</v>
      </c>
      <c r="C11" s="36">
        <f t="shared" ref="C11:F11" si="1">SUM(C8:C10)</f>
        <v>1200</v>
      </c>
      <c r="D11" s="36">
        <f t="shared" si="1"/>
        <v>1200</v>
      </c>
      <c r="E11" s="36">
        <f t="shared" si="1"/>
        <v>3600</v>
      </c>
      <c r="F11" s="36">
        <f t="shared" si="1"/>
        <v>2400</v>
      </c>
      <c r="G11" s="36"/>
      <c r="H11" s="38"/>
    </row>
    <row r="12" spans="1:8" x14ac:dyDescent="0.25">
      <c r="A12" s="36" t="s">
        <v>42</v>
      </c>
      <c r="B12" s="38">
        <f>B11*'3. Товары'!D2</f>
        <v>11520000</v>
      </c>
      <c r="C12" s="38">
        <f>C11*'3. Товары'!D3</f>
        <v>2400000</v>
      </c>
      <c r="D12" s="38">
        <f>D11*'3. Товары'!D4</f>
        <v>3120000</v>
      </c>
      <c r="E12" s="38">
        <f>E11*'3. Товары'!D5</f>
        <v>12240000</v>
      </c>
      <c r="F12" s="38">
        <f>F11*'3. Товары'!D6</f>
        <v>7200000</v>
      </c>
      <c r="G12" s="39">
        <f>SUM(B12:F12)</f>
        <v>36480000</v>
      </c>
      <c r="H12" s="38">
        <f t="shared" ref="H12" si="2">F12*10/100</f>
        <v>720000</v>
      </c>
    </row>
    <row r="13" spans="1:8" x14ac:dyDescent="0.25">
      <c r="B13" s="36"/>
      <c r="C13" s="36"/>
      <c r="D13" s="36"/>
      <c r="E13" s="36"/>
      <c r="F13" s="36"/>
      <c r="G13" s="36"/>
      <c r="H13" s="3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defaultRowHeight="15" x14ac:dyDescent="0.25"/>
  <cols>
    <col min="1" max="1" width="21.7109375" customWidth="1"/>
    <col min="3" max="3" width="18.42578125" customWidth="1"/>
    <col min="4" max="4" width="19.140625" customWidth="1"/>
    <col min="5" max="5" width="11.7109375" customWidth="1"/>
    <col min="6" max="6" width="21.28515625" customWidth="1"/>
  </cols>
  <sheetData>
    <row r="1" spans="1:6" s="3" customFormat="1" x14ac:dyDescent="0.25">
      <c r="A1" s="3" t="s">
        <v>34</v>
      </c>
      <c r="B1" s="3" t="s">
        <v>35</v>
      </c>
      <c r="C1" s="3" t="s">
        <v>37</v>
      </c>
      <c r="D1" s="3" t="s">
        <v>38</v>
      </c>
      <c r="E1" s="3" t="s">
        <v>39</v>
      </c>
      <c r="F1" s="3" t="s">
        <v>40</v>
      </c>
    </row>
    <row r="2" spans="1:6" x14ac:dyDescent="0.25">
      <c r="A2" t="s">
        <v>121</v>
      </c>
      <c r="B2" t="s">
        <v>36</v>
      </c>
      <c r="C2" s="1">
        <v>1200</v>
      </c>
      <c r="D2" s="1">
        <f>C2+C2*E2/100</f>
        <v>2400</v>
      </c>
      <c r="E2">
        <v>100</v>
      </c>
      <c r="F2" s="1">
        <f>SUM(Покупатели!B8:B10)*'3. Товары'!D2</f>
        <v>11520000</v>
      </c>
    </row>
    <row r="3" spans="1:6" x14ac:dyDescent="0.25">
      <c r="A3" t="s">
        <v>122</v>
      </c>
      <c r="B3" t="s">
        <v>36</v>
      </c>
      <c r="C3" s="1">
        <v>1000</v>
      </c>
      <c r="D3" s="1">
        <f t="shared" ref="D3:D6" si="0">C3+C3*E3/100</f>
        <v>2000</v>
      </c>
      <c r="E3">
        <v>100</v>
      </c>
      <c r="F3" s="1">
        <f>SUM(Покупатели!C8:C10)*'3. Товары'!D3</f>
        <v>2400000</v>
      </c>
    </row>
    <row r="4" spans="1:6" x14ac:dyDescent="0.25">
      <c r="A4" t="s">
        <v>123</v>
      </c>
      <c r="B4" t="s">
        <v>36</v>
      </c>
      <c r="C4" s="1">
        <v>1300</v>
      </c>
      <c r="D4" s="1">
        <f t="shared" si="0"/>
        <v>2600</v>
      </c>
      <c r="E4">
        <v>100</v>
      </c>
      <c r="F4" s="1">
        <f>SUM(Покупатели!D8:D10)*'3. Товары'!D4</f>
        <v>3120000</v>
      </c>
    </row>
    <row r="5" spans="1:6" x14ac:dyDescent="0.25">
      <c r="A5" t="s">
        <v>124</v>
      </c>
      <c r="B5" t="s">
        <v>36</v>
      </c>
      <c r="C5" s="1">
        <v>1700</v>
      </c>
      <c r="D5" s="1">
        <f t="shared" si="0"/>
        <v>3400</v>
      </c>
      <c r="E5">
        <v>100</v>
      </c>
      <c r="F5" s="1">
        <f>SUM(Покупатели!E8:E10)*'3. Товары'!D5</f>
        <v>12240000</v>
      </c>
    </row>
    <row r="6" spans="1:6" x14ac:dyDescent="0.25">
      <c r="A6" t="s">
        <v>125</v>
      </c>
      <c r="B6" t="s">
        <v>36</v>
      </c>
      <c r="C6" s="1">
        <v>1500</v>
      </c>
      <c r="D6" s="1">
        <f t="shared" si="0"/>
        <v>3000</v>
      </c>
      <c r="E6">
        <v>100</v>
      </c>
      <c r="F6" s="1">
        <f>SUM(Покупатели!F8:F10)*'3. Товары'!D6</f>
        <v>7200000</v>
      </c>
    </row>
    <row r="7" spans="1:6" x14ac:dyDescent="0.25">
      <c r="F7" s="4">
        <f>SUM(F2:F6)</f>
        <v>36480000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66.28515625" customWidth="1"/>
  </cols>
  <sheetData>
    <row r="1" spans="1:2" x14ac:dyDescent="0.25">
      <c r="A1" t="s">
        <v>0</v>
      </c>
      <c r="B1" t="s">
        <v>120</v>
      </c>
    </row>
    <row r="2" spans="1:2" x14ac:dyDescent="0.25">
      <c r="A2" t="s">
        <v>1</v>
      </c>
      <c r="B2" t="s">
        <v>126</v>
      </c>
    </row>
    <row r="3" spans="1:2" x14ac:dyDescent="0.25">
      <c r="A3" t="s">
        <v>2</v>
      </c>
      <c r="B3" t="s">
        <v>127</v>
      </c>
    </row>
    <row r="4" spans="1:2" x14ac:dyDescent="0.25">
      <c r="A4" s="32" t="s">
        <v>3</v>
      </c>
      <c r="B4" s="33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132</v>
      </c>
    </row>
    <row r="7" spans="1:2" x14ac:dyDescent="0.25">
      <c r="A7" t="s">
        <v>8</v>
      </c>
      <c r="B7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ФинПлан</vt:lpstr>
      <vt:lpstr>1. ГП</vt:lpstr>
      <vt:lpstr>1. Спецификация ГП</vt:lpstr>
      <vt:lpstr>2. Маршруты</vt:lpstr>
      <vt:lpstr>3.2. Комиссионеры</vt:lpstr>
      <vt:lpstr>3.3. Комитент</vt:lpstr>
      <vt:lpstr>Покупатели</vt:lpstr>
      <vt:lpstr>3. Товары</vt:lpstr>
      <vt:lpstr>СтруктураОрганизации</vt:lpstr>
      <vt:lpstr>ТЗ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ws2022</dc:creator>
  <cp:lastModifiedBy>student</cp:lastModifiedBy>
  <dcterms:created xsi:type="dcterms:W3CDTF">2023-01-19T09:12:32Z</dcterms:created>
  <dcterms:modified xsi:type="dcterms:W3CDTF">2023-01-26T11:16:58Z</dcterms:modified>
</cp:coreProperties>
</file>