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erez12\Desktop\"/>
    </mc:Choice>
  </mc:AlternateContent>
  <xr:revisionPtr revIDLastSave="0" documentId="13_ncr:1_{D86C86D4-8F83-4FEA-A70E-4D4E43B322A3}" xr6:coauthVersionLast="47" xr6:coauthVersionMax="47" xr10:uidLastSave="{00000000-0000-0000-0000-000000000000}"/>
  <bookViews>
    <workbookView xWindow="5770" yWindow="2920" windowWidth="9600" windowHeight="4910" activeTab="3" xr2:uid="{288DC84A-71BE-4848-B3BA-58516B30377B}"/>
  </bookViews>
  <sheets>
    <sheet name="equations" sheetId="5" r:id="rId1"/>
    <sheet name="test" sheetId="1" r:id="rId2"/>
    <sheet name="survey" sheetId="6" r:id="rId3"/>
    <sheet name="fishery" sheetId="7" r:id="rId4"/>
    <sheet name="length ag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7" l="1"/>
  <c r="W88" i="7"/>
  <c r="V84" i="7"/>
  <c r="V118" i="7" s="1"/>
  <c r="K54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71" i="6"/>
  <c r="W70" i="6"/>
  <c r="W69" i="6"/>
  <c r="T63" i="6"/>
  <c r="P63" i="6"/>
  <c r="K63" i="6"/>
  <c r="T62" i="6"/>
  <c r="P62" i="6"/>
  <c r="K62" i="6"/>
  <c r="T61" i="6"/>
  <c r="P61" i="6"/>
  <c r="K61" i="6"/>
  <c r="T60" i="6"/>
  <c r="P60" i="6"/>
  <c r="K60" i="6"/>
  <c r="T59" i="6"/>
  <c r="P59" i="6"/>
  <c r="K59" i="6"/>
  <c r="T58" i="6"/>
  <c r="P58" i="6"/>
  <c r="K58" i="6"/>
  <c r="T57" i="6"/>
  <c r="P57" i="6"/>
  <c r="K57" i="6"/>
  <c r="T56" i="6"/>
  <c r="P56" i="6"/>
  <c r="K56" i="6"/>
  <c r="T55" i="6"/>
  <c r="P55" i="6"/>
  <c r="K55" i="6"/>
  <c r="T54" i="6"/>
  <c r="P54" i="6"/>
  <c r="T53" i="6"/>
  <c r="P53" i="6"/>
  <c r="K53" i="6"/>
  <c r="V85" i="7"/>
  <c r="W85" i="7"/>
  <c r="W92" i="7" s="1"/>
  <c r="W84" i="7"/>
  <c r="V93" i="7"/>
  <c r="W89" i="7"/>
  <c r="W90" i="7"/>
  <c r="W91" i="7"/>
  <c r="W96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86" i="7"/>
  <c r="V87" i="7"/>
  <c r="V88" i="7"/>
  <c r="V90" i="7"/>
  <c r="V108" i="7"/>
  <c r="V109" i="7"/>
  <c r="V117" i="7"/>
  <c r="V119" i="7"/>
  <c r="V120" i="7"/>
  <c r="V125" i="7"/>
  <c r="V127" i="7"/>
  <c r="V128" i="7"/>
  <c r="V131" i="7"/>
  <c r="V132" i="7"/>
  <c r="J69" i="7"/>
  <c r="J70" i="7"/>
  <c r="J71" i="7"/>
  <c r="J72" i="7"/>
  <c r="J73" i="7"/>
  <c r="J74" i="7"/>
  <c r="J75" i="7"/>
  <c r="J76" i="7"/>
  <c r="J77" i="7"/>
  <c r="J78" i="7"/>
  <c r="O68" i="7"/>
  <c r="O69" i="7"/>
  <c r="O70" i="7"/>
  <c r="O71" i="7"/>
  <c r="O72" i="7"/>
  <c r="O73" i="7"/>
  <c r="O74" i="7"/>
  <c r="O75" i="7"/>
  <c r="O76" i="7"/>
  <c r="O77" i="7"/>
  <c r="O78" i="7"/>
  <c r="S69" i="7"/>
  <c r="S70" i="7"/>
  <c r="S71" i="7"/>
  <c r="S72" i="7"/>
  <c r="S73" i="7"/>
  <c r="S74" i="7"/>
  <c r="S75" i="7"/>
  <c r="S76" i="7"/>
  <c r="S77" i="7"/>
  <c r="S78" i="7"/>
  <c r="S68" i="7"/>
  <c r="G45" i="1"/>
  <c r="E45" i="1"/>
  <c r="F45" i="1"/>
  <c r="H45" i="1"/>
  <c r="M2" i="7"/>
  <c r="I16" i="7"/>
  <c r="H15" i="7"/>
  <c r="G14" i="7"/>
  <c r="F14" i="7"/>
  <c r="D12" i="3"/>
  <c r="D42" i="3"/>
  <c r="D43" i="3"/>
  <c r="D44" i="3"/>
  <c r="D45" i="3"/>
  <c r="D46" i="3"/>
  <c r="D47" i="3"/>
  <c r="D48" i="3"/>
  <c r="D49" i="3"/>
  <c r="D50" i="3"/>
  <c r="D51" i="3"/>
  <c r="D52" i="3"/>
  <c r="B29" i="7"/>
  <c r="C29" i="7" s="1"/>
  <c r="F38" i="7" s="1"/>
  <c r="I23" i="7"/>
  <c r="I24" i="7" s="1"/>
  <c r="H23" i="7"/>
  <c r="H24" i="7" s="1"/>
  <c r="G23" i="7"/>
  <c r="G24" i="7" s="1"/>
  <c r="F22" i="7"/>
  <c r="F23" i="7" s="1"/>
  <c r="F24" i="7" s="1"/>
  <c r="F25" i="7" s="1"/>
  <c r="F26" i="7" s="1"/>
  <c r="F7" i="7"/>
  <c r="F8" i="7"/>
  <c r="F9" i="7"/>
  <c r="F10" i="7"/>
  <c r="F11" i="7"/>
  <c r="B14" i="7"/>
  <c r="V104" i="7" l="1"/>
  <c r="V103" i="7"/>
  <c r="V89" i="7"/>
  <c r="W118" i="6"/>
  <c r="W79" i="6"/>
  <c r="W110" i="6"/>
  <c r="W102" i="6"/>
  <c r="W98" i="6"/>
  <c r="W86" i="6"/>
  <c r="W117" i="6"/>
  <c r="W93" i="6"/>
  <c r="W116" i="6"/>
  <c r="W92" i="6"/>
  <c r="W107" i="6"/>
  <c r="W91" i="6"/>
  <c r="W74" i="6"/>
  <c r="W71" i="6"/>
  <c r="W113" i="6"/>
  <c r="W105" i="6"/>
  <c r="W97" i="6"/>
  <c r="W89" i="6"/>
  <c r="W81" i="6"/>
  <c r="W73" i="6"/>
  <c r="W109" i="6"/>
  <c r="W85" i="6"/>
  <c r="W108" i="6"/>
  <c r="W84" i="6"/>
  <c r="W99" i="6"/>
  <c r="W75" i="6"/>
  <c r="W106" i="6"/>
  <c r="W82" i="6"/>
  <c r="W120" i="6"/>
  <c r="W112" i="6"/>
  <c r="W104" i="6"/>
  <c r="W96" i="6"/>
  <c r="W88" i="6"/>
  <c r="W80" i="6"/>
  <c r="W72" i="6"/>
  <c r="W94" i="6"/>
  <c r="W78" i="6"/>
  <c r="W101" i="6"/>
  <c r="W77" i="6"/>
  <c r="W100" i="6"/>
  <c r="W76" i="6"/>
  <c r="W115" i="6"/>
  <c r="W83" i="6"/>
  <c r="W114" i="6"/>
  <c r="W90" i="6"/>
  <c r="W119" i="6"/>
  <c r="W111" i="6"/>
  <c r="W103" i="6"/>
  <c r="W95" i="6"/>
  <c r="W87" i="6"/>
  <c r="W97" i="7"/>
  <c r="W93" i="7"/>
  <c r="W95" i="7"/>
  <c r="V86" i="7"/>
  <c r="V126" i="7"/>
  <c r="V116" i="7"/>
  <c r="V102" i="7"/>
  <c r="V135" i="7"/>
  <c r="V101" i="7"/>
  <c r="V134" i="7"/>
  <c r="V124" i="7"/>
  <c r="V111" i="7"/>
  <c r="V100" i="7"/>
  <c r="V112" i="7"/>
  <c r="V133" i="7"/>
  <c r="V123" i="7"/>
  <c r="V110" i="7"/>
  <c r="V91" i="7"/>
  <c r="V115" i="7"/>
  <c r="V107" i="7"/>
  <c r="V99" i="7"/>
  <c r="V130" i="7"/>
  <c r="V122" i="7"/>
  <c r="V114" i="7"/>
  <c r="V106" i="7"/>
  <c r="V98" i="7"/>
  <c r="V129" i="7"/>
  <c r="V121" i="7"/>
  <c r="V113" i="7"/>
  <c r="V105" i="7"/>
  <c r="V97" i="7"/>
  <c r="V92" i="7"/>
  <c r="V96" i="7"/>
  <c r="W94" i="7"/>
  <c r="W87" i="7"/>
  <c r="V95" i="7"/>
  <c r="V94" i="7"/>
  <c r="G32" i="7"/>
  <c r="I35" i="7"/>
  <c r="I34" i="7"/>
  <c r="H38" i="7"/>
  <c r="I29" i="7"/>
  <c r="I37" i="7"/>
  <c r="I39" i="7"/>
  <c r="I38" i="7"/>
  <c r="I36" i="7"/>
  <c r="I33" i="7"/>
  <c r="I32" i="7"/>
  <c r="I31" i="7"/>
  <c r="I30" i="7"/>
  <c r="H29" i="7"/>
  <c r="H37" i="7"/>
  <c r="H35" i="7"/>
  <c r="G33" i="7"/>
  <c r="F29" i="7"/>
  <c r="F33" i="7"/>
  <c r="F32" i="7"/>
  <c r="H34" i="7"/>
  <c r="F31" i="7"/>
  <c r="H33" i="7"/>
  <c r="G30" i="7"/>
  <c r="F34" i="7"/>
  <c r="F30" i="7"/>
  <c r="H32" i="7"/>
  <c r="F37" i="7"/>
  <c r="H36" i="7"/>
  <c r="G29" i="7"/>
  <c r="H31" i="7"/>
  <c r="G34" i="7"/>
  <c r="G31" i="7"/>
  <c r="F36" i="7"/>
  <c r="G36" i="7"/>
  <c r="H30" i="7"/>
  <c r="F35" i="7"/>
  <c r="G35" i="7"/>
  <c r="G25" i="7"/>
  <c r="H25" i="7"/>
  <c r="I25" i="7"/>
  <c r="I8" i="7"/>
  <c r="I9" i="7" s="1"/>
  <c r="H8" i="7"/>
  <c r="H9" i="7" s="1"/>
  <c r="H10" i="7" s="1"/>
  <c r="G8" i="7"/>
  <c r="G9" i="7" s="1"/>
  <c r="G10" i="7" s="1"/>
  <c r="C14" i="7"/>
  <c r="M7" i="6"/>
  <c r="M8" i="6" s="1"/>
  <c r="M9" i="6" s="1"/>
  <c r="M10" i="6" s="1"/>
  <c r="K7" i="6"/>
  <c r="K8" i="6" s="1"/>
  <c r="K9" i="6" s="1"/>
  <c r="K10" i="6" s="1"/>
  <c r="I7" i="6"/>
  <c r="I8" i="6" s="1"/>
  <c r="I9" i="6" s="1"/>
  <c r="I10" i="6" s="1"/>
  <c r="G7" i="6"/>
  <c r="E6" i="6"/>
  <c r="F6" i="6" s="1"/>
  <c r="D16" i="3"/>
  <c r="J20" i="3"/>
  <c r="H19" i="3"/>
  <c r="F19" i="3"/>
  <c r="D19" i="3"/>
  <c r="J13" i="3"/>
  <c r="J14" i="3"/>
  <c r="J15" i="3"/>
  <c r="J16" i="3"/>
  <c r="J17" i="3"/>
  <c r="J18" i="3"/>
  <c r="J19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12" i="3"/>
  <c r="H13" i="3"/>
  <c r="H14" i="3"/>
  <c r="H15" i="3"/>
  <c r="H16" i="3"/>
  <c r="H17" i="3"/>
  <c r="H18" i="3"/>
  <c r="H20" i="3"/>
  <c r="H21" i="3"/>
  <c r="H22" i="3"/>
  <c r="H23" i="3"/>
  <c r="H24" i="3"/>
  <c r="H12" i="3"/>
  <c r="F13" i="3"/>
  <c r="F14" i="3"/>
  <c r="F15" i="3"/>
  <c r="F16" i="3"/>
  <c r="F17" i="3"/>
  <c r="F18" i="3"/>
  <c r="F20" i="3"/>
  <c r="F21" i="3"/>
  <c r="F22" i="3"/>
  <c r="F23" i="3"/>
  <c r="F24" i="3"/>
  <c r="D13" i="3"/>
  <c r="D14" i="3"/>
  <c r="D15" i="3"/>
  <c r="D17" i="3"/>
  <c r="D18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F12" i="3"/>
  <c r="H6" i="6" l="1"/>
  <c r="H7" i="6"/>
  <c r="J6" i="6"/>
  <c r="N10" i="6"/>
  <c r="J8" i="6"/>
  <c r="N6" i="6"/>
  <c r="J9" i="6"/>
  <c r="L7" i="6"/>
  <c r="J10" i="6"/>
  <c r="L8" i="6"/>
  <c r="N9" i="6"/>
  <c r="L9" i="6"/>
  <c r="N8" i="6"/>
  <c r="L10" i="6"/>
  <c r="L6" i="6"/>
  <c r="N7" i="6"/>
  <c r="J7" i="6"/>
  <c r="G8" i="6"/>
  <c r="H26" i="7"/>
  <c r="I26" i="7"/>
  <c r="G26" i="7"/>
  <c r="I14" i="7"/>
  <c r="G17" i="7"/>
  <c r="G15" i="7"/>
  <c r="H17" i="7"/>
  <c r="H16" i="7"/>
  <c r="I15" i="7"/>
  <c r="G16" i="7"/>
  <c r="H14" i="7"/>
  <c r="I10" i="7"/>
  <c r="I17" i="7" s="1"/>
  <c r="G11" i="7"/>
  <c r="G18" i="7" s="1"/>
  <c r="H11" i="7"/>
  <c r="H18" i="7" s="1"/>
  <c r="H8" i="6" l="1"/>
  <c r="G9" i="6"/>
  <c r="F15" i="7"/>
  <c r="I11" i="7"/>
  <c r="I18" i="7" s="1"/>
  <c r="H9" i="6" l="1"/>
  <c r="G10" i="6"/>
  <c r="H10" i="6" s="1"/>
  <c r="F16" i="7"/>
  <c r="F17" i="7" l="1"/>
  <c r="F18" i="7"/>
</calcChain>
</file>

<file path=xl/sharedStrings.xml><?xml version="1.0" encoding="utf-8"?>
<sst xmlns="http://schemas.openxmlformats.org/spreadsheetml/2006/main" count="190" uniqueCount="106">
  <si>
    <t>#</t>
  </si>
  <si>
    <t>fishsel_pars,</t>
  </si>
  <si>
    <t>row</t>
  </si>
  <si>
    <t>c,</t>
  </si>
  <si>
    <t>d,</t>
  </si>
  <si>
    <t>columns</t>
  </si>
  <si>
    <t>1:Nfleets:</t>
  </si>
  <si>
    <t>ln_fishery_q,</t>
  </si>
  <si>
    <t>ln_fishery_q(1,Nqpars)</t>
  </si>
  <si>
    <t>(=</t>
  </si>
  <si>
    <t>number</t>
  </si>
  <si>
    <t>of</t>
  </si>
  <si>
    <t>fished</t>
  </si>
  <si>
    <t>species</t>
  </si>
  <si>
    <t>-</t>
  </si>
  <si>
    <t>Nfleet*Narea):</t>
  </si>
  <si>
    <t>dogfish</t>
  </si>
  <si>
    <t>mackerel</t>
  </si>
  <si>
    <t>ln_survey_q,</t>
  </si>
  <si>
    <t>rows</t>
  </si>
  <si>
    <t>1:Nsurveys,</t>
  </si>
  <si>
    <t>1:Nspecies:</t>
  </si>
  <si>
    <t>survey_selpars,</t>
  </si>
  <si>
    <t>1:Nsurveys:</t>
  </si>
  <si>
    <t>M1:</t>
  </si>
  <si>
    <t>ln_M1ann(1,Nareas,1,Nspecies)</t>
  </si>
  <si>
    <t>cod:</t>
  </si>
  <si>
    <t>herring:</t>
  </si>
  <si>
    <t>mackerel:</t>
  </si>
  <si>
    <t>dogfish:</t>
  </si>
  <si>
    <t>ln_otherFood</t>
  </si>
  <si>
    <t>base</t>
  </si>
  <si>
    <t>other</t>
  </si>
  <si>
    <t>food</t>
  </si>
  <si>
    <t>devs:</t>
  </si>
  <si>
    <t>otherFood_dev(1,Npred-1)</t>
  </si>
  <si>
    <t>init_vector</t>
  </si>
  <si>
    <t>lenwt_a(1,Nspecies)</t>
  </si>
  <si>
    <t>lenwt_b(1,Nspecies)</t>
  </si>
  <si>
    <t>cod</t>
  </si>
  <si>
    <t>herring</t>
  </si>
  <si>
    <t>edad</t>
  </si>
  <si>
    <t>init_matrix</t>
  </si>
  <si>
    <t>vonB_Linf(1,Nareas,1,Nspecies)</t>
  </si>
  <si>
    <t>//alternate</t>
  </si>
  <si>
    <t>parameterization,</t>
  </si>
  <si>
    <t>vonB</t>
  </si>
  <si>
    <t>growth</t>
  </si>
  <si>
    <t>vonB_k(1,Nareas,1,Nspecies)</t>
  </si>
  <si>
    <t>Name</t>
  </si>
  <si>
    <t>Equation</t>
  </si>
  <si>
    <t xml:space="preserve">Description </t>
  </si>
  <si>
    <t xml:space="preserve">Numbers at size </t>
  </si>
  <si>
    <t xml:space="preserve">Recruitment </t>
  </si>
  <si>
    <t>Selectivity</t>
  </si>
  <si>
    <t>Yield</t>
  </si>
  <si>
    <t>Fishing mortality rate</t>
  </si>
  <si>
    <t xml:space="preserve">F for target stocks </t>
  </si>
  <si>
    <t>Objective functions</t>
  </si>
  <si>
    <t>Description</t>
  </si>
  <si>
    <t>Catch</t>
  </si>
  <si>
    <t>Catch length compositions</t>
  </si>
  <si>
    <t>Survey abundance index</t>
  </si>
  <si>
    <t>Survey length composition</t>
  </si>
  <si>
    <t>Prey proportions in survey diet</t>
  </si>
  <si>
    <t>c</t>
  </si>
  <si>
    <t>d</t>
  </si>
  <si>
    <t>ln 19</t>
  </si>
  <si>
    <t>1./(1.+mfexp(A*(lbinmidpt-mfexp(survey_selpars))/mfexp(survey_selpars)));</t>
  </si>
  <si>
    <t>1./(1.+mfexp(neglog19*(lbinmidpt(spp,isizebin)-fishsel_c(1,fleet))/fishsel_d(2,fleet)))</t>
  </si>
  <si>
    <t>ln_avg_recruitment,</t>
  </si>
  <si>
    <t>recruitment_devs,</t>
  </si>
  <si>
    <t>1:Nspecies,</t>
  </si>
  <si>
    <t>1:Nyrs:</t>
  </si>
  <si>
    <t>ln_recsigma,</t>
  </si>
  <si>
    <t>avg_F,</t>
  </si>
  <si>
    <t>1:fleets:</t>
  </si>
  <si>
    <t>fleet</t>
  </si>
  <si>
    <t>demersal</t>
  </si>
  <si>
    <t>pelagic</t>
  </si>
  <si>
    <t>(0.5</t>
  </si>
  <si>
    <t>and</t>
  </si>
  <si>
    <t>0.5)</t>
  </si>
  <si>
    <t>F_devs,</t>
  </si>
  <si>
    <t>1:fleets,</t>
  </si>
  <si>
    <t>logit_vuln,</t>
  </si>
  <si>
    <t>1:Npreypar</t>
  </si>
  <si>
    <t>(number</t>
  </si>
  <si>
    <t>elements</t>
  </si>
  <si>
    <t>isprey</t>
  </si>
  <si>
    <t>matrix)</t>
  </si>
  <si>
    <t>M:</t>
  </si>
  <si>
    <t>length bin</t>
  </si>
  <si>
    <t>OM</t>
  </si>
  <si>
    <t>SS reports</t>
  </si>
  <si>
    <t>cod spring albatross</t>
  </si>
  <si>
    <t>cod fall albatross</t>
  </si>
  <si>
    <t>cod fall bigelow</t>
  </si>
  <si>
    <t>age bin</t>
  </si>
  <si>
    <t>dogfish NEFSC spring</t>
  </si>
  <si>
    <t>cod age</t>
  </si>
  <si>
    <t>herring age</t>
  </si>
  <si>
    <t>mackerel age</t>
  </si>
  <si>
    <t>dogfish length</t>
  </si>
  <si>
    <t>age</t>
  </si>
  <si>
    <t>from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</si>
</sst>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LMRoman10-Regular"/>
    </font>
    <font>
      <b/>
      <sz val="12"/>
      <color theme="1"/>
      <name val="Arial Narrow"/>
      <family val="2"/>
    </font>
    <font>
      <sz val="12"/>
      <color theme="1"/>
      <name val="LMRoman10-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4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survey!$G$6:$G$10</c:f>
              <c:numCache>
                <c:formatCode>General</c:formatCode>
                <c:ptCount val="5"/>
                <c:pt idx="0">
                  <c:v>29</c:v>
                </c:pt>
                <c:pt idx="1">
                  <c:v>58</c:v>
                </c:pt>
                <c:pt idx="2">
                  <c:v>87</c:v>
                </c:pt>
                <c:pt idx="3">
                  <c:v>116</c:v>
                </c:pt>
                <c:pt idx="4">
                  <c:v>145</c:v>
                </c:pt>
              </c:numCache>
            </c:numRef>
          </c:xVal>
          <c:yVal>
            <c:numRef>
              <c:f>survey!$H$6:$H$10</c:f>
              <c:numCache>
                <c:formatCode>General</c:formatCode>
                <c:ptCount val="5"/>
                <c:pt idx="0">
                  <c:v>4.4262874918335866E-2</c:v>
                </c:pt>
                <c:pt idx="1">
                  <c:v>0.60067927699578294</c:v>
                </c:pt>
                <c:pt idx="2">
                  <c:v>0.97994325337245458</c:v>
                </c:pt>
                <c:pt idx="3">
                  <c:v>0.99937025266181601</c:v>
                </c:pt>
                <c:pt idx="4">
                  <c:v>0.9999805995475558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C-410F-894D-B3EF183A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56624"/>
        <c:axId val="590054960"/>
      </c:scatterChart>
      <c:valAx>
        <c:axId val="590056624"/>
        <c:scaling>
          <c:orientation val="minMax"/>
          <c:max val="1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4960"/>
        <c:crosses val="autoZero"/>
        <c:crossBetween val="midCat"/>
        <c:majorUnit val="10"/>
      </c:valAx>
      <c:valAx>
        <c:axId val="5900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fishery!$I$7:$I$11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fishery!$I$14:$I$18</c:f>
              <c:numCache>
                <c:formatCode>General</c:formatCode>
                <c:ptCount val="5"/>
                <c:pt idx="0">
                  <c:v>5.497661652089466E-2</c:v>
                </c:pt>
                <c:pt idx="1">
                  <c:v>0.82542555555742758</c:v>
                </c:pt>
                <c:pt idx="2">
                  <c:v>0.9974045521013235</c:v>
                </c:pt>
                <c:pt idx="3">
                  <c:v>0.99996798413234689</c:v>
                </c:pt>
                <c:pt idx="4">
                  <c:v>0.99999960607166472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5-4043-94C0-7A75C63B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50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fishery!$E$29:$E$37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fishery!$F$29:$F$37</c:f>
              <c:numCache>
                <c:formatCode>General</c:formatCode>
                <c:ptCount val="9"/>
                <c:pt idx="0">
                  <c:v>1.5619698743568758E-2</c:v>
                </c:pt>
                <c:pt idx="1">
                  <c:v>8.6464608867143092E-2</c:v>
                </c:pt>
                <c:pt idx="2">
                  <c:v>0.36084593903409551</c:v>
                </c:pt>
                <c:pt idx="3">
                  <c:v>0.77104091140930642</c:v>
                </c:pt>
                <c:pt idx="4">
                  <c:v>0.95257822039671025</c:v>
                </c:pt>
                <c:pt idx="5">
                  <c:v>0.99172316320216303</c:v>
                </c:pt>
                <c:pt idx="6">
                  <c:v>0.99860278434705441</c:v>
                </c:pt>
                <c:pt idx="7">
                  <c:v>0.99976548774366425</c:v>
                </c:pt>
                <c:pt idx="8">
                  <c:v>0.99996067696215718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F-4290-A39C-63448CC4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1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fishery!$E$29:$E$36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fishery!$G$29:$G$36</c:f>
              <c:numCache>
                <c:formatCode>General</c:formatCode>
                <c:ptCount val="8"/>
                <c:pt idx="0">
                  <c:v>0.13988676618066023</c:v>
                </c:pt>
                <c:pt idx="1">
                  <c:v>0.2276270846450722</c:v>
                </c:pt>
                <c:pt idx="2">
                  <c:v>0.34812599948436179</c:v>
                </c:pt>
                <c:pt idx="3">
                  <c:v>0.49179702771608952</c:v>
                </c:pt>
                <c:pt idx="4">
                  <c:v>0.6368358846345562</c:v>
                </c:pt>
                <c:pt idx="5">
                  <c:v>0.76062864464794744</c:v>
                </c:pt>
                <c:pt idx="6">
                  <c:v>0.85202860202867947</c:v>
                </c:pt>
                <c:pt idx="7">
                  <c:v>0.91254181183058958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4-4436-BC48-5494BD1F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1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mackerel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fishery!$E$29:$E$38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fishery!$H$29:$H$38</c:f>
              <c:numCache>
                <c:formatCode>General</c:formatCode>
                <c:ptCount val="10"/>
                <c:pt idx="0">
                  <c:v>0.25009691428851555</c:v>
                </c:pt>
                <c:pt idx="1">
                  <c:v>0.49627584061783786</c:v>
                </c:pt>
                <c:pt idx="2">
                  <c:v>0.74427380308181978</c:v>
                </c:pt>
                <c:pt idx="3">
                  <c:v>0.8958088835217306</c:v>
                </c:pt>
                <c:pt idx="4">
                  <c:v>0.96211937572504669</c:v>
                </c:pt>
                <c:pt idx="5">
                  <c:v>0.9868474180679041</c:v>
                </c:pt>
                <c:pt idx="6">
                  <c:v>0.99550862956769381</c:v>
                </c:pt>
                <c:pt idx="7">
                  <c:v>0.99847509102180954</c:v>
                </c:pt>
                <c:pt idx="8">
                  <c:v>0.99948328025193911</c:v>
                </c:pt>
                <c:pt idx="9">
                  <c:v>0.99982502485228752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E-48E8-8996-7E2C7F8C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1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fishery!$D$29:$D$39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fishery!$I$29:$I$39</c:f>
              <c:numCache>
                <c:formatCode>General</c:formatCode>
                <c:ptCount val="11"/>
                <c:pt idx="0">
                  <c:v>5.8953058199577162E-7</c:v>
                </c:pt>
                <c:pt idx="1">
                  <c:v>8.5224014576603321E-6</c:v>
                </c:pt>
                <c:pt idx="2">
                  <c:v>1.2318881580100904E-4</c:v>
                </c:pt>
                <c:pt idx="3">
                  <c:v>1.7779152387553049E-3</c:v>
                </c:pt>
                <c:pt idx="4">
                  <c:v>2.5101652158807837E-2</c:v>
                </c:pt>
                <c:pt idx="5">
                  <c:v>0.2712549558317553</c:v>
                </c:pt>
                <c:pt idx="6">
                  <c:v>0.84328419458259041</c:v>
                </c:pt>
                <c:pt idx="7">
                  <c:v>0.98730793257836413</c:v>
                </c:pt>
                <c:pt idx="8">
                  <c:v>0.99911154665302282</c:v>
                </c:pt>
                <c:pt idx="9">
                  <c:v>0.99993849154169656</c:v>
                </c:pt>
                <c:pt idx="10">
                  <c:v>0.9999957449897271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0-464E-89B3-7DA488A0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12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20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Demersals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fishery!$J$68:$J$78</c:f>
              <c:numCache>
                <c:formatCode>General</c:formatCode>
                <c:ptCount val="11"/>
                <c:pt idx="0">
                  <c:v>20.431063968439378</c:v>
                </c:pt>
                <c:pt idx="1">
                  <c:v>37.200475525629088</c:v>
                </c:pt>
                <c:pt idx="2">
                  <c:v>50.964475501783461</c:v>
                </c:pt>
                <c:pt idx="3">
                  <c:v>62.26169333781143</c:v>
                </c:pt>
                <c:pt idx="4">
                  <c:v>71.534225381968525</c:v>
                </c:pt>
                <c:pt idx="5">
                  <c:v>79.144935537146864</c:v>
                </c:pt>
                <c:pt idx="6">
                  <c:v>85.391655288590982</c:v>
                </c:pt>
                <c:pt idx="7">
                  <c:v>90.518838804643281</c:v>
                </c:pt>
                <c:pt idx="8">
                  <c:v>94.727129211972837</c:v>
                </c:pt>
                <c:pt idx="9">
                  <c:v>98.181210404303116</c:v>
                </c:pt>
                <c:pt idx="10">
                  <c:v>101.01625165108351</c:v>
                </c:pt>
              </c:numCache>
            </c:numRef>
          </c:xVal>
          <c:yVal>
            <c:numRef>
              <c:f>fishery!$K$68:$K$78</c:f>
              <c:numCache>
                <c:formatCode>General</c:formatCode>
                <c:ptCount val="11"/>
                <c:pt idx="0">
                  <c:v>0</c:v>
                </c:pt>
                <c:pt idx="1">
                  <c:v>0.15</c:v>
                </c:pt>
                <c:pt idx="2">
                  <c:v>0.45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C-0C46-9B67-48D3C8624E80}"/>
            </c:ext>
          </c:extLst>
        </c:ser>
        <c:ser>
          <c:idx val="1"/>
          <c:order val="1"/>
          <c:tx>
            <c:v>dogfish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fishery!$W$68:$W$78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fishery!$X$68:$X$78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C-0C46-9B67-48D3C8624E80}"/>
            </c:ext>
          </c:extLst>
        </c:ser>
        <c:ser>
          <c:idx val="2"/>
          <c:order val="2"/>
          <c:tx>
            <c:v>estimate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fishery!$U$86:$U$135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fishery!$V$86:$V$135</c:f>
              <c:numCache>
                <c:formatCode>General</c:formatCode>
                <c:ptCount val="50"/>
                <c:pt idx="0">
                  <c:v>1.078507087250577E-3</c:v>
                </c:pt>
                <c:pt idx="1">
                  <c:v>1.364579679461433E-3</c:v>
                </c:pt>
                <c:pt idx="2">
                  <c:v>1.7264015106038025E-3</c:v>
                </c:pt>
                <c:pt idx="3">
                  <c:v>2.1839515258005766E-3</c:v>
                </c:pt>
                <c:pt idx="4">
                  <c:v>2.7624309392265227E-3</c:v>
                </c:pt>
                <c:pt idx="5">
                  <c:v>3.4935999962474786E-3</c:v>
                </c:pt>
                <c:pt idx="6">
                  <c:v>4.4174399508404745E-3</c:v>
                </c:pt>
                <c:pt idx="7">
                  <c:v>5.5842091307108221E-3</c:v>
                </c:pt>
                <c:pt idx="8">
                  <c:v>7.0569701743879451E-3</c:v>
                </c:pt>
                <c:pt idx="9">
                  <c:v>8.9146703051333539E-3</c:v>
                </c:pt>
                <c:pt idx="10">
                  <c:v>1.1255854013984261E-2</c:v>
                </c:pt>
                <c:pt idx="11">
                  <c:v>1.4203071562854228E-2</c:v>
                </c:pt>
                <c:pt idx="12">
                  <c:v>1.7908007708085445E-2</c:v>
                </c:pt>
                <c:pt idx="13">
                  <c:v>2.2557278817297115E-2</c:v>
                </c:pt>
                <c:pt idx="14">
                  <c:v>2.8378713254882403E-2</c:v>
                </c:pt>
                <c:pt idx="15">
                  <c:v>3.5647713715120453E-2</c:v>
                </c:pt>
                <c:pt idx="16">
                  <c:v>4.4692971251104142E-2</c:v>
                </c:pt>
                <c:pt idx="17">
                  <c:v>5.5900332092908379E-2</c:v>
                </c:pt>
                <c:pt idx="18">
                  <c:v>6.9713001622540752E-2</c:v>
                </c:pt>
                <c:pt idx="19">
                  <c:v>8.6625545088092212E-2</c:v>
                </c:pt>
                <c:pt idx="20">
                  <c:v>0.10716844700002663</c:v>
                </c:pt>
                <c:pt idx="21">
                  <c:v>0.13187960949253505</c:v>
                </c:pt>
                <c:pt idx="22">
                  <c:v>0.1612595899229845</c:v>
                </c:pt>
                <c:pt idx="23">
                  <c:v>0.19570924742660514</c:v>
                </c:pt>
                <c:pt idx="24">
                  <c:v>0.23545238646229993</c:v>
                </c:pt>
                <c:pt idx="25">
                  <c:v>0.28045203560519777</c:v>
                </c:pt>
                <c:pt idx="26">
                  <c:v>0.33033609308141093</c:v>
                </c:pt>
                <c:pt idx="27">
                  <c:v>0.38435349916488909</c:v>
                </c:pt>
                <c:pt idx="28">
                  <c:v>0.44138201095276774</c:v>
                </c:pt>
                <c:pt idx="29">
                  <c:v>0.50000000000000044</c:v>
                </c:pt>
                <c:pt idx="30">
                  <c:v>0.55861798904723303</c:v>
                </c:pt>
                <c:pt idx="31">
                  <c:v>0.61564650083511174</c:v>
                </c:pt>
                <c:pt idx="32">
                  <c:v>0.66966390691858979</c:v>
                </c:pt>
                <c:pt idx="33">
                  <c:v>0.71954796439480295</c:v>
                </c:pt>
                <c:pt idx="34">
                  <c:v>0.76454761353770073</c:v>
                </c:pt>
                <c:pt idx="35">
                  <c:v>0.80429075257339533</c:v>
                </c:pt>
                <c:pt idx="36">
                  <c:v>0.83874041007701583</c:v>
                </c:pt>
                <c:pt idx="37">
                  <c:v>0.86812039050746537</c:v>
                </c:pt>
                <c:pt idx="38">
                  <c:v>0.89283155299997363</c:v>
                </c:pt>
                <c:pt idx="39">
                  <c:v>0.91337445491190794</c:v>
                </c:pt>
                <c:pt idx="40">
                  <c:v>0.93028699837745954</c:v>
                </c:pt>
                <c:pt idx="41">
                  <c:v>0.94409966790709177</c:v>
                </c:pt>
                <c:pt idx="42">
                  <c:v>0.95530702874889606</c:v>
                </c:pt>
                <c:pt idx="43">
                  <c:v>0.96435228628487957</c:v>
                </c:pt>
                <c:pt idx="44">
                  <c:v>0.97162128674511761</c:v>
                </c:pt>
                <c:pt idx="45">
                  <c:v>0.97744272118270303</c:v>
                </c:pt>
                <c:pt idx="46">
                  <c:v>0.98209199229191457</c:v>
                </c:pt>
                <c:pt idx="47">
                  <c:v>0.98579692843714584</c:v>
                </c:pt>
                <c:pt idx="48">
                  <c:v>0.98874414598601568</c:v>
                </c:pt>
                <c:pt idx="49">
                  <c:v>0.99108532969486673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C-0C46-9B67-48D3C8624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85648"/>
        <c:axId val="1687090288"/>
      </c:scatterChart>
      <c:valAx>
        <c:axId val="16861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90288"/>
        <c:crosses val="autoZero"/>
        <c:crossBetween val="midCat"/>
      </c:valAx>
      <c:valAx>
        <c:axId val="1687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Pelagics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fishery!$O$68:$O$78</c:f>
              <c:numCache>
                <c:formatCode>General</c:formatCode>
                <c:ptCount val="11"/>
                <c:pt idx="0">
                  <c:v>10.508783602968574</c:v>
                </c:pt>
                <c:pt idx="1">
                  <c:v>17.209479867522624</c:v>
                </c:pt>
                <c:pt idx="2">
                  <c:v>21.482032441269148</c:v>
                </c:pt>
                <c:pt idx="3">
                  <c:v>24.206332241573989</c:v>
                </c:pt>
                <c:pt idx="4">
                  <c:v>25.943422487705934</c:v>
                </c:pt>
                <c:pt idx="5">
                  <c:v>27.051040130547257</c:v>
                </c:pt>
                <c:pt idx="6">
                  <c:v>27.757288320855835</c:v>
                </c:pt>
                <c:pt idx="7">
                  <c:v>28.207612049028516</c:v>
                </c:pt>
                <c:pt idx="8">
                  <c:v>28.494751135454688</c:v>
                </c:pt>
                <c:pt idx="9">
                  <c:v>28.677839100390976</c:v>
                </c:pt>
                <c:pt idx="10">
                  <c:v>28.794581141057488</c:v>
                </c:pt>
              </c:numCache>
            </c:numRef>
          </c:xVal>
          <c:yVal>
            <c:numRef>
              <c:f>fishery!$P$68:$P$78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9-7E40-BC0F-BF314AE4FECE}"/>
            </c:ext>
          </c:extLst>
        </c:ser>
        <c:ser>
          <c:idx val="1"/>
          <c:order val="1"/>
          <c:tx>
            <c:v>mackerel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fishery!$S$68:$S$78</c:f>
              <c:numCache>
                <c:formatCode>General</c:formatCode>
                <c:ptCount val="11"/>
                <c:pt idx="0">
                  <c:v>8.061027796949535</c:v>
                </c:pt>
                <c:pt idx="1">
                  <c:v>14.621358846943103</c:v>
                </c:pt>
                <c:pt idx="2">
                  <c:v>19.96037324679374</c:v>
                </c:pt>
                <c:pt idx="3">
                  <c:v>24.305439760142992</c:v>
                </c:pt>
                <c:pt idx="4">
                  <c:v>27.841598607355916</c:v>
                </c:pt>
                <c:pt idx="5">
                  <c:v>30.719441640208277</c:v>
                </c:pt>
                <c:pt idx="6">
                  <c:v>33.061525488693889</c:v>
                </c:pt>
                <c:pt idx="7">
                  <c:v>34.967590792019472</c:v>
                </c:pt>
                <c:pt idx="8">
                  <c:v>36.518809781421069</c:v>
                </c:pt>
                <c:pt idx="9">
                  <c:v>37.78124310355426</c:v>
                </c:pt>
                <c:pt idx="10">
                  <c:v>38.808653097707982</c:v>
                </c:pt>
              </c:numCache>
            </c:numRef>
          </c:xVal>
          <c:yVal>
            <c:numRef>
              <c:f>fishery!$T$68:$T$78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9-7E40-BC0F-BF314AE4FECE}"/>
            </c:ext>
          </c:extLst>
        </c:ser>
        <c:ser>
          <c:idx val="2"/>
          <c:order val="2"/>
          <c:tx>
            <c:v>estimate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fishery!$U$86:$U$135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fishery!$W$86:$W$135</c:f>
              <c:numCache>
                <c:formatCode>General</c:formatCode>
                <c:ptCount val="50"/>
                <c:pt idx="0">
                  <c:v>1.3250386893592224E-3</c:v>
                </c:pt>
                <c:pt idx="1">
                  <c:v>2.7624309392265205E-3</c:v>
                </c:pt>
                <c:pt idx="2">
                  <c:v>5.7501178600824054E-3</c:v>
                </c:pt>
                <c:pt idx="3">
                  <c:v>1.1930457848829517E-2</c:v>
                </c:pt>
                <c:pt idx="4">
                  <c:v>2.4589264026618745E-2</c:v>
                </c:pt>
                <c:pt idx="5">
                  <c:v>5.0000000000000051E-2</c:v>
                </c:pt>
                <c:pt idx="6">
                  <c:v>9.900501069711716E-2</c:v>
                </c:pt>
                <c:pt idx="7">
                  <c:v>0.18660549686337091</c:v>
                </c:pt>
                <c:pt idx="8">
                  <c:v>0.32385542054539412</c:v>
                </c:pt>
                <c:pt idx="9">
                  <c:v>0.50000000000000033</c:v>
                </c:pt>
                <c:pt idx="10">
                  <c:v>0.67614457945460638</c:v>
                </c:pt>
                <c:pt idx="11">
                  <c:v>0.81339450313662953</c:v>
                </c:pt>
                <c:pt idx="12">
                  <c:v>0.90099498930288313</c:v>
                </c:pt>
                <c:pt idx="13">
                  <c:v>0.95000000000000007</c:v>
                </c:pt>
                <c:pt idx="14">
                  <c:v>0.97541073597338135</c:v>
                </c:pt>
                <c:pt idx="15">
                  <c:v>0.98806954215117049</c:v>
                </c:pt>
                <c:pt idx="16">
                  <c:v>0.99424988213991772</c:v>
                </c:pt>
                <c:pt idx="17">
                  <c:v>0.99723756906077354</c:v>
                </c:pt>
                <c:pt idx="18">
                  <c:v>0.99867496131064082</c:v>
                </c:pt>
                <c:pt idx="19">
                  <c:v>0.99936490295674152</c:v>
                </c:pt>
                <c:pt idx="20">
                  <c:v>0.99969570457462276</c:v>
                </c:pt>
                <c:pt idx="21">
                  <c:v>0.99985422740524788</c:v>
                </c:pt>
                <c:pt idx="22">
                  <c:v>0.99993017346838065</c:v>
                </c:pt>
                <c:pt idx="23">
                  <c:v>0.99996655371617349</c:v>
                </c:pt>
                <c:pt idx="24">
                  <c:v>0.99998397983300413</c:v>
                </c:pt>
                <c:pt idx="25">
                  <c:v>0.99999232669848537</c:v>
                </c:pt>
                <c:pt idx="26">
                  <c:v>0.99999632467626043</c:v>
                </c:pt>
                <c:pt idx="27">
                  <c:v>0.99999823961349266</c:v>
                </c:pt>
                <c:pt idx="28">
                  <c:v>0.9999991568205191</c:v>
                </c:pt>
                <c:pt idx="29">
                  <c:v>0.99999959613908962</c:v>
                </c:pt>
                <c:pt idx="30">
                  <c:v>0.99999980656123488</c:v>
                </c:pt>
                <c:pt idx="31">
                  <c:v>0.9999999073479241</c:v>
                </c:pt>
                <c:pt idx="32">
                  <c:v>0.99999995562209709</c:v>
                </c:pt>
                <c:pt idx="33">
                  <c:v>0.99999997874415447</c:v>
                </c:pt>
                <c:pt idx="34">
                  <c:v>0.9999999898190105</c:v>
                </c:pt>
                <c:pt idx="35">
                  <c:v>0.99999999512357451</c:v>
                </c:pt>
                <c:pt idx="36">
                  <c:v>0.99999999766432079</c:v>
                </c:pt>
                <c:pt idx="37">
                  <c:v>0.99999999888127133</c:v>
                </c:pt>
                <c:pt idx="38">
                  <c:v>0.99999999946415841</c:v>
                </c:pt>
                <c:pt idx="39">
                  <c:v>0.99999999974334597</c:v>
                </c:pt>
                <c:pt idx="40">
                  <c:v>0.99999999987706945</c:v>
                </c:pt>
                <c:pt idx="41">
                  <c:v>0.99999999994111954</c:v>
                </c:pt>
                <c:pt idx="42">
                  <c:v>0.99999999997179789</c:v>
                </c:pt>
                <c:pt idx="43">
                  <c:v>0.99999999998649192</c:v>
                </c:pt>
                <c:pt idx="44">
                  <c:v>0.99999999999353006</c:v>
                </c:pt>
                <c:pt idx="45">
                  <c:v>0.99999999999690092</c:v>
                </c:pt>
                <c:pt idx="46">
                  <c:v>0.99999999999851563</c:v>
                </c:pt>
                <c:pt idx="47">
                  <c:v>0.99999999999928901</c:v>
                </c:pt>
                <c:pt idx="48">
                  <c:v>0.99999999999965938</c:v>
                </c:pt>
                <c:pt idx="49">
                  <c:v>0.9999999999998368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9-7E40-BC0F-BF314AE4F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49504"/>
        <c:axId val="1692726304"/>
      </c:scatterChart>
      <c:valAx>
        <c:axId val="169304950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26304"/>
        <c:crosses val="autoZero"/>
        <c:crossBetween val="midCat"/>
      </c:valAx>
      <c:valAx>
        <c:axId val="1692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survey!$I$6:$I$10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xVal>
          <c:yVal>
            <c:numRef>
              <c:f>survey!$J$6:$J$10</c:f>
              <c:numCache>
                <c:formatCode>General</c:formatCode>
                <c:ptCount val="5"/>
                <c:pt idx="0">
                  <c:v>3.7107822863451261E-3</c:v>
                </c:pt>
                <c:pt idx="1">
                  <c:v>9.635486251668355E-3</c:v>
                </c:pt>
                <c:pt idx="2">
                  <c:v>2.4784361972683747E-2</c:v>
                </c:pt>
                <c:pt idx="3">
                  <c:v>6.2253135198613786E-2</c:v>
                </c:pt>
                <c:pt idx="4">
                  <c:v>0.14778295451897638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1-4846-A3F8-C41AD40B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56624"/>
        <c:axId val="590054960"/>
      </c:scatterChart>
      <c:valAx>
        <c:axId val="5900566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4960"/>
        <c:crosses val="autoZero"/>
        <c:crossBetween val="midCat"/>
      </c:valAx>
      <c:valAx>
        <c:axId val="5900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66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mackerel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survey!$K$6:$K$10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xVal>
          <c:yVal>
            <c:numRef>
              <c:f>survey!$L$6:$L$10</c:f>
              <c:numCache>
                <c:formatCode>General</c:formatCode>
                <c:ptCount val="5"/>
                <c:pt idx="0">
                  <c:v>5.9837410813669443E-3</c:v>
                </c:pt>
                <c:pt idx="1">
                  <c:v>2.4784361972683747E-2</c:v>
                </c:pt>
                <c:pt idx="2">
                  <c:v>9.6897367064771214E-2</c:v>
                </c:pt>
                <c:pt idx="3">
                  <c:v>0.3117561298249692</c:v>
                </c:pt>
                <c:pt idx="4">
                  <c:v>0.65663626021919208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C-4143-A574-9DB961513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56624"/>
        <c:axId val="590054960"/>
      </c:scatterChart>
      <c:valAx>
        <c:axId val="5900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4960"/>
        <c:crosses val="autoZero"/>
        <c:crossBetween val="midCat"/>
      </c:valAx>
      <c:valAx>
        <c:axId val="5900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survey!$M$6:$M$10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survey!$N$6:$N$10</c:f>
              <c:numCache>
                <c:formatCode>General</c:formatCode>
                <c:ptCount val="5"/>
                <c:pt idx="0">
                  <c:v>4.9627222011006701E-2</c:v>
                </c:pt>
                <c:pt idx="1">
                  <c:v>0.65663626021919208</c:v>
                </c:pt>
                <c:pt idx="2">
                  <c:v>0.98592242466022817</c:v>
                </c:pt>
                <c:pt idx="3">
                  <c:v>0.99961026324176183</c:v>
                </c:pt>
                <c:pt idx="4">
                  <c:v>0.99998935387441878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A-4DEC-938B-43BB7584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56624"/>
        <c:axId val="590054960"/>
      </c:scatterChart>
      <c:valAx>
        <c:axId val="5900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4960"/>
        <c:crosses val="autoZero"/>
        <c:crossBetween val="midCat"/>
        <c:majorUnit val="20"/>
      </c:valAx>
      <c:valAx>
        <c:axId val="5900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Demersals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survey!$K$53:$K$63</c:f>
              <c:numCache>
                <c:formatCode>General</c:formatCode>
                <c:ptCount val="11"/>
                <c:pt idx="0">
                  <c:v>20.431063968439378</c:v>
                </c:pt>
                <c:pt idx="1">
                  <c:v>37.200475525629088</c:v>
                </c:pt>
                <c:pt idx="2">
                  <c:v>50.964475501783461</c:v>
                </c:pt>
                <c:pt idx="3">
                  <c:v>62.26169333781143</c:v>
                </c:pt>
                <c:pt idx="4">
                  <c:v>71.534225381968525</c:v>
                </c:pt>
                <c:pt idx="5">
                  <c:v>79.144935537146864</c:v>
                </c:pt>
                <c:pt idx="6">
                  <c:v>85.391655288590982</c:v>
                </c:pt>
                <c:pt idx="7">
                  <c:v>90.518838804643281</c:v>
                </c:pt>
                <c:pt idx="8">
                  <c:v>94.727129211972837</c:v>
                </c:pt>
                <c:pt idx="9">
                  <c:v>98.181210404303116</c:v>
                </c:pt>
                <c:pt idx="10">
                  <c:v>101.01625165108351</c:v>
                </c:pt>
              </c:numCache>
            </c:numRef>
          </c:xVal>
          <c:yVal>
            <c:numRef>
              <c:f>survey!$L$53:$L$63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0.35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C-DE43-924E-4D26734260ED}"/>
            </c:ext>
          </c:extLst>
        </c:ser>
        <c:ser>
          <c:idx val="1"/>
          <c:order val="1"/>
          <c:tx>
            <c:v>dogfish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survey!$X$53:$X$63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survey!$Y$53:$Y$63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C-DE43-924E-4D26734260ED}"/>
            </c:ext>
          </c:extLst>
        </c:ser>
        <c:ser>
          <c:idx val="2"/>
          <c:order val="2"/>
          <c:tx>
            <c:v>estimate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survey!$V$71:$V$120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survey!$W$71:$W$120</c:f>
              <c:numCache>
                <c:formatCode>General</c:formatCode>
                <c:ptCount val="50"/>
                <c:pt idx="0">
                  <c:v>2.7624309392265205E-3</c:v>
                </c:pt>
                <c:pt idx="1">
                  <c:v>3.3595533824171643E-3</c:v>
                </c:pt>
                <c:pt idx="2">
                  <c:v>4.0852200602140946E-3</c:v>
                </c:pt>
                <c:pt idx="3">
                  <c:v>4.9668502685245169E-3</c:v>
                </c:pt>
                <c:pt idx="4">
                  <c:v>6.0375913969752107E-3</c:v>
                </c:pt>
                <c:pt idx="5">
                  <c:v>7.3374580706613958E-3</c:v>
                </c:pt>
                <c:pt idx="6">
                  <c:v>8.9146703051333383E-3</c:v>
                </c:pt>
                <c:pt idx="7">
                  <c:v>1.0827211963947477E-2</c:v>
                </c:pt>
                <c:pt idx="8">
                  <c:v>1.3144625858910106E-2</c:v>
                </c:pt>
                <c:pt idx="9">
                  <c:v>1.5950051932194138E-2</c:v>
                </c:pt>
                <c:pt idx="10">
                  <c:v>1.9342497699835048E-2</c:v>
                </c:pt>
                <c:pt idx="11">
                  <c:v>2.3439302321889774E-2</c:v>
                </c:pt>
                <c:pt idx="12">
                  <c:v>2.8378713254882358E-2</c:v>
                </c:pt>
                <c:pt idx="13">
                  <c:v>3.4322432673553803E-2</c:v>
                </c:pt>
                <c:pt idx="14">
                  <c:v>4.1457904717496337E-2</c:v>
                </c:pt>
                <c:pt idx="15">
                  <c:v>4.9999999999999989E-2</c:v>
                </c:pt>
                <c:pt idx="16">
                  <c:v>6.0191609604412596E-2</c:v>
                </c:pt>
                <c:pt idx="17">
                  <c:v>7.2302492476067057E-2</c:v>
                </c:pt>
                <c:pt idx="18">
                  <c:v>8.6625545088092101E-2</c:v>
                </c:pt>
                <c:pt idx="19">
                  <c:v>0.10346951660325493</c:v>
                </c:pt>
                <c:pt idx="20">
                  <c:v>0.12314713802987554</c:v>
                </c:pt>
                <c:pt idx="21">
                  <c:v>0.14595776020489165</c:v>
                </c:pt>
                <c:pt idx="22">
                  <c:v>0.1721640143485221</c:v>
                </c:pt>
                <c:pt idx="23">
                  <c:v>0.20196282695914758</c:v>
                </c:pt>
                <c:pt idx="24">
                  <c:v>0.23545238646229955</c:v>
                </c:pt>
                <c:pt idx="25">
                  <c:v>0.27259828550900234</c:v>
                </c:pt>
                <c:pt idx="26">
                  <c:v>0.3132037508390933</c:v>
                </c:pt>
                <c:pt idx="27">
                  <c:v>0.35689008625740187</c:v>
                </c:pt>
                <c:pt idx="28">
                  <c:v>0.40309351825275319</c:v>
                </c:pt>
                <c:pt idx="29">
                  <c:v>0.45108298913446698</c:v>
                </c:pt>
                <c:pt idx="30">
                  <c:v>0.49999999999999978</c:v>
                </c:pt>
                <c:pt idx="31">
                  <c:v>0.54891701086553268</c:v>
                </c:pt>
                <c:pt idx="32">
                  <c:v>0.59690648174724648</c:v>
                </c:pt>
                <c:pt idx="33">
                  <c:v>0.64310991374259774</c:v>
                </c:pt>
                <c:pt idx="34">
                  <c:v>0.68679624916090631</c:v>
                </c:pt>
                <c:pt idx="35">
                  <c:v>0.72740171449099744</c:v>
                </c:pt>
                <c:pt idx="36">
                  <c:v>0.76454761353770018</c:v>
                </c:pt>
                <c:pt idx="37">
                  <c:v>0.7980371730408522</c:v>
                </c:pt>
                <c:pt idx="38">
                  <c:v>0.82783598565147776</c:v>
                </c:pt>
                <c:pt idx="39">
                  <c:v>0.85404223979510829</c:v>
                </c:pt>
                <c:pt idx="40">
                  <c:v>0.87685286197012435</c:v>
                </c:pt>
                <c:pt idx="41">
                  <c:v>0.8965304833967449</c:v>
                </c:pt>
                <c:pt idx="42">
                  <c:v>0.91337445491190772</c:v>
                </c:pt>
                <c:pt idx="43">
                  <c:v>0.92769750752393287</c:v>
                </c:pt>
                <c:pt idx="44">
                  <c:v>0.93980839039558728</c:v>
                </c:pt>
                <c:pt idx="45">
                  <c:v>0.94999999999999984</c:v>
                </c:pt>
                <c:pt idx="46">
                  <c:v>0.95854209528250367</c:v>
                </c:pt>
                <c:pt idx="47">
                  <c:v>0.96567756732644605</c:v>
                </c:pt>
                <c:pt idx="48">
                  <c:v>0.97162128674511761</c:v>
                </c:pt>
                <c:pt idx="49">
                  <c:v>0.97656069767811016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C-DE43-924E-4D26734260ED}"/>
            </c:ext>
          </c:extLst>
        </c:ser>
        <c:ser>
          <c:idx val="3"/>
          <c:order val="3"/>
          <c:tx>
            <c:v>cod2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survey!$K$53:$K$63</c:f>
              <c:numCache>
                <c:formatCode>General</c:formatCode>
                <c:ptCount val="11"/>
                <c:pt idx="0">
                  <c:v>20.431063968439378</c:v>
                </c:pt>
                <c:pt idx="1">
                  <c:v>37.200475525629088</c:v>
                </c:pt>
                <c:pt idx="2">
                  <c:v>50.964475501783461</c:v>
                </c:pt>
                <c:pt idx="3">
                  <c:v>62.26169333781143</c:v>
                </c:pt>
                <c:pt idx="4">
                  <c:v>71.534225381968525</c:v>
                </c:pt>
                <c:pt idx="5">
                  <c:v>79.144935537146864</c:v>
                </c:pt>
                <c:pt idx="6">
                  <c:v>85.391655288590982</c:v>
                </c:pt>
                <c:pt idx="7">
                  <c:v>90.518838804643281</c:v>
                </c:pt>
                <c:pt idx="8">
                  <c:v>94.727129211972837</c:v>
                </c:pt>
                <c:pt idx="9">
                  <c:v>98.181210404303116</c:v>
                </c:pt>
                <c:pt idx="10">
                  <c:v>101.01625165108351</c:v>
                </c:pt>
              </c:numCache>
            </c:numRef>
          </c:xVal>
          <c:yVal>
            <c:numRef>
              <c:f>survey!$M$53:$M$63</c:f>
              <c:numCache>
                <c:formatCode>General</c:formatCode>
                <c:ptCount val="11"/>
                <c:pt idx="0">
                  <c:v>0.1</c:v>
                </c:pt>
                <c:pt idx="1">
                  <c:v>0.4</c:v>
                </c:pt>
                <c:pt idx="2">
                  <c:v>0.35</c:v>
                </c:pt>
                <c:pt idx="3">
                  <c:v>0.35</c:v>
                </c:pt>
                <c:pt idx="4">
                  <c:v>0.45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FC-DE43-924E-4D267342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85648"/>
        <c:axId val="1687090288"/>
      </c:scatterChart>
      <c:valAx>
        <c:axId val="16861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90288"/>
        <c:crosses val="autoZero"/>
        <c:crossBetween val="midCat"/>
      </c:valAx>
      <c:valAx>
        <c:axId val="1687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Pelagics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survey!$P$53:$P$63</c:f>
              <c:numCache>
                <c:formatCode>General</c:formatCode>
                <c:ptCount val="11"/>
                <c:pt idx="0">
                  <c:v>10.508783602968574</c:v>
                </c:pt>
                <c:pt idx="1">
                  <c:v>17.209479867522624</c:v>
                </c:pt>
                <c:pt idx="2">
                  <c:v>21.482032441269148</c:v>
                </c:pt>
                <c:pt idx="3">
                  <c:v>24.206332241573989</c:v>
                </c:pt>
                <c:pt idx="4">
                  <c:v>25.943422487705934</c:v>
                </c:pt>
                <c:pt idx="5">
                  <c:v>27.051040130547257</c:v>
                </c:pt>
                <c:pt idx="6">
                  <c:v>27.757288320855835</c:v>
                </c:pt>
                <c:pt idx="7">
                  <c:v>28.207612049028516</c:v>
                </c:pt>
                <c:pt idx="8">
                  <c:v>28.494751135454688</c:v>
                </c:pt>
                <c:pt idx="9">
                  <c:v>28.677839100390976</c:v>
                </c:pt>
                <c:pt idx="10">
                  <c:v>28.794581141057488</c:v>
                </c:pt>
              </c:numCache>
            </c:numRef>
          </c:xVal>
          <c:yVal>
            <c:numRef>
              <c:f>survey!$Q$53:$Q$63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1-9E4A-829D-B5A1E6FD21FC}"/>
            </c:ext>
          </c:extLst>
        </c:ser>
        <c:ser>
          <c:idx val="1"/>
          <c:order val="1"/>
          <c:tx>
            <c:v>mackerel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survey!$T$53:$T$63</c:f>
              <c:numCache>
                <c:formatCode>General</c:formatCode>
                <c:ptCount val="11"/>
                <c:pt idx="0">
                  <c:v>8.061027796949535</c:v>
                </c:pt>
                <c:pt idx="1">
                  <c:v>14.621358846943103</c:v>
                </c:pt>
                <c:pt idx="2">
                  <c:v>19.96037324679374</c:v>
                </c:pt>
                <c:pt idx="3">
                  <c:v>24.305439760142992</c:v>
                </c:pt>
                <c:pt idx="4">
                  <c:v>27.841598607355916</c:v>
                </c:pt>
                <c:pt idx="5">
                  <c:v>30.719441640208277</c:v>
                </c:pt>
                <c:pt idx="6">
                  <c:v>33.061525488693889</c:v>
                </c:pt>
                <c:pt idx="7">
                  <c:v>34.967590792019472</c:v>
                </c:pt>
                <c:pt idx="8">
                  <c:v>36.518809781421069</c:v>
                </c:pt>
                <c:pt idx="9">
                  <c:v>37.78124310355426</c:v>
                </c:pt>
                <c:pt idx="10">
                  <c:v>38.808653097707982</c:v>
                </c:pt>
              </c:numCache>
            </c:numRef>
          </c:xVal>
          <c:yVal>
            <c:numRef>
              <c:f>survey!$U$53:$U$63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1-9E4A-829D-B5A1E6FD21FC}"/>
            </c:ext>
          </c:extLst>
        </c:ser>
        <c:ser>
          <c:idx val="2"/>
          <c:order val="2"/>
          <c:tx>
            <c:v>estimate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survey!$V$71:$V$120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survey!$X$71:$X$120</c:f>
              <c:numCache>
                <c:formatCode>General</c:formatCode>
                <c:ptCount val="50"/>
                <c:pt idx="0">
                  <c:v>2.6698017251001831E-2</c:v>
                </c:pt>
                <c:pt idx="1">
                  <c:v>3.246901592571546E-2</c:v>
                </c:pt>
                <c:pt idx="2">
                  <c:v>3.9482353782307925E-2</c:v>
                </c:pt>
                <c:pt idx="3">
                  <c:v>4.8003029603100225E-2</c:v>
                </c:pt>
                <c:pt idx="4">
                  <c:v>5.8351402376081857E-2</c:v>
                </c:pt>
                <c:pt idx="5">
                  <c:v>7.091420073794541E-2</c:v>
                </c:pt>
                <c:pt idx="6">
                  <c:v>8.6157455816826559E-2</c:v>
                </c:pt>
                <c:pt idx="7">
                  <c:v>0.10464156322932774</c:v>
                </c:pt>
                <c:pt idx="8">
                  <c:v>0.12703863215397107</c:v>
                </c:pt>
                <c:pt idx="9">
                  <c:v>0.15415218371371403</c:v>
                </c:pt>
                <c:pt idx="10">
                  <c:v>0.1869390940908926</c:v>
                </c:pt>
                <c:pt idx="11">
                  <c:v>0.2265334089823362</c:v>
                </c:pt>
                <c:pt idx="12">
                  <c:v>0.2742712461265101</c:v>
                </c:pt>
                <c:pt idx="13">
                  <c:v>0.33171540566058944</c:v>
                </c:pt>
                <c:pt idx="14">
                  <c:v>0.4006774756323947</c:v>
                </c:pt>
                <c:pt idx="15">
                  <c:v>0.48323411224313284</c:v>
                </c:pt>
                <c:pt idx="16">
                  <c:v>0.58173278063347111</c:v>
                </c:pt>
                <c:pt idx="17">
                  <c:v>0.69878061529276125</c:v>
                </c:pt>
                <c:pt idx="18">
                  <c:v>0.8372083675644334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A1-9E4A-829D-B5A1E6FD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49504"/>
        <c:axId val="1692726304"/>
      </c:scatterChart>
      <c:valAx>
        <c:axId val="169304950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26304"/>
        <c:crosses val="autoZero"/>
        <c:crossBetween val="midCat"/>
      </c:valAx>
      <c:valAx>
        <c:axId val="1692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fishery!$F$7:$F$11</c:f>
              <c:numCache>
                <c:formatCode>General</c:formatCode>
                <c:ptCount val="5"/>
                <c:pt idx="0">
                  <c:v>29</c:v>
                </c:pt>
                <c:pt idx="1">
                  <c:v>58</c:v>
                </c:pt>
                <c:pt idx="2">
                  <c:v>87</c:v>
                </c:pt>
                <c:pt idx="3">
                  <c:v>116</c:v>
                </c:pt>
                <c:pt idx="4">
                  <c:v>145</c:v>
                </c:pt>
              </c:numCache>
            </c:numRef>
          </c:xVal>
          <c:yVal>
            <c:numRef>
              <c:f>fishery!$F$14:$F$18</c:f>
              <c:numCache>
                <c:formatCode>General</c:formatCode>
                <c:ptCount val="5"/>
                <c:pt idx="0">
                  <c:v>4.7838827638302689E-2</c:v>
                </c:pt>
                <c:pt idx="1">
                  <c:v>0.77908770219771417</c:v>
                </c:pt>
                <c:pt idx="2">
                  <c:v>0.99597666392813988</c:v>
                </c:pt>
                <c:pt idx="3">
                  <c:v>0.99994245391806735</c:v>
                </c:pt>
                <c:pt idx="4">
                  <c:v>0.99999918013187794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9-4F6F-B02E-5D02083F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50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fishery!$G$7:$G$11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xVal>
          <c:yVal>
            <c:numRef>
              <c:f>fishery!$G$14:$G$18</c:f>
              <c:numCache>
                <c:formatCode>General</c:formatCode>
                <c:ptCount val="5"/>
                <c:pt idx="0">
                  <c:v>6.5999630609980798E-7</c:v>
                </c:pt>
                <c:pt idx="1">
                  <c:v>7.9510010555496253E-4</c:v>
                </c:pt>
                <c:pt idx="2">
                  <c:v>0.48963566154924687</c:v>
                </c:pt>
                <c:pt idx="3">
                  <c:v>0.99913621329573898</c:v>
                </c:pt>
                <c:pt idx="4">
                  <c:v>0.99999928293910501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C-450E-9E5E-AFF306FB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10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mackerel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fishery!$H$7:$H$11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xVal>
          <c:yVal>
            <c:numRef>
              <c:f>fishery!$H$14:$H$18</c:f>
              <c:numCache>
                <c:formatCode>General</c:formatCode>
                <c:ptCount val="5"/>
                <c:pt idx="0">
                  <c:v>2.2916303810939275E-5</c:v>
                </c:pt>
                <c:pt idx="1">
                  <c:v>0.48963566154924687</c:v>
                </c:pt>
                <c:pt idx="2">
                  <c:v>0.99997510235504516</c:v>
                </c:pt>
                <c:pt idx="3">
                  <c:v>0.99999999940525486</c:v>
                </c:pt>
                <c:pt idx="4">
                  <c:v>0.99999999999998579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A-40F9-8A95-FF38D703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10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image" Target="../media/image5.png"/><Relationship Id="rId6" Type="http://schemas.openxmlformats.org/officeDocument/2006/relationships/image" Target="../media/image10.emf"/><Relationship Id="rId11" Type="http://schemas.openxmlformats.org/officeDocument/2006/relationships/image" Target="../media/image15.png"/><Relationship Id="rId5" Type="http://schemas.openxmlformats.org/officeDocument/2006/relationships/image" Target="../media/image9.emf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chart" Target="../charts/chart3.xml"/><Relationship Id="rId7" Type="http://schemas.openxmlformats.org/officeDocument/2006/relationships/image" Target="../media/image28.png"/><Relationship Id="rId12" Type="http://schemas.openxmlformats.org/officeDocument/2006/relationships/image" Target="../media/image3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7.png"/><Relationship Id="rId11" Type="http://schemas.openxmlformats.org/officeDocument/2006/relationships/chart" Target="../charts/chart6.xml"/><Relationship Id="rId5" Type="http://schemas.openxmlformats.org/officeDocument/2006/relationships/image" Target="../media/image26.png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chart" Target="../charts/chart16.xml"/><Relationship Id="rId3" Type="http://schemas.openxmlformats.org/officeDocument/2006/relationships/chart" Target="../charts/chart9.xml"/><Relationship Id="rId7" Type="http://schemas.openxmlformats.org/officeDocument/2006/relationships/chart" Target="../charts/chart12.xml"/><Relationship Id="rId12" Type="http://schemas.openxmlformats.org/officeDocument/2006/relationships/chart" Target="../charts/chart15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32.png"/><Relationship Id="rId11" Type="http://schemas.openxmlformats.org/officeDocument/2006/relationships/chart" Target="../charts/chart14.xml"/><Relationship Id="rId5" Type="http://schemas.openxmlformats.org/officeDocument/2006/relationships/chart" Target="../charts/chart11.xml"/><Relationship Id="rId10" Type="http://schemas.openxmlformats.org/officeDocument/2006/relationships/chart" Target="../charts/chart13.xml"/><Relationship Id="rId4" Type="http://schemas.openxmlformats.org/officeDocument/2006/relationships/chart" Target="../charts/chart10.xml"/><Relationship Id="rId9" Type="http://schemas.openxmlformats.org/officeDocument/2006/relationships/image" Target="../media/image34.png"/><Relationship Id="rId14" Type="http://schemas.openxmlformats.org/officeDocument/2006/relationships/image" Target="../media/image3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1727200</xdr:colOff>
          <xdr:row>1</xdr:row>
          <xdr:rowOff>215900</xdr:rowOff>
        </xdr:from>
        <xdr:to>
          <xdr:col>1</xdr:col>
          <xdr:colOff>3619500</xdr:colOff>
          <xdr:row>1</xdr:row>
          <xdr:rowOff>685800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69850</xdr:colOff>
      <xdr:row>1</xdr:row>
      <xdr:rowOff>57150</xdr:rowOff>
    </xdr:from>
    <xdr:to>
      <xdr:col>2</xdr:col>
      <xdr:colOff>3752850</xdr:colOff>
      <xdr:row>1</xdr:row>
      <xdr:rowOff>844550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6450" y="241300"/>
          <a:ext cx="3683000" cy="78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2120900</xdr:colOff>
          <xdr:row>2</xdr:row>
          <xdr:rowOff>38100</xdr:rowOff>
        </xdr:from>
        <xdr:to>
          <xdr:col>1</xdr:col>
          <xdr:colOff>3263900</xdr:colOff>
          <xdr:row>2</xdr:row>
          <xdr:rowOff>444500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1562100</xdr:colOff>
          <xdr:row>3</xdr:row>
          <xdr:rowOff>38100</xdr:rowOff>
        </xdr:from>
        <xdr:to>
          <xdr:col>1</xdr:col>
          <xdr:colOff>3530600</xdr:colOff>
          <xdr:row>3</xdr:row>
          <xdr:rowOff>482600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57150</xdr:colOff>
      <xdr:row>3</xdr:row>
      <xdr:rowOff>6350</xdr:rowOff>
    </xdr:from>
    <xdr:to>
      <xdr:col>2</xdr:col>
      <xdr:colOff>3841750</xdr:colOff>
      <xdr:row>3</xdr:row>
      <xdr:rowOff>488950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3750" y="2114550"/>
          <a:ext cx="3784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6</xdr:row>
          <xdr:rowOff>12700</xdr:rowOff>
        </xdr:from>
        <xdr:to>
          <xdr:col>1</xdr:col>
          <xdr:colOff>5067300</xdr:colOff>
          <xdr:row>6</xdr:row>
          <xdr:rowOff>571500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127000</xdr:colOff>
      <xdr:row>6</xdr:row>
      <xdr:rowOff>31750</xdr:rowOff>
    </xdr:from>
    <xdr:to>
      <xdr:col>2</xdr:col>
      <xdr:colOff>3765550</xdr:colOff>
      <xdr:row>6</xdr:row>
      <xdr:rowOff>596900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2114550"/>
          <a:ext cx="363855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</xdr:colOff>
      <xdr:row>4</xdr:row>
      <xdr:rowOff>38100</xdr:rowOff>
    </xdr:from>
    <xdr:to>
      <xdr:col>2</xdr:col>
      <xdr:colOff>3848100</xdr:colOff>
      <xdr:row>4</xdr:row>
      <xdr:rowOff>457200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8850" y="2120900"/>
          <a:ext cx="37084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1600200</xdr:colOff>
      <xdr:row>4</xdr:row>
      <xdr:rowOff>31750</xdr:rowOff>
    </xdr:from>
    <xdr:to>
      <xdr:col>1</xdr:col>
      <xdr:colOff>3543300</xdr:colOff>
      <xdr:row>4</xdr:row>
      <xdr:rowOff>490616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0" y="2114550"/>
          <a:ext cx="1943100" cy="458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1892300</xdr:colOff>
      <xdr:row>5</xdr:row>
      <xdr:rowOff>47782</xdr:rowOff>
    </xdr:from>
    <xdr:to>
      <xdr:col>1</xdr:col>
      <xdr:colOff>3422650</xdr:colOff>
      <xdr:row>5</xdr:row>
      <xdr:rowOff>501650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5600" y="2644932"/>
          <a:ext cx="1530350" cy="453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</xdr:colOff>
      <xdr:row>5</xdr:row>
      <xdr:rowOff>6350</xdr:rowOff>
    </xdr:from>
    <xdr:to>
      <xdr:col>2</xdr:col>
      <xdr:colOff>3854450</xdr:colOff>
      <xdr:row>5</xdr:row>
      <xdr:rowOff>476250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603500"/>
          <a:ext cx="38227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31750</xdr:colOff>
      <xdr:row>8</xdr:row>
      <xdr:rowOff>54202</xdr:rowOff>
    </xdr:from>
    <xdr:to>
      <xdr:col>1</xdr:col>
      <xdr:colOff>5791200</xdr:colOff>
      <xdr:row>8</xdr:row>
      <xdr:rowOff>1079499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300" y="4080102"/>
          <a:ext cx="5759450" cy="1025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50800</xdr:colOff>
      <xdr:row>8</xdr:row>
      <xdr:rowOff>298450</xdr:rowOff>
    </xdr:from>
    <xdr:to>
      <xdr:col>2</xdr:col>
      <xdr:colOff>3860800</xdr:colOff>
      <xdr:row>8</xdr:row>
      <xdr:rowOff>660400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4324350"/>
          <a:ext cx="3810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9</xdr:row>
      <xdr:rowOff>24618</xdr:rowOff>
    </xdr:from>
    <xdr:to>
      <xdr:col>1</xdr:col>
      <xdr:colOff>5734050</xdr:colOff>
      <xdr:row>9</xdr:row>
      <xdr:rowOff>1079500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300" y="5250668"/>
          <a:ext cx="5562600" cy="1054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63500</xdr:colOff>
      <xdr:row>9</xdr:row>
      <xdr:rowOff>355600</xdr:rowOff>
    </xdr:from>
    <xdr:to>
      <xdr:col>2</xdr:col>
      <xdr:colOff>3867150</xdr:colOff>
      <xdr:row>9</xdr:row>
      <xdr:rowOff>844550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5581650"/>
          <a:ext cx="380365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1689100</xdr:colOff>
      <xdr:row>10</xdr:row>
      <xdr:rowOff>95250</xdr:rowOff>
    </xdr:from>
    <xdr:to>
      <xdr:col>1</xdr:col>
      <xdr:colOff>4483100</xdr:colOff>
      <xdr:row>10</xdr:row>
      <xdr:rowOff>514350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426200"/>
          <a:ext cx="2794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</xdr:colOff>
      <xdr:row>10</xdr:row>
      <xdr:rowOff>152400</xdr:rowOff>
    </xdr:from>
    <xdr:to>
      <xdr:col>2</xdr:col>
      <xdr:colOff>3873500</xdr:colOff>
      <xdr:row>10</xdr:row>
      <xdr:rowOff>996950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6483350"/>
          <a:ext cx="3841750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1873250</xdr:colOff>
      <xdr:row>10</xdr:row>
      <xdr:rowOff>520700</xdr:rowOff>
    </xdr:from>
    <xdr:to>
      <xdr:col>1</xdr:col>
      <xdr:colOff>4241800</xdr:colOff>
      <xdr:row>10</xdr:row>
      <xdr:rowOff>984250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6550" y="6851650"/>
          <a:ext cx="2368550" cy="46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1809750</xdr:colOff>
      <xdr:row>11</xdr:row>
      <xdr:rowOff>63500</xdr:rowOff>
    </xdr:from>
    <xdr:to>
      <xdr:col>1</xdr:col>
      <xdr:colOff>4070350</xdr:colOff>
      <xdr:row>11</xdr:row>
      <xdr:rowOff>622300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3050" y="7454900"/>
          <a:ext cx="22606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2089150</xdr:colOff>
      <xdr:row>11</xdr:row>
      <xdr:rowOff>577850</xdr:rowOff>
    </xdr:from>
    <xdr:to>
      <xdr:col>1</xdr:col>
      <xdr:colOff>3803650</xdr:colOff>
      <xdr:row>11</xdr:row>
      <xdr:rowOff>1047750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7969250"/>
          <a:ext cx="1714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</xdr:colOff>
      <xdr:row>11</xdr:row>
      <xdr:rowOff>304800</xdr:rowOff>
    </xdr:from>
    <xdr:to>
      <xdr:col>2</xdr:col>
      <xdr:colOff>3873500</xdr:colOff>
      <xdr:row>11</xdr:row>
      <xdr:rowOff>850900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0400" y="7696200"/>
          <a:ext cx="3848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</xdr:colOff>
      <xdr:row>12</xdr:row>
      <xdr:rowOff>457200</xdr:rowOff>
    </xdr:from>
    <xdr:to>
      <xdr:col>2</xdr:col>
      <xdr:colOff>3867150</xdr:colOff>
      <xdr:row>12</xdr:row>
      <xdr:rowOff>933450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8909050"/>
          <a:ext cx="3841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895350</xdr:colOff>
      <xdr:row>12</xdr:row>
      <xdr:rowOff>63500</xdr:rowOff>
    </xdr:from>
    <xdr:to>
      <xdr:col>1</xdr:col>
      <xdr:colOff>4851400</xdr:colOff>
      <xdr:row>12</xdr:row>
      <xdr:rowOff>692150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2150" y="8515350"/>
          <a:ext cx="39560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1593850</xdr:colOff>
      <xdr:row>12</xdr:row>
      <xdr:rowOff>698500</xdr:rowOff>
    </xdr:from>
    <xdr:to>
      <xdr:col>1</xdr:col>
      <xdr:colOff>4406900</xdr:colOff>
      <xdr:row>13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0650" y="9150350"/>
          <a:ext cx="2813050" cy="45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444500</xdr:colOff>
      <xdr:row>2</xdr:row>
      <xdr:rowOff>165100</xdr:rowOff>
    </xdr:from>
    <xdr:to>
      <xdr:col>2</xdr:col>
      <xdr:colOff>3632200</xdr:colOff>
      <xdr:row>2</xdr:row>
      <xdr:rowOff>412750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289050"/>
          <a:ext cx="3187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111918</xdr:colOff>
      <xdr:row>11</xdr:row>
      <xdr:rowOff>138113</xdr:rowOff>
    </xdr:from>
    <xdr:to>
      <xdr:col>5</xdr:col>
      <xdr:colOff>697706</xdr:colOff>
      <xdr:row>25</xdr:row>
      <xdr:rowOff>23019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772318</xdr:colOff>
      <xdr:row>11</xdr:row>
      <xdr:rowOff>161131</xdr:rowOff>
    </xdr:from>
    <xdr:to>
      <xdr:col>10</xdr:col>
      <xdr:colOff>178593</xdr:colOff>
      <xdr:row>25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11</xdr:row>
      <xdr:rowOff>171451</xdr:rowOff>
    </xdr:from>
    <xdr:to>
      <xdr:col>15</xdr:col>
      <xdr:colOff>77788</xdr:colOff>
      <xdr:row>25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125413</xdr:colOff>
      <xdr:row>12</xdr:row>
      <xdr:rowOff>11112</xdr:rowOff>
    </xdr:from>
    <xdr:to>
      <xdr:col>19</xdr:col>
      <xdr:colOff>380999</xdr:colOff>
      <xdr:row>25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297430</xdr:colOff>
      <xdr:row>62</xdr:row>
      <xdr:rowOff>161584</xdr:rowOff>
    </xdr:from>
    <xdr:to>
      <xdr:col>6</xdr:col>
      <xdr:colOff>26341</xdr:colOff>
      <xdr:row>78</xdr:row>
      <xdr:rowOff>56950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3F306DB-2384-9DF3-3DE2-6EE7F9717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1430" y="11128941"/>
          <a:ext cx="2844947" cy="2725652"/>
        </a:xfrm>
        <a:prstGeom prst="rect">
          <a:avLst/>
        </a:prstGeom>
      </xdr:spPr>
    </xdr:pic>
    <xdr:clientData/>
  </xdr:twoCellAnchor>
  <xdr:twoCellAnchor editAs="oneCell">
    <xdr:from>
      <xdr:col>0</xdr:col>
      <xdr:colOff>702469</xdr:colOff>
      <xdr:row>81</xdr:row>
      <xdr:rowOff>139699</xdr:rowOff>
    </xdr:from>
    <xdr:to>
      <xdr:col>4</xdr:col>
      <xdr:colOff>588320</xdr:colOff>
      <xdr:row>96</xdr:row>
      <xdr:rowOff>153331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033F36B-AECE-4726-274D-A875E916A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469" y="14605793"/>
          <a:ext cx="2933851" cy="2692538"/>
        </a:xfrm>
        <a:prstGeom prst="rect">
          <a:avLst/>
        </a:prstGeom>
      </xdr:spPr>
    </xdr:pic>
    <xdr:clientData/>
  </xdr:twoCellAnchor>
  <xdr:twoCellAnchor editAs="oneCell">
    <xdr:from>
      <xdr:col>4</xdr:col>
      <xdr:colOff>675482</xdr:colOff>
      <xdr:row>28</xdr:row>
      <xdr:rowOff>68262</xdr:rowOff>
    </xdr:from>
    <xdr:to>
      <xdr:col>8</xdr:col>
      <xdr:colOff>619124</xdr:colOff>
      <xdr:row>45</xdr:row>
      <xdr:rowOff>68909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DFD423A-0FE7-C773-8189-331F1C653F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096"/>
        <a:stretch/>
      </xdr:blipFill>
      <xdr:spPr>
        <a:xfrm>
          <a:off x="3723482" y="5068887"/>
          <a:ext cx="3063080" cy="3036741"/>
        </a:xfrm>
        <a:prstGeom prst="rect">
          <a:avLst/>
        </a:prstGeom>
      </xdr:spPr>
    </xdr:pic>
    <xdr:clientData/>
  </xdr:twoCellAnchor>
  <xdr:twoCellAnchor editAs="oneCell">
    <xdr:from>
      <xdr:col>9</xdr:col>
      <xdr:colOff>6351</xdr:colOff>
      <xdr:row>27</xdr:row>
      <xdr:rowOff>166686</xdr:rowOff>
    </xdr:from>
    <xdr:to>
      <xdr:col>13</xdr:col>
      <xdr:colOff>254171</xdr:colOff>
      <xdr:row>46</xdr:row>
      <xdr:rowOff>86702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47795FB-9E85-2AC9-633F-239ACD1BE5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402"/>
        <a:stretch/>
      </xdr:blipFill>
      <xdr:spPr>
        <a:xfrm>
          <a:off x="6935789" y="4988717"/>
          <a:ext cx="3292645" cy="3316473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381000</xdr:colOff>
      <xdr:row>28</xdr:row>
      <xdr:rowOff>35719</xdr:rowOff>
    </xdr:from>
    <xdr:to>
      <xdr:col>19</xdr:col>
      <xdr:colOff>6527</xdr:colOff>
      <xdr:row>44</xdr:row>
      <xdr:rowOff>105719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B3A1B2D-E870-AA63-158C-B50C29AAF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0438" y="5036344"/>
          <a:ext cx="3435527" cy="2921150"/>
        </a:xfrm>
        <a:prstGeom prst="rect">
          <a:avLst/>
        </a:prstGeom>
      </xdr:spPr>
    </xdr:pic>
    <xdr:clientData/>
  </xdr:twoCellAnchor>
  <xdr:twoCellAnchor>
    <xdr:from>
      <xdr:col>8</xdr:col>
      <xdr:colOff>301625</xdr:colOff>
      <xdr:row>64</xdr:row>
      <xdr:rowOff>144463</xdr:rowOff>
    </xdr:from>
    <xdr:to>
      <xdr:col>13</xdr:col>
      <xdr:colOff>428625</xdr:colOff>
      <xdr:row>79</xdr:row>
      <xdr:rowOff>30163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718424-E953-E941-A524-BD5FF5E3B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571500</xdr:colOff>
      <xdr:row>65</xdr:row>
      <xdr:rowOff>17463</xdr:rowOff>
    </xdr:from>
    <xdr:to>
      <xdr:col>20</xdr:col>
      <xdr:colOff>190500</xdr:colOff>
      <xdr:row>79</xdr:row>
      <xdr:rowOff>93663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1A727B-D9C8-5647-9E9B-B606EE56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0</xdr:colOff>
      <xdr:row>29</xdr:row>
      <xdr:rowOff>-1</xdr:rowOff>
    </xdr:from>
    <xdr:to>
      <xdr:col>4</xdr:col>
      <xdr:colOff>480845</xdr:colOff>
      <xdr:row>43</xdr:row>
      <xdr:rowOff>24492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857609A-1949-821B-7E19-99934F1ED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1428"/>
          <a:ext cx="3528845" cy="2564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196181</xdr:colOff>
      <xdr:row>5</xdr:row>
      <xdr:rowOff>53184</xdr:rowOff>
    </xdr:from>
    <xdr:to>
      <xdr:col>12</xdr:col>
      <xdr:colOff>465137</xdr:colOff>
      <xdr:row>18</xdr:row>
      <xdr:rowOff>16516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615950</xdr:colOff>
      <xdr:row>5</xdr:row>
      <xdr:rowOff>53184</xdr:rowOff>
    </xdr:from>
    <xdr:to>
      <xdr:col>16</xdr:col>
      <xdr:colOff>160337</xdr:colOff>
      <xdr:row>18</xdr:row>
      <xdr:rowOff>14290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254794</xdr:colOff>
      <xdr:row>5</xdr:row>
      <xdr:rowOff>81759</xdr:rowOff>
    </xdr:from>
    <xdr:to>
      <xdr:col>19</xdr:col>
      <xdr:colOff>559594</xdr:colOff>
      <xdr:row>17</xdr:row>
      <xdr:rowOff>157165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22225</xdr:colOff>
      <xdr:row>5</xdr:row>
      <xdr:rowOff>25403</xdr:rowOff>
    </xdr:from>
    <xdr:to>
      <xdr:col>23</xdr:col>
      <xdr:colOff>323850</xdr:colOff>
      <xdr:row>18</xdr:row>
      <xdr:rowOff>1590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226218</xdr:colOff>
      <xdr:row>20</xdr:row>
      <xdr:rowOff>47626</xdr:rowOff>
    </xdr:from>
    <xdr:to>
      <xdr:col>12</xdr:col>
      <xdr:colOff>482474</xdr:colOff>
      <xdr:row>33</xdr:row>
      <xdr:rowOff>14133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DC67981-2834-4755-9CFC-4B56AA256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654050</xdr:colOff>
      <xdr:row>39</xdr:row>
      <xdr:rowOff>59532</xdr:rowOff>
    </xdr:from>
    <xdr:to>
      <xdr:col>16</xdr:col>
      <xdr:colOff>620913</xdr:colOff>
      <xdr:row>56</xdr:row>
      <xdr:rowOff>162905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C257737-9A71-6F1D-E240-CEC2CBF6C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7613" y="7036595"/>
          <a:ext cx="3018038" cy="3142641"/>
        </a:xfrm>
        <a:prstGeom prst="rect">
          <a:avLst/>
        </a:prstGeom>
      </xdr:spPr>
    </xdr:pic>
    <xdr:clientData/>
  </xdr:twoCellAnchor>
  <xdr:twoCellAnchor>
    <xdr:from>
      <xdr:col>12</xdr:col>
      <xdr:colOff>592137</xdr:colOff>
      <xdr:row>20</xdr:row>
      <xdr:rowOff>47626</xdr:rowOff>
    </xdr:from>
    <xdr:to>
      <xdr:col>16</xdr:col>
      <xdr:colOff>146049</xdr:colOff>
      <xdr:row>33</xdr:row>
      <xdr:rowOff>21432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AA5D906-23A8-4504-87B9-CA5F187B8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493713</xdr:colOff>
      <xdr:row>39</xdr:row>
      <xdr:rowOff>56355</xdr:rowOff>
    </xdr:from>
    <xdr:to>
      <xdr:col>20</xdr:col>
      <xdr:colOff>344976</xdr:colOff>
      <xdr:row>56</xdr:row>
      <xdr:rowOff>83524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5691219-DD80-DF54-B3D6-E66070810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276" y="7033418"/>
          <a:ext cx="2899263" cy="3063262"/>
        </a:xfrm>
        <a:prstGeom prst="rect">
          <a:avLst/>
        </a:prstGeom>
      </xdr:spPr>
    </xdr:pic>
    <xdr:clientData/>
  </xdr:twoCellAnchor>
  <xdr:twoCellAnchor editAs="oneCell">
    <xdr:from>
      <xdr:col>20</xdr:col>
      <xdr:colOff>399255</xdr:colOff>
      <xdr:row>39</xdr:row>
      <xdr:rowOff>68266</xdr:rowOff>
    </xdr:from>
    <xdr:to>
      <xdr:col>25</xdr:col>
      <xdr:colOff>103981</xdr:colOff>
      <xdr:row>56</xdr:row>
      <xdr:rowOff>56357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F5C2C85-A1BE-7CEF-640C-7A13653D8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48818" y="7045329"/>
          <a:ext cx="3521076" cy="3024184"/>
        </a:xfrm>
        <a:prstGeom prst="rect">
          <a:avLst/>
        </a:prstGeom>
      </xdr:spPr>
    </xdr:pic>
    <xdr:clientData/>
  </xdr:twoCellAnchor>
  <xdr:twoCellAnchor>
    <xdr:from>
      <xdr:col>16</xdr:col>
      <xdr:colOff>348456</xdr:colOff>
      <xdr:row>20</xdr:row>
      <xdr:rowOff>47626</xdr:rowOff>
    </xdr:from>
    <xdr:to>
      <xdr:col>19</xdr:col>
      <xdr:colOff>653256</xdr:colOff>
      <xdr:row>32</xdr:row>
      <xdr:rowOff>126207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8EDDA5F-FEC2-4DC8-A653-47A079ACE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5556</xdr:colOff>
      <xdr:row>20</xdr:row>
      <xdr:rowOff>38100</xdr:rowOff>
    </xdr:from>
    <xdr:to>
      <xdr:col>23</xdr:col>
      <xdr:colOff>321468</xdr:colOff>
      <xdr:row>32</xdr:row>
      <xdr:rowOff>146050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48D1C0F-7F8F-43A6-9BCA-C7620696D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301625</xdr:colOff>
      <xdr:row>79</xdr:row>
      <xdr:rowOff>144463</xdr:rowOff>
    </xdr:from>
    <xdr:to>
      <xdr:col>12</xdr:col>
      <xdr:colOff>428625</xdr:colOff>
      <xdr:row>94</xdr:row>
      <xdr:rowOff>30163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D8C346-FA56-8807-8622-37217991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571500</xdr:colOff>
      <xdr:row>80</xdr:row>
      <xdr:rowOff>17463</xdr:rowOff>
    </xdr:from>
    <xdr:to>
      <xdr:col>19</xdr:col>
      <xdr:colOff>190500</xdr:colOff>
      <xdr:row>94</xdr:row>
      <xdr:rowOff>93663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B5B46D-5FD6-A272-397D-DF17DB8FC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540140</xdr:colOff>
      <xdr:row>39</xdr:row>
      <xdr:rowOff>95250</xdr:rowOff>
    </xdr:from>
    <xdr:to>
      <xdr:col>12</xdr:col>
      <xdr:colOff>370417</xdr:colOff>
      <xdr:row>61</xdr:row>
      <xdr:rowOff>112182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A4675C2-47C7-B9CF-B3BA-3C2CAF42E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890" y="7122583"/>
          <a:ext cx="3915444" cy="3975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E0F-E977-4205-A86C-85AF6A8A519D}">
  <dimension ref="A1:H23"/>
  <sheetViews>
    <sheetView workbookViewId="0">
      <selection activeCell="B15" sqref="B15"/>
    </sheetView>
  </sheetViews>
  <sheetFormatPr baseColWidth="10" defaultColWidth="10.81640625" defaultRowHeight="14"/>
  <cols>
    <col min="1" max="1" width="24.81640625" style="4" customWidth="1"/>
    <col min="2" max="2" width="83.81640625" style="4" customWidth="1"/>
    <col min="3" max="3" width="55.6328125" style="4" customWidth="1"/>
    <col min="4" max="16384" width="10.81640625" style="4"/>
  </cols>
  <sheetData>
    <row r="1" spans="1:3" ht="18.5" customHeight="1">
      <c r="A1" s="7" t="s">
        <v>49</v>
      </c>
      <c r="B1" s="8" t="s">
        <v>50</v>
      </c>
      <c r="C1" s="7" t="s">
        <v>51</v>
      </c>
    </row>
    <row r="2" spans="1:3" ht="70" customHeight="1">
      <c r="A2" s="12" t="s">
        <v>52</v>
      </c>
      <c r="B2" s="13"/>
      <c r="C2" s="14"/>
    </row>
    <row r="3" spans="1:3" ht="39.5" customHeight="1">
      <c r="A3" s="12" t="s">
        <v>53</v>
      </c>
      <c r="B3" s="13"/>
      <c r="C3" s="14"/>
    </row>
    <row r="4" spans="1:3" ht="40.5" customHeight="1">
      <c r="A4" s="12" t="s">
        <v>54</v>
      </c>
      <c r="B4" s="15"/>
      <c r="C4" s="14"/>
    </row>
    <row r="5" spans="1:3" ht="40.5" customHeight="1">
      <c r="A5" s="12" t="s">
        <v>56</v>
      </c>
      <c r="B5" s="15"/>
      <c r="C5" s="16"/>
    </row>
    <row r="6" spans="1:3" ht="40.5" customHeight="1">
      <c r="A6" s="12" t="s">
        <v>57</v>
      </c>
      <c r="B6" s="15"/>
      <c r="C6" s="14"/>
    </row>
    <row r="7" spans="1:3" ht="48.5" customHeight="1">
      <c r="A7" s="9" t="s">
        <v>55</v>
      </c>
      <c r="B7" s="11"/>
      <c r="C7" s="10"/>
    </row>
    <row r="8" spans="1:3" ht="19" customHeight="1">
      <c r="A8" s="17" t="s">
        <v>58</v>
      </c>
      <c r="B8" s="18" t="s">
        <v>50</v>
      </c>
      <c r="C8" s="17" t="s">
        <v>59</v>
      </c>
    </row>
    <row r="9" spans="1:3" ht="103" customHeight="1">
      <c r="A9" s="10" t="s">
        <v>60</v>
      </c>
      <c r="B9" s="19"/>
      <c r="C9" s="20"/>
    </row>
    <row r="10" spans="1:3" ht="98" customHeight="1">
      <c r="A10" s="14" t="s">
        <v>61</v>
      </c>
      <c r="B10" s="21"/>
      <c r="C10" s="22"/>
    </row>
    <row r="11" spans="1:3" ht="89" customHeight="1">
      <c r="A11" s="14" t="s">
        <v>62</v>
      </c>
      <c r="B11" s="21"/>
      <c r="C11" s="22"/>
    </row>
    <row r="12" spans="1:3" ht="83.5" customHeight="1">
      <c r="A12" s="23" t="s">
        <v>63</v>
      </c>
      <c r="B12" s="24"/>
      <c r="C12" s="25"/>
    </row>
    <row r="13" spans="1:3" ht="90.5" customHeight="1">
      <c r="A13" s="23" t="s">
        <v>64</v>
      </c>
      <c r="B13" s="24"/>
      <c r="C13" s="25"/>
    </row>
    <row r="15" spans="1:3">
      <c r="C15" s="6"/>
    </row>
    <row r="16" spans="1:3" ht="15.5">
      <c r="C16" s="5"/>
    </row>
    <row r="18" spans="3:8">
      <c r="C18" s="6"/>
    </row>
    <row r="21" spans="3:8" ht="15.5">
      <c r="H21" s="5"/>
    </row>
    <row r="23" spans="3:8" ht="15.5">
      <c r="H23" s="5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autoPict="0" r:id="rId4">
            <anchor moveWithCells="1" sizeWithCells="1">
              <from>
                <xdr:col>1</xdr:col>
                <xdr:colOff>1727200</xdr:colOff>
                <xdr:row>1</xdr:row>
                <xdr:rowOff>215900</xdr:rowOff>
              </from>
              <to>
                <xdr:col>1</xdr:col>
                <xdr:colOff>3619500</xdr:colOff>
                <xdr:row>1</xdr:row>
                <xdr:rowOff>685800</xdr:rowOff>
              </to>
            </anchor>
          </objectPr>
        </oleObject>
      </mc:Choice>
      <mc:Fallback>
        <oleObject progId="Equation.DSMT4" shapeId="4097" r:id="rId3"/>
      </mc:Fallback>
    </mc:AlternateContent>
    <mc:AlternateContent xmlns:mc="http://schemas.openxmlformats.org/markup-compatibility/2006">
      <mc:Choice Requires="x14">
        <oleObject progId="Equation.DSMT4" shapeId="4100" r:id="rId5">
          <objectPr defaultSize="0" autoPict="0" r:id="rId6">
            <anchor moveWithCells="1" sizeWithCells="1">
              <from>
                <xdr:col>1</xdr:col>
                <xdr:colOff>2120900</xdr:colOff>
                <xdr:row>2</xdr:row>
                <xdr:rowOff>38100</xdr:rowOff>
              </from>
              <to>
                <xdr:col>1</xdr:col>
                <xdr:colOff>3263900</xdr:colOff>
                <xdr:row>2</xdr:row>
                <xdr:rowOff>444500</xdr:rowOff>
              </to>
            </anchor>
          </objectPr>
        </oleObject>
      </mc:Choice>
      <mc:Fallback>
        <oleObject progId="Equation.DSMT4" shapeId="4100" r:id="rId5"/>
      </mc:Fallback>
    </mc:AlternateContent>
    <mc:AlternateContent xmlns:mc="http://schemas.openxmlformats.org/markup-compatibility/2006">
      <mc:Choice Requires="x14">
        <oleObject progId="Equation.DSMT4" shapeId="4103" r:id="rId7">
          <objectPr defaultSize="0" autoPict="0" r:id="rId8">
            <anchor moveWithCells="1" sizeWithCells="1">
              <from>
                <xdr:col>1</xdr:col>
                <xdr:colOff>1562100</xdr:colOff>
                <xdr:row>3</xdr:row>
                <xdr:rowOff>38100</xdr:rowOff>
              </from>
              <to>
                <xdr:col>1</xdr:col>
                <xdr:colOff>3530600</xdr:colOff>
                <xdr:row>3</xdr:row>
                <xdr:rowOff>482600</xdr:rowOff>
              </to>
            </anchor>
          </objectPr>
        </oleObject>
      </mc:Choice>
      <mc:Fallback>
        <oleObject progId="Equation.DSMT4" shapeId="4103" r:id="rId7"/>
      </mc:Fallback>
    </mc:AlternateContent>
    <mc:AlternateContent xmlns:mc="http://schemas.openxmlformats.org/markup-compatibility/2006">
      <mc:Choice Requires="x14">
        <oleObject progId="Equation.DSMT4" shapeId="4111" r:id="rId9">
          <objectPr defaultSize="0" autoPict="0" r:id="rId10">
            <anchor moveWithCells="1" sizeWithCells="1">
              <from>
                <xdr:col>1</xdr:col>
                <xdr:colOff>228600</xdr:colOff>
                <xdr:row>6</xdr:row>
                <xdr:rowOff>12700</xdr:rowOff>
              </from>
              <to>
                <xdr:col>1</xdr:col>
                <xdr:colOff>5067300</xdr:colOff>
                <xdr:row>6</xdr:row>
                <xdr:rowOff>571500</xdr:rowOff>
              </to>
            </anchor>
          </objectPr>
        </oleObject>
      </mc:Choice>
      <mc:Fallback>
        <oleObject progId="Equation.DSMT4" shapeId="4111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E883-123F-4765-9D47-F81F91D59903}">
  <dimension ref="C8:AS56"/>
  <sheetViews>
    <sheetView workbookViewId="0">
      <selection activeCell="D49" sqref="D49"/>
    </sheetView>
  </sheetViews>
  <sheetFormatPr baseColWidth="10" defaultRowHeight="14.5"/>
  <cols>
    <col min="6" max="6" width="11.81640625" customWidth="1"/>
    <col min="7" max="7" width="14.36328125" customWidth="1"/>
    <col min="8" max="8" width="15.1796875" customWidth="1"/>
    <col min="9" max="9" width="12.81640625" customWidth="1"/>
  </cols>
  <sheetData>
    <row r="8" spans="3:44">
      <c r="C8" t="s">
        <v>0</v>
      </c>
      <c r="D8" t="s">
        <v>70</v>
      </c>
      <c r="E8" t="s">
        <v>21</v>
      </c>
    </row>
    <row r="9" spans="3:44">
      <c r="D9">
        <v>5</v>
      </c>
      <c r="E9">
        <v>10</v>
      </c>
      <c r="F9">
        <v>7.5</v>
      </c>
      <c r="G9">
        <v>5</v>
      </c>
    </row>
    <row r="10" spans="3:44">
      <c r="C10" t="s">
        <v>0</v>
      </c>
      <c r="D10" t="s">
        <v>71</v>
      </c>
      <c r="E10" t="s">
        <v>19</v>
      </c>
      <c r="F10" t="s">
        <v>72</v>
      </c>
      <c r="G10" t="s">
        <v>5</v>
      </c>
      <c r="H10" t="s">
        <v>73</v>
      </c>
    </row>
    <row r="11" spans="3:44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3:44"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3:44"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3:44"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3:44">
      <c r="C15" t="s">
        <v>0</v>
      </c>
      <c r="D15" t="s">
        <v>74</v>
      </c>
      <c r="E15" t="s">
        <v>21</v>
      </c>
    </row>
    <row r="16" spans="3:44">
      <c r="D16">
        <v>-0.69314718099999995</v>
      </c>
      <c r="E16">
        <v>-0.69314718099999995</v>
      </c>
      <c r="F16">
        <v>-0.69314718099999995</v>
      </c>
      <c r="G16">
        <v>-2.3025850929999998</v>
      </c>
    </row>
    <row r="17" spans="3:45">
      <c r="C17" t="s">
        <v>0</v>
      </c>
      <c r="D17" t="s">
        <v>75</v>
      </c>
      <c r="E17" t="s">
        <v>76</v>
      </c>
      <c r="F17" t="s">
        <v>77</v>
      </c>
      <c r="G17">
        <v>1</v>
      </c>
      <c r="H17" t="s">
        <v>78</v>
      </c>
      <c r="I17" t="s">
        <v>77</v>
      </c>
      <c r="J17">
        <v>2</v>
      </c>
      <c r="K17" t="s">
        <v>79</v>
      </c>
      <c r="L17" t="s">
        <v>80</v>
      </c>
      <c r="M17" t="s">
        <v>81</v>
      </c>
      <c r="N17" t="s">
        <v>82</v>
      </c>
    </row>
    <row r="18" spans="3:45">
      <c r="D18">
        <v>-0.69314718099999995</v>
      </c>
      <c r="E18">
        <v>-0.69314718099999995</v>
      </c>
    </row>
    <row r="19" spans="3:45">
      <c r="C19" t="s">
        <v>0</v>
      </c>
      <c r="D19" t="s">
        <v>83</v>
      </c>
      <c r="E19" t="s">
        <v>19</v>
      </c>
      <c r="F19" t="s">
        <v>84</v>
      </c>
      <c r="G19" t="s">
        <v>5</v>
      </c>
      <c r="H19" t="s">
        <v>73</v>
      </c>
      <c r="I19" t="s">
        <v>77</v>
      </c>
      <c r="J19">
        <v>1</v>
      </c>
      <c r="K19" t="s">
        <v>78</v>
      </c>
      <c r="L19" t="s">
        <v>77</v>
      </c>
      <c r="M19">
        <v>2</v>
      </c>
      <c r="N19" t="s">
        <v>79</v>
      </c>
    </row>
    <row r="20" spans="3:45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-0.9</v>
      </c>
      <c r="Y20">
        <v>-0.9</v>
      </c>
      <c r="Z20">
        <v>-0.9</v>
      </c>
      <c r="AA20">
        <v>-0.9</v>
      </c>
      <c r="AB20">
        <v>-0.9</v>
      </c>
      <c r="AC20">
        <v>-0.9</v>
      </c>
      <c r="AD20">
        <v>-0.9</v>
      </c>
      <c r="AE20">
        <v>-0.9</v>
      </c>
      <c r="AF20">
        <v>-0.9</v>
      </c>
      <c r="AG20">
        <v>-0.9</v>
      </c>
      <c r="AH20">
        <v>-0.9</v>
      </c>
      <c r="AI20">
        <v>-0.9</v>
      </c>
      <c r="AJ20">
        <v>-0.9</v>
      </c>
      <c r="AK20">
        <v>-0.9</v>
      </c>
      <c r="AL20">
        <v>-0.9</v>
      </c>
      <c r="AM20">
        <v>-0.9</v>
      </c>
      <c r="AN20">
        <v>-0.9</v>
      </c>
      <c r="AO20">
        <v>-0.9</v>
      </c>
      <c r="AP20">
        <v>-0.9</v>
      </c>
      <c r="AQ20">
        <v>-0.9</v>
      </c>
      <c r="AR20">
        <v>-0.9</v>
      </c>
      <c r="AS20">
        <v>-0.9</v>
      </c>
    </row>
    <row r="21" spans="3:45"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3:45">
      <c r="D22" t="s">
        <v>0</v>
      </c>
      <c r="E22" t="s">
        <v>85</v>
      </c>
      <c r="F22" t="s">
        <v>86</v>
      </c>
      <c r="G22" t="s">
        <v>87</v>
      </c>
      <c r="H22" t="s">
        <v>11</v>
      </c>
      <c r="I22" t="s">
        <v>88</v>
      </c>
      <c r="J22" t="s">
        <v>11</v>
      </c>
      <c r="K22" t="s">
        <v>89</v>
      </c>
      <c r="L22" t="s">
        <v>90</v>
      </c>
    </row>
    <row r="23" spans="3:45"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</row>
    <row r="24" spans="3:45">
      <c r="C24" t="s">
        <v>0</v>
      </c>
      <c r="D24" t="s">
        <v>1</v>
      </c>
      <c r="E24" t="s">
        <v>2</v>
      </c>
      <c r="F24">
        <v>1</v>
      </c>
      <c r="G24" t="s">
        <v>3</v>
      </c>
      <c r="H24" t="s">
        <v>2</v>
      </c>
      <c r="I24">
        <v>2</v>
      </c>
      <c r="J24" t="s">
        <v>4</v>
      </c>
      <c r="K24" t="s">
        <v>5</v>
      </c>
      <c r="L24" t="s">
        <v>6</v>
      </c>
    </row>
    <row r="25" spans="3:45">
      <c r="D25">
        <v>3.8681971678997402</v>
      </c>
      <c r="E25">
        <v>2</v>
      </c>
    </row>
    <row r="26" spans="3:45">
      <c r="D26">
        <v>2.5853148041630298</v>
      </c>
      <c r="E26">
        <v>1.2</v>
      </c>
    </row>
    <row r="27" spans="3:45">
      <c r="C27" t="s">
        <v>0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>
        <v>0.25</v>
      </c>
      <c r="O27" t="s">
        <v>17</v>
      </c>
      <c r="P27">
        <v>1.5</v>
      </c>
    </row>
    <row r="28" spans="3:45">
      <c r="D28">
        <v>-1.386294361</v>
      </c>
      <c r="E28">
        <v>0.40546510800000002</v>
      </c>
    </row>
    <row r="29" spans="3:45">
      <c r="C29" t="s">
        <v>0</v>
      </c>
      <c r="D29" t="s">
        <v>18</v>
      </c>
      <c r="E29" t="s">
        <v>19</v>
      </c>
      <c r="F29" t="s">
        <v>20</v>
      </c>
      <c r="G29" t="s">
        <v>5</v>
      </c>
      <c r="H29" t="s">
        <v>21</v>
      </c>
    </row>
    <row r="30" spans="3:45">
      <c r="D30">
        <v>0</v>
      </c>
      <c r="E30">
        <v>0</v>
      </c>
      <c r="F30">
        <v>0</v>
      </c>
      <c r="G30">
        <v>0</v>
      </c>
    </row>
    <row r="31" spans="3:45">
      <c r="C31" t="s">
        <v>0</v>
      </c>
      <c r="D31" t="s">
        <v>22</v>
      </c>
      <c r="E31" t="s">
        <v>2</v>
      </c>
      <c r="F31">
        <v>1</v>
      </c>
      <c r="G31" t="s">
        <v>3</v>
      </c>
      <c r="H31" t="s">
        <v>2</v>
      </c>
      <c r="I31">
        <v>2</v>
      </c>
      <c r="J31" t="s">
        <v>4</v>
      </c>
      <c r="K31" t="s">
        <v>5</v>
      </c>
      <c r="L31" t="s">
        <v>23</v>
      </c>
    </row>
    <row r="32" spans="3:45">
      <c r="D32">
        <v>1</v>
      </c>
      <c r="E32">
        <v>1</v>
      </c>
    </row>
    <row r="33" spans="3:15">
      <c r="D33" t="s">
        <v>0</v>
      </c>
      <c r="E33" t="s">
        <v>24</v>
      </c>
      <c r="F33" t="s">
        <v>25</v>
      </c>
      <c r="G33" t="s">
        <v>91</v>
      </c>
      <c r="H33" t="s">
        <v>26</v>
      </c>
      <c r="I33">
        <v>0.28999999999999998</v>
      </c>
      <c r="J33" t="s">
        <v>27</v>
      </c>
      <c r="K33">
        <v>0.35</v>
      </c>
      <c r="L33" t="s">
        <v>28</v>
      </c>
      <c r="M33">
        <v>0.2</v>
      </c>
      <c r="N33" t="s">
        <v>29</v>
      </c>
      <c r="O33">
        <v>0.10199999999999999</v>
      </c>
    </row>
    <row r="34" spans="3:15">
      <c r="D34">
        <v>-1.1394342829999999</v>
      </c>
      <c r="E34">
        <v>-1.1394342829999999</v>
      </c>
      <c r="F34">
        <v>-1.609437912</v>
      </c>
      <c r="G34">
        <v>-2.9957322739999999</v>
      </c>
    </row>
    <row r="35" spans="3:15">
      <c r="C35" t="s">
        <v>0</v>
      </c>
      <c r="D35" t="s">
        <v>30</v>
      </c>
      <c r="E35" t="s">
        <v>31</v>
      </c>
    </row>
    <row r="36" spans="3:15">
      <c r="D36">
        <v>16.523560759999999</v>
      </c>
      <c r="E36" t="s">
        <v>0</v>
      </c>
      <c r="F36">
        <v>15000000</v>
      </c>
    </row>
    <row r="37" spans="3:15">
      <c r="C37" t="s">
        <v>0</v>
      </c>
      <c r="D37" t="s">
        <v>32</v>
      </c>
      <c r="E37" t="s">
        <v>33</v>
      </c>
      <c r="F37" t="s">
        <v>34</v>
      </c>
      <c r="G37" t="s">
        <v>35</v>
      </c>
    </row>
    <row r="38" spans="3:15">
      <c r="D38">
        <v>0</v>
      </c>
      <c r="E38">
        <v>0</v>
      </c>
      <c r="F38">
        <v>0</v>
      </c>
    </row>
    <row r="43" spans="3:15">
      <c r="E43">
        <v>0.2</v>
      </c>
      <c r="F43">
        <v>0.2</v>
      </c>
      <c r="G43">
        <v>0.1</v>
      </c>
      <c r="H43">
        <v>0.01</v>
      </c>
    </row>
    <row r="44" spans="3:15">
      <c r="E44">
        <v>-1.1394342829999999</v>
      </c>
      <c r="F44">
        <v>-1.1394342829999999</v>
      </c>
      <c r="G44">
        <v>-1.609437912</v>
      </c>
      <c r="H44">
        <v>-2.9957322739999999</v>
      </c>
    </row>
    <row r="45" spans="3:15">
      <c r="E45">
        <f>LN(E43)</f>
        <v>-1.6094379124341003</v>
      </c>
      <c r="F45">
        <f t="shared" ref="F45:H45" si="0">LN(F43)</f>
        <v>-1.6094379124341003</v>
      </c>
      <c r="G45">
        <f>LN(G43)</f>
        <v>-2.3025850929940455</v>
      </c>
      <c r="H45">
        <f t="shared" si="0"/>
        <v>-4.6051701859880909</v>
      </c>
    </row>
    <row r="54" spans="5:9">
      <c r="E54" s="3"/>
      <c r="F54" s="3"/>
      <c r="G54" s="3"/>
      <c r="H54" s="3"/>
      <c r="I54" s="3"/>
    </row>
    <row r="55" spans="5:9">
      <c r="E55" s="1"/>
      <c r="F55" s="1"/>
      <c r="G55" s="1"/>
      <c r="H55" s="1"/>
      <c r="I55" s="1"/>
    </row>
    <row r="56" spans="5:9">
      <c r="E56" s="2"/>
      <c r="F56" s="2"/>
      <c r="G56" s="2"/>
      <c r="H56" s="2"/>
      <c r="I5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ACE0-DFAC-4DE4-B574-78CC94D8A2DC}">
  <dimension ref="B2:Y120"/>
  <sheetViews>
    <sheetView topLeftCell="A27" zoomScale="70" zoomScaleNormal="70" workbookViewId="0">
      <selection activeCell="E50" sqref="E50"/>
    </sheetView>
  </sheetViews>
  <sheetFormatPr baseColWidth="10" defaultRowHeight="14.5"/>
  <cols>
    <col min="6" max="6" width="11.81640625" bestFit="1" customWidth="1"/>
    <col min="23" max="23" width="12.453125" bestFit="1" customWidth="1"/>
  </cols>
  <sheetData>
    <row r="2" spans="4:14">
      <c r="F2" t="s">
        <v>68</v>
      </c>
    </row>
    <row r="5" spans="4:14">
      <c r="G5" t="s">
        <v>39</v>
      </c>
      <c r="I5" t="s">
        <v>40</v>
      </c>
      <c r="K5" t="s">
        <v>17</v>
      </c>
      <c r="M5" t="s">
        <v>16</v>
      </c>
    </row>
    <row r="6" spans="4:14">
      <c r="D6" t="s">
        <v>67</v>
      </c>
      <c r="E6">
        <f>LN(19)</f>
        <v>2.9444389791664403</v>
      </c>
      <c r="F6">
        <f>E6*-1</f>
        <v>-2.9444389791664403</v>
      </c>
      <c r="G6">
        <v>29</v>
      </c>
      <c r="H6">
        <f>1/(1+EXP($F$6*(G6-EXP($E$7))/EXP($E$8)))</f>
        <v>4.4262874918335866E-2</v>
      </c>
      <c r="I6">
        <v>8</v>
      </c>
      <c r="J6">
        <f>1/(1+EXP($F$6*(I6-EXP($E$7))/EXP($E$8)))</f>
        <v>3.7107822863451261E-3</v>
      </c>
      <c r="K6">
        <v>12</v>
      </c>
      <c r="L6">
        <f>1/(1+EXP($F$6*(K6-EXP($E$7))/EXP($E$8)))</f>
        <v>5.9837410813669443E-3</v>
      </c>
      <c r="M6">
        <v>30</v>
      </c>
      <c r="N6">
        <f>1/(1+EXP($F$6*(M6-EXP($E$7))/EXP($E$8)))</f>
        <v>4.9627222011006701E-2</v>
      </c>
    </row>
    <row r="7" spans="4:14">
      <c r="D7" t="s">
        <v>65</v>
      </c>
      <c r="E7">
        <v>4</v>
      </c>
      <c r="G7">
        <f>G6+G6</f>
        <v>58</v>
      </c>
      <c r="H7">
        <f>1/(1+EXP($F$6*(G7-EXP($E$7))/EXP($E$8)))</f>
        <v>0.60067927699578294</v>
      </c>
      <c r="I7">
        <f>I6+8</f>
        <v>16</v>
      </c>
      <c r="J7">
        <f t="shared" ref="J7:J10" si="0">1/(1+EXP($F$6*(I7-EXP($E$7))/EXP($E$8)))</f>
        <v>9.635486251668355E-3</v>
      </c>
      <c r="K7">
        <f>K6+K6</f>
        <v>24</v>
      </c>
      <c r="L7">
        <f t="shared" ref="L7:L10" si="1">1/(1+EXP($F$6*(K7-EXP($E$7))/EXP($E$8)))</f>
        <v>2.4784361972683747E-2</v>
      </c>
      <c r="M7">
        <f>M6+M6</f>
        <v>60</v>
      </c>
      <c r="N7">
        <f t="shared" ref="N7:N10" si="2">1/(1+EXP($F$6*(M7-EXP($E$7))/EXP($E$8)))</f>
        <v>0.65663626021919208</v>
      </c>
    </row>
    <row r="8" spans="4:14">
      <c r="D8" t="s">
        <v>66</v>
      </c>
      <c r="E8">
        <v>3.2</v>
      </c>
      <c r="G8">
        <f>G6+G7</f>
        <v>87</v>
      </c>
      <c r="H8">
        <f t="shared" ref="H8:H10" si="3">1/(1+EXP($F$6*(G8-EXP($E$7))/EXP($E$8)))</f>
        <v>0.97994325337245458</v>
      </c>
      <c r="I8">
        <f>I7+I6</f>
        <v>24</v>
      </c>
      <c r="J8">
        <f t="shared" si="0"/>
        <v>2.4784361972683747E-2</v>
      </c>
      <c r="K8">
        <f>K7+K6</f>
        <v>36</v>
      </c>
      <c r="L8">
        <f t="shared" si="1"/>
        <v>9.6897367064771214E-2</v>
      </c>
      <c r="M8">
        <f>M7+M6</f>
        <v>90</v>
      </c>
      <c r="N8">
        <f t="shared" si="2"/>
        <v>0.98592242466022817</v>
      </c>
    </row>
    <row r="9" spans="4:14">
      <c r="G9">
        <f>G8+G6</f>
        <v>116</v>
      </c>
      <c r="H9">
        <f t="shared" si="3"/>
        <v>0.99937025266181601</v>
      </c>
      <c r="I9">
        <f>I8+I6</f>
        <v>32</v>
      </c>
      <c r="J9">
        <f t="shared" si="0"/>
        <v>6.2253135198613786E-2</v>
      </c>
      <c r="K9">
        <f>K8+K6</f>
        <v>48</v>
      </c>
      <c r="L9">
        <f t="shared" si="1"/>
        <v>0.3117561298249692</v>
      </c>
      <c r="M9">
        <f>M8+M6</f>
        <v>120</v>
      </c>
      <c r="N9">
        <f t="shared" si="2"/>
        <v>0.99961026324176183</v>
      </c>
    </row>
    <row r="10" spans="4:14">
      <c r="G10">
        <f>G9+G6</f>
        <v>145</v>
      </c>
      <c r="H10">
        <f t="shared" si="3"/>
        <v>0.9999805995475558</v>
      </c>
      <c r="I10">
        <f>I9+I6</f>
        <v>40</v>
      </c>
      <c r="J10">
        <f t="shared" si="0"/>
        <v>0.14778295451897638</v>
      </c>
      <c r="K10">
        <f>K9+K6</f>
        <v>60</v>
      </c>
      <c r="L10">
        <f t="shared" si="1"/>
        <v>0.65663626021919208</v>
      </c>
      <c r="M10">
        <f>M9+M6</f>
        <v>150</v>
      </c>
      <c r="N10">
        <f t="shared" si="2"/>
        <v>0.99998935387441878</v>
      </c>
    </row>
    <row r="28" spans="2:17">
      <c r="B28" t="s">
        <v>95</v>
      </c>
      <c r="G28" t="s">
        <v>40</v>
      </c>
      <c r="L28" t="s">
        <v>17</v>
      </c>
      <c r="Q28" t="s">
        <v>99</v>
      </c>
    </row>
    <row r="53" spans="2:25">
      <c r="J53">
        <v>1</v>
      </c>
      <c r="K53">
        <f>114*(1-EXP(-0.1975*J53))</f>
        <v>20.431063968439378</v>
      </c>
      <c r="L53">
        <v>0.1</v>
      </c>
      <c r="M53">
        <v>0.1</v>
      </c>
      <c r="O53">
        <v>1</v>
      </c>
      <c r="P53">
        <f>29*(1-EXP(-0.45*O53))</f>
        <v>10.508783602968574</v>
      </c>
      <c r="Q53">
        <v>0</v>
      </c>
      <c r="S53">
        <v>1</v>
      </c>
      <c r="T53">
        <f>43.3*(1-EXP(-0.206*S53))</f>
        <v>8.061027796949535</v>
      </c>
      <c r="U53">
        <v>1</v>
      </c>
      <c r="X53">
        <v>50</v>
      </c>
      <c r="Y53">
        <v>0.1</v>
      </c>
    </row>
    <row r="54" spans="2:25">
      <c r="J54">
        <v>2</v>
      </c>
      <c r="K54">
        <f>114*(1-EXP(-0.1975*J54))</f>
        <v>37.200475525629088</v>
      </c>
      <c r="L54">
        <v>0.2</v>
      </c>
      <c r="M54">
        <v>0.4</v>
      </c>
      <c r="O54">
        <v>2</v>
      </c>
      <c r="P54">
        <f t="shared" ref="P54:P63" si="4">29*(1-EXP(-0.45*O54))</f>
        <v>17.209479867522624</v>
      </c>
      <c r="Q54">
        <v>0.2</v>
      </c>
      <c r="S54">
        <v>2</v>
      </c>
      <c r="T54">
        <f t="shared" ref="T54:T63" si="5">43.3*(1-EXP(-0.206*S54))</f>
        <v>14.621358846943103</v>
      </c>
      <c r="U54">
        <v>1</v>
      </c>
      <c r="X54">
        <v>55</v>
      </c>
      <c r="Y54">
        <v>0.2</v>
      </c>
    </row>
    <row r="55" spans="2:25">
      <c r="J55">
        <v>3</v>
      </c>
      <c r="K55">
        <f t="shared" ref="K55:K63" si="6">114*(1-EXP(-0.1975*J55))</f>
        <v>50.964475501783461</v>
      </c>
      <c r="L55">
        <v>0.35</v>
      </c>
      <c r="M55">
        <v>0.35</v>
      </c>
      <c r="O55">
        <v>3</v>
      </c>
      <c r="P55">
        <f t="shared" si="4"/>
        <v>21.482032441269148</v>
      </c>
      <c r="Q55">
        <v>0.4</v>
      </c>
      <c r="S55">
        <v>3</v>
      </c>
      <c r="T55">
        <f t="shared" si="5"/>
        <v>19.96037324679374</v>
      </c>
      <c r="U55">
        <v>1</v>
      </c>
      <c r="X55">
        <v>60</v>
      </c>
      <c r="Y55">
        <v>0.3</v>
      </c>
    </row>
    <row r="56" spans="2:25">
      <c r="J56">
        <v>4</v>
      </c>
      <c r="K56">
        <f t="shared" si="6"/>
        <v>62.26169333781143</v>
      </c>
      <c r="L56">
        <v>0.6</v>
      </c>
      <c r="M56">
        <v>0.35</v>
      </c>
      <c r="O56">
        <v>4</v>
      </c>
      <c r="P56">
        <f t="shared" si="4"/>
        <v>24.206332241573989</v>
      </c>
      <c r="Q56">
        <v>0.8</v>
      </c>
      <c r="S56">
        <v>4</v>
      </c>
      <c r="T56">
        <f t="shared" si="5"/>
        <v>24.305439760142992</v>
      </c>
      <c r="U56">
        <v>0.6</v>
      </c>
      <c r="X56">
        <v>65</v>
      </c>
      <c r="Y56">
        <v>0.6</v>
      </c>
    </row>
    <row r="57" spans="2:25">
      <c r="J57">
        <v>5</v>
      </c>
      <c r="K57">
        <f t="shared" si="6"/>
        <v>71.534225381968525</v>
      </c>
      <c r="L57">
        <v>1</v>
      </c>
      <c r="M57">
        <v>0.45</v>
      </c>
      <c r="O57">
        <v>5</v>
      </c>
      <c r="P57">
        <f t="shared" si="4"/>
        <v>25.943422487705934</v>
      </c>
      <c r="Q57">
        <v>1</v>
      </c>
      <c r="S57">
        <v>5</v>
      </c>
      <c r="T57">
        <f t="shared" si="5"/>
        <v>27.841598607355916</v>
      </c>
      <c r="U57">
        <v>0.4</v>
      </c>
      <c r="X57">
        <v>70</v>
      </c>
      <c r="Y57">
        <v>0.8</v>
      </c>
    </row>
    <row r="58" spans="2:25">
      <c r="J58">
        <v>6</v>
      </c>
      <c r="K58">
        <f t="shared" si="6"/>
        <v>79.144935537146864</v>
      </c>
      <c r="L58">
        <v>1</v>
      </c>
      <c r="M58">
        <v>0.5</v>
      </c>
      <c r="O58">
        <v>6</v>
      </c>
      <c r="P58">
        <f t="shared" si="4"/>
        <v>27.051040130547257</v>
      </c>
      <c r="Q58">
        <v>1</v>
      </c>
      <c r="S58">
        <v>6</v>
      </c>
      <c r="T58">
        <f t="shared" si="5"/>
        <v>30.719441640208277</v>
      </c>
      <c r="U58">
        <v>0.4</v>
      </c>
      <c r="X58">
        <v>75</v>
      </c>
      <c r="Y58">
        <v>1</v>
      </c>
    </row>
    <row r="59" spans="2:25">
      <c r="J59">
        <v>7</v>
      </c>
      <c r="K59">
        <f t="shared" si="6"/>
        <v>85.391655288590982</v>
      </c>
      <c r="L59">
        <v>1</v>
      </c>
      <c r="M59">
        <v>0.7</v>
      </c>
      <c r="O59">
        <v>7</v>
      </c>
      <c r="P59">
        <f t="shared" si="4"/>
        <v>27.757288320855835</v>
      </c>
      <c r="Q59">
        <v>1</v>
      </c>
      <c r="S59">
        <v>7</v>
      </c>
      <c r="T59">
        <f t="shared" si="5"/>
        <v>33.061525488693889</v>
      </c>
      <c r="U59">
        <v>0.4</v>
      </c>
      <c r="X59">
        <v>80</v>
      </c>
      <c r="Y59">
        <v>1</v>
      </c>
    </row>
    <row r="60" spans="2:25">
      <c r="J60">
        <v>8</v>
      </c>
      <c r="K60">
        <f t="shared" si="6"/>
        <v>90.518838804643281</v>
      </c>
      <c r="L60">
        <v>1</v>
      </c>
      <c r="M60">
        <v>1</v>
      </c>
      <c r="O60">
        <v>8</v>
      </c>
      <c r="P60">
        <f t="shared" si="4"/>
        <v>28.207612049028516</v>
      </c>
      <c r="Q60">
        <v>1</v>
      </c>
      <c r="S60">
        <v>8</v>
      </c>
      <c r="T60">
        <f t="shared" si="5"/>
        <v>34.967590792019472</v>
      </c>
      <c r="U60">
        <v>0.4</v>
      </c>
      <c r="X60">
        <v>85</v>
      </c>
      <c r="Y60">
        <v>1</v>
      </c>
    </row>
    <row r="61" spans="2:25">
      <c r="J61">
        <v>9</v>
      </c>
      <c r="K61">
        <f t="shared" si="6"/>
        <v>94.727129211972837</v>
      </c>
      <c r="L61">
        <v>1</v>
      </c>
      <c r="M61">
        <v>1</v>
      </c>
      <c r="O61">
        <v>9</v>
      </c>
      <c r="P61">
        <f t="shared" si="4"/>
        <v>28.494751135454688</v>
      </c>
      <c r="Q61">
        <v>1</v>
      </c>
      <c r="S61">
        <v>9</v>
      </c>
      <c r="T61">
        <f t="shared" si="5"/>
        <v>36.518809781421069</v>
      </c>
      <c r="U61">
        <v>0.4</v>
      </c>
      <c r="X61">
        <v>90</v>
      </c>
      <c r="Y61">
        <v>1</v>
      </c>
    </row>
    <row r="62" spans="2:25">
      <c r="J62">
        <v>10</v>
      </c>
      <c r="K62">
        <f t="shared" si="6"/>
        <v>98.181210404303116</v>
      </c>
      <c r="L62">
        <v>1</v>
      </c>
      <c r="M62">
        <v>1</v>
      </c>
      <c r="O62">
        <v>10</v>
      </c>
      <c r="P62">
        <f t="shared" si="4"/>
        <v>28.677839100390976</v>
      </c>
      <c r="Q62">
        <v>1</v>
      </c>
      <c r="S62">
        <v>10</v>
      </c>
      <c r="T62">
        <f t="shared" si="5"/>
        <v>37.78124310355426</v>
      </c>
      <c r="U62">
        <v>0.4</v>
      </c>
      <c r="X62">
        <v>95</v>
      </c>
      <c r="Y62">
        <v>1</v>
      </c>
    </row>
    <row r="63" spans="2:25">
      <c r="B63" t="s">
        <v>96</v>
      </c>
      <c r="J63">
        <v>11</v>
      </c>
      <c r="K63">
        <f t="shared" si="6"/>
        <v>101.01625165108351</v>
      </c>
      <c r="L63">
        <v>1</v>
      </c>
      <c r="M63">
        <v>1</v>
      </c>
      <c r="O63">
        <v>11</v>
      </c>
      <c r="P63">
        <f t="shared" si="4"/>
        <v>28.794581141057488</v>
      </c>
      <c r="Q63">
        <v>1</v>
      </c>
      <c r="S63">
        <v>11</v>
      </c>
      <c r="T63">
        <f t="shared" si="5"/>
        <v>38.808653097707982</v>
      </c>
      <c r="U63">
        <v>0.4</v>
      </c>
      <c r="X63">
        <v>100</v>
      </c>
      <c r="Y63">
        <v>1</v>
      </c>
    </row>
    <row r="67" spans="22:24">
      <c r="W67">
        <v>62</v>
      </c>
    </row>
    <row r="68" spans="22:24">
      <c r="W68">
        <v>30</v>
      </c>
    </row>
    <row r="69" spans="22:24">
      <c r="W69">
        <f>LN(W67)</f>
        <v>4.1271343850450917</v>
      </c>
    </row>
    <row r="70" spans="22:24">
      <c r="W70">
        <f>LN(W68)</f>
        <v>3.4011973816621555</v>
      </c>
    </row>
    <row r="71" spans="22:24">
      <c r="V71">
        <v>2</v>
      </c>
      <c r="W71">
        <f>1/(1+EXP(-LN(19)*(V71-EXP(W$69))/EXP(W$70)))</f>
        <v>2.7624309392265205E-3</v>
      </c>
      <c r="X71">
        <f>W71/$W$90</f>
        <v>2.6698017251001831E-2</v>
      </c>
    </row>
    <row r="72" spans="22:24">
      <c r="V72">
        <v>4</v>
      </c>
      <c r="W72">
        <f t="shared" ref="W72:W120" si="7">1/(1+EXP(-LN(19)*(V72-EXP(W$69))/EXP(W$70)))</f>
        <v>3.3595533824171643E-3</v>
      </c>
      <c r="X72">
        <f t="shared" ref="X72:X90" si="8">W72/$W$90</f>
        <v>3.246901592571546E-2</v>
      </c>
    </row>
    <row r="73" spans="22:24">
      <c r="V73">
        <v>6</v>
      </c>
      <c r="W73">
        <f t="shared" si="7"/>
        <v>4.0852200602140946E-3</v>
      </c>
      <c r="X73">
        <f t="shared" si="8"/>
        <v>3.9482353782307925E-2</v>
      </c>
    </row>
    <row r="74" spans="22:24">
      <c r="V74">
        <v>8</v>
      </c>
      <c r="W74">
        <f t="shared" si="7"/>
        <v>4.9668502685245169E-3</v>
      </c>
      <c r="X74">
        <f t="shared" si="8"/>
        <v>4.8003029603100225E-2</v>
      </c>
    </row>
    <row r="75" spans="22:24">
      <c r="V75">
        <v>10</v>
      </c>
      <c r="W75">
        <f t="shared" si="7"/>
        <v>6.0375913969752107E-3</v>
      </c>
      <c r="X75">
        <f t="shared" si="8"/>
        <v>5.8351402376081857E-2</v>
      </c>
    </row>
    <row r="76" spans="22:24">
      <c r="V76">
        <v>12</v>
      </c>
      <c r="W76">
        <f t="shared" si="7"/>
        <v>7.3374580706613958E-3</v>
      </c>
      <c r="X76">
        <f t="shared" si="8"/>
        <v>7.091420073794541E-2</v>
      </c>
    </row>
    <row r="77" spans="22:24">
      <c r="V77">
        <v>14</v>
      </c>
      <c r="W77">
        <f t="shared" si="7"/>
        <v>8.9146703051333383E-3</v>
      </c>
      <c r="X77">
        <f t="shared" si="8"/>
        <v>8.6157455816826559E-2</v>
      </c>
    </row>
    <row r="78" spans="22:24">
      <c r="V78">
        <v>16</v>
      </c>
      <c r="W78">
        <f t="shared" si="7"/>
        <v>1.0827211963947477E-2</v>
      </c>
      <c r="X78">
        <f t="shared" si="8"/>
        <v>0.10464156322932774</v>
      </c>
    </row>
    <row r="79" spans="22:24">
      <c r="V79">
        <v>18</v>
      </c>
      <c r="W79">
        <f t="shared" si="7"/>
        <v>1.3144625858910106E-2</v>
      </c>
      <c r="X79">
        <f t="shared" si="8"/>
        <v>0.12703863215397107</v>
      </c>
    </row>
    <row r="80" spans="22:24">
      <c r="V80">
        <v>20</v>
      </c>
      <c r="W80">
        <f t="shared" si="7"/>
        <v>1.5950051932194138E-2</v>
      </c>
      <c r="X80">
        <f t="shared" si="8"/>
        <v>0.15415218371371403</v>
      </c>
    </row>
    <row r="81" spans="2:24">
      <c r="B81" t="s">
        <v>97</v>
      </c>
      <c r="V81">
        <v>22</v>
      </c>
      <c r="W81">
        <f t="shared" si="7"/>
        <v>1.9342497699835048E-2</v>
      </c>
      <c r="X81">
        <f t="shared" si="8"/>
        <v>0.1869390940908926</v>
      </c>
    </row>
    <row r="82" spans="2:24">
      <c r="V82">
        <v>24</v>
      </c>
      <c r="W82">
        <f t="shared" si="7"/>
        <v>2.3439302321889774E-2</v>
      </c>
      <c r="X82">
        <f t="shared" si="8"/>
        <v>0.2265334089823362</v>
      </c>
    </row>
    <row r="83" spans="2:24">
      <c r="V83">
        <v>26</v>
      </c>
      <c r="W83">
        <f t="shared" si="7"/>
        <v>2.8378713254882358E-2</v>
      </c>
      <c r="X83">
        <f t="shared" si="8"/>
        <v>0.2742712461265101</v>
      </c>
    </row>
    <row r="84" spans="2:24">
      <c r="V84">
        <v>28</v>
      </c>
      <c r="W84">
        <f t="shared" si="7"/>
        <v>3.4322432673553803E-2</v>
      </c>
      <c r="X84">
        <f t="shared" si="8"/>
        <v>0.33171540566058944</v>
      </c>
    </row>
    <row r="85" spans="2:24">
      <c r="V85">
        <v>30</v>
      </c>
      <c r="W85">
        <f t="shared" si="7"/>
        <v>4.1457904717496337E-2</v>
      </c>
      <c r="X85">
        <f t="shared" si="8"/>
        <v>0.4006774756323947</v>
      </c>
    </row>
    <row r="86" spans="2:24">
      <c r="V86">
        <v>32</v>
      </c>
      <c r="W86">
        <f t="shared" si="7"/>
        <v>4.9999999999999989E-2</v>
      </c>
      <c r="X86">
        <f t="shared" si="8"/>
        <v>0.48323411224313284</v>
      </c>
    </row>
    <row r="87" spans="2:24">
      <c r="V87">
        <v>34</v>
      </c>
      <c r="W87">
        <f t="shared" si="7"/>
        <v>6.0191609604412596E-2</v>
      </c>
      <c r="X87">
        <f t="shared" si="8"/>
        <v>0.58173278063347111</v>
      </c>
    </row>
    <row r="88" spans="2:24">
      <c r="V88">
        <v>36</v>
      </c>
      <c r="W88">
        <f t="shared" si="7"/>
        <v>7.2302492476067057E-2</v>
      </c>
      <c r="X88">
        <f t="shared" si="8"/>
        <v>0.69878061529276125</v>
      </c>
    </row>
    <row r="89" spans="2:24">
      <c r="V89">
        <v>38</v>
      </c>
      <c r="W89">
        <f t="shared" si="7"/>
        <v>8.6625545088092101E-2</v>
      </c>
      <c r="X89">
        <f t="shared" si="8"/>
        <v>0.8372083675644334</v>
      </c>
    </row>
    <row r="90" spans="2:24">
      <c r="V90">
        <v>40</v>
      </c>
      <c r="W90">
        <f t="shared" si="7"/>
        <v>0.10346951660325493</v>
      </c>
      <c r="X90">
        <f t="shared" si="8"/>
        <v>1</v>
      </c>
    </row>
    <row r="91" spans="2:24">
      <c r="V91">
        <v>42</v>
      </c>
      <c r="W91">
        <f t="shared" si="7"/>
        <v>0.12314713802987554</v>
      </c>
    </row>
    <row r="92" spans="2:24">
      <c r="V92">
        <v>44</v>
      </c>
      <c r="W92">
        <f t="shared" si="7"/>
        <v>0.14595776020489165</v>
      </c>
    </row>
    <row r="93" spans="2:24">
      <c r="V93">
        <v>46</v>
      </c>
      <c r="W93">
        <f t="shared" si="7"/>
        <v>0.1721640143485221</v>
      </c>
    </row>
    <row r="94" spans="2:24">
      <c r="V94">
        <v>48</v>
      </c>
      <c r="W94">
        <f t="shared" si="7"/>
        <v>0.20196282695914758</v>
      </c>
    </row>
    <row r="95" spans="2:24">
      <c r="V95">
        <v>50</v>
      </c>
      <c r="W95">
        <f t="shared" si="7"/>
        <v>0.23545238646229955</v>
      </c>
    </row>
    <row r="96" spans="2:24">
      <c r="V96">
        <v>52</v>
      </c>
      <c r="W96">
        <f t="shared" si="7"/>
        <v>0.27259828550900234</v>
      </c>
    </row>
    <row r="97" spans="22:23">
      <c r="V97">
        <v>54</v>
      </c>
      <c r="W97">
        <f t="shared" si="7"/>
        <v>0.3132037508390933</v>
      </c>
    </row>
    <row r="98" spans="22:23">
      <c r="V98">
        <v>56</v>
      </c>
      <c r="W98">
        <f t="shared" si="7"/>
        <v>0.35689008625740187</v>
      </c>
    </row>
    <row r="99" spans="22:23">
      <c r="V99">
        <v>58</v>
      </c>
      <c r="W99">
        <f t="shared" si="7"/>
        <v>0.40309351825275319</v>
      </c>
    </row>
    <row r="100" spans="22:23">
      <c r="V100">
        <v>60</v>
      </c>
      <c r="W100">
        <f t="shared" si="7"/>
        <v>0.45108298913446698</v>
      </c>
    </row>
    <row r="101" spans="22:23">
      <c r="V101">
        <v>62</v>
      </c>
      <c r="W101">
        <f t="shared" si="7"/>
        <v>0.49999999999999978</v>
      </c>
    </row>
    <row r="102" spans="22:23">
      <c r="V102">
        <v>64</v>
      </c>
      <c r="W102">
        <f t="shared" si="7"/>
        <v>0.54891701086553268</v>
      </c>
    </row>
    <row r="103" spans="22:23">
      <c r="V103">
        <v>66</v>
      </c>
      <c r="W103">
        <f t="shared" si="7"/>
        <v>0.59690648174724648</v>
      </c>
    </row>
    <row r="104" spans="22:23">
      <c r="V104">
        <v>68</v>
      </c>
      <c r="W104">
        <f t="shared" si="7"/>
        <v>0.64310991374259774</v>
      </c>
    </row>
    <row r="105" spans="22:23">
      <c r="V105">
        <v>70</v>
      </c>
      <c r="W105">
        <f t="shared" si="7"/>
        <v>0.68679624916090631</v>
      </c>
    </row>
    <row r="106" spans="22:23">
      <c r="V106">
        <v>72</v>
      </c>
      <c r="W106">
        <f t="shared" si="7"/>
        <v>0.72740171449099744</v>
      </c>
    </row>
    <row r="107" spans="22:23">
      <c r="V107">
        <v>74</v>
      </c>
      <c r="W107">
        <f t="shared" si="7"/>
        <v>0.76454761353770018</v>
      </c>
    </row>
    <row r="108" spans="22:23">
      <c r="V108">
        <v>76</v>
      </c>
      <c r="W108">
        <f t="shared" si="7"/>
        <v>0.7980371730408522</v>
      </c>
    </row>
    <row r="109" spans="22:23">
      <c r="V109">
        <v>78</v>
      </c>
      <c r="W109">
        <f t="shared" si="7"/>
        <v>0.82783598565147776</v>
      </c>
    </row>
    <row r="110" spans="22:23">
      <c r="V110">
        <v>80</v>
      </c>
      <c r="W110">
        <f t="shared" si="7"/>
        <v>0.85404223979510829</v>
      </c>
    </row>
    <row r="111" spans="22:23">
      <c r="V111">
        <v>82</v>
      </c>
      <c r="W111">
        <f t="shared" si="7"/>
        <v>0.87685286197012435</v>
      </c>
    </row>
    <row r="112" spans="22:23">
      <c r="V112">
        <v>84</v>
      </c>
      <c r="W112">
        <f t="shared" si="7"/>
        <v>0.8965304833967449</v>
      </c>
    </row>
    <row r="113" spans="22:23">
      <c r="V113">
        <v>86</v>
      </c>
      <c r="W113">
        <f t="shared" si="7"/>
        <v>0.91337445491190772</v>
      </c>
    </row>
    <row r="114" spans="22:23">
      <c r="V114">
        <v>88</v>
      </c>
      <c r="W114">
        <f t="shared" si="7"/>
        <v>0.92769750752393287</v>
      </c>
    </row>
    <row r="115" spans="22:23">
      <c r="V115">
        <v>90</v>
      </c>
      <c r="W115">
        <f t="shared" si="7"/>
        <v>0.93980839039558728</v>
      </c>
    </row>
    <row r="116" spans="22:23">
      <c r="V116">
        <v>92</v>
      </c>
      <c r="W116">
        <f t="shared" si="7"/>
        <v>0.94999999999999984</v>
      </c>
    </row>
    <row r="117" spans="22:23">
      <c r="V117">
        <v>94</v>
      </c>
      <c r="W117">
        <f t="shared" si="7"/>
        <v>0.95854209528250367</v>
      </c>
    </row>
    <row r="118" spans="22:23">
      <c r="V118">
        <v>96</v>
      </c>
      <c r="W118">
        <f t="shared" si="7"/>
        <v>0.96567756732644605</v>
      </c>
    </row>
    <row r="119" spans="22:23">
      <c r="V119">
        <v>98</v>
      </c>
      <c r="W119">
        <f t="shared" si="7"/>
        <v>0.97162128674511761</v>
      </c>
    </row>
    <row r="120" spans="22:23">
      <c r="V120">
        <v>100</v>
      </c>
      <c r="W120">
        <f t="shared" si="7"/>
        <v>0.97656069767811016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5AA9-E7B0-421C-A184-F2666A445EBE}">
  <dimension ref="A2:BP135"/>
  <sheetViews>
    <sheetView tabSelected="1" topLeftCell="D55" zoomScale="60" zoomScaleNormal="60" workbookViewId="0">
      <selection activeCell="O66" sqref="O66"/>
    </sheetView>
  </sheetViews>
  <sheetFormatPr baseColWidth="10" defaultRowHeight="14.5"/>
  <cols>
    <col min="4" max="4" width="9.81640625" customWidth="1"/>
    <col min="5" max="5" width="9.36328125" customWidth="1"/>
    <col min="6" max="7" width="12.36328125" bestFit="1" customWidth="1"/>
    <col min="8" max="8" width="13.1796875" customWidth="1"/>
    <col min="9" max="9" width="12.6328125" customWidth="1"/>
  </cols>
  <sheetData>
    <row r="2" spans="1:13">
      <c r="K2">
        <v>-1.386294361</v>
      </c>
      <c r="L2">
        <v>0.2</v>
      </c>
      <c r="M2">
        <f>LN(L2)</f>
        <v>-1.6094379124341003</v>
      </c>
    </row>
    <row r="3" spans="1:13">
      <c r="B3" t="s">
        <v>69</v>
      </c>
    </row>
    <row r="6" spans="1:13">
      <c r="A6" s="26" t="s">
        <v>93</v>
      </c>
      <c r="E6" s="27" t="s">
        <v>92</v>
      </c>
      <c r="F6" s="27" t="s">
        <v>39</v>
      </c>
      <c r="G6" s="27" t="s">
        <v>40</v>
      </c>
      <c r="H6" s="27" t="s">
        <v>17</v>
      </c>
      <c r="I6" s="27" t="s">
        <v>16</v>
      </c>
    </row>
    <row r="7" spans="1:13">
      <c r="E7">
        <v>1</v>
      </c>
      <c r="F7">
        <f>(29)</f>
        <v>29</v>
      </c>
      <c r="G7">
        <v>8</v>
      </c>
      <c r="H7">
        <v>12</v>
      </c>
      <c r="I7">
        <v>30</v>
      </c>
    </row>
    <row r="8" spans="1:13">
      <c r="E8">
        <v>2</v>
      </c>
      <c r="F8">
        <f>58</f>
        <v>58</v>
      </c>
      <c r="G8">
        <f>G7+8</f>
        <v>16</v>
      </c>
      <c r="H8">
        <f>H7+H7</f>
        <v>24</v>
      </c>
      <c r="I8">
        <f>I7+I7</f>
        <v>60</v>
      </c>
    </row>
    <row r="9" spans="1:13">
      <c r="E9">
        <v>3</v>
      </c>
      <c r="F9">
        <f>87</f>
        <v>87</v>
      </c>
      <c r="G9">
        <f>G8+G7</f>
        <v>24</v>
      </c>
      <c r="H9">
        <f>H8+H7</f>
        <v>36</v>
      </c>
      <c r="I9">
        <f>I8+I7</f>
        <v>90</v>
      </c>
    </row>
    <row r="10" spans="1:13">
      <c r="E10">
        <v>4</v>
      </c>
      <c r="F10">
        <f>116</f>
        <v>116</v>
      </c>
      <c r="G10">
        <f>G9+G7</f>
        <v>32</v>
      </c>
      <c r="H10">
        <f>H9+H7</f>
        <v>48</v>
      </c>
      <c r="I10">
        <f>I9+I7</f>
        <v>120</v>
      </c>
    </row>
    <row r="11" spans="1:13">
      <c r="E11">
        <v>5</v>
      </c>
      <c r="F11">
        <f>145</f>
        <v>145</v>
      </c>
      <c r="G11">
        <f>G10+G7</f>
        <v>40</v>
      </c>
      <c r="H11">
        <f>H10+H7</f>
        <v>60</v>
      </c>
      <c r="I11">
        <f>I10+I7</f>
        <v>150</v>
      </c>
    </row>
    <row r="13" spans="1:13">
      <c r="E13" s="27" t="s">
        <v>92</v>
      </c>
      <c r="F13" s="27" t="s">
        <v>39</v>
      </c>
      <c r="G13" s="27" t="s">
        <v>40</v>
      </c>
      <c r="H13" s="27" t="s">
        <v>17</v>
      </c>
      <c r="I13" s="27" t="s">
        <v>16</v>
      </c>
    </row>
    <row r="14" spans="1:13">
      <c r="A14" t="s">
        <v>67</v>
      </c>
      <c r="B14">
        <f>LN(19)</f>
        <v>2.9444389791664403</v>
      </c>
      <c r="C14">
        <f>B14*-1</f>
        <v>-2.9444389791664403</v>
      </c>
      <c r="E14">
        <v>1</v>
      </c>
      <c r="F14">
        <f>1/(1+EXP($C$14*(F7-EXP($B$15))/EXP($B$16)))</f>
        <v>4.7838827638302689E-2</v>
      </c>
      <c r="G14">
        <f t="shared" ref="G14:H18" si="0">1/(1+EXP($C$14*(G7-EXP($C$15))/EXP($C$16)))</f>
        <v>6.5999630609980798E-7</v>
      </c>
      <c r="H14">
        <f t="shared" si="0"/>
        <v>2.2916303810939275E-5</v>
      </c>
      <c r="I14">
        <f>1/(1+EXP($C$14*(I7-EXP($B$15))/EXP($B$16)))</f>
        <v>5.497661652089466E-2</v>
      </c>
    </row>
    <row r="15" spans="1:13">
      <c r="A15" t="s">
        <v>65</v>
      </c>
      <c r="B15">
        <v>3.9</v>
      </c>
      <c r="C15">
        <v>3.18</v>
      </c>
      <c r="E15">
        <v>2</v>
      </c>
      <c r="F15">
        <f>1/(1+EXP($C$14*(F8-EXP($B$15))/EXP($B$16)))</f>
        <v>0.77908770219771417</v>
      </c>
      <c r="G15">
        <f t="shared" si="0"/>
        <v>7.9510010555496253E-4</v>
      </c>
      <c r="H15">
        <f t="shared" si="0"/>
        <v>0.48963566154924687</v>
      </c>
      <c r="I15">
        <f>1/(1+EXP($C$14*(I8-EXP($B$15))/EXP($B$16)))</f>
        <v>0.82542555555742758</v>
      </c>
    </row>
    <row r="16" spans="1:13">
      <c r="A16" t="s">
        <v>66</v>
      </c>
      <c r="B16">
        <v>3</v>
      </c>
      <c r="C16">
        <v>1.2</v>
      </c>
      <c r="E16">
        <v>3</v>
      </c>
      <c r="F16">
        <f>1/(1+EXP($C$14*(F9-EXP($B$15))/EXP($B$16)))</f>
        <v>0.99597666392813988</v>
      </c>
      <c r="G16">
        <f t="shared" si="0"/>
        <v>0.48963566154924687</v>
      </c>
      <c r="H16">
        <f t="shared" si="0"/>
        <v>0.99997510235504516</v>
      </c>
      <c r="I16">
        <f>1/(1+EXP($C$14*(I9-EXP($B$15))/EXP($B$16)))</f>
        <v>0.9974045521013235</v>
      </c>
    </row>
    <row r="17" spans="1:68">
      <c r="E17">
        <v>4</v>
      </c>
      <c r="F17">
        <f>1/(1+EXP($C$14*(F10-EXP($B$15))/EXP($B$16)))</f>
        <v>0.99994245391806735</v>
      </c>
      <c r="G17">
        <f t="shared" si="0"/>
        <v>0.99913621329573898</v>
      </c>
      <c r="H17">
        <f t="shared" si="0"/>
        <v>0.99999999940525486</v>
      </c>
      <c r="I17">
        <f>1/(1+EXP($C$14*(I10-EXP($B$15))/EXP($B$16)))</f>
        <v>0.99996798413234689</v>
      </c>
    </row>
    <row r="18" spans="1:68">
      <c r="E18">
        <v>5</v>
      </c>
      <c r="F18">
        <f>1/(1+EXP($C$14*(F11-EXP($B$15))/EXP($B$16)))</f>
        <v>0.99999918013187794</v>
      </c>
      <c r="G18">
        <f t="shared" si="0"/>
        <v>0.99999928293910501</v>
      </c>
      <c r="H18">
        <f t="shared" si="0"/>
        <v>0.99999999999998579</v>
      </c>
      <c r="I18">
        <f>1/(1+EXP($C$14*(I11-EXP($B$15))/EXP($B$16)))</f>
        <v>0.99999960607166472</v>
      </c>
    </row>
    <row r="19" spans="1:68" ht="15" thickBo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1" spans="1:68">
      <c r="A21" s="26" t="s">
        <v>94</v>
      </c>
      <c r="E21" s="27" t="s">
        <v>92</v>
      </c>
      <c r="F21" s="27" t="s">
        <v>39</v>
      </c>
      <c r="G21" s="27" t="s">
        <v>40</v>
      </c>
      <c r="H21" s="27" t="s">
        <v>17</v>
      </c>
      <c r="I21" s="27" t="s">
        <v>16</v>
      </c>
    </row>
    <row r="22" spans="1:68">
      <c r="E22">
        <v>1</v>
      </c>
      <c r="F22">
        <f>(29)</f>
        <v>29</v>
      </c>
      <c r="G22">
        <v>8</v>
      </c>
      <c r="H22">
        <v>12</v>
      </c>
      <c r="I22">
        <v>30</v>
      </c>
    </row>
    <row r="23" spans="1:68">
      <c r="E23">
        <v>2</v>
      </c>
      <c r="F23">
        <f>F22+F22</f>
        <v>58</v>
      </c>
      <c r="G23">
        <f>G22+8</f>
        <v>16</v>
      </c>
      <c r="H23">
        <f>H22+H22</f>
        <v>24</v>
      </c>
      <c r="I23">
        <f>I22+I22</f>
        <v>60</v>
      </c>
    </row>
    <row r="24" spans="1:68">
      <c r="E24">
        <v>3</v>
      </c>
      <c r="F24">
        <f>F23+F22</f>
        <v>87</v>
      </c>
      <c r="G24">
        <f>G23+G22</f>
        <v>24</v>
      </c>
      <c r="H24">
        <f>H23+H22</f>
        <v>36</v>
      </c>
      <c r="I24">
        <f>I23+I22</f>
        <v>90</v>
      </c>
    </row>
    <row r="25" spans="1:68">
      <c r="E25">
        <v>4</v>
      </c>
      <c r="F25">
        <f>F24+F22</f>
        <v>116</v>
      </c>
      <c r="G25">
        <f>G24+G22</f>
        <v>32</v>
      </c>
      <c r="H25">
        <f>H24+H22</f>
        <v>48</v>
      </c>
      <c r="I25">
        <f>I24+I22</f>
        <v>120</v>
      </c>
    </row>
    <row r="26" spans="1:68">
      <c r="E26">
        <v>5</v>
      </c>
      <c r="F26">
        <f>F25+F22</f>
        <v>145</v>
      </c>
      <c r="G26">
        <f>G25+G22</f>
        <v>40</v>
      </c>
      <c r="H26">
        <f>H25+H22</f>
        <v>60</v>
      </c>
      <c r="I26">
        <f>I25+I22</f>
        <v>150</v>
      </c>
    </row>
    <row r="28" spans="1:68">
      <c r="D28" s="26" t="s">
        <v>92</v>
      </c>
      <c r="E28" s="27" t="s">
        <v>98</v>
      </c>
      <c r="F28" s="27" t="s">
        <v>100</v>
      </c>
      <c r="G28" s="27" t="s">
        <v>101</v>
      </c>
      <c r="H28" s="27" t="s">
        <v>102</v>
      </c>
      <c r="I28" s="27" t="s">
        <v>103</v>
      </c>
    </row>
    <row r="29" spans="1:68">
      <c r="A29" t="s">
        <v>67</v>
      </c>
      <c r="B29">
        <f>LN(19)</f>
        <v>2.9444389791664403</v>
      </c>
      <c r="C29">
        <f>B29*-1</f>
        <v>-2.9444389791664403</v>
      </c>
      <c r="D29">
        <v>20</v>
      </c>
      <c r="E29">
        <v>1</v>
      </c>
      <c r="F29">
        <f>1/(1+EXP($C$29*(E29-EXP($B$33))/EXP($C$33)))</f>
        <v>1.5619698743568758E-2</v>
      </c>
      <c r="G29">
        <f>1/(1+EXP($C$29*(E29-EXP($B$34))/EXP($C$34)))</f>
        <v>0.13988676618066023</v>
      </c>
      <c r="H29">
        <f>1/(1+EXP($C$29*(E29-EXP($B$35))/EXP($C$35)))</f>
        <v>0.25009691428851555</v>
      </c>
      <c r="I29">
        <f>1/(1+EXP($C$29*(D29-EXP($B$36))/EXP($C$36)))</f>
        <v>5.8953058199577162E-7</v>
      </c>
    </row>
    <row r="30" spans="1:68">
      <c r="D30">
        <v>30</v>
      </c>
      <c r="E30">
        <v>2</v>
      </c>
      <c r="F30">
        <f t="shared" ref="F30:F38" si="1">1/(1+EXP($C$29*(E30-EXP($B$33))/EXP($C$33)))</f>
        <v>8.6464608867143092E-2</v>
      </c>
      <c r="G30">
        <f t="shared" ref="G30:G36" si="2">1/(1+EXP($C$29*(E30-EXP($B$34))/EXP($C$34)))</f>
        <v>0.2276270846450722</v>
      </c>
      <c r="H30">
        <f t="shared" ref="H30:H38" si="3">1/(1+EXP($C$29*(E30-EXP($B$35))/EXP($C$35)))</f>
        <v>0.49627584061783786</v>
      </c>
      <c r="I30">
        <f t="shared" ref="I30:I39" si="4">1/(1+EXP($C$29*(D30-EXP($B$36))/EXP($C$36)))</f>
        <v>8.5224014576603321E-6</v>
      </c>
    </row>
    <row r="31" spans="1:68">
      <c r="D31">
        <v>40</v>
      </c>
      <c r="E31">
        <v>3</v>
      </c>
      <c r="F31">
        <f t="shared" si="1"/>
        <v>0.36084593903409551</v>
      </c>
      <c r="G31">
        <f t="shared" si="2"/>
        <v>0.34812599948436179</v>
      </c>
      <c r="H31">
        <f t="shared" si="3"/>
        <v>0.74427380308181978</v>
      </c>
      <c r="I31">
        <f t="shared" si="4"/>
        <v>1.2318881580100904E-4</v>
      </c>
    </row>
    <row r="32" spans="1:68">
      <c r="B32" t="s">
        <v>65</v>
      </c>
      <c r="C32" t="s">
        <v>66</v>
      </c>
      <c r="D32">
        <v>50</v>
      </c>
      <c r="E32">
        <v>4</v>
      </c>
      <c r="F32">
        <f t="shared" si="1"/>
        <v>0.77104091140930642</v>
      </c>
      <c r="G32">
        <f t="shared" si="2"/>
        <v>0.49179702771608952</v>
      </c>
      <c r="H32">
        <f t="shared" si="3"/>
        <v>0.8958088835217306</v>
      </c>
      <c r="I32">
        <f t="shared" si="4"/>
        <v>1.7779152387553049E-3</v>
      </c>
    </row>
    <row r="33" spans="1:23">
      <c r="A33" s="28" t="s">
        <v>39</v>
      </c>
      <c r="B33">
        <v>1.2</v>
      </c>
      <c r="C33">
        <v>0.5</v>
      </c>
      <c r="D33">
        <v>60</v>
      </c>
      <c r="E33">
        <v>5</v>
      </c>
      <c r="F33">
        <f t="shared" si="1"/>
        <v>0.95257822039671025</v>
      </c>
      <c r="G33">
        <f t="shared" si="2"/>
        <v>0.6368358846345562</v>
      </c>
      <c r="H33">
        <f t="shared" si="3"/>
        <v>0.96211937572504669</v>
      </c>
      <c r="I33">
        <f t="shared" si="4"/>
        <v>2.5101652158807837E-2</v>
      </c>
    </row>
    <row r="34" spans="1:23">
      <c r="A34" s="28" t="s">
        <v>40</v>
      </c>
      <c r="B34">
        <v>1.4</v>
      </c>
      <c r="C34">
        <v>1.6</v>
      </c>
      <c r="D34">
        <v>70</v>
      </c>
      <c r="E34">
        <v>6</v>
      </c>
      <c r="F34">
        <f t="shared" si="1"/>
        <v>0.99172316320216303</v>
      </c>
      <c r="G34">
        <f t="shared" si="2"/>
        <v>0.76062864464794744</v>
      </c>
      <c r="H34">
        <f t="shared" si="3"/>
        <v>0.9868474180679041</v>
      </c>
      <c r="I34">
        <f t="shared" si="4"/>
        <v>0.2712549558317553</v>
      </c>
    </row>
    <row r="35" spans="1:23">
      <c r="A35" s="28" t="s">
        <v>17</v>
      </c>
      <c r="B35">
        <v>0.7</v>
      </c>
      <c r="C35">
        <v>1</v>
      </c>
      <c r="D35">
        <v>80</v>
      </c>
      <c r="E35">
        <v>7</v>
      </c>
      <c r="F35">
        <f t="shared" si="1"/>
        <v>0.99860278434705441</v>
      </c>
      <c r="G35">
        <f t="shared" si="2"/>
        <v>0.85202860202867947</v>
      </c>
      <c r="H35">
        <f t="shared" si="3"/>
        <v>0.99550862956769381</v>
      </c>
      <c r="I35">
        <f t="shared" si="4"/>
        <v>0.84328419458259041</v>
      </c>
    </row>
    <row r="36" spans="1:23">
      <c r="A36" s="28" t="s">
        <v>16</v>
      </c>
      <c r="B36">
        <v>4.3</v>
      </c>
      <c r="C36">
        <v>2.4</v>
      </c>
      <c r="D36">
        <v>90</v>
      </c>
      <c r="E36">
        <v>8</v>
      </c>
      <c r="F36">
        <f t="shared" si="1"/>
        <v>0.99976548774366425</v>
      </c>
      <c r="G36">
        <f t="shared" si="2"/>
        <v>0.91254181183058958</v>
      </c>
      <c r="H36">
        <f t="shared" si="3"/>
        <v>0.99847509102180954</v>
      </c>
      <c r="I36">
        <f t="shared" si="4"/>
        <v>0.98730793257836413</v>
      </c>
    </row>
    <row r="37" spans="1:23">
      <c r="D37">
        <v>100</v>
      </c>
      <c r="E37">
        <v>9</v>
      </c>
      <c r="F37">
        <f t="shared" si="1"/>
        <v>0.99996067696215718</v>
      </c>
      <c r="H37">
        <f t="shared" si="3"/>
        <v>0.99948328025193911</v>
      </c>
      <c r="I37">
        <f t="shared" si="4"/>
        <v>0.99911154665302282</v>
      </c>
    </row>
    <row r="38" spans="1:23">
      <c r="D38">
        <v>110</v>
      </c>
      <c r="E38">
        <v>10</v>
      </c>
      <c r="F38">
        <f t="shared" si="1"/>
        <v>0.99999340738049536</v>
      </c>
      <c r="H38">
        <f t="shared" si="3"/>
        <v>0.99982502485228752</v>
      </c>
      <c r="I38">
        <f t="shared" si="4"/>
        <v>0.99993849154169656</v>
      </c>
    </row>
    <row r="39" spans="1:23">
      <c r="D39">
        <v>120</v>
      </c>
      <c r="I39">
        <f t="shared" si="4"/>
        <v>0.9999957449897271</v>
      </c>
      <c r="L39" t="s">
        <v>39</v>
      </c>
      <c r="O39" t="s">
        <v>40</v>
      </c>
      <c r="S39" t="s">
        <v>17</v>
      </c>
      <c r="W39" t="s">
        <v>16</v>
      </c>
    </row>
    <row r="40" spans="1:23">
      <c r="C40" s="27"/>
      <c r="E40" s="27"/>
      <c r="G40" s="27"/>
    </row>
    <row r="41" spans="1:23">
      <c r="B41" s="30"/>
      <c r="D41" s="30"/>
      <c r="F41" s="30"/>
    </row>
    <row r="42" spans="1:23">
      <c r="B42" s="30"/>
      <c r="D42" s="30"/>
      <c r="F42" s="30"/>
    </row>
    <row r="43" spans="1:23">
      <c r="B43" s="30"/>
      <c r="D43" s="30"/>
      <c r="F43" s="30"/>
    </row>
    <row r="44" spans="1:23">
      <c r="B44" s="30"/>
      <c r="D44" s="30"/>
      <c r="F44" s="30"/>
    </row>
    <row r="45" spans="1:23">
      <c r="B45" s="30"/>
      <c r="D45" s="30"/>
      <c r="F45" s="30"/>
    </row>
    <row r="46" spans="1:23">
      <c r="B46" s="30"/>
      <c r="D46" s="30"/>
      <c r="F46" s="30"/>
    </row>
    <row r="47" spans="1:23">
      <c r="B47" s="30"/>
      <c r="D47" s="30"/>
      <c r="F47" s="30"/>
    </row>
    <row r="48" spans="1:23">
      <c r="B48" s="30"/>
      <c r="F48" s="30"/>
    </row>
    <row r="49" spans="2:6">
      <c r="B49" s="30"/>
      <c r="F49" s="30"/>
    </row>
    <row r="50" spans="2:6">
      <c r="B50" s="30"/>
      <c r="F50" s="30"/>
    </row>
    <row r="67" spans="9:24">
      <c r="I67" t="s">
        <v>104</v>
      </c>
      <c r="J67" t="s">
        <v>39</v>
      </c>
      <c r="K67" t="s">
        <v>105</v>
      </c>
      <c r="X67" t="s">
        <v>16</v>
      </c>
    </row>
    <row r="68" spans="9:24">
      <c r="I68">
        <v>1</v>
      </c>
      <c r="J68">
        <f>114*(1-EXP(-0.1975*I68))</f>
        <v>20.431063968439378</v>
      </c>
      <c r="K68">
        <v>0</v>
      </c>
      <c r="N68">
        <v>1</v>
      </c>
      <c r="O68">
        <f>29*(1-EXP(-0.45*N68))</f>
        <v>10.508783602968574</v>
      </c>
      <c r="P68">
        <v>0</v>
      </c>
      <c r="R68">
        <v>1</v>
      </c>
      <c r="S68">
        <f>43.3*(1-EXP(-0.206*R68))</f>
        <v>8.061027796949535</v>
      </c>
      <c r="T68">
        <v>0</v>
      </c>
      <c r="W68">
        <v>50</v>
      </c>
      <c r="X68">
        <v>0</v>
      </c>
    </row>
    <row r="69" spans="9:24">
      <c r="I69">
        <v>2</v>
      </c>
      <c r="J69">
        <f t="shared" ref="J69:J78" si="5">114*(1-EXP(-0.1975*I69))</f>
        <v>37.200475525629088</v>
      </c>
      <c r="K69">
        <v>0.15</v>
      </c>
      <c r="N69">
        <v>2</v>
      </c>
      <c r="O69">
        <f t="shared" ref="O69:O78" si="6">29*(1-EXP(-0.45*N69))</f>
        <v>17.209479867522624</v>
      </c>
      <c r="P69">
        <v>0.1</v>
      </c>
      <c r="R69">
        <v>2</v>
      </c>
      <c r="S69">
        <f t="shared" ref="S69:S78" si="7">43.3*(1-EXP(-0.206*R69))</f>
        <v>14.621358846943103</v>
      </c>
      <c r="T69">
        <v>0.2</v>
      </c>
      <c r="W69">
        <v>55</v>
      </c>
      <c r="X69">
        <v>0</v>
      </c>
    </row>
    <row r="70" spans="9:24">
      <c r="I70">
        <v>3</v>
      </c>
      <c r="J70">
        <f t="shared" si="5"/>
        <v>50.964475501783461</v>
      </c>
      <c r="K70">
        <v>0.45</v>
      </c>
      <c r="N70">
        <v>3</v>
      </c>
      <c r="O70">
        <f t="shared" si="6"/>
        <v>21.482032441269148</v>
      </c>
      <c r="P70">
        <v>0.4</v>
      </c>
      <c r="R70">
        <v>3</v>
      </c>
      <c r="S70">
        <f t="shared" si="7"/>
        <v>19.96037324679374</v>
      </c>
      <c r="T70">
        <v>0.7</v>
      </c>
      <c r="W70">
        <v>60</v>
      </c>
      <c r="X70">
        <v>0</v>
      </c>
    </row>
    <row r="71" spans="9:24">
      <c r="I71">
        <v>4</v>
      </c>
      <c r="J71">
        <f t="shared" si="5"/>
        <v>62.26169333781143</v>
      </c>
      <c r="K71">
        <v>0.75</v>
      </c>
      <c r="N71">
        <v>4</v>
      </c>
      <c r="O71">
        <f t="shared" si="6"/>
        <v>24.206332241573989</v>
      </c>
      <c r="P71">
        <v>0.6</v>
      </c>
      <c r="R71">
        <v>4</v>
      </c>
      <c r="S71">
        <f t="shared" si="7"/>
        <v>24.305439760142992</v>
      </c>
      <c r="T71">
        <v>0.9</v>
      </c>
      <c r="W71">
        <v>65</v>
      </c>
      <c r="X71">
        <v>0.05</v>
      </c>
    </row>
    <row r="72" spans="9:24">
      <c r="I72">
        <v>5</v>
      </c>
      <c r="J72">
        <f t="shared" si="5"/>
        <v>71.534225381968525</v>
      </c>
      <c r="K72">
        <v>1</v>
      </c>
      <c r="N72">
        <v>5</v>
      </c>
      <c r="O72">
        <f t="shared" si="6"/>
        <v>25.943422487705934</v>
      </c>
      <c r="P72">
        <v>0.7</v>
      </c>
      <c r="R72">
        <v>5</v>
      </c>
      <c r="S72">
        <f t="shared" si="7"/>
        <v>27.841598607355916</v>
      </c>
      <c r="T72">
        <v>1</v>
      </c>
      <c r="W72">
        <v>70</v>
      </c>
      <c r="X72">
        <v>0.1</v>
      </c>
    </row>
    <row r="73" spans="9:24">
      <c r="I73">
        <v>6</v>
      </c>
      <c r="J73">
        <f t="shared" si="5"/>
        <v>79.144935537146864</v>
      </c>
      <c r="K73">
        <v>1</v>
      </c>
      <c r="N73">
        <v>6</v>
      </c>
      <c r="O73">
        <f t="shared" si="6"/>
        <v>27.051040130547257</v>
      </c>
      <c r="P73">
        <v>0.8</v>
      </c>
      <c r="R73">
        <v>6</v>
      </c>
      <c r="S73">
        <f t="shared" si="7"/>
        <v>30.719441640208277</v>
      </c>
      <c r="T73">
        <v>1</v>
      </c>
      <c r="W73">
        <v>75</v>
      </c>
      <c r="X73">
        <v>0.3</v>
      </c>
    </row>
    <row r="74" spans="9:24">
      <c r="I74">
        <v>7</v>
      </c>
      <c r="J74">
        <f t="shared" si="5"/>
        <v>85.391655288590982</v>
      </c>
      <c r="K74">
        <v>1</v>
      </c>
      <c r="N74">
        <v>7</v>
      </c>
      <c r="O74">
        <f t="shared" si="6"/>
        <v>27.757288320855835</v>
      </c>
      <c r="P74">
        <v>1</v>
      </c>
      <c r="R74">
        <v>7</v>
      </c>
      <c r="S74">
        <f t="shared" si="7"/>
        <v>33.061525488693889</v>
      </c>
      <c r="T74">
        <v>1</v>
      </c>
      <c r="W74">
        <v>80</v>
      </c>
      <c r="X74">
        <v>0.6</v>
      </c>
    </row>
    <row r="75" spans="9:24">
      <c r="I75">
        <v>8</v>
      </c>
      <c r="J75">
        <f t="shared" si="5"/>
        <v>90.518838804643281</v>
      </c>
      <c r="K75">
        <v>1</v>
      </c>
      <c r="N75">
        <v>8</v>
      </c>
      <c r="O75">
        <f t="shared" si="6"/>
        <v>28.207612049028516</v>
      </c>
      <c r="P75">
        <v>1</v>
      </c>
      <c r="R75">
        <v>8</v>
      </c>
      <c r="S75">
        <f t="shared" si="7"/>
        <v>34.967590792019472</v>
      </c>
      <c r="T75">
        <v>1</v>
      </c>
      <c r="W75">
        <v>85</v>
      </c>
      <c r="X75">
        <v>0.8</v>
      </c>
    </row>
    <row r="76" spans="9:24">
      <c r="I76">
        <v>9</v>
      </c>
      <c r="J76">
        <f t="shared" si="5"/>
        <v>94.727129211972837</v>
      </c>
      <c r="K76">
        <v>1</v>
      </c>
      <c r="N76">
        <v>9</v>
      </c>
      <c r="O76">
        <f t="shared" si="6"/>
        <v>28.494751135454688</v>
      </c>
      <c r="P76">
        <v>1</v>
      </c>
      <c r="R76">
        <v>9</v>
      </c>
      <c r="S76">
        <f t="shared" si="7"/>
        <v>36.518809781421069</v>
      </c>
      <c r="T76">
        <v>1</v>
      </c>
      <c r="W76">
        <v>90</v>
      </c>
      <c r="X76">
        <v>1</v>
      </c>
    </row>
    <row r="77" spans="9:24">
      <c r="I77">
        <v>10</v>
      </c>
      <c r="J77">
        <f t="shared" si="5"/>
        <v>98.181210404303116</v>
      </c>
      <c r="K77">
        <v>1</v>
      </c>
      <c r="N77">
        <v>10</v>
      </c>
      <c r="O77">
        <f t="shared" si="6"/>
        <v>28.677839100390976</v>
      </c>
      <c r="P77">
        <v>1</v>
      </c>
      <c r="R77">
        <v>10</v>
      </c>
      <c r="S77">
        <f t="shared" si="7"/>
        <v>37.78124310355426</v>
      </c>
      <c r="T77">
        <v>1</v>
      </c>
      <c r="W77">
        <v>95</v>
      </c>
      <c r="X77">
        <v>1</v>
      </c>
    </row>
    <row r="78" spans="9:24">
      <c r="I78">
        <v>11</v>
      </c>
      <c r="J78">
        <f t="shared" si="5"/>
        <v>101.01625165108351</v>
      </c>
      <c r="K78">
        <v>1</v>
      </c>
      <c r="N78">
        <v>11</v>
      </c>
      <c r="O78">
        <f t="shared" si="6"/>
        <v>28.794581141057488</v>
      </c>
      <c r="P78">
        <v>1</v>
      </c>
      <c r="R78">
        <v>11</v>
      </c>
      <c r="S78">
        <f t="shared" si="7"/>
        <v>38.808653097707982</v>
      </c>
      <c r="T78">
        <v>1</v>
      </c>
      <c r="W78">
        <v>100</v>
      </c>
      <c r="X78">
        <v>1</v>
      </c>
    </row>
    <row r="82" spans="21:23">
      <c r="V82">
        <v>60</v>
      </c>
      <c r="W82">
        <v>20</v>
      </c>
    </row>
    <row r="83" spans="21:23">
      <c r="V83">
        <v>25</v>
      </c>
      <c r="W83">
        <v>8</v>
      </c>
    </row>
    <row r="84" spans="21:23">
      <c r="V84">
        <f>LN(V82)</f>
        <v>4.0943445622221004</v>
      </c>
      <c r="W84">
        <f>LN(W82)</f>
        <v>2.9957322735539909</v>
      </c>
    </row>
    <row r="85" spans="21:23">
      <c r="V85">
        <f>LN(V83)</f>
        <v>3.2188758248682006</v>
      </c>
      <c r="W85">
        <f>LN(W83)</f>
        <v>2.0794415416798357</v>
      </c>
    </row>
    <row r="86" spans="21:23">
      <c r="U86">
        <v>2</v>
      </c>
      <c r="V86">
        <f>1/(1+EXP(-LN(19)*(U86-EXP(V$84))/EXP(V$85)))</f>
        <v>1.078507087250577E-3</v>
      </c>
      <c r="W86">
        <f>1/(1+EXP(-LN(19)*(U86-EXP(W$84))/EXP(W$85)))</f>
        <v>1.3250386893592224E-3</v>
      </c>
    </row>
    <row r="87" spans="21:23">
      <c r="U87">
        <v>4</v>
      </c>
      <c r="V87">
        <f t="shared" ref="V87" si="8">1/(1+EXP(-LN(19)*(U87-EXP(V$84))/EXP(V$85)))</f>
        <v>1.364579679461433E-3</v>
      </c>
      <c r="W87">
        <f t="shared" ref="W87:W135" si="9">1/(1+EXP(-LN(19)*(U87-EXP(W$84))/EXP(W$85)))</f>
        <v>2.7624309392265205E-3</v>
      </c>
    </row>
    <row r="88" spans="21:23">
      <c r="U88">
        <v>6</v>
      </c>
      <c r="V88">
        <f t="shared" ref="V88" si="10">1/(1+EXP(-LN(19)*(U88-EXP(V$84))/EXP(V$85)))</f>
        <v>1.7264015106038025E-3</v>
      </c>
      <c r="W88">
        <f>1/(1+EXP(-LN(19)*(U88-EXP(W$84))/EXP(W$85)))</f>
        <v>5.7501178600824054E-3</v>
      </c>
    </row>
    <row r="89" spans="21:23">
      <c r="U89">
        <v>8</v>
      </c>
      <c r="V89">
        <f t="shared" ref="V89" si="11">1/(1+EXP(-LN(19)*(U89-EXP(V$84))/EXP(V$85)))</f>
        <v>2.1839515258005766E-3</v>
      </c>
      <c r="W89">
        <f t="shared" si="9"/>
        <v>1.1930457848829517E-2</v>
      </c>
    </row>
    <row r="90" spans="21:23">
      <c r="U90">
        <v>10</v>
      </c>
      <c r="V90">
        <f t="shared" ref="V90" si="12">1/(1+EXP(-LN(19)*(U90-EXP(V$84))/EXP(V$85)))</f>
        <v>2.7624309392265227E-3</v>
      </c>
      <c r="W90">
        <f t="shared" si="9"/>
        <v>2.4589264026618745E-2</v>
      </c>
    </row>
    <row r="91" spans="21:23">
      <c r="U91">
        <v>12</v>
      </c>
      <c r="V91">
        <f t="shared" ref="V91" si="13">1/(1+EXP(-LN(19)*(U91-EXP(V$84))/EXP(V$85)))</f>
        <v>3.4935999962474786E-3</v>
      </c>
      <c r="W91">
        <f t="shared" si="9"/>
        <v>5.0000000000000051E-2</v>
      </c>
    </row>
    <row r="92" spans="21:23">
      <c r="U92">
        <v>14</v>
      </c>
      <c r="V92">
        <f t="shared" ref="V92" si="14">1/(1+EXP(-LN(19)*(U92-EXP(V$84))/EXP(V$85)))</f>
        <v>4.4174399508404745E-3</v>
      </c>
      <c r="W92">
        <f t="shared" si="9"/>
        <v>9.900501069711716E-2</v>
      </c>
    </row>
    <row r="93" spans="21:23">
      <c r="U93">
        <v>16</v>
      </c>
      <c r="V93">
        <f t="shared" ref="V93" si="15">1/(1+EXP(-LN(19)*(U93-EXP(V$84))/EXP(V$85)))</f>
        <v>5.5842091307108221E-3</v>
      </c>
      <c r="W93">
        <f t="shared" si="9"/>
        <v>0.18660549686337091</v>
      </c>
    </row>
    <row r="94" spans="21:23">
      <c r="U94">
        <v>18</v>
      </c>
      <c r="V94">
        <f t="shared" ref="V94" si="16">1/(1+EXP(-LN(19)*(U94-EXP(V$84))/EXP(V$85)))</f>
        <v>7.0569701743879451E-3</v>
      </c>
      <c r="W94">
        <f t="shared" si="9"/>
        <v>0.32385542054539412</v>
      </c>
    </row>
    <row r="95" spans="21:23">
      <c r="U95">
        <v>20</v>
      </c>
      <c r="V95">
        <f t="shared" ref="V95" si="17">1/(1+EXP(-LN(19)*(U95-EXP(V$84))/EXP(V$85)))</f>
        <v>8.9146703051333539E-3</v>
      </c>
      <c r="W95">
        <f t="shared" si="9"/>
        <v>0.50000000000000033</v>
      </c>
    </row>
    <row r="96" spans="21:23">
      <c r="U96">
        <v>22</v>
      </c>
      <c r="V96">
        <f t="shared" ref="V96" si="18">1/(1+EXP(-LN(19)*(U96-EXP(V$84))/EXP(V$85)))</f>
        <v>1.1255854013984261E-2</v>
      </c>
      <c r="W96">
        <f t="shared" si="9"/>
        <v>0.67614457945460638</v>
      </c>
    </row>
    <row r="97" spans="21:23">
      <c r="U97">
        <v>24</v>
      </c>
      <c r="V97">
        <f t="shared" ref="V97" si="19">1/(1+EXP(-LN(19)*(U97-EXP(V$84))/EXP(V$85)))</f>
        <v>1.4203071562854228E-2</v>
      </c>
      <c r="W97">
        <f t="shared" si="9"/>
        <v>0.81339450313662953</v>
      </c>
    </row>
    <row r="98" spans="21:23">
      <c r="U98">
        <v>26</v>
      </c>
      <c r="V98">
        <f t="shared" ref="V98" si="20">1/(1+EXP(-LN(19)*(U98-EXP(V$84))/EXP(V$85)))</f>
        <v>1.7908007708085445E-2</v>
      </c>
      <c r="W98">
        <f t="shared" si="9"/>
        <v>0.90099498930288313</v>
      </c>
    </row>
    <row r="99" spans="21:23">
      <c r="U99">
        <v>28</v>
      </c>
      <c r="V99">
        <f t="shared" ref="V99" si="21">1/(1+EXP(-LN(19)*(U99-EXP(V$84))/EXP(V$85)))</f>
        <v>2.2557278817297115E-2</v>
      </c>
      <c r="W99">
        <f t="shared" si="9"/>
        <v>0.95000000000000007</v>
      </c>
    </row>
    <row r="100" spans="21:23">
      <c r="U100">
        <v>30</v>
      </c>
      <c r="V100">
        <f t="shared" ref="V100" si="22">1/(1+EXP(-LN(19)*(U100-EXP(V$84))/EXP(V$85)))</f>
        <v>2.8378713254882403E-2</v>
      </c>
      <c r="W100">
        <f t="shared" si="9"/>
        <v>0.97541073597338135</v>
      </c>
    </row>
    <row r="101" spans="21:23">
      <c r="U101">
        <v>32</v>
      </c>
      <c r="V101">
        <f t="shared" ref="V101" si="23">1/(1+EXP(-LN(19)*(U101-EXP(V$84))/EXP(V$85)))</f>
        <v>3.5647713715120453E-2</v>
      </c>
      <c r="W101">
        <f t="shared" si="9"/>
        <v>0.98806954215117049</v>
      </c>
    </row>
    <row r="102" spans="21:23">
      <c r="U102">
        <v>34</v>
      </c>
      <c r="V102">
        <f t="shared" ref="V102" si="24">1/(1+EXP(-LN(19)*(U102-EXP(V$84))/EXP(V$85)))</f>
        <v>4.4692971251104142E-2</v>
      </c>
      <c r="W102">
        <f t="shared" si="9"/>
        <v>0.99424988213991772</v>
      </c>
    </row>
    <row r="103" spans="21:23">
      <c r="U103">
        <v>36</v>
      </c>
      <c r="V103">
        <f t="shared" ref="V103" si="25">1/(1+EXP(-LN(19)*(U103-EXP(V$84))/EXP(V$85)))</f>
        <v>5.5900332092908379E-2</v>
      </c>
      <c r="W103">
        <f t="shared" si="9"/>
        <v>0.99723756906077354</v>
      </c>
    </row>
    <row r="104" spans="21:23">
      <c r="U104">
        <v>38</v>
      </c>
      <c r="V104">
        <f t="shared" ref="V104" si="26">1/(1+EXP(-LN(19)*(U104-EXP(V$84))/EXP(V$85)))</f>
        <v>6.9713001622540752E-2</v>
      </c>
      <c r="W104">
        <f t="shared" si="9"/>
        <v>0.99867496131064082</v>
      </c>
    </row>
    <row r="105" spans="21:23">
      <c r="U105">
        <v>40</v>
      </c>
      <c r="V105">
        <f t="shared" ref="V105" si="27">1/(1+EXP(-LN(19)*(U105-EXP(V$84))/EXP(V$85)))</f>
        <v>8.6625545088092212E-2</v>
      </c>
      <c r="W105">
        <f t="shared" si="9"/>
        <v>0.99936490295674152</v>
      </c>
    </row>
    <row r="106" spans="21:23">
      <c r="U106">
        <v>42</v>
      </c>
      <c r="V106">
        <f t="shared" ref="V106" si="28">1/(1+EXP(-LN(19)*(U106-EXP(V$84))/EXP(V$85)))</f>
        <v>0.10716844700002663</v>
      </c>
      <c r="W106">
        <f t="shared" si="9"/>
        <v>0.99969570457462276</v>
      </c>
    </row>
    <row r="107" spans="21:23">
      <c r="U107">
        <v>44</v>
      </c>
      <c r="V107">
        <f t="shared" ref="V107" si="29">1/(1+EXP(-LN(19)*(U107-EXP(V$84))/EXP(V$85)))</f>
        <v>0.13187960949253505</v>
      </c>
      <c r="W107">
        <f t="shared" si="9"/>
        <v>0.99985422740524788</v>
      </c>
    </row>
    <row r="108" spans="21:23">
      <c r="U108">
        <v>46</v>
      </c>
      <c r="V108">
        <f t="shared" ref="V108" si="30">1/(1+EXP(-LN(19)*(U108-EXP(V$84))/EXP(V$85)))</f>
        <v>0.1612595899229845</v>
      </c>
      <c r="W108">
        <f t="shared" si="9"/>
        <v>0.99993017346838065</v>
      </c>
    </row>
    <row r="109" spans="21:23">
      <c r="U109">
        <v>48</v>
      </c>
      <c r="V109">
        <f t="shared" ref="V109" si="31">1/(1+EXP(-LN(19)*(U109-EXP(V$84))/EXP(V$85)))</f>
        <v>0.19570924742660514</v>
      </c>
      <c r="W109">
        <f t="shared" si="9"/>
        <v>0.99996655371617349</v>
      </c>
    </row>
    <row r="110" spans="21:23">
      <c r="U110">
        <v>50</v>
      </c>
      <c r="V110">
        <f t="shared" ref="V110" si="32">1/(1+EXP(-LN(19)*(U110-EXP(V$84))/EXP(V$85)))</f>
        <v>0.23545238646229993</v>
      </c>
      <c r="W110">
        <f t="shared" si="9"/>
        <v>0.99998397983300413</v>
      </c>
    </row>
    <row r="111" spans="21:23">
      <c r="U111">
        <v>52</v>
      </c>
      <c r="V111">
        <f t="shared" ref="V111" si="33">1/(1+EXP(-LN(19)*(U111-EXP(V$84))/EXP(V$85)))</f>
        <v>0.28045203560519777</v>
      </c>
      <c r="W111">
        <f t="shared" si="9"/>
        <v>0.99999232669848537</v>
      </c>
    </row>
    <row r="112" spans="21:23">
      <c r="U112">
        <v>54</v>
      </c>
      <c r="V112">
        <f t="shared" ref="V112" si="34">1/(1+EXP(-LN(19)*(U112-EXP(V$84))/EXP(V$85)))</f>
        <v>0.33033609308141093</v>
      </c>
      <c r="W112">
        <f t="shared" si="9"/>
        <v>0.99999632467626043</v>
      </c>
    </row>
    <row r="113" spans="21:23">
      <c r="U113">
        <v>56</v>
      </c>
      <c r="V113">
        <f t="shared" ref="V113" si="35">1/(1+EXP(-LN(19)*(U113-EXP(V$84))/EXP(V$85)))</f>
        <v>0.38435349916488909</v>
      </c>
      <c r="W113">
        <f t="shared" si="9"/>
        <v>0.99999823961349266</v>
      </c>
    </row>
    <row r="114" spans="21:23">
      <c r="U114">
        <v>58</v>
      </c>
      <c r="V114">
        <f t="shared" ref="V114" si="36">1/(1+EXP(-LN(19)*(U114-EXP(V$84))/EXP(V$85)))</f>
        <v>0.44138201095276774</v>
      </c>
      <c r="W114">
        <f t="shared" si="9"/>
        <v>0.9999991568205191</v>
      </c>
    </row>
    <row r="115" spans="21:23">
      <c r="U115">
        <v>60</v>
      </c>
      <c r="V115">
        <f t="shared" ref="V115" si="37">1/(1+EXP(-LN(19)*(U115-EXP(V$84))/EXP(V$85)))</f>
        <v>0.50000000000000044</v>
      </c>
      <c r="W115">
        <f t="shared" si="9"/>
        <v>0.99999959613908962</v>
      </c>
    </row>
    <row r="116" spans="21:23">
      <c r="U116">
        <v>62</v>
      </c>
      <c r="V116">
        <f t="shared" ref="V116" si="38">1/(1+EXP(-LN(19)*(U116-EXP(V$84))/EXP(V$85)))</f>
        <v>0.55861798904723303</v>
      </c>
      <c r="W116">
        <f t="shared" si="9"/>
        <v>0.99999980656123488</v>
      </c>
    </row>
    <row r="117" spans="21:23">
      <c r="U117">
        <v>64</v>
      </c>
      <c r="V117">
        <f t="shared" ref="V117" si="39">1/(1+EXP(-LN(19)*(U117-EXP(V$84))/EXP(V$85)))</f>
        <v>0.61564650083511174</v>
      </c>
      <c r="W117">
        <f t="shared" si="9"/>
        <v>0.9999999073479241</v>
      </c>
    </row>
    <row r="118" spans="21:23">
      <c r="U118">
        <v>66</v>
      </c>
      <c r="V118">
        <f t="shared" ref="V118" si="40">1/(1+EXP(-LN(19)*(U118-EXP(V$84))/EXP(V$85)))</f>
        <v>0.66966390691858979</v>
      </c>
      <c r="W118">
        <f t="shared" si="9"/>
        <v>0.99999995562209709</v>
      </c>
    </row>
    <row r="119" spans="21:23">
      <c r="U119">
        <v>68</v>
      </c>
      <c r="V119">
        <f t="shared" ref="V119" si="41">1/(1+EXP(-LN(19)*(U119-EXP(V$84))/EXP(V$85)))</f>
        <v>0.71954796439480295</v>
      </c>
      <c r="W119">
        <f t="shared" si="9"/>
        <v>0.99999997874415447</v>
      </c>
    </row>
    <row r="120" spans="21:23">
      <c r="U120">
        <v>70</v>
      </c>
      <c r="V120">
        <f t="shared" ref="V120" si="42">1/(1+EXP(-LN(19)*(U120-EXP(V$84))/EXP(V$85)))</f>
        <v>0.76454761353770073</v>
      </c>
      <c r="W120">
        <f t="shared" si="9"/>
        <v>0.9999999898190105</v>
      </c>
    </row>
    <row r="121" spans="21:23">
      <c r="U121">
        <v>72</v>
      </c>
      <c r="V121">
        <f t="shared" ref="V121" si="43">1/(1+EXP(-LN(19)*(U121-EXP(V$84))/EXP(V$85)))</f>
        <v>0.80429075257339533</v>
      </c>
      <c r="W121">
        <f t="shared" si="9"/>
        <v>0.99999999512357451</v>
      </c>
    </row>
    <row r="122" spans="21:23">
      <c r="U122">
        <v>74</v>
      </c>
      <c r="V122">
        <f t="shared" ref="V122" si="44">1/(1+EXP(-LN(19)*(U122-EXP(V$84))/EXP(V$85)))</f>
        <v>0.83874041007701583</v>
      </c>
      <c r="W122">
        <f t="shared" si="9"/>
        <v>0.99999999766432079</v>
      </c>
    </row>
    <row r="123" spans="21:23">
      <c r="U123">
        <v>76</v>
      </c>
      <c r="V123">
        <f t="shared" ref="V123" si="45">1/(1+EXP(-LN(19)*(U123-EXP(V$84))/EXP(V$85)))</f>
        <v>0.86812039050746537</v>
      </c>
      <c r="W123">
        <f t="shared" si="9"/>
        <v>0.99999999888127133</v>
      </c>
    </row>
    <row r="124" spans="21:23">
      <c r="U124">
        <v>78</v>
      </c>
      <c r="V124">
        <f t="shared" ref="V124" si="46">1/(1+EXP(-LN(19)*(U124-EXP(V$84))/EXP(V$85)))</f>
        <v>0.89283155299997363</v>
      </c>
      <c r="W124">
        <f t="shared" si="9"/>
        <v>0.99999999946415841</v>
      </c>
    </row>
    <row r="125" spans="21:23">
      <c r="U125">
        <v>80</v>
      </c>
      <c r="V125">
        <f t="shared" ref="V125" si="47">1/(1+EXP(-LN(19)*(U125-EXP(V$84))/EXP(V$85)))</f>
        <v>0.91337445491190794</v>
      </c>
      <c r="W125">
        <f t="shared" si="9"/>
        <v>0.99999999974334597</v>
      </c>
    </row>
    <row r="126" spans="21:23">
      <c r="U126">
        <v>82</v>
      </c>
      <c r="V126">
        <f t="shared" ref="V126" si="48">1/(1+EXP(-LN(19)*(U126-EXP(V$84))/EXP(V$85)))</f>
        <v>0.93028699837745954</v>
      </c>
      <c r="W126">
        <f t="shared" si="9"/>
        <v>0.99999999987706945</v>
      </c>
    </row>
    <row r="127" spans="21:23">
      <c r="U127">
        <v>84</v>
      </c>
      <c r="V127">
        <f t="shared" ref="V127" si="49">1/(1+EXP(-LN(19)*(U127-EXP(V$84))/EXP(V$85)))</f>
        <v>0.94409966790709177</v>
      </c>
      <c r="W127">
        <f t="shared" si="9"/>
        <v>0.99999999994111954</v>
      </c>
    </row>
    <row r="128" spans="21:23">
      <c r="U128">
        <v>86</v>
      </c>
      <c r="V128">
        <f t="shared" ref="V128" si="50">1/(1+EXP(-LN(19)*(U128-EXP(V$84))/EXP(V$85)))</f>
        <v>0.95530702874889606</v>
      </c>
      <c r="W128">
        <f t="shared" si="9"/>
        <v>0.99999999997179789</v>
      </c>
    </row>
    <row r="129" spans="21:23">
      <c r="U129">
        <v>88</v>
      </c>
      <c r="V129">
        <f t="shared" ref="V129" si="51">1/(1+EXP(-LN(19)*(U129-EXP(V$84))/EXP(V$85)))</f>
        <v>0.96435228628487957</v>
      </c>
      <c r="W129">
        <f t="shared" si="9"/>
        <v>0.99999999998649192</v>
      </c>
    </row>
    <row r="130" spans="21:23">
      <c r="U130">
        <v>90</v>
      </c>
      <c r="V130">
        <f t="shared" ref="V130" si="52">1/(1+EXP(-LN(19)*(U130-EXP(V$84))/EXP(V$85)))</f>
        <v>0.97162128674511761</v>
      </c>
      <c r="W130">
        <f t="shared" si="9"/>
        <v>0.99999999999353006</v>
      </c>
    </row>
    <row r="131" spans="21:23">
      <c r="U131">
        <v>92</v>
      </c>
      <c r="V131">
        <f t="shared" ref="V131" si="53">1/(1+EXP(-LN(19)*(U131-EXP(V$84))/EXP(V$85)))</f>
        <v>0.97744272118270303</v>
      </c>
      <c r="W131">
        <f t="shared" si="9"/>
        <v>0.99999999999690092</v>
      </c>
    </row>
    <row r="132" spans="21:23">
      <c r="U132">
        <v>94</v>
      </c>
      <c r="V132">
        <f t="shared" ref="V132" si="54">1/(1+EXP(-LN(19)*(U132-EXP(V$84))/EXP(V$85)))</f>
        <v>0.98209199229191457</v>
      </c>
      <c r="W132">
        <f t="shared" si="9"/>
        <v>0.99999999999851563</v>
      </c>
    </row>
    <row r="133" spans="21:23">
      <c r="U133">
        <v>96</v>
      </c>
      <c r="V133">
        <f t="shared" ref="V133" si="55">1/(1+EXP(-LN(19)*(U133-EXP(V$84))/EXP(V$85)))</f>
        <v>0.98579692843714584</v>
      </c>
      <c r="W133">
        <f t="shared" si="9"/>
        <v>0.99999999999928901</v>
      </c>
    </row>
    <row r="134" spans="21:23">
      <c r="U134">
        <v>98</v>
      </c>
      <c r="V134">
        <f t="shared" ref="V134" si="56">1/(1+EXP(-LN(19)*(U134-EXP(V$84))/EXP(V$85)))</f>
        <v>0.98874414598601568</v>
      </c>
      <c r="W134">
        <f t="shared" si="9"/>
        <v>0.99999999999965938</v>
      </c>
    </row>
    <row r="135" spans="21:23">
      <c r="U135">
        <v>100</v>
      </c>
      <c r="V135">
        <f t="shared" ref="V135" si="57">1/(1+EXP(-LN(19)*(U135-EXP(V$84))/EXP(V$85)))</f>
        <v>0.99108532969486673</v>
      </c>
      <c r="W135">
        <f t="shared" si="9"/>
        <v>0.9999999999998368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8026-28D0-4E4A-B0F7-57AE09B5CF80}">
  <dimension ref="C3:Q52"/>
  <sheetViews>
    <sheetView topLeftCell="A26" workbookViewId="0">
      <selection activeCell="M11" sqref="M11"/>
    </sheetView>
  </sheetViews>
  <sheetFormatPr baseColWidth="10" defaultRowHeight="14.5"/>
  <cols>
    <col min="14" max="14" width="15.6328125" bestFit="1" customWidth="1"/>
  </cols>
  <sheetData>
    <row r="3" spans="3:17">
      <c r="J3" t="s">
        <v>0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</row>
    <row r="4" spans="3:17">
      <c r="C4" t="s">
        <v>0</v>
      </c>
      <c r="D4" t="s">
        <v>36</v>
      </c>
      <c r="E4" t="s">
        <v>37</v>
      </c>
      <c r="K4">
        <v>113.59462120000001</v>
      </c>
      <c r="L4">
        <v>29.050664340000001</v>
      </c>
      <c r="M4">
        <v>43.256303600000003</v>
      </c>
      <c r="N4">
        <v>99.99</v>
      </c>
    </row>
    <row r="5" spans="3:17">
      <c r="D5">
        <v>6.85681567472357E-3</v>
      </c>
      <c r="E5">
        <v>6.9628939764720798E-3</v>
      </c>
      <c r="F5">
        <v>3.10242979734439E-3</v>
      </c>
      <c r="G5">
        <v>2.1869134658232701E-3</v>
      </c>
      <c r="J5" t="s">
        <v>0</v>
      </c>
      <c r="K5" t="s">
        <v>42</v>
      </c>
      <c r="L5" t="s">
        <v>48</v>
      </c>
      <c r="M5" t="s">
        <v>44</v>
      </c>
      <c r="N5" t="s">
        <v>45</v>
      </c>
      <c r="O5" t="s">
        <v>46</v>
      </c>
      <c r="P5" t="s">
        <v>47</v>
      </c>
    </row>
    <row r="6" spans="3:17">
      <c r="C6" t="s">
        <v>0</v>
      </c>
      <c r="D6" t="s">
        <v>36</v>
      </c>
      <c r="E6" t="s">
        <v>38</v>
      </c>
      <c r="K6">
        <v>0.197508768</v>
      </c>
      <c r="L6">
        <v>0.45225377</v>
      </c>
      <c r="M6">
        <v>0.205956533</v>
      </c>
      <c r="N6">
        <v>0.1</v>
      </c>
    </row>
    <row r="7" spans="3:17">
      <c r="D7">
        <v>3.0913363875290201</v>
      </c>
      <c r="E7">
        <v>3.08159581281283</v>
      </c>
      <c r="F7">
        <v>3.3210044084015702</v>
      </c>
      <c r="G7">
        <v>3.1396257809827199</v>
      </c>
    </row>
    <row r="8" spans="3:17">
      <c r="K8">
        <v>-0.5</v>
      </c>
      <c r="L8">
        <v>-0.2</v>
      </c>
      <c r="M8">
        <v>-0.5</v>
      </c>
      <c r="N8">
        <v>-0.5</v>
      </c>
    </row>
    <row r="11" spans="3:17">
      <c r="C11" t="s">
        <v>41</v>
      </c>
      <c r="D11" t="s">
        <v>39</v>
      </c>
      <c r="F11" t="s">
        <v>40</v>
      </c>
      <c r="H11" t="s">
        <v>17</v>
      </c>
      <c r="J11" t="s">
        <v>16</v>
      </c>
      <c r="M11">
        <v>29</v>
      </c>
      <c r="N11">
        <v>29</v>
      </c>
      <c r="O11">
        <v>29</v>
      </c>
      <c r="P11">
        <v>29</v>
      </c>
      <c r="Q11">
        <v>29</v>
      </c>
    </row>
    <row r="12" spans="3:17">
      <c r="C12">
        <v>1</v>
      </c>
      <c r="D12">
        <f>$K$4*(1-(EXP(-$K$6*(C12-$K$8))))</f>
        <v>29.126600914118182</v>
      </c>
      <c r="F12">
        <f t="shared" ref="F12:F24" si="0">$L$4*(1-(EXP(-$L$6*(C12-$L$8))))</f>
        <v>12.167164099628295</v>
      </c>
      <c r="H12">
        <f t="shared" ref="H12:H24" si="1">$M$4*(1-(EXP(-$M$6*(C12-$M$8))))</f>
        <v>11.496286612980729</v>
      </c>
      <c r="J12">
        <f t="shared" ref="J12:J41" si="2">$N$4*(1-(EXP(-$N$6*(C12-$N$8))))</f>
        <v>13.927809437258469</v>
      </c>
      <c r="M12">
        <v>8</v>
      </c>
      <c r="N12">
        <v>8</v>
      </c>
      <c r="O12">
        <v>8</v>
      </c>
      <c r="P12">
        <v>8</v>
      </c>
      <c r="Q12">
        <v>8</v>
      </c>
    </row>
    <row r="13" spans="3:17">
      <c r="C13">
        <v>2</v>
      </c>
      <c r="D13">
        <f t="shared" ref="D13:D52" si="3">$K$4*(1-(EXP(-$K$6*(C13-$K$8))))</f>
        <v>44.265555511121313</v>
      </c>
      <c r="F13">
        <f t="shared" si="0"/>
        <v>18.309504692459086</v>
      </c>
      <c r="H13">
        <f t="shared" si="1"/>
        <v>17.407827741374586</v>
      </c>
      <c r="J13">
        <f t="shared" si="2"/>
        <v>22.117709700690224</v>
      </c>
      <c r="M13">
        <v>12</v>
      </c>
      <c r="N13">
        <v>12</v>
      </c>
      <c r="O13">
        <v>12</v>
      </c>
      <c r="P13">
        <v>12</v>
      </c>
      <c r="Q13">
        <v>12</v>
      </c>
    </row>
    <row r="14" spans="3:17">
      <c r="C14">
        <v>3</v>
      </c>
      <c r="D14">
        <f t="shared" si="3"/>
        <v>56.691199845679137</v>
      </c>
      <c r="F14">
        <f t="shared" si="0"/>
        <v>22.217216954600417</v>
      </c>
      <c r="H14">
        <f t="shared" si="1"/>
        <v>22.219044568085131</v>
      </c>
      <c r="J14">
        <f t="shared" si="2"/>
        <v>29.52823790902584</v>
      </c>
      <c r="M14">
        <v>30</v>
      </c>
      <c r="N14">
        <v>30</v>
      </c>
      <c r="O14">
        <v>30</v>
      </c>
      <c r="P14">
        <v>30</v>
      </c>
      <c r="Q14">
        <v>30</v>
      </c>
    </row>
    <row r="15" spans="3:17">
      <c r="C15">
        <v>4</v>
      </c>
      <c r="D15">
        <f t="shared" si="3"/>
        <v>66.889832527984197</v>
      </c>
      <c r="F15">
        <f t="shared" si="0"/>
        <v>24.703274979698012</v>
      </c>
      <c r="H15">
        <f t="shared" si="1"/>
        <v>26.134742158759227</v>
      </c>
      <c r="J15">
        <f t="shared" si="2"/>
        <v>36.23356111933888</v>
      </c>
    </row>
    <row r="16" spans="3:17">
      <c r="C16">
        <v>5</v>
      </c>
      <c r="D16">
        <f t="shared" si="3"/>
        <v>75.260594300016109</v>
      </c>
      <c r="F16">
        <f t="shared" si="0"/>
        <v>26.28488695354519</v>
      </c>
      <c r="H16">
        <f t="shared" si="1"/>
        <v>29.321604895123162</v>
      </c>
      <c r="J16">
        <f t="shared" si="2"/>
        <v>42.300788460055138</v>
      </c>
    </row>
    <row r="17" spans="3:10">
      <c r="C17">
        <v>6</v>
      </c>
      <c r="D17">
        <f t="shared" si="3"/>
        <v>82.131089083663255</v>
      </c>
      <c r="F17">
        <f t="shared" si="0"/>
        <v>27.291096949676941</v>
      </c>
      <c r="H17">
        <f t="shared" si="1"/>
        <v>31.915291936894079</v>
      </c>
      <c r="J17">
        <f t="shared" si="2"/>
        <v>47.790642781666001</v>
      </c>
    </row>
    <row r="18" spans="3:10">
      <c r="C18">
        <v>7</v>
      </c>
      <c r="D18">
        <f t="shared" si="3"/>
        <v>87.770205314379339</v>
      </c>
      <c r="F18">
        <f t="shared" si="0"/>
        <v>27.931240406515293</v>
      </c>
      <c r="H18">
        <f t="shared" si="1"/>
        <v>34.026211994381654</v>
      </c>
      <c r="J18">
        <f t="shared" si="2"/>
        <v>52.758068391425937</v>
      </c>
    </row>
    <row r="19" spans="3:10">
      <c r="C19">
        <v>8</v>
      </c>
      <c r="D19">
        <f t="shared" si="3"/>
        <v>92.398639344955086</v>
      </c>
      <c r="F19">
        <f t="shared" si="0"/>
        <v>28.338495002383265</v>
      </c>
      <c r="H19">
        <f t="shared" si="1"/>
        <v>35.744223233725663</v>
      </c>
      <c r="J19">
        <f t="shared" si="2"/>
        <v>57.252780954446827</v>
      </c>
    </row>
    <row r="20" spans="3:10">
      <c r="C20">
        <v>9</v>
      </c>
      <c r="D20">
        <f t="shared" si="3"/>
        <v>96.197532770613606</v>
      </c>
      <c r="F20">
        <f t="shared" si="0"/>
        <v>28.597587404381326</v>
      </c>
      <c r="H20">
        <f t="shared" si="1"/>
        <v>37.142458381495921</v>
      </c>
      <c r="J20">
        <f t="shared" si="2"/>
        <v>61.31976506478442</v>
      </c>
    </row>
    <row r="21" spans="3:10">
      <c r="C21">
        <v>10</v>
      </c>
      <c r="D21">
        <f t="shared" si="3"/>
        <v>99.315561711757752</v>
      </c>
      <c r="F21">
        <f t="shared" si="0"/>
        <v>28.762420099835754</v>
      </c>
      <c r="H21">
        <f t="shared" si="1"/>
        <v>38.280437856651517</v>
      </c>
      <c r="J21">
        <f t="shared" si="2"/>
        <v>64.999724466375582</v>
      </c>
    </row>
    <row r="22" spans="3:10">
      <c r="C22">
        <v>11</v>
      </c>
      <c r="D22">
        <f t="shared" si="3"/>
        <v>101.87475550544178</v>
      </c>
      <c r="F22">
        <f t="shared" si="0"/>
        <v>28.867285457836395</v>
      </c>
      <c r="H22">
        <f t="shared" si="1"/>
        <v>39.206603450429157</v>
      </c>
      <c r="J22">
        <f t="shared" si="2"/>
        <v>68.329489429788467</v>
      </c>
    </row>
    <row r="23" spans="3:10">
      <c r="C23">
        <v>12</v>
      </c>
      <c r="D23">
        <f t="shared" si="3"/>
        <v>103.97527252990136</v>
      </c>
      <c r="F23">
        <f t="shared" si="0"/>
        <v>28.934000033353627</v>
      </c>
      <c r="H23">
        <f t="shared" si="1"/>
        <v>39.960380408471572</v>
      </c>
      <c r="J23">
        <f t="shared" si="2"/>
        <v>71.342385361949582</v>
      </c>
    </row>
    <row r="24" spans="3:10">
      <c r="C24">
        <v>13</v>
      </c>
      <c r="D24">
        <f t="shared" si="3"/>
        <v>105.6993200721131</v>
      </c>
      <c r="F24">
        <f t="shared" si="0"/>
        <v>28.976443359455818</v>
      </c>
      <c r="H24">
        <f t="shared" si="1"/>
        <v>40.573855694417126</v>
      </c>
      <c r="J24">
        <f t="shared" si="2"/>
        <v>74.068566338017305</v>
      </c>
    </row>
    <row r="25" spans="3:10">
      <c r="C25">
        <v>14</v>
      </c>
      <c r="D25">
        <f t="shared" si="3"/>
        <v>107.11437164903191</v>
      </c>
      <c r="J25">
        <f t="shared" si="2"/>
        <v>76.535316893501175</v>
      </c>
    </row>
    <row r="26" spans="3:10">
      <c r="C26">
        <v>15</v>
      </c>
      <c r="D26">
        <f t="shared" si="3"/>
        <v>108.27580769781491</v>
      </c>
      <c r="J26">
        <f t="shared" si="2"/>
        <v>78.76732509706396</v>
      </c>
    </row>
    <row r="27" spans="3:10">
      <c r="C27">
        <v>16</v>
      </c>
      <c r="D27">
        <f t="shared" si="3"/>
        <v>109.22908298291077</v>
      </c>
      <c r="J27">
        <f t="shared" si="2"/>
        <v>80.786929637010786</v>
      </c>
    </row>
    <row r="28" spans="3:10">
      <c r="C28">
        <v>17</v>
      </c>
      <c r="D28">
        <f t="shared" si="3"/>
        <v>110.01150554515759</v>
      </c>
      <c r="J28">
        <f t="shared" si="2"/>
        <v>82.614343394389977</v>
      </c>
    </row>
    <row r="29" spans="3:10">
      <c r="C29">
        <v>18</v>
      </c>
      <c r="D29">
        <f t="shared" si="3"/>
        <v>110.6536968150711</v>
      </c>
      <c r="J29">
        <f t="shared" si="2"/>
        <v>84.267855740300377</v>
      </c>
    </row>
    <row r="30" spans="3:10">
      <c r="C30">
        <v>19</v>
      </c>
      <c r="D30">
        <f t="shared" si="3"/>
        <v>111.180790034327</v>
      </c>
      <c r="J30">
        <f t="shared" si="2"/>
        <v>85.764015582064516</v>
      </c>
    </row>
    <row r="31" spans="3:10">
      <c r="C31">
        <v>20</v>
      </c>
      <c r="D31">
        <f t="shared" si="3"/>
        <v>111.61341388768919</v>
      </c>
      <c r="J31">
        <f t="shared" si="2"/>
        <v>87.117796990255457</v>
      </c>
    </row>
    <row r="32" spans="3:10">
      <c r="C32">
        <v>21</v>
      </c>
      <c r="D32">
        <f t="shared" si="3"/>
        <v>111.96849984148345</v>
      </c>
      <c r="J32">
        <f t="shared" si="2"/>
        <v>88.34274906422803</v>
      </c>
    </row>
    <row r="33" spans="3:10">
      <c r="C33">
        <v>22</v>
      </c>
      <c r="D33">
        <f t="shared" si="3"/>
        <v>112.25994478517315</v>
      </c>
      <c r="J33">
        <f t="shared" si="2"/>
        <v>89.451131536059179</v>
      </c>
    </row>
    <row r="34" spans="3:10">
      <c r="C34">
        <v>23</v>
      </c>
      <c r="D34">
        <f t="shared" si="3"/>
        <v>112.49915490963645</v>
      </c>
      <c r="J34">
        <f t="shared" si="2"/>
        <v>90.454037470067192</v>
      </c>
    </row>
    <row r="35" spans="3:10">
      <c r="C35">
        <v>24</v>
      </c>
      <c r="D35">
        <f t="shared" si="3"/>
        <v>112.69549210774092</v>
      </c>
      <c r="J35">
        <f t="shared" si="2"/>
        <v>91.361504285927936</v>
      </c>
    </row>
    <row r="36" spans="3:10">
      <c r="C36">
        <v>25</v>
      </c>
      <c r="D36">
        <f t="shared" si="3"/>
        <v>112.85664036785742</v>
      </c>
      <c r="J36">
        <f t="shared" si="2"/>
        <v>92.182614216544692</v>
      </c>
    </row>
    <row r="37" spans="3:10">
      <c r="C37">
        <v>26</v>
      </c>
      <c r="D37">
        <f t="shared" si="3"/>
        <v>112.98890649974322</v>
      </c>
      <c r="J37">
        <f t="shared" si="2"/>
        <v>92.925585206087646</v>
      </c>
    </row>
    <row r="38" spans="3:10">
      <c r="C38">
        <v>27</v>
      </c>
      <c r="D38">
        <f t="shared" si="3"/>
        <v>113.09746696221043</v>
      </c>
      <c r="J38">
        <f t="shared" si="2"/>
        <v>93.597853157941302</v>
      </c>
    </row>
    <row r="39" spans="3:10">
      <c r="C39">
        <v>28</v>
      </c>
      <c r="D39">
        <f t="shared" si="3"/>
        <v>113.18657045259805</v>
      </c>
      <c r="J39">
        <f t="shared" si="2"/>
        <v>94.206146355724897</v>
      </c>
    </row>
    <row r="40" spans="3:10">
      <c r="C40">
        <v>29</v>
      </c>
      <c r="D40">
        <f t="shared" si="3"/>
        <v>113.25970418672942</v>
      </c>
      <c r="J40">
        <f t="shared" si="2"/>
        <v>94.756552802216234</v>
      </c>
    </row>
    <row r="41" spans="3:10">
      <c r="C41">
        <v>30</v>
      </c>
      <c r="D41">
        <f t="shared" si="3"/>
        <v>113.31973037700246</v>
      </c>
      <c r="J41">
        <f t="shared" si="2"/>
        <v>95.254581150129823</v>
      </c>
    </row>
    <row r="42" spans="3:10">
      <c r="C42">
        <v>31</v>
      </c>
      <c r="D42">
        <f t="shared" si="3"/>
        <v>113.3689982499135</v>
      </c>
    </row>
    <row r="43" spans="3:10">
      <c r="C43">
        <v>32</v>
      </c>
      <c r="D43">
        <f t="shared" si="3"/>
        <v>113.40943598701023</v>
      </c>
    </row>
    <row r="44" spans="3:10">
      <c r="C44">
        <v>33</v>
      </c>
      <c r="D44">
        <f t="shared" si="3"/>
        <v>113.4426261875382</v>
      </c>
    </row>
    <row r="45" spans="3:10">
      <c r="C45">
        <v>34</v>
      </c>
      <c r="D45">
        <f t="shared" si="3"/>
        <v>113.46986780613945</v>
      </c>
    </row>
    <row r="46" spans="3:10">
      <c r="C46">
        <v>35</v>
      </c>
      <c r="D46">
        <f t="shared" si="3"/>
        <v>113.49222698963972</v>
      </c>
    </row>
    <row r="47" spans="3:10">
      <c r="C47">
        <v>36</v>
      </c>
      <c r="D47">
        <f t="shared" si="3"/>
        <v>113.51057880250801</v>
      </c>
    </row>
    <row r="48" spans="3:10">
      <c r="C48">
        <v>37</v>
      </c>
      <c r="D48">
        <f t="shared" si="3"/>
        <v>113.52564147398471</v>
      </c>
    </row>
    <row r="49" spans="3:4">
      <c r="C49">
        <v>38</v>
      </c>
      <c r="D49">
        <f t="shared" si="3"/>
        <v>113.53800450719805</v>
      </c>
    </row>
    <row r="50" spans="3:4">
      <c r="C50">
        <v>39</v>
      </c>
      <c r="D50">
        <f t="shared" si="3"/>
        <v>113.54815175036606</v>
      </c>
    </row>
    <row r="51" spans="3:4">
      <c r="C51">
        <v>40</v>
      </c>
      <c r="D51">
        <f t="shared" si="3"/>
        <v>113.55648033301514</v>
      </c>
    </row>
    <row r="52" spans="3:4">
      <c r="C52">
        <v>41</v>
      </c>
      <c r="D52">
        <f t="shared" si="3"/>
        <v>113.56331620831588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equations</vt:lpstr>
      <vt:lpstr>test</vt:lpstr>
      <vt:lpstr>survey</vt:lpstr>
      <vt:lpstr>fishery</vt:lpstr>
      <vt:lpstr>length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 Perez</dc:creator>
  <cp:lastModifiedBy>Maria C Perez</cp:lastModifiedBy>
  <dcterms:created xsi:type="dcterms:W3CDTF">2024-08-26T17:37:31Z</dcterms:created>
  <dcterms:modified xsi:type="dcterms:W3CDTF">2024-11-15T17:52:34Z</dcterms:modified>
</cp:coreProperties>
</file>