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Aplicacion\"/>
    </mc:Choice>
  </mc:AlternateContent>
  <bookViews>
    <workbookView xWindow="0" yWindow="0" windowWidth="28800" windowHeight="12330" activeTab="4"/>
  </bookViews>
  <sheets>
    <sheet name="Geometría" sheetId="1" r:id="rId1"/>
    <sheet name="Cuantías" sheetId="2" r:id="rId2"/>
    <sheet name="Propiedades de materiales" sheetId="3" r:id="rId3"/>
    <sheet name="Patron de carga lateral" sheetId="4" r:id="rId4"/>
    <sheet name="Carga gravitacion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6" l="1"/>
  <c r="K29" i="6"/>
  <c r="N31" i="6"/>
  <c r="M31" i="6"/>
  <c r="L31" i="6"/>
  <c r="N30" i="6"/>
  <c r="M30" i="6"/>
  <c r="L30" i="6"/>
  <c r="N29" i="6"/>
  <c r="M29" i="6"/>
  <c r="L29" i="6"/>
  <c r="O29" i="6"/>
  <c r="O30" i="6"/>
  <c r="O31" i="6"/>
  <c r="L32" i="6"/>
  <c r="M32" i="6"/>
  <c r="N32" i="6"/>
  <c r="O32" i="6" s="1"/>
  <c r="L33" i="6"/>
  <c r="M33" i="6"/>
  <c r="N33" i="6"/>
  <c r="O33" i="6" s="1"/>
  <c r="L34" i="6"/>
  <c r="M34" i="6"/>
  <c r="N34" i="6"/>
  <c r="O34" i="6" s="1"/>
  <c r="L35" i="6"/>
  <c r="M35" i="6"/>
  <c r="N35" i="6"/>
  <c r="O35" i="6" s="1"/>
  <c r="L36" i="6"/>
  <c r="M36" i="6"/>
  <c r="N36" i="6"/>
  <c r="O36" i="6" s="1"/>
  <c r="L37" i="6"/>
  <c r="M37" i="6"/>
  <c r="N37" i="6"/>
  <c r="O37" i="6" s="1"/>
  <c r="L38" i="6"/>
  <c r="M38" i="6"/>
  <c r="N38" i="6"/>
  <c r="O38" i="6" s="1"/>
  <c r="L39" i="6"/>
  <c r="M39" i="6"/>
  <c r="N39" i="6"/>
  <c r="O39" i="6" s="1"/>
  <c r="L40" i="6"/>
  <c r="M40" i="6"/>
  <c r="N40" i="6"/>
  <c r="O40" i="6" s="1"/>
  <c r="L41" i="6"/>
  <c r="M41" i="6"/>
  <c r="N41" i="6"/>
  <c r="O41" i="6" s="1"/>
  <c r="L42" i="6"/>
  <c r="M42" i="6"/>
  <c r="N42" i="6"/>
  <c r="O42" i="6" s="1"/>
  <c r="L43" i="6"/>
  <c r="M43" i="6"/>
  <c r="N43" i="6"/>
  <c r="O43" i="6" s="1"/>
  <c r="L44" i="6"/>
  <c r="M44" i="6"/>
  <c r="N44" i="6"/>
  <c r="O44" i="6" s="1"/>
  <c r="L45" i="6"/>
  <c r="M45" i="6"/>
  <c r="N45" i="6"/>
  <c r="O45" i="6" s="1"/>
  <c r="O28" i="6"/>
  <c r="N28" i="6"/>
  <c r="M28" i="6"/>
  <c r="L28" i="6"/>
  <c r="K28" i="6"/>
  <c r="H29" i="6"/>
  <c r="H30" i="6"/>
  <c r="H31" i="6"/>
  <c r="H37" i="6"/>
  <c r="H38" i="6"/>
  <c r="H39" i="6"/>
  <c r="H40" i="6"/>
  <c r="H45" i="6"/>
  <c r="H28" i="6"/>
  <c r="K30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G29" i="6"/>
  <c r="G30" i="6"/>
  <c r="G31" i="6"/>
  <c r="G32" i="6"/>
  <c r="H32" i="6" s="1"/>
  <c r="G33" i="6"/>
  <c r="H33" i="6" s="1"/>
  <c r="G34" i="6"/>
  <c r="H34" i="6" s="1"/>
  <c r="G35" i="6"/>
  <c r="H35" i="6" s="1"/>
  <c r="G36" i="6"/>
  <c r="H36" i="6" s="1"/>
  <c r="G37" i="6"/>
  <c r="G38" i="6"/>
  <c r="G39" i="6"/>
  <c r="G40" i="6"/>
  <c r="G41" i="6"/>
  <c r="H41" i="6" s="1"/>
  <c r="G42" i="6"/>
  <c r="H42" i="6" s="1"/>
  <c r="G43" i="6"/>
  <c r="H43" i="6" s="1"/>
  <c r="G44" i="6"/>
  <c r="H44" i="6" s="1"/>
  <c r="G45" i="6"/>
  <c r="G28" i="6"/>
  <c r="D51" i="4" l="1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50" i="4"/>
  <c r="F26" i="4"/>
  <c r="G26" i="4"/>
  <c r="C83" i="3"/>
  <c r="H80" i="3"/>
  <c r="H83" i="3" s="1"/>
  <c r="C80" i="3"/>
  <c r="H79" i="3"/>
  <c r="H81" i="3" s="1"/>
  <c r="H82" i="3" s="1"/>
  <c r="H84" i="3" s="1"/>
  <c r="C79" i="3"/>
  <c r="C25" i="4"/>
  <c r="D25" i="4"/>
  <c r="D26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G25" i="4"/>
  <c r="G27" i="4"/>
  <c r="F41" i="4"/>
  <c r="F28" i="4"/>
  <c r="F27" i="4"/>
  <c r="F29" i="4"/>
  <c r="F30" i="4"/>
  <c r="F31" i="4"/>
  <c r="F32" i="4"/>
  <c r="F33" i="4"/>
  <c r="G33" i="4" s="1"/>
  <c r="F34" i="4"/>
  <c r="G34" i="4" s="1"/>
  <c r="F35" i="4"/>
  <c r="F36" i="4"/>
  <c r="F37" i="4"/>
  <c r="F38" i="4"/>
  <c r="F39" i="4"/>
  <c r="F40" i="4"/>
  <c r="G40" i="4" s="1"/>
  <c r="G41" i="4"/>
  <c r="G39" i="4"/>
  <c r="G38" i="4"/>
  <c r="G37" i="4"/>
  <c r="G36" i="4"/>
  <c r="G35" i="4"/>
  <c r="G32" i="4"/>
  <c r="G31" i="4"/>
  <c r="G30" i="4"/>
  <c r="G29" i="4"/>
  <c r="G28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C26" i="4"/>
  <c r="C41" i="4"/>
  <c r="C40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D43" i="3" l="1"/>
  <c r="O36" i="2"/>
  <c r="D9" i="2"/>
  <c r="O33" i="2"/>
  <c r="O39" i="2"/>
  <c r="K51" i="2"/>
  <c r="K50" i="2"/>
  <c r="K49" i="2"/>
  <c r="K48" i="2"/>
  <c r="K47" i="2"/>
  <c r="K45" i="2"/>
  <c r="K46" i="2"/>
  <c r="K52" i="2"/>
  <c r="K53" i="2"/>
  <c r="K54" i="2"/>
  <c r="K55" i="2"/>
  <c r="K44" i="2"/>
  <c r="P38" i="2"/>
  <c r="P36" i="2"/>
  <c r="P33" i="2"/>
  <c r="K5" i="2"/>
  <c r="P39" i="2"/>
  <c r="O38" i="2"/>
  <c r="O35" i="2"/>
  <c r="P35" i="2"/>
  <c r="P34" i="2"/>
  <c r="P26" i="2"/>
  <c r="Q18" i="2"/>
  <c r="R18" i="2" s="1"/>
  <c r="S18" i="2" s="1"/>
  <c r="L18" i="2"/>
  <c r="K18" i="2"/>
  <c r="J18" i="2"/>
  <c r="I18" i="2"/>
  <c r="O29" i="2"/>
  <c r="O28" i="2"/>
  <c r="K17" i="2"/>
  <c r="O25" i="2"/>
  <c r="L17" i="2"/>
  <c r="J17" i="2"/>
  <c r="I17" i="2"/>
  <c r="S16" i="2"/>
  <c r="R17" i="2"/>
  <c r="S17" i="2" s="1"/>
  <c r="Q17" i="2"/>
  <c r="Q16" i="2"/>
  <c r="R16" i="2" s="1"/>
  <c r="P27" i="2" s="1"/>
  <c r="Q15" i="2"/>
  <c r="R15" i="2" s="1"/>
  <c r="S15" i="2" s="1"/>
  <c r="O24" i="2"/>
  <c r="J16" i="2"/>
  <c r="K16" i="2" s="1"/>
  <c r="J15" i="2"/>
  <c r="K15" i="2" s="1"/>
  <c r="L15" i="2" s="1"/>
  <c r="I15" i="2"/>
  <c r="I16" i="2"/>
  <c r="R13" i="2"/>
  <c r="P25" i="2" s="1"/>
  <c r="R14" i="2"/>
  <c r="Q14" i="2"/>
  <c r="J14" i="2"/>
  <c r="K14" i="2" s="1"/>
  <c r="L14" i="2" s="1"/>
  <c r="I14" i="2"/>
  <c r="Q13" i="2"/>
  <c r="J13" i="2"/>
  <c r="K13" i="2" s="1"/>
  <c r="I13" i="2"/>
  <c r="L16" i="2" l="1"/>
  <c r="S14" i="2"/>
  <c r="S13" i="2"/>
  <c r="L13" i="2"/>
  <c r="C106" i="3"/>
  <c r="C107" i="3" s="1"/>
  <c r="C101" i="3" l="1"/>
  <c r="C98" i="3"/>
  <c r="C97" i="3"/>
  <c r="C99" i="3" s="1"/>
  <c r="C100" i="3" s="1"/>
  <c r="C89" i="3"/>
  <c r="C92" i="3" s="1"/>
  <c r="C88" i="3"/>
  <c r="C81" i="3"/>
  <c r="C56" i="3"/>
  <c r="C90" i="3" l="1"/>
  <c r="C91" i="3" s="1"/>
  <c r="C93" i="3" s="1"/>
  <c r="C82" i="3"/>
  <c r="C84" i="3" s="1"/>
  <c r="C102" i="3"/>
  <c r="C55" i="3" l="1"/>
  <c r="C62" i="3"/>
  <c r="C61" i="3"/>
  <c r="D49" i="3"/>
  <c r="D45" i="3"/>
  <c r="D46" i="3" s="1"/>
  <c r="D47" i="3" s="1"/>
  <c r="D42" i="3"/>
  <c r="D51" i="3" s="1"/>
  <c r="D36" i="3"/>
  <c r="D30" i="3"/>
  <c r="D38" i="3" s="1"/>
  <c r="D34" i="3" l="1"/>
  <c r="J27" i="2" l="1"/>
  <c r="J28" i="2"/>
  <c r="J29" i="2"/>
  <c r="J30" i="2"/>
  <c r="J31" i="2"/>
  <c r="J32" i="2"/>
  <c r="J33" i="2"/>
  <c r="J34" i="2"/>
  <c r="J35" i="2"/>
  <c r="J36" i="2"/>
  <c r="J37" i="2"/>
  <c r="J26" i="2"/>
  <c r="C27" i="2"/>
  <c r="K27" i="2" s="1"/>
  <c r="L27" i="2" s="1"/>
  <c r="C28" i="2"/>
  <c r="C29" i="2"/>
  <c r="K29" i="2" s="1"/>
  <c r="L29" i="2" s="1"/>
  <c r="C30" i="2"/>
  <c r="C31" i="2"/>
  <c r="C32" i="2"/>
  <c r="C33" i="2"/>
  <c r="C34" i="2"/>
  <c r="K34" i="2" s="1"/>
  <c r="L34" i="2" s="1"/>
  <c r="C35" i="2"/>
  <c r="K35" i="2" s="1"/>
  <c r="L35" i="2" s="1"/>
  <c r="C36" i="2"/>
  <c r="C37" i="2"/>
  <c r="K37" i="2" s="1"/>
  <c r="L37" i="2" s="1"/>
  <c r="C26" i="2"/>
  <c r="D12" i="2"/>
  <c r="Q6" i="2"/>
  <c r="Q7" i="2"/>
  <c r="Q8" i="2"/>
  <c r="Q9" i="2"/>
  <c r="Q10" i="2"/>
  <c r="Q11" i="2"/>
  <c r="Q12" i="2"/>
  <c r="Q5" i="2"/>
  <c r="K26" i="2" l="1"/>
  <c r="L26" i="2" s="1"/>
  <c r="K30" i="2"/>
  <c r="L30" i="2" s="1"/>
  <c r="K36" i="2"/>
  <c r="L36" i="2" s="1"/>
  <c r="K28" i="2"/>
  <c r="L28" i="2" s="1"/>
  <c r="K33" i="2"/>
  <c r="L33" i="2" s="1"/>
  <c r="R12" i="2"/>
  <c r="S12" i="2" s="1"/>
  <c r="K32" i="2"/>
  <c r="L32" i="2" s="1"/>
  <c r="K31" i="2"/>
  <c r="L31" i="2" s="1"/>
  <c r="J12" i="2"/>
  <c r="J6" i="2"/>
  <c r="J7" i="2"/>
  <c r="J8" i="2"/>
  <c r="J9" i="2"/>
  <c r="J10" i="2"/>
  <c r="J11" i="2"/>
  <c r="J5" i="2"/>
  <c r="D6" i="2"/>
  <c r="R6" i="2" s="1"/>
  <c r="S6" i="2" s="1"/>
  <c r="D7" i="2"/>
  <c r="R7" i="2" s="1"/>
  <c r="S7" i="2" s="1"/>
  <c r="D8" i="2"/>
  <c r="R8" i="2" s="1"/>
  <c r="S8" i="2" s="1"/>
  <c r="R9" i="2"/>
  <c r="D10" i="2"/>
  <c r="D11" i="2"/>
  <c r="R11" i="2" s="1"/>
  <c r="D5" i="2"/>
  <c r="R5" i="2" s="1"/>
  <c r="C6" i="2"/>
  <c r="C7" i="2"/>
  <c r="C8" i="2"/>
  <c r="C9" i="2"/>
  <c r="C10" i="2"/>
  <c r="C11" i="2"/>
  <c r="C12" i="2"/>
  <c r="I12" i="2" s="1"/>
  <c r="K12" i="2" s="1"/>
  <c r="L12" i="2" s="1"/>
  <c r="C5" i="2"/>
  <c r="I5" i="2" s="1"/>
  <c r="S9" i="2" l="1"/>
  <c r="P37" i="2"/>
  <c r="S5" i="2"/>
  <c r="P24" i="2"/>
  <c r="I6" i="2"/>
  <c r="K6" i="2" s="1"/>
  <c r="O34" i="2" s="1"/>
  <c r="I7" i="2"/>
  <c r="K7" i="2" s="1"/>
  <c r="I11" i="2"/>
  <c r="K11" i="2" s="1"/>
  <c r="L11" i="2" s="1"/>
  <c r="S11" i="2"/>
  <c r="I10" i="2"/>
  <c r="K10" i="2" s="1"/>
  <c r="L10" i="2" s="1"/>
  <c r="R10" i="2"/>
  <c r="S10" i="2" s="1"/>
  <c r="I9" i="2"/>
  <c r="K9" i="2" s="1"/>
  <c r="I8" i="2"/>
  <c r="K8" i="2" s="1"/>
  <c r="L8" i="2" s="1"/>
  <c r="H6" i="1"/>
  <c r="H8" i="1"/>
  <c r="M7" i="1"/>
  <c r="O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4" i="1"/>
  <c r="L6" i="2" l="1"/>
  <c r="L9" i="2"/>
  <c r="O37" i="2"/>
  <c r="L7" i="2"/>
  <c r="L5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O115" i="1" l="1"/>
  <c r="O116" i="1"/>
  <c r="O117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4" i="1"/>
  <c r="M21" i="1"/>
  <c r="M20" i="1"/>
  <c r="M16" i="1"/>
  <c r="M19" i="1"/>
  <c r="M18" i="1"/>
  <c r="M17" i="1"/>
  <c r="M15" i="1"/>
  <c r="M14" i="1"/>
  <c r="M13" i="1"/>
  <c r="M22" i="1"/>
  <c r="M12" i="1"/>
  <c r="M10" i="1"/>
  <c r="M9" i="1"/>
  <c r="M8" i="1"/>
  <c r="I40" i="1"/>
  <c r="I9" i="1"/>
  <c r="I10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8" i="1"/>
  <c r="I7" i="1"/>
  <c r="I6" i="1"/>
  <c r="I5" i="1"/>
  <c r="I4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5" i="1"/>
  <c r="H4" i="1"/>
  <c r="H30" i="1" l="1"/>
  <c r="H32" i="1" s="1"/>
  <c r="H33" i="1" s="1"/>
  <c r="H34" i="1" s="1"/>
  <c r="H35" i="1" s="1"/>
  <c r="H36" i="1" s="1"/>
  <c r="H37" i="1" s="1"/>
  <c r="H38" i="1" s="1"/>
  <c r="H39" i="1" s="1"/>
  <c r="H40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5" i="1"/>
  <c r="D4" i="1"/>
  <c r="M11" i="1" l="1"/>
  <c r="M23" i="1" l="1"/>
  <c r="M25" i="1"/>
  <c r="M26" i="1" l="1"/>
  <c r="M28" i="1"/>
  <c r="M24" i="1"/>
  <c r="M29" i="1" l="1"/>
  <c r="M31" i="1"/>
  <c r="M27" i="1"/>
  <c r="M32" i="1" l="1"/>
  <c r="M34" i="1"/>
  <c r="M30" i="1"/>
  <c r="M35" i="1" l="1"/>
  <c r="M37" i="1"/>
  <c r="M33" i="1"/>
  <c r="M40" i="1" l="1"/>
  <c r="M38" i="1"/>
  <c r="M36" i="1"/>
  <c r="M43" i="1" l="1"/>
  <c r="M39" i="1"/>
  <c r="M41" i="1"/>
  <c r="M42" i="1" l="1"/>
  <c r="M46" i="1"/>
  <c r="M44" i="1"/>
  <c r="M47" i="1" l="1"/>
  <c r="M49" i="1"/>
  <c r="M45" i="1"/>
  <c r="M48" i="1" l="1"/>
  <c r="M50" i="1"/>
  <c r="M52" i="1"/>
  <c r="M53" i="1" l="1"/>
  <c r="M51" i="1"/>
  <c r="M55" i="1"/>
  <c r="M56" i="1" l="1"/>
  <c r="M58" i="1"/>
  <c r="M54" i="1"/>
  <c r="M61" i="1" l="1"/>
  <c r="M59" i="1"/>
  <c r="M57" i="1"/>
  <c r="M64" i="1" l="1"/>
  <c r="M62" i="1"/>
  <c r="M60" i="1"/>
  <c r="M63" i="1" l="1"/>
  <c r="M65" i="1"/>
  <c r="M67" i="1"/>
  <c r="M68" i="1" l="1"/>
  <c r="M66" i="1"/>
  <c r="M70" i="1"/>
  <c r="M73" i="1" l="1"/>
  <c r="M71" i="1"/>
  <c r="M69" i="1"/>
  <c r="M76" i="1" l="1"/>
  <c r="M72" i="1"/>
  <c r="M74" i="1"/>
  <c r="M79" i="1" l="1"/>
  <c r="M75" i="1"/>
  <c r="M77" i="1"/>
  <c r="M80" i="1" l="1"/>
  <c r="M78" i="1"/>
  <c r="M82" i="1"/>
  <c r="M83" i="1" l="1"/>
  <c r="M85" i="1"/>
  <c r="M81" i="1"/>
  <c r="M84" i="1" l="1"/>
  <c r="M86" i="1"/>
  <c r="M88" i="1"/>
  <c r="M89" i="1" l="1"/>
  <c r="M91" i="1"/>
  <c r="M87" i="1"/>
  <c r="M90" i="1" l="1"/>
  <c r="M94" i="1"/>
  <c r="M92" i="1"/>
  <c r="M93" i="1" l="1"/>
  <c r="M97" i="1"/>
  <c r="M95" i="1"/>
  <c r="M100" i="1" l="1"/>
  <c r="M96" i="1"/>
  <c r="M98" i="1"/>
  <c r="M101" i="1" l="1"/>
  <c r="M99" i="1"/>
  <c r="M103" i="1"/>
  <c r="M102" i="1" l="1"/>
  <c r="M106" i="1"/>
  <c r="M104" i="1"/>
  <c r="M105" i="1" l="1"/>
  <c r="M109" i="1"/>
  <c r="M107" i="1"/>
  <c r="M108" i="1" l="1"/>
  <c r="M110" i="1"/>
  <c r="M115" i="1"/>
  <c r="M112" i="1"/>
  <c r="M113" i="1" l="1"/>
  <c r="M116" i="1"/>
  <c r="M111" i="1"/>
  <c r="M114" i="1" l="1"/>
  <c r="M117" i="1"/>
</calcChain>
</file>

<file path=xl/comments1.xml><?xml version="1.0" encoding="utf-8"?>
<comments xmlns="http://schemas.openxmlformats.org/spreadsheetml/2006/main">
  <authors>
    <author>Maria Jose Nuñez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344,5 MPa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348,3 MPa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370,9 MPa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376,6 MPa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Lowes et al.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Maria Jose Nuñez:
López et. al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Belarbi and Hsu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Lowes et al.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Belarbi and Hsu</t>
        </r>
      </text>
    </comment>
  </commentList>
</comments>
</file>

<file path=xl/comments2.xml><?xml version="1.0" encoding="utf-8"?>
<comments xmlns="http://schemas.openxmlformats.org/spreadsheetml/2006/main">
  <authors>
    <author>Maria Jose Nuñez</author>
  </authors>
  <commentList>
    <comment ref="D26" authorId="0" shapeId="0">
      <text>
        <r>
          <rPr>
            <b/>
            <sz val="9"/>
            <color indexed="81"/>
            <rFont val="Tahoma"/>
            <family val="2"/>
          </rPr>
          <t>Load Case Type:</t>
        </r>
        <r>
          <rPr>
            <sz val="9"/>
            <color indexed="81"/>
            <rFont val="Tahoma"/>
            <family val="2"/>
          </rPr>
          <t xml:space="preserve">
Linear Static</t>
        </r>
      </text>
    </comment>
  </commentList>
</comments>
</file>

<file path=xl/sharedStrings.xml><?xml version="1.0" encoding="utf-8"?>
<sst xmlns="http://schemas.openxmlformats.org/spreadsheetml/2006/main" count="483" uniqueCount="281">
  <si>
    <t>S2</t>
  </si>
  <si>
    <t>S1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</si>
  <si>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</si>
  <si>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</si>
  <si>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</si>
  <si>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</si>
  <si>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</si>
  <si>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</si>
  <si>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</si>
  <si>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</si>
  <si>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</si>
  <si>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</si>
  <si>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</si>
  <si>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</si>
  <si>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</si>
  <si>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</si>
  <si>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</si>
  <si>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</si>
  <si>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Nivel</t>
  </si>
  <si>
    <t>Altura [m]</t>
  </si>
  <si>
    <t>Alt. Acumulada [m]</t>
  </si>
  <si>
    <t>Discretización Modelo</t>
  </si>
  <si>
    <t>ID Nodo</t>
  </si>
  <si>
    <t>Nivel dividido</t>
  </si>
  <si>
    <t>S2_1</t>
  </si>
  <si>
    <t>S2_2</t>
  </si>
  <si>
    <t>S1_1</t>
  </si>
  <si>
    <t>S1_2</t>
  </si>
  <si>
    <t>P1_1</t>
  </si>
  <si>
    <t>P1_2</t>
  </si>
  <si>
    <t>P2_1</t>
  </si>
  <si>
    <t>P2_2</t>
  </si>
  <si>
    <t>P3_2</t>
  </si>
  <si>
    <t>P3_1</t>
  </si>
  <si>
    <t>P4_1</t>
  </si>
  <si>
    <t>P4_2</t>
  </si>
  <si>
    <t>P5_1</t>
  </si>
  <si>
    <t>P5_2</t>
  </si>
  <si>
    <t>P6_1</t>
  </si>
  <si>
    <t>P6_2</t>
  </si>
  <si>
    <t>P7_1</t>
  </si>
  <si>
    <t>P7_2</t>
  </si>
  <si>
    <t>P8_1</t>
  </si>
  <si>
    <t>P8_2</t>
  </si>
  <si>
    <t>P9_1</t>
  </si>
  <si>
    <t>P9_2</t>
  </si>
  <si>
    <t>P10_1</t>
  </si>
  <si>
    <t>P10_2</t>
  </si>
  <si>
    <t>P11_1</t>
  </si>
  <si>
    <t>P11_2</t>
  </si>
  <si>
    <t>P12_1</t>
  </si>
  <si>
    <t>P12_2</t>
  </si>
  <si>
    <t>P13_1</t>
  </si>
  <si>
    <t>P13_2</t>
  </si>
  <si>
    <t>P14_1</t>
  </si>
  <si>
    <t>P14_2</t>
  </si>
  <si>
    <t>P15_1</t>
  </si>
  <si>
    <t>P15_2</t>
  </si>
  <si>
    <t>P16_1</t>
  </si>
  <si>
    <t>P16_2</t>
  </si>
  <si>
    <t>X coord [mm]</t>
  </si>
  <si>
    <t>Y coord [mm]</t>
  </si>
  <si>
    <t>X coord [m]</t>
  </si>
  <si>
    <t>Y coord [m]</t>
  </si>
  <si>
    <t>elementos</t>
  </si>
  <si>
    <t>P1-P16</t>
  </si>
  <si>
    <t>S1_3</t>
  </si>
  <si>
    <t xml:space="preserve">EJE 14 </t>
  </si>
  <si>
    <t>MaPS2-P1</t>
  </si>
  <si>
    <t>MaP2-P4</t>
  </si>
  <si>
    <t>MaP5-P6</t>
  </si>
  <si>
    <t>MaP7</t>
  </si>
  <si>
    <t>MaP8-P10</t>
  </si>
  <si>
    <t>MaP11</t>
  </si>
  <si>
    <t>MaP12-P16</t>
  </si>
  <si>
    <t>MbPS2-P1</t>
  </si>
  <si>
    <t>MbP2-P6</t>
  </si>
  <si>
    <t>MbP7</t>
  </si>
  <si>
    <t>MbP8-P10</t>
  </si>
  <si>
    <t>MbP11-P16</t>
  </si>
  <si>
    <t>Alt. Acumulada [mm]</t>
  </si>
  <si>
    <t xml:space="preserve">Coordenadas nodos </t>
  </si>
  <si>
    <t>e</t>
  </si>
  <si>
    <t>Altura</t>
  </si>
  <si>
    <t>Largo</t>
  </si>
  <si>
    <t xml:space="preserve">Discretización </t>
  </si>
  <si>
    <t>tw [cm]</t>
  </si>
  <si>
    <t>Lado izquierdo</t>
  </si>
  <si>
    <t>Lado derecho</t>
  </si>
  <si>
    <t>Lb [cm]</t>
  </si>
  <si>
    <t>Sub-muros</t>
  </si>
  <si>
    <t>tw [mm]</t>
  </si>
  <si>
    <t>N° barras</t>
  </si>
  <si>
    <t>ф [mm]</t>
  </si>
  <si>
    <t>Área tributaria (Ag) [mm2]</t>
  </si>
  <si>
    <t>Área de acero (As) [mm2]</t>
  </si>
  <si>
    <t>Espaciamiento (s) [mm]</t>
  </si>
  <si>
    <t xml:space="preserve">N° Ramas </t>
  </si>
  <si>
    <t>Área de acero por unidad de longitud (As/s) [mm2/mm]</t>
  </si>
  <si>
    <t>ρbY</t>
  </si>
  <si>
    <t>ρbY [%]</t>
  </si>
  <si>
    <t>ρbX = (As/s)/tw</t>
  </si>
  <si>
    <t>ρbX = (As/s)/tw [%]</t>
  </si>
  <si>
    <t>Armadura de borde</t>
  </si>
  <si>
    <t>Lb [mm]</t>
  </si>
  <si>
    <t>Lw [m]</t>
  </si>
  <si>
    <t>Dirección Y</t>
  </si>
  <si>
    <t xml:space="preserve">Armadura </t>
  </si>
  <si>
    <t>DMф10a15</t>
  </si>
  <si>
    <t>N° mallas</t>
  </si>
  <si>
    <t>DMф10a20</t>
  </si>
  <si>
    <t>DMф8a20</t>
  </si>
  <si>
    <t>(As/s) [mm2/mm]</t>
  </si>
  <si>
    <t>ρw = (As/s)/tw</t>
  </si>
  <si>
    <t>ρw = (As/s)/tw [%]</t>
  </si>
  <si>
    <t>Armadura distribuida - direcciones X,Y</t>
  </si>
  <si>
    <t>Modelo OpenSees</t>
  </si>
  <si>
    <t>Refuerzo transversal - alma (dirección X)</t>
  </si>
  <si>
    <t>Armadura</t>
  </si>
  <si>
    <t>#8</t>
  </si>
  <si>
    <t>#10</t>
  </si>
  <si>
    <t>Esfuerzo de fluencia (fyXw)</t>
  </si>
  <si>
    <t>MPa</t>
  </si>
  <si>
    <t>Refuerzo transversal - alma (dirección Y)</t>
  </si>
  <si>
    <t>Esfuerzo de fluencia (fyYw)</t>
  </si>
  <si>
    <t>Pendiente de endurecimiento (bxw)</t>
  </si>
  <si>
    <t>Pendiente de endurecimiento (byw)</t>
  </si>
  <si>
    <t>Refuerzo longitudinal - borde (dirección X)</t>
  </si>
  <si>
    <t>Refuerzo longitudinal - borde (dirección Y)</t>
  </si>
  <si>
    <t>#22</t>
  </si>
  <si>
    <t>#25</t>
  </si>
  <si>
    <t>Esfuerzo de fluencia (fyXb)</t>
  </si>
  <si>
    <t>Pendiente de endurecimiento (bxb)</t>
  </si>
  <si>
    <t>Esfuerzo de fluencia (fyYb)</t>
  </si>
  <si>
    <t>Pendiente de endurecimiento (byb)</t>
  </si>
  <si>
    <t>uniaxialMaterial Steel02</t>
  </si>
  <si>
    <t>Módulo de Young (Es)</t>
  </si>
  <si>
    <t>Inicial value of curvature parameter (R0)</t>
  </si>
  <si>
    <t>Curvature degradation parameter (cR1)</t>
  </si>
  <si>
    <t>Curvature degradation parameter (cR2)</t>
  </si>
  <si>
    <t>uniaxialMaterial Concrete02</t>
  </si>
  <si>
    <t>Hormigón no confinado en compresión</t>
  </si>
  <si>
    <t>Resistencia máxima (fpc)</t>
  </si>
  <si>
    <t>Módulo de Young (Eo)</t>
  </si>
  <si>
    <t xml:space="preserve">Deformación en la resistencia máxima (ec) </t>
  </si>
  <si>
    <t>Crushing strength (fcu)</t>
  </si>
  <si>
    <t>Strain at crushing strength (ecu)</t>
  </si>
  <si>
    <t>mm</t>
  </si>
  <si>
    <t>Altura del elemento basal (Lelem)</t>
  </si>
  <si>
    <t>Energía de fractural (Gfc)</t>
  </si>
  <si>
    <t>N/mm</t>
  </si>
  <si>
    <t>Resistencia máxima (ft)</t>
  </si>
  <si>
    <t xml:space="preserve">Deformación en la resistencia máxima (et) </t>
  </si>
  <si>
    <t>Módulo de Young post-peak (Ets)</t>
  </si>
  <si>
    <t>Ets = 0,05Eo</t>
  </si>
  <si>
    <t>Eo = 2*fpc/ec</t>
  </si>
  <si>
    <t>Hormigón confinado en compresión</t>
  </si>
  <si>
    <t>Hormigón en tracción</t>
  </si>
  <si>
    <t>K</t>
  </si>
  <si>
    <t>Energía de frectura hormigón confinado (Gfcc)</t>
  </si>
  <si>
    <t>Resistencia máxima (fpcc)</t>
  </si>
  <si>
    <t xml:space="preserve">Deformación en la resistencia máxima (ecc) </t>
  </si>
  <si>
    <t>Módulo de Young (Eoc)</t>
  </si>
  <si>
    <t>Crushing strength (fcuc)</t>
  </si>
  <si>
    <t>Gfcc=K*Gfc</t>
  </si>
  <si>
    <t>Acero uniaxial</t>
  </si>
  <si>
    <t>Hormigón uniaxial</t>
  </si>
  <si>
    <t>Hormigón confinado</t>
  </si>
  <si>
    <t xml:space="preserve">Deformación en la resistencia máxima a tracción (et) </t>
  </si>
  <si>
    <t xml:space="preserve">Deformación en la resistencia máxima a compresión (ecc) </t>
  </si>
  <si>
    <t>Densidad (rho)</t>
  </si>
  <si>
    <r>
      <t>Constante de daño (</t>
    </r>
    <r>
      <rPr>
        <sz val="11"/>
        <color theme="1"/>
        <rFont val="Calibri"/>
        <family val="2"/>
      </rPr>
      <t>α2</t>
    </r>
    <r>
      <rPr>
        <sz val="13.2"/>
        <color theme="1"/>
        <rFont val="Calibri"/>
        <family val="2"/>
      </rPr>
      <t>)</t>
    </r>
  </si>
  <si>
    <r>
      <t>Constante de daño (</t>
    </r>
    <r>
      <rPr>
        <sz val="11"/>
        <color theme="1"/>
        <rFont val="Calibri"/>
        <family val="2"/>
      </rPr>
      <t>α1</t>
    </r>
    <r>
      <rPr>
        <sz val="13.2"/>
        <color theme="1"/>
        <rFont val="Calibri"/>
        <family val="2"/>
      </rPr>
      <t>)</t>
    </r>
  </si>
  <si>
    <t>Hormigón no confinado</t>
  </si>
  <si>
    <t>Hormigón ortotrópico</t>
  </si>
  <si>
    <t xml:space="preserve">Refuerzo alma </t>
  </si>
  <si>
    <t xml:space="preserve">nDMaterial OrthotropicRotatingAngleConcreteT2DMaterial01  </t>
  </si>
  <si>
    <t>nDMaterial SmearedSteelDoubleLayerT2DMaterial01</t>
  </si>
  <si>
    <t>Cuantía en X (rouXw)</t>
  </si>
  <si>
    <t>Cuantía en Y (rouYw)</t>
  </si>
  <si>
    <t>Cuantía en X,Y (rouXw, rouYw)</t>
  </si>
  <si>
    <t>I17:I28</t>
  </si>
  <si>
    <t>Ángulo de orientación de la armadura</t>
  </si>
  <si>
    <t>grados</t>
  </si>
  <si>
    <t>Refuerzo borde</t>
  </si>
  <si>
    <t>O5:O12</t>
  </si>
  <si>
    <t>I5:I12</t>
  </si>
  <si>
    <t>Acero distribuido</t>
  </si>
  <si>
    <t>section ReinforcedConcreteLayerMembraneSection01</t>
  </si>
  <si>
    <t xml:space="preserve">Largo elemento de borde </t>
  </si>
  <si>
    <t xml:space="preserve">Espesor </t>
  </si>
  <si>
    <t xml:space="preserve">Recubrimiento </t>
  </si>
  <si>
    <t xml:space="preserve">Área total elemento de borde </t>
  </si>
  <si>
    <t xml:space="preserve">Área confinada </t>
  </si>
  <si>
    <t xml:space="preserve">Área no confinada </t>
  </si>
  <si>
    <t>Espesor capa no confinada (tnc)</t>
  </si>
  <si>
    <t>Espesor capa confinada (tc)</t>
  </si>
  <si>
    <t>Muros de espesor 30 cm</t>
  </si>
  <si>
    <t>Muros de espesor 25 cm</t>
  </si>
  <si>
    <t>Muros de espesor 20 cm</t>
  </si>
  <si>
    <t>Verificación (tnc+tc=t_total)</t>
  </si>
  <si>
    <t>Sección</t>
  </si>
  <si>
    <t>element MEFISection</t>
  </si>
  <si>
    <t>Número de fibras</t>
  </si>
  <si>
    <t xml:space="preserve">Largo de discretización borde </t>
  </si>
  <si>
    <t xml:space="preserve">Largo de discretización alma </t>
  </si>
  <si>
    <t>Nro de elementos a lo largo del muro</t>
  </si>
  <si>
    <t>Lambda</t>
  </si>
  <si>
    <t>MbP2</t>
  </si>
  <si>
    <t>E+Trф10a12</t>
  </si>
  <si>
    <t xml:space="preserve">Dirección X </t>
  </si>
  <si>
    <t>MbP3-P7</t>
  </si>
  <si>
    <t>E+3Trф10a10</t>
  </si>
  <si>
    <t>E+3Trф10a12</t>
  </si>
  <si>
    <t>MbP11</t>
  </si>
  <si>
    <t>E+3Trф10a15</t>
  </si>
  <si>
    <t>MbP12-P15</t>
  </si>
  <si>
    <t>MbP16</t>
  </si>
  <si>
    <t>BetZABETH</t>
  </si>
  <si>
    <t>Betzy</t>
  </si>
  <si>
    <t>Fuerza [ton]</t>
  </si>
  <si>
    <t>Piso</t>
  </si>
  <si>
    <t>Ec 5.6</t>
  </si>
  <si>
    <t>Ec 5.8</t>
  </si>
  <si>
    <t>Suquillo, 2017</t>
  </si>
  <si>
    <t>Ec 5.4</t>
  </si>
  <si>
    <t>Santos, 2018</t>
  </si>
  <si>
    <t>Elemento de borde lado derecho P2 a P16</t>
  </si>
  <si>
    <t>7.36*(10**-9)*(y/46400*100)**4+4.72*(10**-6)*(y/46400*100)**3-6.89*(10**-4)*(y/46400*100)**2+0.0231*(y/46400*100)+0.0697</t>
  </si>
  <si>
    <t>Story</t>
  </si>
  <si>
    <t>Pier</t>
  </si>
  <si>
    <t>Load Case/Combo</t>
  </si>
  <si>
    <t>Location</t>
  </si>
  <si>
    <t>P</t>
  </si>
  <si>
    <t>N</t>
  </si>
  <si>
    <t>Story18</t>
  </si>
  <si>
    <t>ME14</t>
  </si>
  <si>
    <t>CargaGravitacional</t>
  </si>
  <si>
    <t>Story17</t>
  </si>
  <si>
    <t>Story16</t>
  </si>
  <si>
    <t>Story15</t>
  </si>
  <si>
    <t>Story14</t>
  </si>
  <si>
    <t>Story13</t>
  </si>
  <si>
    <t>Story12</t>
  </si>
  <si>
    <t>Story11</t>
  </si>
  <si>
    <t>Story10</t>
  </si>
  <si>
    <t>Story9</t>
  </si>
  <si>
    <t>Story8</t>
  </si>
  <si>
    <t>Story7</t>
  </si>
  <si>
    <t>Story6</t>
  </si>
  <si>
    <t>Story5</t>
  </si>
  <si>
    <t>Story4</t>
  </si>
  <si>
    <t>Story3</t>
  </si>
  <si>
    <t>Story2</t>
  </si>
  <si>
    <t>Story1</t>
  </si>
  <si>
    <t>Top</t>
  </si>
  <si>
    <t>Nodos cima</t>
  </si>
  <si>
    <t>Nodos interfaz 18-17</t>
  </si>
  <si>
    <t>Nodos interfaz 17-16</t>
  </si>
  <si>
    <t>Nodos interfaz 16-15</t>
  </si>
  <si>
    <t>Nodos interfaz 15-14</t>
  </si>
  <si>
    <t>Nodos interfaz 14-13</t>
  </si>
  <si>
    <t>Nodos interfaz 13-12</t>
  </si>
  <si>
    <t>Nodos interfaz 12-11</t>
  </si>
  <si>
    <t>Nodos interfaz 11-10</t>
  </si>
  <si>
    <t>Nodos interfaz 10-9</t>
  </si>
  <si>
    <t>Nodos interfaz 9-8</t>
  </si>
  <si>
    <t>Nodos interfaz 8-7</t>
  </si>
  <si>
    <t>Nodos interfaz 7-6</t>
  </si>
  <si>
    <t>Nodos interfaz 6-5</t>
  </si>
  <si>
    <t>Nodos interfaz 5-4</t>
  </si>
  <si>
    <t>Nodos interfaz 4-3</t>
  </si>
  <si>
    <t>Nodos interfaz 3-2</t>
  </si>
  <si>
    <t>Nodos interfaz 2-1</t>
  </si>
  <si>
    <t xml:space="preserve">P </t>
  </si>
  <si>
    <t>kN</t>
  </si>
  <si>
    <t>Modelo Betzabeth Mod_TO-4y</t>
  </si>
  <si>
    <t>Nodo izq (1/4)</t>
  </si>
  <si>
    <t>Nodo der (1/4)</t>
  </si>
  <si>
    <t xml:space="preserve">Nodo central (1/2) </t>
  </si>
  <si>
    <t>Verificación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</si>
</sst>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3.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11" xfId="0" applyFont="1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" fillId="0" borderId="11" xfId="0" applyFont="1" applyFill="1" applyBorder="1" applyAlignment="1"/>
    <xf numFmtId="0" fontId="0" fillId="0" borderId="8" xfId="0" applyBorder="1" applyAlignment="1">
      <alignment horizontal="center" vertical="center" textRotation="90"/>
    </xf>
    <xf numFmtId="0" fontId="0" fillId="0" borderId="8" xfId="0" applyFill="1" applyBorder="1" applyAlignment="1"/>
    <xf numFmtId="165" fontId="0" fillId="0" borderId="0" xfId="0" applyNumberFormat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5" xfId="0" applyFill="1" applyBorder="1" applyAlignment="1"/>
    <xf numFmtId="0" fontId="0" fillId="0" borderId="7" xfId="0" applyFill="1" applyBorder="1" applyAlignment="1"/>
    <xf numFmtId="0" fontId="1" fillId="0" borderId="5" xfId="0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Patrón</a:t>
            </a:r>
            <a:r>
              <a:rPr lang="es-CL" baseline="0"/>
              <a:t> lateral de carga push-over (Suquillo, 2017)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'Patron de carga lateral'!$C$4:$C$20</c:f>
              <c:numCache>
                <c:formatCode>General</c:formatCode>
                <c:ptCount val="17"/>
                <c:pt idx="0">
                  <c:v>20.672468615564</c:v>
                </c:pt>
                <c:pt idx="1">
                  <c:v>16.5344541143592</c:v>
                </c:pt>
                <c:pt idx="2">
                  <c:v>27.825149358008101</c:v>
                </c:pt>
                <c:pt idx="3">
                  <c:v>35.509247543707097</c:v>
                </c:pt>
                <c:pt idx="4">
                  <c:v>41.226661092101303</c:v>
                </c:pt>
                <c:pt idx="5">
                  <c:v>43.336927460968802</c:v>
                </c:pt>
                <c:pt idx="6">
                  <c:v>41.022565987083098</c:v>
                </c:pt>
                <c:pt idx="7">
                  <c:v>34.444762292466599</c:v>
                </c:pt>
                <c:pt idx="8">
                  <c:v>28.194280936086798</c:v>
                </c:pt>
                <c:pt idx="9">
                  <c:v>23.091903310631601</c:v>
                </c:pt>
                <c:pt idx="10">
                  <c:v>22.086831189692901</c:v>
                </c:pt>
                <c:pt idx="11">
                  <c:v>26.0009462091122</c:v>
                </c:pt>
                <c:pt idx="12">
                  <c:v>36.308024073320198</c:v>
                </c:pt>
                <c:pt idx="13">
                  <c:v>52.191134240667203</c:v>
                </c:pt>
                <c:pt idx="14">
                  <c:v>72.826194589004103</c:v>
                </c:pt>
                <c:pt idx="15">
                  <c:v>98.215405604638605</c:v>
                </c:pt>
                <c:pt idx="16">
                  <c:v>126.88389133998599</c:v>
                </c:pt>
              </c:numCache>
            </c:numRef>
          </c:xVal>
          <c:yVal>
            <c:numRef>
              <c:f>'Patron de carga lateral'!$E$4:$E$20</c:f>
              <c:numCache>
                <c:formatCode>General</c:formatCode>
                <c:ptCount val="1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3-4448-9E9F-9547861F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19295"/>
        <c:axId val="1858218879"/>
      </c:scatterChart>
      <c:valAx>
        <c:axId val="185821929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Fuerza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8218879"/>
        <c:crosses val="autoZero"/>
        <c:crossBetween val="midCat"/>
        <c:majorUnit val="50"/>
      </c:valAx>
      <c:valAx>
        <c:axId val="1858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Número de pisos</a:t>
                </a:r>
                <a:r>
                  <a:rPr lang="es-CL" baseline="0"/>
                  <a:t> [-]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82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Patrón lateral de carga push-over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Suquillo B.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'Patron de carga lateral'!$C$25:$C$41</c:f>
              <c:numCache>
                <c:formatCode>General</c:formatCode>
                <c:ptCount val="17"/>
                <c:pt idx="0">
                  <c:v>0.16292429556855267</c:v>
                </c:pt>
                <c:pt idx="1">
                  <c:v>0.13031168842430163</c:v>
                </c:pt>
                <c:pt idx="2">
                  <c:v>0.21929615386282944</c:v>
                </c:pt>
                <c:pt idx="3">
                  <c:v>0.27985623051676356</c:v>
                </c:pt>
                <c:pt idx="4">
                  <c:v>0.32491643073614651</c:v>
                </c:pt>
                <c:pt idx="5">
                  <c:v>0.34154790654116446</c:v>
                </c:pt>
                <c:pt idx="6">
                  <c:v>0.32330791209077075</c:v>
                </c:pt>
                <c:pt idx="7">
                  <c:v>0.27146678690813236</c:v>
                </c:pt>
                <c:pt idx="8">
                  <c:v>0.22220536143977557</c:v>
                </c:pt>
                <c:pt idx="9">
                  <c:v>0.18199239530537992</c:v>
                </c:pt>
                <c:pt idx="10">
                  <c:v>0.17407119971211421</c:v>
                </c:pt>
                <c:pt idx="11">
                  <c:v>0.20491920553920073</c:v>
                </c:pt>
                <c:pt idx="12">
                  <c:v>0.28615156494556643</c:v>
                </c:pt>
                <c:pt idx="13">
                  <c:v>0.41132986771993624</c:v>
                </c:pt>
                <c:pt idx="14">
                  <c:v>0.57395934046399921</c:v>
                </c:pt>
                <c:pt idx="15">
                  <c:v>0.77405732569684482</c:v>
                </c:pt>
                <c:pt idx="16">
                  <c:v>1</c:v>
                </c:pt>
              </c:numCache>
            </c:numRef>
          </c:xVal>
          <c:yVal>
            <c:numRef>
              <c:f>'Patron de carga lateral'!$D$25:$D$41</c:f>
              <c:numCache>
                <c:formatCode>General</c:formatCode>
                <c:ptCount val="17"/>
                <c:pt idx="0">
                  <c:v>-6.25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25</c:v>
                </c:pt>
                <c:pt idx="5">
                  <c:v>31.25</c:v>
                </c:pt>
                <c:pt idx="6">
                  <c:v>37.5</c:v>
                </c:pt>
                <c:pt idx="7">
                  <c:v>43.75</c:v>
                </c:pt>
                <c:pt idx="8">
                  <c:v>50</c:v>
                </c:pt>
                <c:pt idx="9">
                  <c:v>56.25</c:v>
                </c:pt>
                <c:pt idx="10">
                  <c:v>62.5</c:v>
                </c:pt>
                <c:pt idx="11">
                  <c:v>68.75</c:v>
                </c:pt>
                <c:pt idx="12">
                  <c:v>75</c:v>
                </c:pt>
                <c:pt idx="13">
                  <c:v>81.25</c:v>
                </c:pt>
                <c:pt idx="14">
                  <c:v>87.5</c:v>
                </c:pt>
                <c:pt idx="15">
                  <c:v>93.75</c:v>
                </c:pt>
                <c:pt idx="1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7-4DD5-8486-BA32B19CD4D8}"/>
            </c:ext>
          </c:extLst>
        </c:ser>
        <c:ser>
          <c:idx val="1"/>
          <c:order val="1"/>
          <c:tx>
            <c:v>Ec 5.6 Santos H.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'Patron de carga lateral'!$G$25:$G$41</c:f>
              <c:numCache>
                <c:formatCode>General</c:formatCode>
                <c:ptCount val="17"/>
                <c:pt idx="0">
                  <c:v>6.9699999999999998E-2</c:v>
                </c:pt>
                <c:pt idx="1">
                  <c:v>0.18832451171875</c:v>
                </c:pt>
                <c:pt idx="2">
                  <c:v>0.26019218750000001</c:v>
                </c:pt>
                <c:pt idx="3">
                  <c:v>0.29262138671874993</c:v>
                </c:pt>
                <c:pt idx="4">
                  <c:v>0.29319999999999996</c:v>
                </c:pt>
                <c:pt idx="5">
                  <c:v>0.26978544921874992</c:v>
                </c:pt>
                <c:pt idx="6">
                  <c:v>0.23050468749999986</c:v>
                </c:pt>
                <c:pt idx="7">
                  <c:v>0.1837541992187498</c:v>
                </c:pt>
                <c:pt idx="8">
                  <c:v>0.13819999999999999</c:v>
                </c:pt>
                <c:pt idx="9">
                  <c:v>0.10277763671874975</c:v>
                </c:pt>
                <c:pt idx="10">
                  <c:v>8.6692187499999865E-2</c:v>
                </c:pt>
                <c:pt idx="11">
                  <c:v>9.9418261718749693E-2</c:v>
                </c:pt>
                <c:pt idx="12">
                  <c:v>0.1506999999999995</c:v>
                </c:pt>
                <c:pt idx="13">
                  <c:v>0.25055107421874967</c:v>
                </c:pt>
                <c:pt idx="14">
                  <c:v>0.40925468749999927</c:v>
                </c:pt>
                <c:pt idx="15">
                  <c:v>0.63736357421874901</c:v>
                </c:pt>
                <c:pt idx="16">
                  <c:v>0.94569999999999899</c:v>
                </c:pt>
              </c:numCache>
            </c:numRef>
          </c:xVal>
          <c:yVal>
            <c:numRef>
              <c:f>'Patron de carga lateral'!$F$25:$F$41</c:f>
              <c:numCache>
                <c:formatCode>General</c:formatCode>
                <c:ptCount val="17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25</c:v>
                </c:pt>
                <c:pt idx="5">
                  <c:v>31.25</c:v>
                </c:pt>
                <c:pt idx="6">
                  <c:v>37.5</c:v>
                </c:pt>
                <c:pt idx="7">
                  <c:v>43.75</c:v>
                </c:pt>
                <c:pt idx="8">
                  <c:v>50</c:v>
                </c:pt>
                <c:pt idx="9">
                  <c:v>56.25</c:v>
                </c:pt>
                <c:pt idx="10">
                  <c:v>62.5</c:v>
                </c:pt>
                <c:pt idx="11">
                  <c:v>68.75</c:v>
                </c:pt>
                <c:pt idx="12">
                  <c:v>75</c:v>
                </c:pt>
                <c:pt idx="13">
                  <c:v>81.25</c:v>
                </c:pt>
                <c:pt idx="14">
                  <c:v>87.5</c:v>
                </c:pt>
                <c:pt idx="15">
                  <c:v>93.75</c:v>
                </c:pt>
                <c:pt idx="1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7-4DD5-8486-BA32B19CD4D8}"/>
            </c:ext>
          </c:extLst>
        </c:ser>
        <c:ser>
          <c:idx val="2"/>
          <c:order val="2"/>
          <c:tx>
            <c:v>Ec. 5.4 Santos H.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'Patron de carga lateral'!$H$25:$H$41</c:f>
              <c:numCache>
                <c:formatCode>General</c:formatCode>
                <c:ptCount val="17"/>
                <c:pt idx="0">
                  <c:v>7.5800000000000006E-2</c:v>
                </c:pt>
                <c:pt idx="1">
                  <c:v>0.14186228637695314</c:v>
                </c:pt>
                <c:pt idx="2">
                  <c:v>0.19142939453124999</c:v>
                </c:pt>
                <c:pt idx="3">
                  <c:v>0.22679636840820314</c:v>
                </c:pt>
                <c:pt idx="4">
                  <c:v>0.25055781249999998</c:v>
                </c:pt>
                <c:pt idx="5">
                  <c:v>0.2656078918457031</c:v>
                </c:pt>
                <c:pt idx="6">
                  <c:v>0.27514033203124999</c:v>
                </c:pt>
                <c:pt idx="7">
                  <c:v>0.28264841918945305</c:v>
                </c:pt>
                <c:pt idx="8">
                  <c:v>0.29192499999999999</c:v>
                </c:pt>
                <c:pt idx="9">
                  <c:v>0.30706248168945316</c:v>
                </c:pt>
                <c:pt idx="10">
                  <c:v>0.33245283203124987</c:v>
                </c:pt>
                <c:pt idx="11">
                  <c:v>0.37278757934570295</c:v>
                </c:pt>
                <c:pt idx="12">
                  <c:v>0.43305781249999997</c:v>
                </c:pt>
                <c:pt idx="13">
                  <c:v>0.51855418090820282</c:v>
                </c:pt>
                <c:pt idx="14">
                  <c:v>0.63486689453124978</c:v>
                </c:pt>
                <c:pt idx="15">
                  <c:v>0.7878857238769531</c:v>
                </c:pt>
                <c:pt idx="16">
                  <c:v>0.98379999999999967</c:v>
                </c:pt>
              </c:numCache>
            </c:numRef>
          </c:xVal>
          <c:yVal>
            <c:numRef>
              <c:f>'Patron de carga lateral'!$F$25:$F$41</c:f>
              <c:numCache>
                <c:formatCode>General</c:formatCode>
                <c:ptCount val="17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25</c:v>
                </c:pt>
                <c:pt idx="5">
                  <c:v>31.25</c:v>
                </c:pt>
                <c:pt idx="6">
                  <c:v>37.5</c:v>
                </c:pt>
                <c:pt idx="7">
                  <c:v>43.75</c:v>
                </c:pt>
                <c:pt idx="8">
                  <c:v>50</c:v>
                </c:pt>
                <c:pt idx="9">
                  <c:v>56.25</c:v>
                </c:pt>
                <c:pt idx="10">
                  <c:v>62.5</c:v>
                </c:pt>
                <c:pt idx="11">
                  <c:v>68.75</c:v>
                </c:pt>
                <c:pt idx="12">
                  <c:v>75</c:v>
                </c:pt>
                <c:pt idx="13">
                  <c:v>81.25</c:v>
                </c:pt>
                <c:pt idx="14">
                  <c:v>87.5</c:v>
                </c:pt>
                <c:pt idx="15">
                  <c:v>93.75</c:v>
                </c:pt>
                <c:pt idx="1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7-4DD5-8486-BA32B19CD4D8}"/>
            </c:ext>
          </c:extLst>
        </c:ser>
        <c:ser>
          <c:idx val="3"/>
          <c:order val="3"/>
          <c:tx>
            <c:v>Ec. 5.8 Santos H.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'Patron de carga lateral'!$I$25:$I$41</c:f>
              <c:numCache>
                <c:formatCode>General</c:formatCode>
                <c:ptCount val="17"/>
                <c:pt idx="0">
                  <c:v>4.7800000000000002E-2</c:v>
                </c:pt>
                <c:pt idx="1">
                  <c:v>0.21709722595214845</c:v>
                </c:pt>
                <c:pt idx="2">
                  <c:v>0.31395795898437501</c:v>
                </c:pt>
                <c:pt idx="3">
                  <c:v>0.35162237243652344</c:v>
                </c:pt>
                <c:pt idx="4">
                  <c:v>0.34304609375</c:v>
                </c:pt>
                <c:pt idx="5">
                  <c:v>0.30090020446777349</c:v>
                </c:pt>
                <c:pt idx="6">
                  <c:v>0.2375712402343752</c:v>
                </c:pt>
                <c:pt idx="7">
                  <c:v>0.16516119079589847</c:v>
                </c:pt>
                <c:pt idx="8">
                  <c:v>9.5487499999999892E-2</c:v>
                </c:pt>
                <c:pt idx="9">
                  <c:v>4.0083065795898536E-2</c:v>
                </c:pt>
                <c:pt idx="10">
                  <c:v>1.0196240234375091E-2</c:v>
                </c:pt>
                <c:pt idx="11">
                  <c:v>1.679082946777382E-2</c:v>
                </c:pt>
                <c:pt idx="12">
                  <c:v>7.0546093750000372E-2</c:v>
                </c:pt>
                <c:pt idx="13">
                  <c:v>0.18185674743652397</c:v>
                </c:pt>
                <c:pt idx="14">
                  <c:v>0.36083295898437479</c:v>
                </c:pt>
                <c:pt idx="15">
                  <c:v>0.6173003509521483</c:v>
                </c:pt>
                <c:pt idx="16">
                  <c:v>0.96080000000000065</c:v>
                </c:pt>
              </c:numCache>
            </c:numRef>
          </c:xVal>
          <c:yVal>
            <c:numRef>
              <c:f>'Patron de carga lateral'!$F$25:$F$41</c:f>
              <c:numCache>
                <c:formatCode>General</c:formatCode>
                <c:ptCount val="17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25</c:v>
                </c:pt>
                <c:pt idx="5">
                  <c:v>31.25</c:v>
                </c:pt>
                <c:pt idx="6">
                  <c:v>37.5</c:v>
                </c:pt>
                <c:pt idx="7">
                  <c:v>43.75</c:v>
                </c:pt>
                <c:pt idx="8">
                  <c:v>50</c:v>
                </c:pt>
                <c:pt idx="9">
                  <c:v>56.25</c:v>
                </c:pt>
                <c:pt idx="10">
                  <c:v>62.5</c:v>
                </c:pt>
                <c:pt idx="11">
                  <c:v>68.75</c:v>
                </c:pt>
                <c:pt idx="12">
                  <c:v>75</c:v>
                </c:pt>
                <c:pt idx="13">
                  <c:v>81.25</c:v>
                </c:pt>
                <c:pt idx="14">
                  <c:v>87.5</c:v>
                </c:pt>
                <c:pt idx="15">
                  <c:v>93.75</c:v>
                </c:pt>
                <c:pt idx="1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7-4DD5-8486-BA32B19C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73183"/>
        <c:axId val="1862173599"/>
      </c:scatterChart>
      <c:valAx>
        <c:axId val="18621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2173599"/>
        <c:crosses val="autoZero"/>
        <c:crossBetween val="midCat"/>
      </c:valAx>
      <c:valAx>
        <c:axId val="18621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217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15179352580925"/>
          <c:y val="0.48226778944298621"/>
          <c:w val="0.25082042869641297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Patrón</a:t>
            </a:r>
            <a:r>
              <a:rPr lang="es-CL" baseline="0"/>
              <a:t> lateral de  carga push-over (Modelo STKO)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7C-41C9-916C-57A5DB075BD5}"/>
              </c:ext>
            </c:extLst>
          </c:dPt>
          <c:xVal>
            <c:numRef>
              <c:f>'Patron de carga lateral'!$D$50:$D$67</c:f>
              <c:numCache>
                <c:formatCode>General</c:formatCode>
                <c:ptCount val="18"/>
                <c:pt idx="0">
                  <c:v>0.17490413447697833</c:v>
                </c:pt>
                <c:pt idx="1">
                  <c:v>0.25375875453535751</c:v>
                </c:pt>
                <c:pt idx="2">
                  <c:v>0.28915345455309044</c:v>
                </c:pt>
                <c:pt idx="3">
                  <c:v>0.29596066622054984</c:v>
                </c:pt>
                <c:pt idx="4">
                  <c:v>0.28230501856540147</c:v>
                </c:pt>
                <c:pt idx="5">
                  <c:v>0.25364386414973317</c:v>
                </c:pt>
                <c:pt idx="6">
                  <c:v>0.21559568607303814</c:v>
                </c:pt>
                <c:pt idx="7">
                  <c:v>0.17394009797221555</c:v>
                </c:pt>
                <c:pt idx="8">
                  <c:v>0.13461784402157051</c:v>
                </c:pt>
                <c:pt idx="9">
                  <c:v>0.10373079893281435</c:v>
                </c:pt>
                <c:pt idx="10">
                  <c:v>8.7541967955063207E-2</c:v>
                </c:pt>
                <c:pt idx="11">
                  <c:v>9.2475486874840654E-2</c:v>
                </c:pt>
                <c:pt idx="12">
                  <c:v>0.1251166220160741</c:v>
                </c:pt>
                <c:pt idx="13">
                  <c:v>0.19221177024009817</c:v>
                </c:pt>
                <c:pt idx="14">
                  <c:v>0.30066845894565419</c:v>
                </c:pt>
                <c:pt idx="15">
                  <c:v>0.45755534606888693</c:v>
                </c:pt>
                <c:pt idx="16">
                  <c:v>0.67010222008334874</c:v>
                </c:pt>
                <c:pt idx="17">
                  <c:v>0.94569999999999854</c:v>
                </c:pt>
              </c:numCache>
            </c:numRef>
          </c:xVal>
          <c:yVal>
            <c:numRef>
              <c:f>'Patron de carga lateral'!$C$50:$C$67</c:f>
              <c:numCache>
                <c:formatCode>General</c:formatCode>
                <c:ptCount val="18"/>
                <c:pt idx="0">
                  <c:v>2500</c:v>
                </c:pt>
                <c:pt idx="1">
                  <c:v>5450</c:v>
                </c:pt>
                <c:pt idx="2">
                  <c:v>8150</c:v>
                </c:pt>
                <c:pt idx="3">
                  <c:v>10700</c:v>
                </c:pt>
                <c:pt idx="4">
                  <c:v>13250</c:v>
                </c:pt>
                <c:pt idx="5">
                  <c:v>15800</c:v>
                </c:pt>
                <c:pt idx="6">
                  <c:v>18350</c:v>
                </c:pt>
                <c:pt idx="7">
                  <c:v>20900.000000000004</c:v>
                </c:pt>
                <c:pt idx="8">
                  <c:v>23450.000000000004</c:v>
                </c:pt>
                <c:pt idx="9">
                  <c:v>26000.000000000004</c:v>
                </c:pt>
                <c:pt idx="10">
                  <c:v>28550.000000000004</c:v>
                </c:pt>
                <c:pt idx="11">
                  <c:v>31100.000000000004</c:v>
                </c:pt>
                <c:pt idx="12">
                  <c:v>33650.000000000007</c:v>
                </c:pt>
                <c:pt idx="13">
                  <c:v>36200</c:v>
                </c:pt>
                <c:pt idx="14">
                  <c:v>38750</c:v>
                </c:pt>
                <c:pt idx="15">
                  <c:v>41300</c:v>
                </c:pt>
                <c:pt idx="16">
                  <c:v>43849.999999999993</c:v>
                </c:pt>
                <c:pt idx="17">
                  <c:v>46399.999999999993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5-4553-AAF2-58524086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51375"/>
        <c:axId val="1367445551"/>
      </c:scatterChart>
      <c:valAx>
        <c:axId val="13674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7445551"/>
        <c:crosses val="autoZero"/>
        <c:crossBetween val="midCat"/>
      </c:valAx>
      <c:valAx>
        <c:axId val="1367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Altura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74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gravitacional'!$G$28:$G$45</c:f>
              <c:numCache>
                <c:formatCode>General</c:formatCode>
                <c:ptCount val="18"/>
                <c:pt idx="0">
                  <c:v>295057.81</c:v>
                </c:pt>
                <c:pt idx="1">
                  <c:v>689231.79</c:v>
                </c:pt>
                <c:pt idx="2">
                  <c:v>1067431.8799999999</c:v>
                </c:pt>
                <c:pt idx="3">
                  <c:v>1448014.7</c:v>
                </c:pt>
                <c:pt idx="4">
                  <c:v>1830149.3</c:v>
                </c:pt>
                <c:pt idx="5">
                  <c:v>2212349.5</c:v>
                </c:pt>
                <c:pt idx="6">
                  <c:v>2599076.75</c:v>
                </c:pt>
                <c:pt idx="7">
                  <c:v>2993317.42</c:v>
                </c:pt>
                <c:pt idx="8">
                  <c:v>3397509.25</c:v>
                </c:pt>
                <c:pt idx="9">
                  <c:v>3834272.96</c:v>
                </c:pt>
                <c:pt idx="10">
                  <c:v>4302383.1900000004</c:v>
                </c:pt>
                <c:pt idx="11">
                  <c:v>4769403.5599999996</c:v>
                </c:pt>
                <c:pt idx="12">
                  <c:v>5227896.03</c:v>
                </c:pt>
                <c:pt idx="13">
                  <c:v>5700618.5700000003</c:v>
                </c:pt>
                <c:pt idx="14">
                  <c:v>6236597.0700000003</c:v>
                </c:pt>
                <c:pt idx="15">
                  <c:v>7192619.9699999997</c:v>
                </c:pt>
                <c:pt idx="16">
                  <c:v>7861697.9199999999</c:v>
                </c:pt>
                <c:pt idx="17">
                  <c:v>7703840.4500000002</c:v>
                </c:pt>
              </c:numCache>
            </c:numRef>
          </c:xVal>
          <c:yVal>
            <c:numRef>
              <c:f>'Carga gravitacional'!$A$28:$A$45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4-4D18-9AD9-A669E937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04240"/>
        <c:axId val="1804296752"/>
      </c:scatterChart>
      <c:valAx>
        <c:axId val="18043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4296752"/>
        <c:crosses val="autoZero"/>
        <c:crossBetween val="midCat"/>
      </c:valAx>
      <c:valAx>
        <c:axId val="18042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Piso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43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gravitacional'!$K$28:$K$45</c:f>
              <c:numCache>
                <c:formatCode>0</c:formatCode>
                <c:ptCount val="18"/>
                <c:pt idx="0">
                  <c:v>295057.81</c:v>
                </c:pt>
                <c:pt idx="1">
                  <c:v>394173.98000000004</c:v>
                </c:pt>
                <c:pt idx="2">
                  <c:v>378200.08999999985</c:v>
                </c:pt>
                <c:pt idx="3">
                  <c:v>380582.82000000007</c:v>
                </c:pt>
                <c:pt idx="4">
                  <c:v>382134.60000000009</c:v>
                </c:pt>
                <c:pt idx="5">
                  <c:v>382200.19999999995</c:v>
                </c:pt>
                <c:pt idx="6">
                  <c:v>386727.25</c:v>
                </c:pt>
                <c:pt idx="7">
                  <c:v>394240.66999999993</c:v>
                </c:pt>
                <c:pt idx="8">
                  <c:v>404191.83000000007</c:v>
                </c:pt>
                <c:pt idx="9">
                  <c:v>436763.70999999996</c:v>
                </c:pt>
                <c:pt idx="10">
                  <c:v>468110.23000000045</c:v>
                </c:pt>
                <c:pt idx="11">
                  <c:v>467020.36999999918</c:v>
                </c:pt>
                <c:pt idx="12">
                  <c:v>458492.47000000067</c:v>
                </c:pt>
                <c:pt idx="13">
                  <c:v>472722.54000000004</c:v>
                </c:pt>
                <c:pt idx="14">
                  <c:v>535978.5</c:v>
                </c:pt>
                <c:pt idx="15">
                  <c:v>956022.89999999944</c:v>
                </c:pt>
                <c:pt idx="16">
                  <c:v>669077.95000000019</c:v>
                </c:pt>
                <c:pt idx="17">
                  <c:v>157857.46999999974</c:v>
                </c:pt>
              </c:numCache>
            </c:numRef>
          </c:xVal>
          <c:yVal>
            <c:numRef>
              <c:f>'Carga gravitacional'!$A$28:$A$45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D-4B26-8E19-1117BD45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59424"/>
        <c:axId val="1812651520"/>
      </c:scatterChart>
      <c:valAx>
        <c:axId val="18126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2651520"/>
        <c:crosses val="autoZero"/>
        <c:crossBetween val="midCat"/>
      </c:valAx>
      <c:valAx>
        <c:axId val="1812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2659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33</xdr:row>
      <xdr:rowOff>17691</xdr:rowOff>
    </xdr:from>
    <xdr:to>
      <xdr:col>2</xdr:col>
      <xdr:colOff>1451882</xdr:colOff>
      <xdr:row>33</xdr:row>
      <xdr:rowOff>337069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1053" y="6304191"/>
          <a:ext cx="1343025" cy="319378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408216</xdr:colOff>
      <xdr:row>35</xdr:row>
      <xdr:rowOff>20411</xdr:rowOff>
    </xdr:from>
    <xdr:to>
      <xdr:col>2</xdr:col>
      <xdr:colOff>1091123</xdr:colOff>
      <xdr:row>35</xdr:row>
      <xdr:rowOff>280567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0412" y="6858000"/>
          <a:ext cx="682907" cy="260156"/>
        </a:xfrm>
        <a:prstGeom prst="rect">
          <a:avLst/>
        </a:prstGeom>
      </xdr:spPr>
    </xdr:pic>
    <xdr:clientData/>
  </xdr:twoCellAnchor>
  <xdr:twoCellAnchor editAs="oneCell">
    <xdr:from>
      <xdr:col>2</xdr:col>
      <xdr:colOff>74840</xdr:colOff>
      <xdr:row>44</xdr:row>
      <xdr:rowOff>68035</xdr:rowOff>
    </xdr:from>
    <xdr:to>
      <xdr:col>2</xdr:col>
      <xdr:colOff>1496367</xdr:colOff>
      <xdr:row>44</xdr:row>
      <xdr:rowOff>287788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1" y="8933089"/>
          <a:ext cx="1421527" cy="219753"/>
        </a:xfrm>
        <a:prstGeom prst="rect">
          <a:avLst/>
        </a:prstGeom>
      </xdr:spPr>
    </xdr:pic>
    <xdr:clientData/>
  </xdr:twoCellAnchor>
  <xdr:twoCellAnchor editAs="oneCell">
    <xdr:from>
      <xdr:col>2</xdr:col>
      <xdr:colOff>6803</xdr:colOff>
      <xdr:row>46</xdr:row>
      <xdr:rowOff>54428</xdr:rowOff>
    </xdr:from>
    <xdr:to>
      <xdr:col>2</xdr:col>
      <xdr:colOff>1542237</xdr:colOff>
      <xdr:row>46</xdr:row>
      <xdr:rowOff>340179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1964" y="9246053"/>
          <a:ext cx="1535434" cy="285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0</xdr:rowOff>
    </xdr:from>
    <xdr:to>
      <xdr:col>11</xdr:col>
      <xdr:colOff>552450</xdr:colOff>
      <xdr:row>18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204787</xdr:colOff>
      <xdr:row>23</xdr:row>
      <xdr:rowOff>171450</xdr:rowOff>
    </xdr:from>
    <xdr:to>
      <xdr:col>16</xdr:col>
      <xdr:colOff>204787</xdr:colOff>
      <xdr:row>38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300037</xdr:colOff>
      <xdr:row>50</xdr:row>
      <xdr:rowOff>85725</xdr:rowOff>
    </xdr:from>
    <xdr:to>
      <xdr:col>12</xdr:col>
      <xdr:colOff>300037</xdr:colOff>
      <xdr:row>64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47</xdr:row>
      <xdr:rowOff>47625</xdr:rowOff>
    </xdr:from>
    <xdr:to>
      <xdr:col>6</xdr:col>
      <xdr:colOff>676275</xdr:colOff>
      <xdr:row>61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747549</xdr:colOff>
      <xdr:row>1</xdr:row>
      <xdr:rowOff>66675</xdr:rowOff>
    </xdr:from>
    <xdr:to>
      <xdr:col>8</xdr:col>
      <xdr:colOff>160824</xdr:colOff>
      <xdr:row>22</xdr:row>
      <xdr:rowOff>37368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549" y="257175"/>
          <a:ext cx="5966475" cy="39711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47</xdr:row>
      <xdr:rowOff>28575</xdr:rowOff>
    </xdr:from>
    <xdr:to>
      <xdr:col>12</xdr:col>
      <xdr:colOff>581025</xdr:colOff>
      <xdr:row>61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7"/>
  <sheetViews>
    <sheetView zoomScaleNormal="100" workbookViewId="0">
      <selection activeCell="R16" sqref="R16"/>
    </sheetView>
  </sheetViews>
  <sheetFormatPr baseColWidth="10" defaultRowHeight="15" x14ac:dyDescent="0.25"/>
  <cols>
    <col min="4" max="4" width="23.140625" customWidth="1"/>
    <col min="5" max="5" width="19.42578125" customWidth="1"/>
    <col min="7" max="7" width="14" customWidth="1"/>
    <col min="9" max="9" width="19.7109375" customWidth="1"/>
    <col min="12" max="12" width="15.140625" customWidth="1"/>
    <col min="14" max="14" width="13.7109375" customWidth="1"/>
    <col min="15" max="15" width="13.85546875" customWidth="1"/>
  </cols>
  <sheetData>
    <row r="2" spans="2:18" x14ac:dyDescent="0.25">
      <c r="G2" s="115" t="s">
        <v>21</v>
      </c>
      <c r="H2" s="116"/>
      <c r="I2" s="117"/>
      <c r="K2" s="115" t="s">
        <v>81</v>
      </c>
      <c r="L2" s="116"/>
      <c r="M2" s="116"/>
      <c r="N2" s="116"/>
      <c r="O2" s="117"/>
    </row>
    <row r="3" spans="2:18" x14ac:dyDescent="0.25">
      <c r="B3" s="12" t="s">
        <v>18</v>
      </c>
      <c r="C3" s="13" t="s">
        <v>19</v>
      </c>
      <c r="D3" s="13" t="s">
        <v>20</v>
      </c>
      <c r="E3" s="14" t="s">
        <v>80</v>
      </c>
      <c r="G3" s="12" t="s">
        <v>23</v>
      </c>
      <c r="H3" s="13" t="s">
        <v>19</v>
      </c>
      <c r="I3" s="14" t="s">
        <v>20</v>
      </c>
      <c r="K3" s="12" t="s">
        <v>22</v>
      </c>
      <c r="L3" s="13" t="s">
        <v>62</v>
      </c>
      <c r="M3" s="13" t="s">
        <v>63</v>
      </c>
      <c r="N3" s="13" t="s">
        <v>60</v>
      </c>
      <c r="O3" s="14" t="s">
        <v>61</v>
      </c>
    </row>
    <row r="4" spans="2:18" x14ac:dyDescent="0.25">
      <c r="B4" s="5" t="s">
        <v>0</v>
      </c>
      <c r="C4" s="6">
        <v>2.5</v>
      </c>
      <c r="D4" s="6">
        <f>C4</f>
        <v>2.5</v>
      </c>
      <c r="E4" s="7">
        <f>D4*1000</f>
        <v>2500</v>
      </c>
      <c r="G4" s="5" t="s">
        <v>24</v>
      </c>
      <c r="H4" s="6">
        <f>C4/$C$25</f>
        <v>1.25</v>
      </c>
      <c r="I4" s="7">
        <f>H4</f>
        <v>1.25</v>
      </c>
      <c r="K4" s="5">
        <v>1</v>
      </c>
      <c r="L4" s="6">
        <v>0</v>
      </c>
      <c r="M4" s="6">
        <v>0</v>
      </c>
      <c r="N4" s="6">
        <f>L4*1000</f>
        <v>0</v>
      </c>
      <c r="O4" s="7">
        <f>M4*1000</f>
        <v>0</v>
      </c>
    </row>
    <row r="5" spans="2:18" x14ac:dyDescent="0.25">
      <c r="B5" s="5" t="s">
        <v>1</v>
      </c>
      <c r="C5" s="6">
        <v>2.95</v>
      </c>
      <c r="D5" s="6">
        <f>C5+D4</f>
        <v>5.45</v>
      </c>
      <c r="E5" s="7">
        <f t="shared" ref="E5:E21" si="0">D5*1000</f>
        <v>5450</v>
      </c>
      <c r="G5" s="5" t="s">
        <v>25</v>
      </c>
      <c r="H5" s="6">
        <f>H4</f>
        <v>1.25</v>
      </c>
      <c r="I5" s="7">
        <f>H5+I4</f>
        <v>2.5</v>
      </c>
      <c r="K5" s="5">
        <v>2</v>
      </c>
      <c r="L5" s="6">
        <v>4.33</v>
      </c>
      <c r="M5" s="6">
        <v>0</v>
      </c>
      <c r="N5" s="6">
        <f t="shared" ref="N5:N68" si="1">L5*1000</f>
        <v>4330</v>
      </c>
      <c r="O5" s="7">
        <f t="shared" ref="O5:O68" si="2">M5*1000</f>
        <v>0</v>
      </c>
    </row>
    <row r="6" spans="2:18" x14ac:dyDescent="0.25">
      <c r="B6" s="5" t="s">
        <v>2</v>
      </c>
      <c r="C6" s="6">
        <v>2.7</v>
      </c>
      <c r="D6" s="6">
        <f t="shared" ref="D6:D21" si="3">C6+D5</f>
        <v>8.15</v>
      </c>
      <c r="E6" s="7">
        <f t="shared" si="0"/>
        <v>8150</v>
      </c>
      <c r="G6" s="5" t="s">
        <v>26</v>
      </c>
      <c r="H6" s="15">
        <f>C5/$C$26</f>
        <v>0.98333333333333339</v>
      </c>
      <c r="I6" s="16">
        <f>H6+I5</f>
        <v>3.4833333333333334</v>
      </c>
      <c r="K6" s="5">
        <v>3</v>
      </c>
      <c r="L6" s="6">
        <v>8.66</v>
      </c>
      <c r="M6" s="6">
        <v>0</v>
      </c>
      <c r="N6" s="6">
        <f t="shared" si="1"/>
        <v>8660</v>
      </c>
      <c r="O6" s="7">
        <f t="shared" si="2"/>
        <v>0</v>
      </c>
    </row>
    <row r="7" spans="2:18" x14ac:dyDescent="0.25">
      <c r="B7" s="5" t="s">
        <v>3</v>
      </c>
      <c r="C7" s="6">
        <v>2.5499999999999998</v>
      </c>
      <c r="D7" s="6">
        <f t="shared" si="3"/>
        <v>10.7</v>
      </c>
      <c r="E7" s="7">
        <f t="shared" si="0"/>
        <v>10700</v>
      </c>
      <c r="G7" s="5" t="s">
        <v>27</v>
      </c>
      <c r="H7" s="15">
        <f>H6</f>
        <v>0.98333333333333339</v>
      </c>
      <c r="I7" s="16">
        <f>H7+I6</f>
        <v>4.4666666666666668</v>
      </c>
      <c r="K7" s="5">
        <v>4</v>
      </c>
      <c r="L7" s="6">
        <v>0</v>
      </c>
      <c r="M7" s="6">
        <f>I4</f>
        <v>1.25</v>
      </c>
      <c r="N7" s="6">
        <f t="shared" si="1"/>
        <v>0</v>
      </c>
      <c r="O7" s="7">
        <f>M7*1000</f>
        <v>1250</v>
      </c>
    </row>
    <row r="8" spans="2:18" x14ac:dyDescent="0.25">
      <c r="B8" s="5" t="s">
        <v>4</v>
      </c>
      <c r="C8" s="6">
        <v>2.5499999999999998</v>
      </c>
      <c r="D8" s="6">
        <f t="shared" si="3"/>
        <v>13.25</v>
      </c>
      <c r="E8" s="7">
        <f t="shared" si="0"/>
        <v>13250</v>
      </c>
      <c r="G8" s="5" t="s">
        <v>66</v>
      </c>
      <c r="H8" s="15">
        <f>H6</f>
        <v>0.98333333333333339</v>
      </c>
      <c r="I8" s="16">
        <f>H8+I7</f>
        <v>5.45</v>
      </c>
      <c r="K8" s="5">
        <v>5</v>
      </c>
      <c r="L8" s="6">
        <v>4.33</v>
      </c>
      <c r="M8" s="6">
        <f>M7</f>
        <v>1.25</v>
      </c>
      <c r="N8" s="6">
        <f t="shared" si="1"/>
        <v>4330</v>
      </c>
      <c r="O8" s="7">
        <f t="shared" si="2"/>
        <v>1250</v>
      </c>
    </row>
    <row r="9" spans="2:18" x14ac:dyDescent="0.25">
      <c r="B9" s="5" t="s">
        <v>5</v>
      </c>
      <c r="C9" s="6">
        <v>2.5499999999999998</v>
      </c>
      <c r="D9" s="6">
        <f t="shared" si="3"/>
        <v>15.8</v>
      </c>
      <c r="E9" s="7">
        <f t="shared" si="0"/>
        <v>15800</v>
      </c>
      <c r="G9" s="5" t="s">
        <v>28</v>
      </c>
      <c r="H9" s="6">
        <f>C6/$C$27</f>
        <v>1.35</v>
      </c>
      <c r="I9" s="16">
        <f t="shared" ref="I9:I39" si="4">H9+I8</f>
        <v>6.8000000000000007</v>
      </c>
      <c r="K9" s="5">
        <v>6</v>
      </c>
      <c r="L9" s="6">
        <v>8.66</v>
      </c>
      <c r="M9" s="6">
        <f>M8</f>
        <v>1.25</v>
      </c>
      <c r="N9" s="6">
        <f t="shared" si="1"/>
        <v>8660</v>
      </c>
      <c r="O9" s="7">
        <f t="shared" si="2"/>
        <v>1250</v>
      </c>
    </row>
    <row r="10" spans="2:18" x14ac:dyDescent="0.25">
      <c r="B10" s="5" t="s">
        <v>6</v>
      </c>
      <c r="C10" s="6">
        <v>2.5499999999999998</v>
      </c>
      <c r="D10" s="6">
        <f t="shared" si="3"/>
        <v>18.350000000000001</v>
      </c>
      <c r="E10" s="7">
        <f t="shared" si="0"/>
        <v>18350</v>
      </c>
      <c r="G10" s="5" t="s">
        <v>29</v>
      </c>
      <c r="H10" s="6">
        <f>H9</f>
        <v>1.35</v>
      </c>
      <c r="I10" s="16">
        <f t="shared" si="4"/>
        <v>8.15</v>
      </c>
      <c r="K10" s="5">
        <v>7</v>
      </c>
      <c r="L10" s="6">
        <v>0</v>
      </c>
      <c r="M10" s="6">
        <f>I5</f>
        <v>2.5</v>
      </c>
      <c r="N10" s="6">
        <f t="shared" si="1"/>
        <v>0</v>
      </c>
      <c r="O10" s="7">
        <f t="shared" si="2"/>
        <v>2500</v>
      </c>
    </row>
    <row r="11" spans="2:18" x14ac:dyDescent="0.25">
      <c r="B11" s="5" t="s">
        <v>7</v>
      </c>
      <c r="C11" s="6">
        <v>2.5499999999999998</v>
      </c>
      <c r="D11" s="6">
        <f t="shared" si="3"/>
        <v>20.900000000000002</v>
      </c>
      <c r="E11" s="7">
        <f t="shared" si="0"/>
        <v>20900.000000000004</v>
      </c>
      <c r="G11" s="5" t="s">
        <v>30</v>
      </c>
      <c r="H11" s="6">
        <f>C7/$C$27</f>
        <v>1.2749999999999999</v>
      </c>
      <c r="I11" s="16">
        <f t="shared" si="4"/>
        <v>9.4250000000000007</v>
      </c>
      <c r="K11" s="5">
        <v>8</v>
      </c>
      <c r="L11" s="6">
        <v>4.33</v>
      </c>
      <c r="M11" s="6">
        <f>M10</f>
        <v>2.5</v>
      </c>
      <c r="N11" s="6">
        <f t="shared" si="1"/>
        <v>4330</v>
      </c>
      <c r="O11" s="7">
        <f t="shared" si="2"/>
        <v>2500</v>
      </c>
    </row>
    <row r="12" spans="2:18" x14ac:dyDescent="0.25">
      <c r="B12" s="5" t="s">
        <v>8</v>
      </c>
      <c r="C12" s="6">
        <v>2.5499999999999998</v>
      </c>
      <c r="D12" s="6">
        <f t="shared" si="3"/>
        <v>23.450000000000003</v>
      </c>
      <c r="E12" s="7">
        <f t="shared" si="0"/>
        <v>23450.000000000004</v>
      </c>
      <c r="G12" s="5" t="s">
        <v>31</v>
      </c>
      <c r="H12" s="6">
        <f>H11</f>
        <v>1.2749999999999999</v>
      </c>
      <c r="I12" s="16">
        <f t="shared" si="4"/>
        <v>10.700000000000001</v>
      </c>
      <c r="K12" s="5">
        <v>9</v>
      </c>
      <c r="L12" s="6">
        <v>8.66</v>
      </c>
      <c r="M12" s="6">
        <f>M11</f>
        <v>2.5</v>
      </c>
      <c r="N12" s="6">
        <f t="shared" si="1"/>
        <v>8660</v>
      </c>
      <c r="O12" s="7">
        <f t="shared" si="2"/>
        <v>2500</v>
      </c>
    </row>
    <row r="13" spans="2:18" x14ac:dyDescent="0.25">
      <c r="B13" s="5" t="s">
        <v>9</v>
      </c>
      <c r="C13" s="6">
        <v>2.5499999999999998</v>
      </c>
      <c r="D13" s="6">
        <f t="shared" si="3"/>
        <v>26.000000000000004</v>
      </c>
      <c r="E13" s="7">
        <f t="shared" si="0"/>
        <v>26000.000000000004</v>
      </c>
      <c r="G13" s="5" t="s">
        <v>33</v>
      </c>
      <c r="H13" s="6">
        <f>C8/$C$27</f>
        <v>1.2749999999999999</v>
      </c>
      <c r="I13" s="16">
        <f t="shared" si="4"/>
        <v>11.975000000000001</v>
      </c>
      <c r="K13" s="5">
        <v>10</v>
      </c>
      <c r="L13" s="6">
        <v>0</v>
      </c>
      <c r="M13" s="15">
        <f>I6</f>
        <v>3.4833333333333334</v>
      </c>
      <c r="N13" s="6">
        <f t="shared" si="1"/>
        <v>0</v>
      </c>
      <c r="O13" s="20">
        <f t="shared" si="2"/>
        <v>3483.3333333333335</v>
      </c>
    </row>
    <row r="14" spans="2:18" x14ac:dyDescent="0.25">
      <c r="B14" s="5" t="s">
        <v>10</v>
      </c>
      <c r="C14" s="6">
        <v>2.5499999999999998</v>
      </c>
      <c r="D14" s="6">
        <f t="shared" si="3"/>
        <v>28.550000000000004</v>
      </c>
      <c r="E14" s="7">
        <f t="shared" si="0"/>
        <v>28550.000000000004</v>
      </c>
      <c r="G14" s="5" t="s">
        <v>32</v>
      </c>
      <c r="H14" s="6">
        <f>H13</f>
        <v>1.2749999999999999</v>
      </c>
      <c r="I14" s="16">
        <f t="shared" si="4"/>
        <v>13.250000000000002</v>
      </c>
      <c r="K14" s="5">
        <v>11</v>
      </c>
      <c r="L14" s="6">
        <v>4.33</v>
      </c>
      <c r="M14" s="15">
        <f>M13</f>
        <v>3.4833333333333334</v>
      </c>
      <c r="N14" s="6">
        <f t="shared" si="1"/>
        <v>4330</v>
      </c>
      <c r="O14" s="20">
        <f t="shared" si="2"/>
        <v>3483.3333333333335</v>
      </c>
    </row>
    <row r="15" spans="2:18" x14ac:dyDescent="0.25">
      <c r="B15" s="5" t="s">
        <v>11</v>
      </c>
      <c r="C15" s="6">
        <v>2.5499999999999998</v>
      </c>
      <c r="D15" s="6">
        <f t="shared" si="3"/>
        <v>31.100000000000005</v>
      </c>
      <c r="E15" s="7">
        <f t="shared" si="0"/>
        <v>31100.000000000004</v>
      </c>
      <c r="G15" s="5" t="s">
        <v>34</v>
      </c>
      <c r="H15" s="6">
        <f>C11/$C$27</f>
        <v>1.2749999999999999</v>
      </c>
      <c r="I15" s="16">
        <f t="shared" si="4"/>
        <v>14.525000000000002</v>
      </c>
      <c r="K15" s="5">
        <v>12</v>
      </c>
      <c r="L15" s="6">
        <v>8.66</v>
      </c>
      <c r="M15" s="15">
        <f>M14</f>
        <v>3.4833333333333334</v>
      </c>
      <c r="N15" s="6">
        <f t="shared" si="1"/>
        <v>8660</v>
      </c>
      <c r="O15" s="20">
        <f t="shared" si="2"/>
        <v>3483.3333333333335</v>
      </c>
    </row>
    <row r="16" spans="2:18" x14ac:dyDescent="0.25">
      <c r="B16" s="5" t="s">
        <v>12</v>
      </c>
      <c r="C16" s="6">
        <v>2.5499999999999998</v>
      </c>
      <c r="D16" s="6">
        <f t="shared" si="3"/>
        <v>33.650000000000006</v>
      </c>
      <c r="E16" s="7">
        <f t="shared" si="0"/>
        <v>33650.000000000007</v>
      </c>
      <c r="G16" s="5" t="s">
        <v>35</v>
      </c>
      <c r="H16" s="6">
        <f>H15</f>
        <v>1.2749999999999999</v>
      </c>
      <c r="I16" s="16">
        <f t="shared" si="4"/>
        <v>15.800000000000002</v>
      </c>
      <c r="K16" s="5">
        <v>13</v>
      </c>
      <c r="L16" s="6">
        <v>0</v>
      </c>
      <c r="M16" s="15">
        <f>I7</f>
        <v>4.4666666666666668</v>
      </c>
      <c r="N16" s="6">
        <f t="shared" si="1"/>
        <v>0</v>
      </c>
      <c r="O16" s="20">
        <f t="shared" si="2"/>
        <v>4466.666666666667</v>
      </c>
      <c r="R16" t="s">
        <v>82</v>
      </c>
    </row>
    <row r="17" spans="2:15" x14ac:dyDescent="0.25">
      <c r="B17" s="5" t="s">
        <v>13</v>
      </c>
      <c r="C17" s="6">
        <v>2.5499999999999998</v>
      </c>
      <c r="D17" s="6">
        <f t="shared" si="3"/>
        <v>36.200000000000003</v>
      </c>
      <c r="E17" s="7">
        <f t="shared" si="0"/>
        <v>36200</v>
      </c>
      <c r="G17" s="5" t="s">
        <v>36</v>
      </c>
      <c r="H17" s="6">
        <f>C12/$C$27</f>
        <v>1.2749999999999999</v>
      </c>
      <c r="I17" s="16">
        <f t="shared" si="4"/>
        <v>17.075000000000003</v>
      </c>
      <c r="K17" s="5">
        <v>14</v>
      </c>
      <c r="L17" s="6">
        <v>4.33</v>
      </c>
      <c r="M17" s="15">
        <f>M16</f>
        <v>4.4666666666666668</v>
      </c>
      <c r="N17" s="6">
        <f t="shared" si="1"/>
        <v>4330</v>
      </c>
      <c r="O17" s="20">
        <f t="shared" si="2"/>
        <v>4466.666666666667</v>
      </c>
    </row>
    <row r="18" spans="2:15" x14ac:dyDescent="0.25">
      <c r="B18" s="5" t="s">
        <v>14</v>
      </c>
      <c r="C18" s="6">
        <v>2.5499999999999998</v>
      </c>
      <c r="D18" s="6">
        <f t="shared" si="3"/>
        <v>38.75</v>
      </c>
      <c r="E18" s="7">
        <f t="shared" si="0"/>
        <v>38750</v>
      </c>
      <c r="G18" s="5" t="s">
        <v>37</v>
      </c>
      <c r="H18" s="6">
        <f>H17</f>
        <v>1.2749999999999999</v>
      </c>
      <c r="I18" s="16">
        <f t="shared" si="4"/>
        <v>18.350000000000001</v>
      </c>
      <c r="K18" s="5">
        <v>15</v>
      </c>
      <c r="L18" s="6">
        <v>8.66</v>
      </c>
      <c r="M18" s="15">
        <f>M17</f>
        <v>4.4666666666666668</v>
      </c>
      <c r="N18" s="6">
        <f t="shared" si="1"/>
        <v>8660</v>
      </c>
      <c r="O18" s="20">
        <f t="shared" si="2"/>
        <v>4466.666666666667</v>
      </c>
    </row>
    <row r="19" spans="2:15" x14ac:dyDescent="0.25">
      <c r="B19" s="5" t="s">
        <v>15</v>
      </c>
      <c r="C19" s="6">
        <v>2.5499999999999998</v>
      </c>
      <c r="D19" s="6">
        <f t="shared" si="3"/>
        <v>41.3</v>
      </c>
      <c r="E19" s="7">
        <f t="shared" si="0"/>
        <v>41300</v>
      </c>
      <c r="G19" s="5" t="s">
        <v>38</v>
      </c>
      <c r="H19" s="6">
        <f>C15/$C$27</f>
        <v>1.2749999999999999</v>
      </c>
      <c r="I19" s="16">
        <f t="shared" si="4"/>
        <v>19.625</v>
      </c>
      <c r="K19" s="5">
        <v>16</v>
      </c>
      <c r="L19" s="6">
        <v>0</v>
      </c>
      <c r="M19" s="15">
        <f>I8</f>
        <v>5.45</v>
      </c>
      <c r="N19" s="6">
        <f t="shared" si="1"/>
        <v>0</v>
      </c>
      <c r="O19" s="7">
        <f t="shared" si="2"/>
        <v>5450</v>
      </c>
    </row>
    <row r="20" spans="2:15" x14ac:dyDescent="0.25">
      <c r="B20" s="5" t="s">
        <v>16</v>
      </c>
      <c r="C20" s="6">
        <v>2.5499999999999998</v>
      </c>
      <c r="D20" s="6">
        <f t="shared" si="3"/>
        <v>43.849999999999994</v>
      </c>
      <c r="E20" s="7">
        <f t="shared" si="0"/>
        <v>43849.999999999993</v>
      </c>
      <c r="G20" s="5" t="s">
        <v>39</v>
      </c>
      <c r="H20" s="6">
        <f>H19</f>
        <v>1.2749999999999999</v>
      </c>
      <c r="I20" s="16">
        <f t="shared" si="4"/>
        <v>20.9</v>
      </c>
      <c r="K20" s="5">
        <v>17</v>
      </c>
      <c r="L20" s="6">
        <v>4.33</v>
      </c>
      <c r="M20" s="15">
        <f>M19</f>
        <v>5.45</v>
      </c>
      <c r="N20" s="6">
        <f t="shared" si="1"/>
        <v>4330</v>
      </c>
      <c r="O20" s="7">
        <f t="shared" si="2"/>
        <v>5450</v>
      </c>
    </row>
    <row r="21" spans="2:15" x14ac:dyDescent="0.25">
      <c r="B21" s="8" t="s">
        <v>17</v>
      </c>
      <c r="C21" s="9">
        <v>2.5499999999999998</v>
      </c>
      <c r="D21" s="10">
        <f t="shared" si="3"/>
        <v>46.399999999999991</v>
      </c>
      <c r="E21" s="11">
        <f t="shared" si="0"/>
        <v>46399.999999999993</v>
      </c>
      <c r="G21" s="5" t="s">
        <v>40</v>
      </c>
      <c r="H21" s="6">
        <f>C16/$C$27</f>
        <v>1.2749999999999999</v>
      </c>
      <c r="I21" s="16">
        <f t="shared" si="4"/>
        <v>22.174999999999997</v>
      </c>
      <c r="K21" s="5">
        <v>18</v>
      </c>
      <c r="L21" s="6">
        <v>8.66</v>
      </c>
      <c r="M21" s="15">
        <f>M19</f>
        <v>5.45</v>
      </c>
      <c r="N21" s="6">
        <f t="shared" si="1"/>
        <v>8660</v>
      </c>
      <c r="O21" s="7">
        <f t="shared" si="2"/>
        <v>5450</v>
      </c>
    </row>
    <row r="22" spans="2:15" x14ac:dyDescent="0.25">
      <c r="G22" s="5" t="s">
        <v>41</v>
      </c>
      <c r="H22" s="6">
        <f>H21</f>
        <v>1.2749999999999999</v>
      </c>
      <c r="I22" s="16">
        <f t="shared" si="4"/>
        <v>23.449999999999996</v>
      </c>
      <c r="K22" s="5">
        <v>19</v>
      </c>
      <c r="L22" s="6">
        <v>0</v>
      </c>
      <c r="M22" s="15">
        <f>I9</f>
        <v>6.8000000000000007</v>
      </c>
      <c r="N22" s="6">
        <f t="shared" si="1"/>
        <v>0</v>
      </c>
      <c r="O22" s="7">
        <f t="shared" si="2"/>
        <v>6800.0000000000009</v>
      </c>
    </row>
    <row r="23" spans="2:15" x14ac:dyDescent="0.25">
      <c r="B23" s="115" t="s">
        <v>85</v>
      </c>
      <c r="C23" s="116"/>
      <c r="D23" s="116"/>
      <c r="E23" s="117"/>
      <c r="G23" s="5" t="s">
        <v>42</v>
      </c>
      <c r="H23" s="6">
        <f>C19/$C$27</f>
        <v>1.2749999999999999</v>
      </c>
      <c r="I23" s="16">
        <f t="shared" si="4"/>
        <v>24.724999999999994</v>
      </c>
      <c r="K23" s="5">
        <v>20</v>
      </c>
      <c r="L23" s="6">
        <v>4.33</v>
      </c>
      <c r="M23" s="6">
        <f>M22</f>
        <v>6.8000000000000007</v>
      </c>
      <c r="N23" s="6">
        <f t="shared" si="1"/>
        <v>4330</v>
      </c>
      <c r="O23" s="7">
        <f t="shared" si="2"/>
        <v>6800.0000000000009</v>
      </c>
    </row>
    <row r="24" spans="2:15" x14ac:dyDescent="0.25">
      <c r="B24" s="25"/>
      <c r="C24" s="25" t="s">
        <v>83</v>
      </c>
      <c r="D24" s="25" t="s">
        <v>84</v>
      </c>
      <c r="E24" s="14"/>
      <c r="G24" s="5" t="s">
        <v>43</v>
      </c>
      <c r="H24" s="6">
        <f>H23</f>
        <v>1.2749999999999999</v>
      </c>
      <c r="I24" s="16">
        <f t="shared" si="4"/>
        <v>25.999999999999993</v>
      </c>
      <c r="K24" s="5">
        <v>21</v>
      </c>
      <c r="L24" s="6">
        <v>8.66</v>
      </c>
      <c r="M24" s="6">
        <f>M23</f>
        <v>6.8000000000000007</v>
      </c>
      <c r="N24" s="6">
        <f t="shared" si="1"/>
        <v>8660</v>
      </c>
      <c r="O24" s="7">
        <f t="shared" si="2"/>
        <v>6800.0000000000009</v>
      </c>
    </row>
    <row r="25" spans="2:15" x14ac:dyDescent="0.25">
      <c r="B25" s="23" t="s">
        <v>0</v>
      </c>
      <c r="C25" s="23">
        <v>2</v>
      </c>
      <c r="D25" s="23">
        <v>2</v>
      </c>
      <c r="E25" s="7" t="s">
        <v>64</v>
      </c>
      <c r="G25" s="5" t="s">
        <v>44</v>
      </c>
      <c r="H25" s="6">
        <f>C20/$C$27</f>
        <v>1.2749999999999999</v>
      </c>
      <c r="I25" s="16">
        <f t="shared" si="4"/>
        <v>27.274999999999991</v>
      </c>
      <c r="K25" s="5">
        <v>22</v>
      </c>
      <c r="L25" s="6">
        <v>0</v>
      </c>
      <c r="M25" s="6">
        <f>I10</f>
        <v>8.15</v>
      </c>
      <c r="N25" s="6">
        <f t="shared" si="1"/>
        <v>0</v>
      </c>
      <c r="O25" s="7">
        <f t="shared" si="2"/>
        <v>8150</v>
      </c>
    </row>
    <row r="26" spans="2:15" x14ac:dyDescent="0.25">
      <c r="B26" s="23" t="s">
        <v>1</v>
      </c>
      <c r="C26" s="23">
        <v>3</v>
      </c>
      <c r="D26" s="23">
        <v>2</v>
      </c>
      <c r="E26" s="7" t="s">
        <v>64</v>
      </c>
      <c r="G26" s="5" t="s">
        <v>45</v>
      </c>
      <c r="H26" s="6">
        <f>H25</f>
        <v>1.2749999999999999</v>
      </c>
      <c r="I26" s="16">
        <f t="shared" si="4"/>
        <v>28.54999999999999</v>
      </c>
      <c r="K26" s="5">
        <v>23</v>
      </c>
      <c r="L26" s="6">
        <v>4.33</v>
      </c>
      <c r="M26" s="6">
        <f>M25</f>
        <v>8.15</v>
      </c>
      <c r="N26" s="6">
        <f t="shared" si="1"/>
        <v>4330</v>
      </c>
      <c r="O26" s="7">
        <f t="shared" si="2"/>
        <v>8150</v>
      </c>
    </row>
    <row r="27" spans="2:15" x14ac:dyDescent="0.25">
      <c r="B27" s="24" t="s">
        <v>65</v>
      </c>
      <c r="C27" s="24">
        <v>2</v>
      </c>
      <c r="D27" s="24">
        <v>2</v>
      </c>
      <c r="E27" s="11" t="s">
        <v>64</v>
      </c>
      <c r="G27" s="5" t="s">
        <v>46</v>
      </c>
      <c r="H27" s="6">
        <f>H26</f>
        <v>1.2749999999999999</v>
      </c>
      <c r="I27" s="16">
        <f t="shared" si="4"/>
        <v>29.824999999999989</v>
      </c>
      <c r="K27" s="5">
        <v>24</v>
      </c>
      <c r="L27" s="6">
        <v>8.66</v>
      </c>
      <c r="M27" s="6">
        <f>M26</f>
        <v>8.15</v>
      </c>
      <c r="N27" s="6">
        <f t="shared" si="1"/>
        <v>8660</v>
      </c>
      <c r="O27" s="7">
        <f t="shared" si="2"/>
        <v>8150</v>
      </c>
    </row>
    <row r="28" spans="2:15" x14ac:dyDescent="0.25">
      <c r="G28" s="5" t="s">
        <v>47</v>
      </c>
      <c r="H28" s="6">
        <f>H27</f>
        <v>1.2749999999999999</v>
      </c>
      <c r="I28" s="16">
        <f t="shared" si="4"/>
        <v>31.099999999999987</v>
      </c>
      <c r="K28" s="5">
        <v>25</v>
      </c>
      <c r="L28" s="6">
        <v>0</v>
      </c>
      <c r="M28" s="6">
        <f>I11</f>
        <v>9.4250000000000007</v>
      </c>
      <c r="N28" s="6">
        <f t="shared" si="1"/>
        <v>0</v>
      </c>
      <c r="O28" s="7">
        <f t="shared" si="2"/>
        <v>9425</v>
      </c>
    </row>
    <row r="29" spans="2:15" x14ac:dyDescent="0.25">
      <c r="G29" s="5" t="s">
        <v>48</v>
      </c>
      <c r="H29" s="6">
        <f>H28</f>
        <v>1.2749999999999999</v>
      </c>
      <c r="I29" s="16">
        <f t="shared" si="4"/>
        <v>32.374999999999986</v>
      </c>
      <c r="K29" s="5">
        <v>26</v>
      </c>
      <c r="L29" s="6">
        <v>4.33</v>
      </c>
      <c r="M29" s="6">
        <f>M28</f>
        <v>9.4250000000000007</v>
      </c>
      <c r="N29" s="6">
        <f t="shared" si="1"/>
        <v>4330</v>
      </c>
      <c r="O29" s="7">
        <f t="shared" si="2"/>
        <v>9425</v>
      </c>
    </row>
    <row r="30" spans="2:15" x14ac:dyDescent="0.25">
      <c r="G30" s="5" t="s">
        <v>49</v>
      </c>
      <c r="H30" s="6">
        <f t="shared" ref="H30:H40" si="5">H29</f>
        <v>1.2749999999999999</v>
      </c>
      <c r="I30" s="16">
        <f t="shared" si="4"/>
        <v>33.649999999999984</v>
      </c>
      <c r="K30" s="5">
        <v>27</v>
      </c>
      <c r="L30" s="6">
        <v>8.66</v>
      </c>
      <c r="M30" s="6">
        <f>M29</f>
        <v>9.4250000000000007</v>
      </c>
      <c r="N30" s="6">
        <f t="shared" si="1"/>
        <v>8660</v>
      </c>
      <c r="O30" s="7">
        <f t="shared" si="2"/>
        <v>9425</v>
      </c>
    </row>
    <row r="31" spans="2:15" x14ac:dyDescent="0.25">
      <c r="G31" s="5" t="s">
        <v>50</v>
      </c>
      <c r="H31" s="6">
        <f>H30</f>
        <v>1.2749999999999999</v>
      </c>
      <c r="I31" s="16">
        <f t="shared" si="4"/>
        <v>34.924999999999983</v>
      </c>
      <c r="K31" s="5">
        <v>28</v>
      </c>
      <c r="L31" s="6">
        <v>0</v>
      </c>
      <c r="M31" s="6">
        <f>I12</f>
        <v>10.700000000000001</v>
      </c>
      <c r="N31" s="6">
        <f t="shared" si="1"/>
        <v>0</v>
      </c>
      <c r="O31" s="7">
        <f t="shared" si="2"/>
        <v>10700.000000000002</v>
      </c>
    </row>
    <row r="32" spans="2:15" x14ac:dyDescent="0.25">
      <c r="G32" s="5" t="s">
        <v>51</v>
      </c>
      <c r="H32" s="6">
        <f t="shared" si="5"/>
        <v>1.2749999999999999</v>
      </c>
      <c r="I32" s="16">
        <f t="shared" si="4"/>
        <v>36.199999999999982</v>
      </c>
      <c r="K32" s="5">
        <v>29</v>
      </c>
      <c r="L32" s="6">
        <v>4.33</v>
      </c>
      <c r="M32" s="6">
        <f>M31</f>
        <v>10.700000000000001</v>
      </c>
      <c r="N32" s="6">
        <f t="shared" si="1"/>
        <v>4330</v>
      </c>
      <c r="O32" s="7">
        <f t="shared" si="2"/>
        <v>10700.000000000002</v>
      </c>
    </row>
    <row r="33" spans="1:15" x14ac:dyDescent="0.25">
      <c r="G33" s="5" t="s">
        <v>52</v>
      </c>
      <c r="H33" s="6">
        <f t="shared" si="5"/>
        <v>1.2749999999999999</v>
      </c>
      <c r="I33" s="16">
        <f t="shared" si="4"/>
        <v>37.47499999999998</v>
      </c>
      <c r="K33" s="5">
        <v>30</v>
      </c>
      <c r="L33" s="6">
        <v>8.66</v>
      </c>
      <c r="M33" s="6">
        <f>M32</f>
        <v>10.700000000000001</v>
      </c>
      <c r="N33" s="6">
        <f t="shared" si="1"/>
        <v>8660</v>
      </c>
      <c r="O33" s="7">
        <f t="shared" si="2"/>
        <v>10700.000000000002</v>
      </c>
    </row>
    <row r="34" spans="1:15" x14ac:dyDescent="0.25">
      <c r="G34" s="5" t="s">
        <v>53</v>
      </c>
      <c r="H34" s="6">
        <f t="shared" si="5"/>
        <v>1.2749999999999999</v>
      </c>
      <c r="I34" s="16">
        <f t="shared" si="4"/>
        <v>38.749999999999979</v>
      </c>
      <c r="K34" s="5">
        <v>31</v>
      </c>
      <c r="L34" s="6">
        <v>0</v>
      </c>
      <c r="M34" s="6">
        <f>I13</f>
        <v>11.975000000000001</v>
      </c>
      <c r="N34" s="6">
        <f t="shared" si="1"/>
        <v>0</v>
      </c>
      <c r="O34" s="7">
        <f t="shared" si="2"/>
        <v>11975.000000000002</v>
      </c>
    </row>
    <row r="35" spans="1:15" x14ac:dyDescent="0.25">
      <c r="G35" s="5" t="s">
        <v>54</v>
      </c>
      <c r="H35" s="6">
        <f t="shared" si="5"/>
        <v>1.2749999999999999</v>
      </c>
      <c r="I35" s="16">
        <f t="shared" si="4"/>
        <v>40.024999999999977</v>
      </c>
      <c r="K35" s="5">
        <v>32</v>
      </c>
      <c r="L35" s="6">
        <v>4.33</v>
      </c>
      <c r="M35" s="6">
        <f>M34</f>
        <v>11.975000000000001</v>
      </c>
      <c r="N35" s="6">
        <f t="shared" si="1"/>
        <v>4330</v>
      </c>
      <c r="O35" s="7">
        <f t="shared" si="2"/>
        <v>11975.000000000002</v>
      </c>
    </row>
    <row r="36" spans="1:15" x14ac:dyDescent="0.25">
      <c r="G36" s="5" t="s">
        <v>55</v>
      </c>
      <c r="H36" s="6">
        <f t="shared" si="5"/>
        <v>1.2749999999999999</v>
      </c>
      <c r="I36" s="16">
        <f t="shared" si="4"/>
        <v>41.299999999999976</v>
      </c>
      <c r="K36" s="5">
        <v>33</v>
      </c>
      <c r="L36" s="6">
        <v>8.66</v>
      </c>
      <c r="M36" s="6">
        <f>M35</f>
        <v>11.975000000000001</v>
      </c>
      <c r="N36" s="6">
        <f t="shared" si="1"/>
        <v>8660</v>
      </c>
      <c r="O36" s="7">
        <f t="shared" si="2"/>
        <v>11975.000000000002</v>
      </c>
    </row>
    <row r="37" spans="1:15" x14ac:dyDescent="0.25">
      <c r="G37" s="5" t="s">
        <v>56</v>
      </c>
      <c r="H37" s="6">
        <f t="shared" si="5"/>
        <v>1.2749999999999999</v>
      </c>
      <c r="I37" s="16">
        <f t="shared" si="4"/>
        <v>42.574999999999974</v>
      </c>
      <c r="K37" s="5">
        <v>34</v>
      </c>
      <c r="L37" s="6">
        <v>0</v>
      </c>
      <c r="M37" s="6">
        <f>I14</f>
        <v>13.250000000000002</v>
      </c>
      <c r="N37" s="6">
        <f t="shared" si="1"/>
        <v>0</v>
      </c>
      <c r="O37" s="7">
        <f t="shared" si="2"/>
        <v>13250.000000000002</v>
      </c>
    </row>
    <row r="38" spans="1:15" x14ac:dyDescent="0.25">
      <c r="G38" s="5" t="s">
        <v>57</v>
      </c>
      <c r="H38" s="6">
        <f t="shared" si="5"/>
        <v>1.2749999999999999</v>
      </c>
      <c r="I38" s="16">
        <f t="shared" si="4"/>
        <v>43.849999999999973</v>
      </c>
      <c r="K38" s="5">
        <v>35</v>
      </c>
      <c r="L38" s="6">
        <v>4.33</v>
      </c>
      <c r="M38" s="6">
        <f>M37</f>
        <v>13.250000000000002</v>
      </c>
      <c r="N38" s="6">
        <f t="shared" si="1"/>
        <v>4330</v>
      </c>
      <c r="O38" s="7">
        <f t="shared" si="2"/>
        <v>13250.000000000002</v>
      </c>
    </row>
    <row r="39" spans="1:15" x14ac:dyDescent="0.25">
      <c r="G39" s="5" t="s">
        <v>58</v>
      </c>
      <c r="H39" s="6">
        <f t="shared" si="5"/>
        <v>1.2749999999999999</v>
      </c>
      <c r="I39" s="16">
        <f t="shared" si="4"/>
        <v>45.124999999999972</v>
      </c>
      <c r="K39" s="5">
        <v>36</v>
      </c>
      <c r="L39" s="6">
        <v>8.66</v>
      </c>
      <c r="M39" s="6">
        <f>M38</f>
        <v>13.250000000000002</v>
      </c>
      <c r="N39" s="6">
        <f t="shared" si="1"/>
        <v>8660</v>
      </c>
      <c r="O39" s="7">
        <f t="shared" si="2"/>
        <v>13250.000000000002</v>
      </c>
    </row>
    <row r="40" spans="1:15" x14ac:dyDescent="0.25">
      <c r="G40" s="8" t="s">
        <v>59</v>
      </c>
      <c r="H40" s="9">
        <f t="shared" si="5"/>
        <v>1.2749999999999999</v>
      </c>
      <c r="I40" s="17">
        <f>H40+I39</f>
        <v>46.39999999999997</v>
      </c>
      <c r="K40" s="5">
        <v>37</v>
      </c>
      <c r="L40" s="6">
        <v>0</v>
      </c>
      <c r="M40" s="6">
        <f>I15</f>
        <v>14.525000000000002</v>
      </c>
      <c r="N40" s="6">
        <f t="shared" si="1"/>
        <v>0</v>
      </c>
      <c r="O40" s="7">
        <f t="shared" si="2"/>
        <v>14525.000000000002</v>
      </c>
    </row>
    <row r="41" spans="1:15" x14ac:dyDescent="0.25">
      <c r="K41" s="5">
        <v>38</v>
      </c>
      <c r="L41" s="6">
        <v>4.33</v>
      </c>
      <c r="M41" s="6">
        <f>M40</f>
        <v>14.525000000000002</v>
      </c>
      <c r="N41" s="6">
        <f t="shared" si="1"/>
        <v>4330</v>
      </c>
      <c r="O41" s="7">
        <f t="shared" si="2"/>
        <v>14525.000000000002</v>
      </c>
    </row>
    <row r="42" spans="1:15" x14ac:dyDescent="0.25">
      <c r="K42" s="5">
        <v>39</v>
      </c>
      <c r="L42" s="6">
        <v>8.66</v>
      </c>
      <c r="M42" s="6">
        <f>M41</f>
        <v>14.525000000000002</v>
      </c>
      <c r="N42" s="6">
        <f t="shared" si="1"/>
        <v>8660</v>
      </c>
      <c r="O42" s="7">
        <f t="shared" si="2"/>
        <v>14525.000000000002</v>
      </c>
    </row>
    <row r="43" spans="1:15" x14ac:dyDescent="0.25">
      <c r="K43" s="5">
        <v>40</v>
      </c>
      <c r="L43" s="6">
        <v>0</v>
      </c>
      <c r="M43" s="6">
        <f>I16</f>
        <v>15.800000000000002</v>
      </c>
      <c r="N43" s="6">
        <f t="shared" si="1"/>
        <v>0</v>
      </c>
      <c r="O43" s="7">
        <f t="shared" si="2"/>
        <v>15800.000000000002</v>
      </c>
    </row>
    <row r="44" spans="1:15" x14ac:dyDescent="0.25">
      <c r="A44" s="1"/>
      <c r="B44" s="1"/>
      <c r="C44" s="1"/>
      <c r="D44" s="25" t="s">
        <v>105</v>
      </c>
      <c r="E44" s="25" t="s">
        <v>86</v>
      </c>
      <c r="F44" s="14" t="s">
        <v>89</v>
      </c>
      <c r="K44" s="5">
        <v>41</v>
      </c>
      <c r="L44" s="6">
        <v>4.33</v>
      </c>
      <c r="M44" s="6">
        <f>M43</f>
        <v>15.800000000000002</v>
      </c>
      <c r="N44" s="6">
        <f t="shared" si="1"/>
        <v>4330</v>
      </c>
      <c r="O44" s="7">
        <f t="shared" si="2"/>
        <v>15800.000000000002</v>
      </c>
    </row>
    <row r="45" spans="1:15" x14ac:dyDescent="0.25">
      <c r="A45" s="112" t="s">
        <v>67</v>
      </c>
      <c r="B45" s="109" t="s">
        <v>87</v>
      </c>
      <c r="C45" s="3" t="s">
        <v>68</v>
      </c>
      <c r="D45" s="22">
        <v>8.66</v>
      </c>
      <c r="E45" s="22">
        <v>30</v>
      </c>
      <c r="F45" s="4">
        <v>88</v>
      </c>
      <c r="K45" s="5">
        <v>42</v>
      </c>
      <c r="L45" s="6">
        <v>8.66</v>
      </c>
      <c r="M45" s="6">
        <f>M44</f>
        <v>15.800000000000002</v>
      </c>
      <c r="N45" s="6">
        <f t="shared" si="1"/>
        <v>8660</v>
      </c>
      <c r="O45" s="7">
        <f t="shared" si="2"/>
        <v>15800.000000000002</v>
      </c>
    </row>
    <row r="46" spans="1:15" x14ac:dyDescent="0.25">
      <c r="A46" s="113"/>
      <c r="B46" s="110"/>
      <c r="C46" s="6" t="s">
        <v>69</v>
      </c>
      <c r="D46" s="23">
        <v>8.66</v>
      </c>
      <c r="E46" s="23">
        <v>30</v>
      </c>
      <c r="F46" s="7">
        <v>88</v>
      </c>
      <c r="K46" s="5">
        <v>43</v>
      </c>
      <c r="L46" s="6">
        <v>0</v>
      </c>
      <c r="M46" s="6">
        <f>I17</f>
        <v>17.075000000000003</v>
      </c>
      <c r="N46" s="6">
        <f t="shared" si="1"/>
        <v>0</v>
      </c>
      <c r="O46" s="7">
        <f t="shared" si="2"/>
        <v>17075.000000000004</v>
      </c>
    </row>
    <row r="47" spans="1:15" x14ac:dyDescent="0.25">
      <c r="A47" s="113"/>
      <c r="B47" s="110"/>
      <c r="C47" s="6" t="s">
        <v>70</v>
      </c>
      <c r="D47" s="23">
        <v>8.66</v>
      </c>
      <c r="E47" s="23">
        <v>30</v>
      </c>
      <c r="F47" s="7">
        <v>88</v>
      </c>
      <c r="K47" s="5">
        <v>44</v>
      </c>
      <c r="L47" s="6">
        <v>4.33</v>
      </c>
      <c r="M47" s="6">
        <f>M46</f>
        <v>17.075000000000003</v>
      </c>
      <c r="N47" s="6">
        <f t="shared" si="1"/>
        <v>4330</v>
      </c>
      <c r="O47" s="7">
        <f t="shared" si="2"/>
        <v>17075.000000000004</v>
      </c>
    </row>
    <row r="48" spans="1:15" x14ac:dyDescent="0.25">
      <c r="A48" s="113"/>
      <c r="B48" s="110"/>
      <c r="C48" s="6" t="s">
        <v>71</v>
      </c>
      <c r="D48" s="23">
        <v>8.66</v>
      </c>
      <c r="E48" s="23">
        <v>25</v>
      </c>
      <c r="F48" s="7">
        <v>88</v>
      </c>
      <c r="K48" s="5">
        <v>45</v>
      </c>
      <c r="L48" s="6">
        <v>8.66</v>
      </c>
      <c r="M48" s="6">
        <f>M47</f>
        <v>17.075000000000003</v>
      </c>
      <c r="N48" s="6">
        <f t="shared" si="1"/>
        <v>8660</v>
      </c>
      <c r="O48" s="7">
        <f t="shared" si="2"/>
        <v>17075.000000000004</v>
      </c>
    </row>
    <row r="49" spans="1:15" x14ac:dyDescent="0.25">
      <c r="A49" s="113"/>
      <c r="B49" s="110"/>
      <c r="C49" s="6" t="s">
        <v>72</v>
      </c>
      <c r="D49" s="23">
        <v>8.66</v>
      </c>
      <c r="E49" s="23">
        <v>20</v>
      </c>
      <c r="F49" s="7">
        <v>88</v>
      </c>
      <c r="K49" s="5">
        <v>46</v>
      </c>
      <c r="L49" s="6">
        <v>0</v>
      </c>
      <c r="M49" s="6">
        <f>I18</f>
        <v>18.350000000000001</v>
      </c>
      <c r="N49" s="6">
        <f t="shared" si="1"/>
        <v>0</v>
      </c>
      <c r="O49" s="7">
        <f t="shared" si="2"/>
        <v>18350</v>
      </c>
    </row>
    <row r="50" spans="1:15" x14ac:dyDescent="0.25">
      <c r="A50" s="113"/>
      <c r="B50" s="110"/>
      <c r="C50" s="6" t="s">
        <v>73</v>
      </c>
      <c r="D50" s="23">
        <v>8.66</v>
      </c>
      <c r="E50" s="23">
        <v>20</v>
      </c>
      <c r="F50" s="7">
        <v>88</v>
      </c>
      <c r="K50" s="5">
        <v>47</v>
      </c>
      <c r="L50" s="6">
        <v>4.33</v>
      </c>
      <c r="M50" s="6">
        <f>M49</f>
        <v>18.350000000000001</v>
      </c>
      <c r="N50" s="6">
        <f t="shared" si="1"/>
        <v>4330</v>
      </c>
      <c r="O50" s="7">
        <f t="shared" si="2"/>
        <v>18350</v>
      </c>
    </row>
    <row r="51" spans="1:15" x14ac:dyDescent="0.25">
      <c r="A51" s="113"/>
      <c r="B51" s="110"/>
      <c r="C51" s="6" t="s">
        <v>74</v>
      </c>
      <c r="D51" s="23">
        <v>8.66</v>
      </c>
      <c r="E51" s="23">
        <v>20</v>
      </c>
      <c r="F51" s="7">
        <v>88</v>
      </c>
      <c r="K51" s="5">
        <v>48</v>
      </c>
      <c r="L51" s="6">
        <v>8.66</v>
      </c>
      <c r="M51" s="6">
        <f>M50</f>
        <v>18.350000000000001</v>
      </c>
      <c r="N51" s="6">
        <f t="shared" si="1"/>
        <v>8660</v>
      </c>
      <c r="O51" s="7">
        <f t="shared" si="2"/>
        <v>18350</v>
      </c>
    </row>
    <row r="52" spans="1:15" x14ac:dyDescent="0.25">
      <c r="A52" s="113"/>
      <c r="B52" s="109" t="s">
        <v>88</v>
      </c>
      <c r="C52" s="3" t="s">
        <v>75</v>
      </c>
      <c r="D52" s="22">
        <v>8.66</v>
      </c>
      <c r="E52" s="22">
        <v>30</v>
      </c>
      <c r="F52" s="4">
        <v>88</v>
      </c>
      <c r="K52" s="5">
        <v>49</v>
      </c>
      <c r="L52" s="6">
        <v>0</v>
      </c>
      <c r="M52" s="6">
        <f>I19</f>
        <v>19.625</v>
      </c>
      <c r="N52" s="6">
        <f t="shared" si="1"/>
        <v>0</v>
      </c>
      <c r="O52" s="7">
        <f t="shared" si="2"/>
        <v>19625</v>
      </c>
    </row>
    <row r="53" spans="1:15" x14ac:dyDescent="0.25">
      <c r="A53" s="113"/>
      <c r="B53" s="110"/>
      <c r="C53" s="6" t="s">
        <v>76</v>
      </c>
      <c r="D53" s="23">
        <v>8.66</v>
      </c>
      <c r="E53" s="23">
        <v>30</v>
      </c>
      <c r="F53" s="7">
        <v>88</v>
      </c>
      <c r="K53" s="5">
        <v>50</v>
      </c>
      <c r="L53" s="6">
        <v>4.33</v>
      </c>
      <c r="M53" s="6">
        <f>M52</f>
        <v>19.625</v>
      </c>
      <c r="N53" s="6">
        <f t="shared" si="1"/>
        <v>4330</v>
      </c>
      <c r="O53" s="7">
        <f t="shared" si="2"/>
        <v>19625</v>
      </c>
    </row>
    <row r="54" spans="1:15" x14ac:dyDescent="0.25">
      <c r="A54" s="113"/>
      <c r="B54" s="110"/>
      <c r="C54" s="6" t="s">
        <v>77</v>
      </c>
      <c r="D54" s="23">
        <v>8.66</v>
      </c>
      <c r="E54" s="23">
        <v>25</v>
      </c>
      <c r="F54" s="7">
        <v>88</v>
      </c>
      <c r="K54" s="5">
        <v>51</v>
      </c>
      <c r="L54" s="6">
        <v>8.66</v>
      </c>
      <c r="M54" s="6">
        <f>M53</f>
        <v>19.625</v>
      </c>
      <c r="N54" s="6">
        <f t="shared" si="1"/>
        <v>8660</v>
      </c>
      <c r="O54" s="7">
        <f t="shared" si="2"/>
        <v>19625</v>
      </c>
    </row>
    <row r="55" spans="1:15" x14ac:dyDescent="0.25">
      <c r="A55" s="113"/>
      <c r="B55" s="110"/>
      <c r="C55" s="6" t="s">
        <v>78</v>
      </c>
      <c r="D55" s="23">
        <v>8.66</v>
      </c>
      <c r="E55" s="23">
        <v>20</v>
      </c>
      <c r="F55" s="7">
        <v>88</v>
      </c>
      <c r="K55" s="5">
        <v>52</v>
      </c>
      <c r="L55" s="6">
        <v>0</v>
      </c>
      <c r="M55" s="6">
        <f>I20</f>
        <v>20.9</v>
      </c>
      <c r="N55" s="6">
        <f t="shared" si="1"/>
        <v>0</v>
      </c>
      <c r="O55" s="7">
        <f t="shared" si="2"/>
        <v>20900</v>
      </c>
    </row>
    <row r="56" spans="1:15" x14ac:dyDescent="0.25">
      <c r="A56" s="114"/>
      <c r="B56" s="111"/>
      <c r="C56" s="9" t="s">
        <v>79</v>
      </c>
      <c r="D56" s="24">
        <v>8.66</v>
      </c>
      <c r="E56" s="24">
        <v>20</v>
      </c>
      <c r="F56" s="11">
        <v>88</v>
      </c>
      <c r="K56" s="5">
        <v>53</v>
      </c>
      <c r="L56" s="6">
        <v>4.33</v>
      </c>
      <c r="M56" s="6">
        <f>M55</f>
        <v>20.9</v>
      </c>
      <c r="N56" s="6">
        <f t="shared" si="1"/>
        <v>4330</v>
      </c>
      <c r="O56" s="7">
        <f t="shared" si="2"/>
        <v>20900</v>
      </c>
    </row>
    <row r="57" spans="1:15" x14ac:dyDescent="0.25">
      <c r="K57" s="5">
        <v>54</v>
      </c>
      <c r="L57" s="6">
        <v>8.66</v>
      </c>
      <c r="M57" s="6">
        <f>M56</f>
        <v>20.9</v>
      </c>
      <c r="N57" s="6">
        <f t="shared" si="1"/>
        <v>8660</v>
      </c>
      <c r="O57" s="7">
        <f t="shared" si="2"/>
        <v>20900</v>
      </c>
    </row>
    <row r="58" spans="1:15" x14ac:dyDescent="0.25">
      <c r="K58" s="5">
        <v>55</v>
      </c>
      <c r="L58" s="6">
        <v>0</v>
      </c>
      <c r="M58" s="6">
        <f>I21</f>
        <v>22.174999999999997</v>
      </c>
      <c r="N58" s="6">
        <f t="shared" si="1"/>
        <v>0</v>
      </c>
      <c r="O58" s="7">
        <f t="shared" si="2"/>
        <v>22174.999999999996</v>
      </c>
    </row>
    <row r="59" spans="1:15" x14ac:dyDescent="0.25">
      <c r="K59" s="5">
        <v>56</v>
      </c>
      <c r="L59" s="6">
        <v>4.33</v>
      </c>
      <c r="M59" s="6">
        <f>M58</f>
        <v>22.174999999999997</v>
      </c>
      <c r="N59" s="6">
        <f t="shared" si="1"/>
        <v>4330</v>
      </c>
      <c r="O59" s="7">
        <f t="shared" si="2"/>
        <v>22174.999999999996</v>
      </c>
    </row>
    <row r="60" spans="1:15" x14ac:dyDescent="0.25">
      <c r="K60" s="5">
        <v>57</v>
      </c>
      <c r="L60" s="6">
        <v>8.66</v>
      </c>
      <c r="M60" s="6">
        <f>M59</f>
        <v>22.174999999999997</v>
      </c>
      <c r="N60" s="6">
        <f t="shared" si="1"/>
        <v>8660</v>
      </c>
      <c r="O60" s="7">
        <f t="shared" si="2"/>
        <v>22174.999999999996</v>
      </c>
    </row>
    <row r="61" spans="1:15" x14ac:dyDescent="0.25">
      <c r="K61" s="5">
        <v>58</v>
      </c>
      <c r="L61" s="6">
        <v>0</v>
      </c>
      <c r="M61" s="6">
        <f>I22</f>
        <v>23.449999999999996</v>
      </c>
      <c r="N61" s="6">
        <f t="shared" si="1"/>
        <v>0</v>
      </c>
      <c r="O61" s="7">
        <f t="shared" si="2"/>
        <v>23449.999999999996</v>
      </c>
    </row>
    <row r="62" spans="1:15" x14ac:dyDescent="0.25">
      <c r="K62" s="5">
        <v>59</v>
      </c>
      <c r="L62" s="6">
        <v>4.33</v>
      </c>
      <c r="M62" s="6">
        <f>M61</f>
        <v>23.449999999999996</v>
      </c>
      <c r="N62" s="6">
        <f t="shared" si="1"/>
        <v>4330</v>
      </c>
      <c r="O62" s="7">
        <f t="shared" si="2"/>
        <v>23449.999999999996</v>
      </c>
    </row>
    <row r="63" spans="1:15" x14ac:dyDescent="0.25">
      <c r="K63" s="5">
        <v>60</v>
      </c>
      <c r="L63" s="6">
        <v>8.66</v>
      </c>
      <c r="M63" s="6">
        <f>M62</f>
        <v>23.449999999999996</v>
      </c>
      <c r="N63" s="6">
        <f t="shared" si="1"/>
        <v>8660</v>
      </c>
      <c r="O63" s="7">
        <f t="shared" si="2"/>
        <v>23449.999999999996</v>
      </c>
    </row>
    <row r="64" spans="1:15" x14ac:dyDescent="0.25">
      <c r="K64" s="5">
        <v>61</v>
      </c>
      <c r="L64" s="6">
        <v>0</v>
      </c>
      <c r="M64" s="6">
        <f>I23</f>
        <v>24.724999999999994</v>
      </c>
      <c r="N64" s="6">
        <f t="shared" si="1"/>
        <v>0</v>
      </c>
      <c r="O64" s="7">
        <f t="shared" si="2"/>
        <v>24724.999999999993</v>
      </c>
    </row>
    <row r="65" spans="11:15" x14ac:dyDescent="0.25">
      <c r="K65" s="5">
        <v>62</v>
      </c>
      <c r="L65" s="6">
        <v>4.33</v>
      </c>
      <c r="M65" s="6">
        <f>M64</f>
        <v>24.724999999999994</v>
      </c>
      <c r="N65" s="6">
        <f t="shared" si="1"/>
        <v>4330</v>
      </c>
      <c r="O65" s="7">
        <f t="shared" si="2"/>
        <v>24724.999999999993</v>
      </c>
    </row>
    <row r="66" spans="11:15" x14ac:dyDescent="0.25">
      <c r="K66" s="5">
        <v>63</v>
      </c>
      <c r="L66" s="6">
        <v>8.66</v>
      </c>
      <c r="M66" s="6">
        <f>M65</f>
        <v>24.724999999999994</v>
      </c>
      <c r="N66" s="6">
        <f t="shared" si="1"/>
        <v>8660</v>
      </c>
      <c r="O66" s="7">
        <f t="shared" si="2"/>
        <v>24724.999999999993</v>
      </c>
    </row>
    <row r="67" spans="11:15" x14ac:dyDescent="0.25">
      <c r="K67" s="5">
        <v>64</v>
      </c>
      <c r="L67" s="6">
        <v>0</v>
      </c>
      <c r="M67" s="6">
        <f>I24</f>
        <v>25.999999999999993</v>
      </c>
      <c r="N67" s="6">
        <f t="shared" si="1"/>
        <v>0</v>
      </c>
      <c r="O67" s="7">
        <f t="shared" si="2"/>
        <v>25999.999999999993</v>
      </c>
    </row>
    <row r="68" spans="11:15" x14ac:dyDescent="0.25">
      <c r="K68" s="5">
        <v>65</v>
      </c>
      <c r="L68" s="6">
        <v>4.33</v>
      </c>
      <c r="M68" s="6">
        <f>M67</f>
        <v>25.999999999999993</v>
      </c>
      <c r="N68" s="6">
        <f t="shared" si="1"/>
        <v>4330</v>
      </c>
      <c r="O68" s="7">
        <f t="shared" si="2"/>
        <v>25999.999999999993</v>
      </c>
    </row>
    <row r="69" spans="11:15" x14ac:dyDescent="0.25">
      <c r="K69" s="5">
        <v>66</v>
      </c>
      <c r="L69" s="6">
        <v>8.66</v>
      </c>
      <c r="M69" s="6">
        <f>M68</f>
        <v>25.999999999999993</v>
      </c>
      <c r="N69" s="6">
        <f t="shared" ref="N69:N117" si="6">L69*1000</f>
        <v>8660</v>
      </c>
      <c r="O69" s="7">
        <f t="shared" ref="O69:O114" si="7">M69*1000</f>
        <v>25999.999999999993</v>
      </c>
    </row>
    <row r="70" spans="11:15" x14ac:dyDescent="0.25">
      <c r="K70" s="5">
        <v>67</v>
      </c>
      <c r="L70" s="6">
        <v>0</v>
      </c>
      <c r="M70" s="6">
        <f>I25</f>
        <v>27.274999999999991</v>
      </c>
      <c r="N70" s="6">
        <f t="shared" si="6"/>
        <v>0</v>
      </c>
      <c r="O70" s="7">
        <f t="shared" si="7"/>
        <v>27274.999999999993</v>
      </c>
    </row>
    <row r="71" spans="11:15" x14ac:dyDescent="0.25">
      <c r="K71" s="5">
        <v>68</v>
      </c>
      <c r="L71" s="6">
        <v>4.33</v>
      </c>
      <c r="M71" s="6">
        <f>M70</f>
        <v>27.274999999999991</v>
      </c>
      <c r="N71" s="6">
        <f t="shared" si="6"/>
        <v>4330</v>
      </c>
      <c r="O71" s="7">
        <f t="shared" si="7"/>
        <v>27274.999999999993</v>
      </c>
    </row>
    <row r="72" spans="11:15" x14ac:dyDescent="0.25">
      <c r="K72" s="5">
        <v>69</v>
      </c>
      <c r="L72" s="6">
        <v>8.66</v>
      </c>
      <c r="M72" s="6">
        <f>M71</f>
        <v>27.274999999999991</v>
      </c>
      <c r="N72" s="6">
        <f t="shared" si="6"/>
        <v>8660</v>
      </c>
      <c r="O72" s="7">
        <f t="shared" si="7"/>
        <v>27274.999999999993</v>
      </c>
    </row>
    <row r="73" spans="11:15" x14ac:dyDescent="0.25">
      <c r="K73" s="5">
        <v>70</v>
      </c>
      <c r="L73" s="6">
        <v>0</v>
      </c>
      <c r="M73" s="6">
        <f>I26</f>
        <v>28.54999999999999</v>
      </c>
      <c r="N73" s="6">
        <f t="shared" si="6"/>
        <v>0</v>
      </c>
      <c r="O73" s="7">
        <f t="shared" si="7"/>
        <v>28549.999999999989</v>
      </c>
    </row>
    <row r="74" spans="11:15" x14ac:dyDescent="0.25">
      <c r="K74" s="5">
        <v>71</v>
      </c>
      <c r="L74" s="6">
        <v>4.33</v>
      </c>
      <c r="M74" s="6">
        <f>M73</f>
        <v>28.54999999999999</v>
      </c>
      <c r="N74" s="6">
        <f t="shared" si="6"/>
        <v>4330</v>
      </c>
      <c r="O74" s="7">
        <f t="shared" si="7"/>
        <v>28549.999999999989</v>
      </c>
    </row>
    <row r="75" spans="11:15" x14ac:dyDescent="0.25">
      <c r="K75" s="5">
        <v>72</v>
      </c>
      <c r="L75" s="6">
        <v>8.66</v>
      </c>
      <c r="M75" s="6">
        <f>M74</f>
        <v>28.54999999999999</v>
      </c>
      <c r="N75" s="6">
        <f t="shared" si="6"/>
        <v>8660</v>
      </c>
      <c r="O75" s="7">
        <f t="shared" si="7"/>
        <v>28549.999999999989</v>
      </c>
    </row>
    <row r="76" spans="11:15" x14ac:dyDescent="0.25">
      <c r="K76" s="5">
        <v>73</v>
      </c>
      <c r="L76" s="6">
        <v>0</v>
      </c>
      <c r="M76" s="6">
        <f>I27</f>
        <v>29.824999999999989</v>
      </c>
      <c r="N76" s="6">
        <f t="shared" si="6"/>
        <v>0</v>
      </c>
      <c r="O76" s="7">
        <f t="shared" si="7"/>
        <v>29824.999999999989</v>
      </c>
    </row>
    <row r="77" spans="11:15" x14ac:dyDescent="0.25">
      <c r="K77" s="5">
        <v>74</v>
      </c>
      <c r="L77" s="6">
        <v>4.33</v>
      </c>
      <c r="M77" s="6">
        <f>M76</f>
        <v>29.824999999999989</v>
      </c>
      <c r="N77" s="6">
        <f t="shared" si="6"/>
        <v>4330</v>
      </c>
      <c r="O77" s="7">
        <f t="shared" si="7"/>
        <v>29824.999999999989</v>
      </c>
    </row>
    <row r="78" spans="11:15" x14ac:dyDescent="0.25">
      <c r="K78" s="5">
        <v>75</v>
      </c>
      <c r="L78" s="6">
        <v>8.66</v>
      </c>
      <c r="M78" s="6">
        <f>M77</f>
        <v>29.824999999999989</v>
      </c>
      <c r="N78" s="6">
        <f t="shared" si="6"/>
        <v>8660</v>
      </c>
      <c r="O78" s="7">
        <f t="shared" si="7"/>
        <v>29824.999999999989</v>
      </c>
    </row>
    <row r="79" spans="11:15" x14ac:dyDescent="0.25">
      <c r="K79" s="5">
        <v>76</v>
      </c>
      <c r="L79" s="6">
        <v>0</v>
      </c>
      <c r="M79" s="6">
        <f>I28</f>
        <v>31.099999999999987</v>
      </c>
      <c r="N79" s="6">
        <f t="shared" si="6"/>
        <v>0</v>
      </c>
      <c r="O79" s="7">
        <f t="shared" si="7"/>
        <v>31099.999999999985</v>
      </c>
    </row>
    <row r="80" spans="11:15" x14ac:dyDescent="0.25">
      <c r="K80" s="5">
        <v>77</v>
      </c>
      <c r="L80" s="6">
        <v>4.33</v>
      </c>
      <c r="M80" s="6">
        <f>M79</f>
        <v>31.099999999999987</v>
      </c>
      <c r="N80" s="6">
        <f t="shared" si="6"/>
        <v>4330</v>
      </c>
      <c r="O80" s="7">
        <f t="shared" si="7"/>
        <v>31099.999999999985</v>
      </c>
    </row>
    <row r="81" spans="11:15" x14ac:dyDescent="0.25">
      <c r="K81" s="5">
        <v>78</v>
      </c>
      <c r="L81" s="6">
        <v>8.66</v>
      </c>
      <c r="M81" s="6">
        <f>M80</f>
        <v>31.099999999999987</v>
      </c>
      <c r="N81" s="6">
        <f t="shared" si="6"/>
        <v>8660</v>
      </c>
      <c r="O81" s="7">
        <f t="shared" si="7"/>
        <v>31099.999999999985</v>
      </c>
    </row>
    <row r="82" spans="11:15" x14ac:dyDescent="0.25">
      <c r="K82" s="5">
        <v>79</v>
      </c>
      <c r="L82" s="6">
        <v>0</v>
      </c>
      <c r="M82" s="6">
        <f>I29</f>
        <v>32.374999999999986</v>
      </c>
      <c r="N82" s="6">
        <f t="shared" si="6"/>
        <v>0</v>
      </c>
      <c r="O82" s="7">
        <f t="shared" si="7"/>
        <v>32374.999999999985</v>
      </c>
    </row>
    <row r="83" spans="11:15" x14ac:dyDescent="0.25">
      <c r="K83" s="5">
        <v>80</v>
      </c>
      <c r="L83" s="6">
        <v>4.33</v>
      </c>
      <c r="M83" s="6">
        <f>M82</f>
        <v>32.374999999999986</v>
      </c>
      <c r="N83" s="6">
        <f t="shared" si="6"/>
        <v>4330</v>
      </c>
      <c r="O83" s="7">
        <f t="shared" si="7"/>
        <v>32374.999999999985</v>
      </c>
    </row>
    <row r="84" spans="11:15" x14ac:dyDescent="0.25">
      <c r="K84" s="5">
        <v>81</v>
      </c>
      <c r="L84" s="6">
        <v>8.66</v>
      </c>
      <c r="M84" s="6">
        <f>M83</f>
        <v>32.374999999999986</v>
      </c>
      <c r="N84" s="6">
        <f t="shared" si="6"/>
        <v>8660</v>
      </c>
      <c r="O84" s="7">
        <f t="shared" si="7"/>
        <v>32374.999999999985</v>
      </c>
    </row>
    <row r="85" spans="11:15" x14ac:dyDescent="0.25">
      <c r="K85" s="5">
        <v>82</v>
      </c>
      <c r="L85" s="6">
        <v>0</v>
      </c>
      <c r="M85" s="6">
        <f>I30</f>
        <v>33.649999999999984</v>
      </c>
      <c r="N85" s="6">
        <f t="shared" si="6"/>
        <v>0</v>
      </c>
      <c r="O85" s="7">
        <f t="shared" si="7"/>
        <v>33649.999999999985</v>
      </c>
    </row>
    <row r="86" spans="11:15" x14ac:dyDescent="0.25">
      <c r="K86" s="5">
        <v>83</v>
      </c>
      <c r="L86" s="6">
        <v>4.33</v>
      </c>
      <c r="M86" s="6">
        <f>M85</f>
        <v>33.649999999999984</v>
      </c>
      <c r="N86" s="6">
        <f t="shared" si="6"/>
        <v>4330</v>
      </c>
      <c r="O86" s="7">
        <f t="shared" si="7"/>
        <v>33649.999999999985</v>
      </c>
    </row>
    <row r="87" spans="11:15" x14ac:dyDescent="0.25">
      <c r="K87" s="5">
        <v>84</v>
      </c>
      <c r="L87" s="6">
        <v>8.66</v>
      </c>
      <c r="M87" s="6">
        <f>M86</f>
        <v>33.649999999999984</v>
      </c>
      <c r="N87" s="6">
        <f t="shared" si="6"/>
        <v>8660</v>
      </c>
      <c r="O87" s="7">
        <f t="shared" si="7"/>
        <v>33649.999999999985</v>
      </c>
    </row>
    <row r="88" spans="11:15" x14ac:dyDescent="0.25">
      <c r="K88" s="5">
        <v>85</v>
      </c>
      <c r="L88" s="6">
        <v>0</v>
      </c>
      <c r="M88" s="6">
        <f>I31</f>
        <v>34.924999999999983</v>
      </c>
      <c r="N88" s="6">
        <f t="shared" si="6"/>
        <v>0</v>
      </c>
      <c r="O88" s="7">
        <f t="shared" si="7"/>
        <v>34924.999999999985</v>
      </c>
    </row>
    <row r="89" spans="11:15" x14ac:dyDescent="0.25">
      <c r="K89" s="5">
        <v>86</v>
      </c>
      <c r="L89" s="6">
        <v>4.33</v>
      </c>
      <c r="M89" s="6">
        <f>M88</f>
        <v>34.924999999999983</v>
      </c>
      <c r="N89" s="6">
        <f t="shared" si="6"/>
        <v>4330</v>
      </c>
      <c r="O89" s="7">
        <f t="shared" si="7"/>
        <v>34924.999999999985</v>
      </c>
    </row>
    <row r="90" spans="11:15" x14ac:dyDescent="0.25">
      <c r="K90" s="5">
        <v>87</v>
      </c>
      <c r="L90" s="6">
        <v>8.66</v>
      </c>
      <c r="M90" s="6">
        <f>M89</f>
        <v>34.924999999999983</v>
      </c>
      <c r="N90" s="6">
        <f t="shared" si="6"/>
        <v>8660</v>
      </c>
      <c r="O90" s="7">
        <f t="shared" si="7"/>
        <v>34924.999999999985</v>
      </c>
    </row>
    <row r="91" spans="11:15" x14ac:dyDescent="0.25">
      <c r="K91" s="5">
        <v>88</v>
      </c>
      <c r="L91" s="6">
        <v>0</v>
      </c>
      <c r="M91" s="6">
        <f>I32</f>
        <v>36.199999999999982</v>
      </c>
      <c r="N91" s="6">
        <f t="shared" si="6"/>
        <v>0</v>
      </c>
      <c r="O91" s="7">
        <f t="shared" si="7"/>
        <v>36199.999999999978</v>
      </c>
    </row>
    <row r="92" spans="11:15" x14ac:dyDescent="0.25">
      <c r="K92" s="5">
        <v>89</v>
      </c>
      <c r="L92" s="6">
        <v>4.33</v>
      </c>
      <c r="M92" s="6">
        <f>M91</f>
        <v>36.199999999999982</v>
      </c>
      <c r="N92" s="6">
        <f t="shared" si="6"/>
        <v>4330</v>
      </c>
      <c r="O92" s="7">
        <f t="shared" si="7"/>
        <v>36199.999999999978</v>
      </c>
    </row>
    <row r="93" spans="11:15" x14ac:dyDescent="0.25">
      <c r="K93" s="5">
        <v>90</v>
      </c>
      <c r="L93" s="6">
        <v>8.66</v>
      </c>
      <c r="M93" s="6">
        <f>M92</f>
        <v>36.199999999999982</v>
      </c>
      <c r="N93" s="6">
        <f t="shared" si="6"/>
        <v>8660</v>
      </c>
      <c r="O93" s="7">
        <f t="shared" si="7"/>
        <v>36199.999999999978</v>
      </c>
    </row>
    <row r="94" spans="11:15" x14ac:dyDescent="0.25">
      <c r="K94" s="5">
        <v>91</v>
      </c>
      <c r="L94" s="6">
        <v>0</v>
      </c>
      <c r="M94" s="6">
        <f>I33</f>
        <v>37.47499999999998</v>
      </c>
      <c r="N94" s="6">
        <f t="shared" si="6"/>
        <v>0</v>
      </c>
      <c r="O94" s="7">
        <f t="shared" si="7"/>
        <v>37474.999999999978</v>
      </c>
    </row>
    <row r="95" spans="11:15" x14ac:dyDescent="0.25">
      <c r="K95" s="5">
        <v>92</v>
      </c>
      <c r="L95" s="6">
        <v>4.33</v>
      </c>
      <c r="M95" s="6">
        <f>M94</f>
        <v>37.47499999999998</v>
      </c>
      <c r="N95" s="6">
        <f t="shared" si="6"/>
        <v>4330</v>
      </c>
      <c r="O95" s="7">
        <f t="shared" si="7"/>
        <v>37474.999999999978</v>
      </c>
    </row>
    <row r="96" spans="11:15" x14ac:dyDescent="0.25">
      <c r="K96" s="5">
        <v>93</v>
      </c>
      <c r="L96" s="6">
        <v>8.66</v>
      </c>
      <c r="M96" s="6">
        <f>M95</f>
        <v>37.47499999999998</v>
      </c>
      <c r="N96" s="6">
        <f t="shared" si="6"/>
        <v>8660</v>
      </c>
      <c r="O96" s="7">
        <f t="shared" si="7"/>
        <v>37474.999999999978</v>
      </c>
    </row>
    <row r="97" spans="11:15" x14ac:dyDescent="0.25">
      <c r="K97" s="5">
        <v>94</v>
      </c>
      <c r="L97" s="6">
        <v>0</v>
      </c>
      <c r="M97" s="6">
        <f>I34</f>
        <v>38.749999999999979</v>
      </c>
      <c r="N97" s="6">
        <f t="shared" si="6"/>
        <v>0</v>
      </c>
      <c r="O97" s="7">
        <f t="shared" si="7"/>
        <v>38749.999999999978</v>
      </c>
    </row>
    <row r="98" spans="11:15" x14ac:dyDescent="0.25">
      <c r="K98" s="5">
        <v>95</v>
      </c>
      <c r="L98" s="6">
        <v>4.33</v>
      </c>
      <c r="M98" s="6">
        <f>M97</f>
        <v>38.749999999999979</v>
      </c>
      <c r="N98" s="6">
        <f t="shared" si="6"/>
        <v>4330</v>
      </c>
      <c r="O98" s="7">
        <f t="shared" si="7"/>
        <v>38749.999999999978</v>
      </c>
    </row>
    <row r="99" spans="11:15" x14ac:dyDescent="0.25">
      <c r="K99" s="5">
        <v>96</v>
      </c>
      <c r="L99" s="6">
        <v>8.66</v>
      </c>
      <c r="M99" s="6">
        <f>M98</f>
        <v>38.749999999999979</v>
      </c>
      <c r="N99" s="6">
        <f t="shared" si="6"/>
        <v>8660</v>
      </c>
      <c r="O99" s="7">
        <f t="shared" si="7"/>
        <v>38749.999999999978</v>
      </c>
    </row>
    <row r="100" spans="11:15" x14ac:dyDescent="0.25">
      <c r="K100" s="5">
        <v>97</v>
      </c>
      <c r="L100" s="6">
        <v>0</v>
      </c>
      <c r="M100" s="6">
        <f>I35</f>
        <v>40.024999999999977</v>
      </c>
      <c r="N100" s="6">
        <f t="shared" si="6"/>
        <v>0</v>
      </c>
      <c r="O100" s="7">
        <f t="shared" si="7"/>
        <v>40024.999999999978</v>
      </c>
    </row>
    <row r="101" spans="11:15" x14ac:dyDescent="0.25">
      <c r="K101" s="5">
        <v>98</v>
      </c>
      <c r="L101" s="6">
        <v>4.33</v>
      </c>
      <c r="M101" s="6">
        <f>M100</f>
        <v>40.024999999999977</v>
      </c>
      <c r="N101" s="6">
        <f t="shared" si="6"/>
        <v>4330</v>
      </c>
      <c r="O101" s="7">
        <f t="shared" si="7"/>
        <v>40024.999999999978</v>
      </c>
    </row>
    <row r="102" spans="11:15" x14ac:dyDescent="0.25">
      <c r="K102" s="5">
        <v>99</v>
      </c>
      <c r="L102" s="6">
        <v>8.66</v>
      </c>
      <c r="M102" s="6">
        <f>M101</f>
        <v>40.024999999999977</v>
      </c>
      <c r="N102" s="6">
        <f t="shared" si="6"/>
        <v>8660</v>
      </c>
      <c r="O102" s="7">
        <f t="shared" si="7"/>
        <v>40024.999999999978</v>
      </c>
    </row>
    <row r="103" spans="11:15" x14ac:dyDescent="0.25">
      <c r="K103" s="5">
        <v>100</v>
      </c>
      <c r="L103" s="6">
        <v>0</v>
      </c>
      <c r="M103" s="6">
        <f>I36</f>
        <v>41.299999999999976</v>
      </c>
      <c r="N103" s="6">
        <f t="shared" si="6"/>
        <v>0</v>
      </c>
      <c r="O103" s="7">
        <f t="shared" si="7"/>
        <v>41299.999999999978</v>
      </c>
    </row>
    <row r="104" spans="11:15" x14ac:dyDescent="0.25">
      <c r="K104" s="5">
        <v>101</v>
      </c>
      <c r="L104" s="6">
        <v>4.33</v>
      </c>
      <c r="M104" s="6">
        <f>M103</f>
        <v>41.299999999999976</v>
      </c>
      <c r="N104" s="6">
        <f t="shared" si="6"/>
        <v>4330</v>
      </c>
      <c r="O104" s="7">
        <f t="shared" si="7"/>
        <v>41299.999999999978</v>
      </c>
    </row>
    <row r="105" spans="11:15" x14ac:dyDescent="0.25">
      <c r="K105" s="5">
        <v>102</v>
      </c>
      <c r="L105" s="6">
        <v>8.66</v>
      </c>
      <c r="M105" s="6">
        <f>M104</f>
        <v>41.299999999999976</v>
      </c>
      <c r="N105" s="6">
        <f t="shared" si="6"/>
        <v>8660</v>
      </c>
      <c r="O105" s="7">
        <f t="shared" si="7"/>
        <v>41299.999999999978</v>
      </c>
    </row>
    <row r="106" spans="11:15" x14ac:dyDescent="0.25">
      <c r="K106" s="5">
        <v>103</v>
      </c>
      <c r="L106" s="6">
        <v>0</v>
      </c>
      <c r="M106" s="6">
        <f>I37</f>
        <v>42.574999999999974</v>
      </c>
      <c r="N106" s="6">
        <f t="shared" si="6"/>
        <v>0</v>
      </c>
      <c r="O106" s="7">
        <f t="shared" si="7"/>
        <v>42574.999999999971</v>
      </c>
    </row>
    <row r="107" spans="11:15" x14ac:dyDescent="0.25">
      <c r="K107" s="5">
        <v>104</v>
      </c>
      <c r="L107" s="6">
        <v>4.33</v>
      </c>
      <c r="M107" s="6">
        <f>M106</f>
        <v>42.574999999999974</v>
      </c>
      <c r="N107" s="6">
        <f t="shared" si="6"/>
        <v>4330</v>
      </c>
      <c r="O107" s="7">
        <f t="shared" si="7"/>
        <v>42574.999999999971</v>
      </c>
    </row>
    <row r="108" spans="11:15" x14ac:dyDescent="0.25">
      <c r="K108" s="5">
        <v>105</v>
      </c>
      <c r="L108" s="6">
        <v>8.66</v>
      </c>
      <c r="M108" s="6">
        <f>M107</f>
        <v>42.574999999999974</v>
      </c>
      <c r="N108" s="6">
        <f t="shared" si="6"/>
        <v>8660</v>
      </c>
      <c r="O108" s="7">
        <f t="shared" si="7"/>
        <v>42574.999999999971</v>
      </c>
    </row>
    <row r="109" spans="11:15" x14ac:dyDescent="0.25">
      <c r="K109" s="5">
        <v>106</v>
      </c>
      <c r="L109" s="6">
        <v>0</v>
      </c>
      <c r="M109" s="6">
        <f>I38</f>
        <v>43.849999999999973</v>
      </c>
      <c r="N109" s="6">
        <f t="shared" si="6"/>
        <v>0</v>
      </c>
      <c r="O109" s="7">
        <f t="shared" si="7"/>
        <v>43849.999999999971</v>
      </c>
    </row>
    <row r="110" spans="11:15" x14ac:dyDescent="0.25">
      <c r="K110" s="5">
        <v>107</v>
      </c>
      <c r="L110" s="6">
        <v>4.33</v>
      </c>
      <c r="M110" s="6">
        <f>M109</f>
        <v>43.849999999999973</v>
      </c>
      <c r="N110" s="6">
        <f t="shared" si="6"/>
        <v>4330</v>
      </c>
      <c r="O110" s="7">
        <f t="shared" si="7"/>
        <v>43849.999999999971</v>
      </c>
    </row>
    <row r="111" spans="11:15" x14ac:dyDescent="0.25">
      <c r="K111" s="5">
        <v>108</v>
      </c>
      <c r="L111" s="6">
        <v>8.66</v>
      </c>
      <c r="M111" s="6">
        <f>M110</f>
        <v>43.849999999999973</v>
      </c>
      <c r="N111" s="6">
        <f t="shared" si="6"/>
        <v>8660</v>
      </c>
      <c r="O111" s="7">
        <f t="shared" si="7"/>
        <v>43849.999999999971</v>
      </c>
    </row>
    <row r="112" spans="11:15" x14ac:dyDescent="0.25">
      <c r="K112" s="5">
        <v>109</v>
      </c>
      <c r="L112" s="6">
        <v>0</v>
      </c>
      <c r="M112" s="6">
        <f>I39</f>
        <v>45.124999999999972</v>
      </c>
      <c r="N112" s="6">
        <f t="shared" si="6"/>
        <v>0</v>
      </c>
      <c r="O112" s="7">
        <f t="shared" si="7"/>
        <v>45124.999999999971</v>
      </c>
    </row>
    <row r="113" spans="11:15" x14ac:dyDescent="0.25">
      <c r="K113" s="5">
        <v>110</v>
      </c>
      <c r="L113" s="6">
        <v>4.33</v>
      </c>
      <c r="M113" s="6">
        <f>M112</f>
        <v>45.124999999999972</v>
      </c>
      <c r="N113" s="6">
        <f t="shared" si="6"/>
        <v>4330</v>
      </c>
      <c r="O113" s="7">
        <f t="shared" si="7"/>
        <v>45124.999999999971</v>
      </c>
    </row>
    <row r="114" spans="11:15" x14ac:dyDescent="0.25">
      <c r="K114" s="5">
        <v>111</v>
      </c>
      <c r="L114" s="6">
        <v>8.66</v>
      </c>
      <c r="M114" s="6">
        <f>M113</f>
        <v>45.124999999999972</v>
      </c>
      <c r="N114" s="6">
        <f t="shared" si="6"/>
        <v>8660</v>
      </c>
      <c r="O114" s="7">
        <f t="shared" si="7"/>
        <v>45124.999999999971</v>
      </c>
    </row>
    <row r="115" spans="11:15" x14ac:dyDescent="0.25">
      <c r="K115" s="5">
        <v>112</v>
      </c>
      <c r="L115" s="6">
        <v>0</v>
      </c>
      <c r="M115" s="6">
        <f>I40</f>
        <v>46.39999999999997</v>
      </c>
      <c r="N115" s="6">
        <f t="shared" si="6"/>
        <v>0</v>
      </c>
      <c r="O115" s="7">
        <f>M115*1000</f>
        <v>46399.999999999971</v>
      </c>
    </row>
    <row r="116" spans="11:15" x14ac:dyDescent="0.25">
      <c r="K116" s="5">
        <v>113</v>
      </c>
      <c r="L116" s="6">
        <v>4.33</v>
      </c>
      <c r="M116" s="6">
        <f>M115</f>
        <v>46.39999999999997</v>
      </c>
      <c r="N116" s="6">
        <f t="shared" si="6"/>
        <v>4330</v>
      </c>
      <c r="O116" s="7">
        <f t="shared" ref="O116:O117" si="8">M116*1000</f>
        <v>46399.999999999971</v>
      </c>
    </row>
    <row r="117" spans="11:15" x14ac:dyDescent="0.25">
      <c r="K117" s="8">
        <v>114</v>
      </c>
      <c r="L117" s="9">
        <v>8.66</v>
      </c>
      <c r="M117" s="9">
        <f>M116</f>
        <v>46.39999999999997</v>
      </c>
      <c r="N117" s="9">
        <f t="shared" si="6"/>
        <v>8660</v>
      </c>
      <c r="O117" s="21">
        <f t="shared" si="8"/>
        <v>46399.999999999971</v>
      </c>
    </row>
  </sheetData>
  <mergeCells count="6">
    <mergeCell ref="B52:B56"/>
    <mergeCell ref="A45:A56"/>
    <mergeCell ref="G2:I2"/>
    <mergeCell ref="K2:O2"/>
    <mergeCell ref="B23:E23"/>
    <mergeCell ref="B45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zoomScale="110" zoomScaleNormal="110" workbookViewId="0">
      <selection activeCell="H21" sqref="H21"/>
    </sheetView>
  </sheetViews>
  <sheetFormatPr baseColWidth="10" defaultRowHeight="15" x14ac:dyDescent="0.25"/>
  <cols>
    <col min="1" max="1" width="11.42578125" style="1"/>
    <col min="2" max="2" width="10.7109375" style="1" customWidth="1"/>
    <col min="3" max="3" width="9.85546875" style="1" customWidth="1"/>
    <col min="4" max="4" width="11.42578125" style="1" customWidth="1"/>
    <col min="5" max="5" width="11.5703125" style="1" customWidth="1"/>
    <col min="6" max="6" width="6.5703125" style="1" customWidth="1"/>
    <col min="7" max="8" width="6.5703125" style="46" customWidth="1"/>
    <col min="9" max="9" width="24.5703125" style="1" customWidth="1"/>
    <col min="10" max="10" width="23.7109375" style="1" customWidth="1"/>
    <col min="11" max="11" width="15.85546875" style="1" customWidth="1"/>
    <col min="12" max="12" width="18.28515625" style="1" customWidth="1"/>
    <col min="13" max="13" width="13.28515625" style="46" customWidth="1"/>
    <col min="14" max="14" width="22.140625" style="1" bestFit="1" customWidth="1"/>
    <col min="15" max="15" width="7.5703125" style="1" bestFit="1" customWidth="1"/>
    <col min="16" max="16" width="9.7109375" style="1" bestFit="1" customWidth="1"/>
    <col min="17" max="17" width="51" style="1" bestFit="1" customWidth="1"/>
    <col min="18" max="18" width="14.7109375" style="1" bestFit="1" customWidth="1"/>
    <col min="19" max="19" width="18.28515625" style="1" bestFit="1" customWidth="1"/>
    <col min="20" max="16384" width="11.42578125" style="1"/>
  </cols>
  <sheetData>
    <row r="2" spans="1:19" x14ac:dyDescent="0.25">
      <c r="B2" s="115" t="s">
        <v>103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x14ac:dyDescent="0.25">
      <c r="B3" s="115" t="s">
        <v>106</v>
      </c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15" t="s">
        <v>210</v>
      </c>
      <c r="N3" s="116"/>
      <c r="O3" s="116"/>
      <c r="P3" s="116"/>
      <c r="Q3" s="116"/>
      <c r="R3" s="116"/>
      <c r="S3" s="117"/>
    </row>
    <row r="4" spans="1:19" x14ac:dyDescent="0.25">
      <c r="B4" s="18" t="s">
        <v>90</v>
      </c>
      <c r="C4" s="19" t="s">
        <v>104</v>
      </c>
      <c r="D4" s="19" t="s">
        <v>91</v>
      </c>
      <c r="E4" s="19" t="s">
        <v>92</v>
      </c>
      <c r="F4" s="19" t="s">
        <v>93</v>
      </c>
      <c r="G4" s="45"/>
      <c r="H4" s="45"/>
      <c r="I4" s="19" t="s">
        <v>94</v>
      </c>
      <c r="J4" s="19" t="s">
        <v>95</v>
      </c>
      <c r="K4" s="32" t="s">
        <v>99</v>
      </c>
      <c r="L4" s="33" t="s">
        <v>100</v>
      </c>
      <c r="M4" s="32"/>
      <c r="N4" s="30" t="s">
        <v>96</v>
      </c>
      <c r="O4" s="19" t="s">
        <v>93</v>
      </c>
      <c r="P4" s="31" t="s">
        <v>97</v>
      </c>
      <c r="Q4" s="31" t="s">
        <v>98</v>
      </c>
      <c r="R4" s="40" t="s">
        <v>101</v>
      </c>
      <c r="S4" s="41" t="s">
        <v>102</v>
      </c>
    </row>
    <row r="5" spans="1:19" x14ac:dyDescent="0.25">
      <c r="B5" s="2" t="s">
        <v>68</v>
      </c>
      <c r="C5" s="3">
        <f>Geometría!F45*10</f>
        <v>880</v>
      </c>
      <c r="D5" s="3">
        <f>Geometría!E45*10</f>
        <v>300</v>
      </c>
      <c r="E5" s="3">
        <v>17</v>
      </c>
      <c r="F5" s="3">
        <v>25</v>
      </c>
      <c r="G5" s="47"/>
      <c r="H5" s="47"/>
      <c r="I5" s="3">
        <f t="shared" ref="I5:I14" si="0">C5*D5</f>
        <v>264000</v>
      </c>
      <c r="J5" s="27">
        <f t="shared" ref="J5:J14" si="1">(PI()*(F5^2)/4)*E5</f>
        <v>8344.8554860978875</v>
      </c>
      <c r="K5" s="34">
        <f>J5/I5</f>
        <v>3.1609301083704119E-2</v>
      </c>
      <c r="L5" s="35">
        <f>K5*100</f>
        <v>3.1609301083704118</v>
      </c>
      <c r="M5" s="85" t="s">
        <v>209</v>
      </c>
      <c r="N5" s="5">
        <v>120</v>
      </c>
      <c r="O5" s="6">
        <v>10</v>
      </c>
      <c r="P5" s="6">
        <v>2</v>
      </c>
      <c r="Q5" s="15">
        <f>PI()*(O5^2)/4/N5*P5</f>
        <v>1.3089969389957472</v>
      </c>
      <c r="R5" s="36">
        <f t="shared" ref="R5:R18" si="2">Q5/D5</f>
        <v>4.3633231299858239E-3</v>
      </c>
      <c r="S5" s="37">
        <f>R5*100</f>
        <v>0.43633231299858238</v>
      </c>
    </row>
    <row r="6" spans="1:19" x14ac:dyDescent="0.25">
      <c r="A6" s="1">
        <v>3.8</v>
      </c>
      <c r="B6" s="5" t="s">
        <v>69</v>
      </c>
      <c r="C6" s="6">
        <f>Geometría!F46*10</f>
        <v>880</v>
      </c>
      <c r="D6" s="6">
        <f>Geometría!E46*10</f>
        <v>300</v>
      </c>
      <c r="E6" s="6">
        <v>12</v>
      </c>
      <c r="F6" s="6">
        <v>25</v>
      </c>
      <c r="G6" s="53"/>
      <c r="H6" s="53"/>
      <c r="I6" s="6">
        <f t="shared" si="0"/>
        <v>264000</v>
      </c>
      <c r="J6" s="28">
        <f t="shared" si="1"/>
        <v>5890.4862254808622</v>
      </c>
      <c r="K6" s="36">
        <f>J6/I6</f>
        <v>2.2312447823791146E-2</v>
      </c>
      <c r="L6" s="37">
        <f t="shared" ref="L6:L18" si="3">K6*100</f>
        <v>2.2312447823791146</v>
      </c>
      <c r="M6" s="85" t="s">
        <v>209</v>
      </c>
      <c r="N6" s="5">
        <v>120</v>
      </c>
      <c r="O6" s="6">
        <v>10</v>
      </c>
      <c r="P6" s="6">
        <v>2</v>
      </c>
      <c r="Q6" s="15">
        <f t="shared" ref="Q6:Q12" si="4">PI()*(O6^2)/4/N6*P6</f>
        <v>1.3089969389957472</v>
      </c>
      <c r="R6" s="36">
        <f t="shared" si="2"/>
        <v>4.3633231299858239E-3</v>
      </c>
      <c r="S6" s="37">
        <f t="shared" ref="S6:S15" si="5">R6*100</f>
        <v>0.43633231299858238</v>
      </c>
    </row>
    <row r="7" spans="1:19" x14ac:dyDescent="0.25">
      <c r="A7" s="1">
        <v>3.8</v>
      </c>
      <c r="B7" s="5" t="s">
        <v>70</v>
      </c>
      <c r="C7" s="6">
        <f>Geometría!F47*10</f>
        <v>880</v>
      </c>
      <c r="D7" s="6">
        <f>Geometría!E47*10</f>
        <v>300</v>
      </c>
      <c r="E7" s="6">
        <v>10</v>
      </c>
      <c r="F7" s="6">
        <v>25</v>
      </c>
      <c r="G7" s="53"/>
      <c r="H7" s="53"/>
      <c r="I7" s="6">
        <f t="shared" si="0"/>
        <v>264000</v>
      </c>
      <c r="J7" s="28">
        <f t="shared" si="1"/>
        <v>4908.7385212340523</v>
      </c>
      <c r="K7" s="36">
        <f>J7/I7</f>
        <v>1.8593706519825955E-2</v>
      </c>
      <c r="L7" s="37">
        <f t="shared" si="3"/>
        <v>1.8593706519825954</v>
      </c>
      <c r="M7" s="85" t="s">
        <v>209</v>
      </c>
      <c r="N7" s="5">
        <v>120</v>
      </c>
      <c r="O7" s="6">
        <v>10</v>
      </c>
      <c r="P7" s="6">
        <v>2</v>
      </c>
      <c r="Q7" s="15">
        <f t="shared" si="4"/>
        <v>1.3089969389957472</v>
      </c>
      <c r="R7" s="36">
        <f t="shared" si="2"/>
        <v>4.3633231299858239E-3</v>
      </c>
      <c r="S7" s="37">
        <f t="shared" si="5"/>
        <v>0.43633231299858238</v>
      </c>
    </row>
    <row r="8" spans="1:19" x14ac:dyDescent="0.25">
      <c r="A8" s="1">
        <v>3.8</v>
      </c>
      <c r="B8" s="5" t="s">
        <v>71</v>
      </c>
      <c r="C8" s="6">
        <f>Geometría!F48*10</f>
        <v>880</v>
      </c>
      <c r="D8" s="6">
        <f>Geometría!E48*10</f>
        <v>250</v>
      </c>
      <c r="E8" s="6">
        <v>10</v>
      </c>
      <c r="F8" s="6">
        <v>25</v>
      </c>
      <c r="G8" s="53"/>
      <c r="H8" s="53"/>
      <c r="I8" s="6">
        <f t="shared" si="0"/>
        <v>220000</v>
      </c>
      <c r="J8" s="28">
        <f t="shared" si="1"/>
        <v>4908.7385212340523</v>
      </c>
      <c r="K8" s="36">
        <f t="shared" ref="K8:K12" si="6">J8/I8</f>
        <v>2.2312447823791146E-2</v>
      </c>
      <c r="L8" s="37">
        <f t="shared" si="3"/>
        <v>2.2312447823791146</v>
      </c>
      <c r="M8" s="85" t="s">
        <v>209</v>
      </c>
      <c r="N8" s="5">
        <v>120</v>
      </c>
      <c r="O8" s="6">
        <v>10</v>
      </c>
      <c r="P8" s="6">
        <v>2</v>
      </c>
      <c r="Q8" s="15">
        <f t="shared" si="4"/>
        <v>1.3089969389957472</v>
      </c>
      <c r="R8" s="36">
        <f t="shared" si="2"/>
        <v>5.235987755982989E-3</v>
      </c>
      <c r="S8" s="37">
        <f t="shared" si="5"/>
        <v>0.52359877559829893</v>
      </c>
    </row>
    <row r="9" spans="1:19" x14ac:dyDescent="0.25">
      <c r="A9" s="1">
        <v>4.0999999999999996</v>
      </c>
      <c r="B9" s="5" t="s">
        <v>72</v>
      </c>
      <c r="C9" s="6">
        <f>Geometría!F49*10</f>
        <v>880</v>
      </c>
      <c r="D9" s="6">
        <f>Geometría!E49*10</f>
        <v>200</v>
      </c>
      <c r="E9" s="6">
        <v>8</v>
      </c>
      <c r="F9" s="6">
        <v>25</v>
      </c>
      <c r="G9" s="53"/>
      <c r="H9" s="53"/>
      <c r="I9" s="6">
        <f t="shared" si="0"/>
        <v>176000</v>
      </c>
      <c r="J9" s="28">
        <f t="shared" si="1"/>
        <v>3926.9908169872415</v>
      </c>
      <c r="K9" s="36">
        <f t="shared" si="6"/>
        <v>2.2312447823791146E-2</v>
      </c>
      <c r="L9" s="37">
        <f t="shared" si="3"/>
        <v>2.2312447823791146</v>
      </c>
      <c r="M9" s="85" t="s">
        <v>209</v>
      </c>
      <c r="N9" s="5">
        <v>120</v>
      </c>
      <c r="O9" s="6">
        <v>10</v>
      </c>
      <c r="P9" s="6">
        <v>2</v>
      </c>
      <c r="Q9" s="15">
        <f t="shared" si="4"/>
        <v>1.3089969389957472</v>
      </c>
      <c r="R9" s="36">
        <f t="shared" si="2"/>
        <v>6.5449846949787362E-3</v>
      </c>
      <c r="S9" s="37">
        <f t="shared" si="5"/>
        <v>0.6544984694978736</v>
      </c>
    </row>
    <row r="10" spans="1:19" x14ac:dyDescent="0.25">
      <c r="A10" s="1">
        <v>3.7</v>
      </c>
      <c r="B10" s="26" t="s">
        <v>73</v>
      </c>
      <c r="C10" s="6">
        <f>Geometría!F50*10</f>
        <v>880</v>
      </c>
      <c r="D10" s="6">
        <f>Geometría!E50*10</f>
        <v>200</v>
      </c>
      <c r="E10" s="6">
        <v>8</v>
      </c>
      <c r="F10" s="6">
        <v>25</v>
      </c>
      <c r="G10" s="53"/>
      <c r="H10" s="53"/>
      <c r="I10" s="6">
        <f t="shared" si="0"/>
        <v>176000</v>
      </c>
      <c r="J10" s="28">
        <f t="shared" si="1"/>
        <v>3926.9908169872415</v>
      </c>
      <c r="K10" s="36">
        <f t="shared" si="6"/>
        <v>2.2312447823791146E-2</v>
      </c>
      <c r="L10" s="37">
        <f t="shared" si="3"/>
        <v>2.2312447823791146</v>
      </c>
      <c r="M10" s="85" t="s">
        <v>209</v>
      </c>
      <c r="N10" s="5">
        <v>120</v>
      </c>
      <c r="O10" s="6">
        <v>10</v>
      </c>
      <c r="P10" s="6">
        <v>2</v>
      </c>
      <c r="Q10" s="15">
        <f t="shared" si="4"/>
        <v>1.3089969389957472</v>
      </c>
      <c r="R10" s="36">
        <f t="shared" si="2"/>
        <v>6.5449846949787362E-3</v>
      </c>
      <c r="S10" s="37">
        <f t="shared" si="5"/>
        <v>0.6544984694978736</v>
      </c>
    </row>
    <row r="11" spans="1:19" x14ac:dyDescent="0.25">
      <c r="A11" s="1">
        <v>3.4</v>
      </c>
      <c r="B11" s="8" t="s">
        <v>74</v>
      </c>
      <c r="C11" s="9">
        <f>Geometría!F51*10</f>
        <v>880</v>
      </c>
      <c r="D11" s="9">
        <f>Geometría!E51*10</f>
        <v>200</v>
      </c>
      <c r="E11" s="9">
        <v>6</v>
      </c>
      <c r="F11" s="9">
        <v>22</v>
      </c>
      <c r="G11" s="54"/>
      <c r="H11" s="54"/>
      <c r="I11" s="9">
        <f t="shared" si="0"/>
        <v>176000</v>
      </c>
      <c r="J11" s="29">
        <f t="shared" si="1"/>
        <v>2280.79626650619</v>
      </c>
      <c r="K11" s="38">
        <f t="shared" si="6"/>
        <v>1.2959069696057897E-2</v>
      </c>
      <c r="L11" s="39">
        <f t="shared" si="3"/>
        <v>1.2959069696057897</v>
      </c>
      <c r="M11" s="86" t="s">
        <v>209</v>
      </c>
      <c r="N11" s="8">
        <v>120</v>
      </c>
      <c r="O11" s="9">
        <v>10</v>
      </c>
      <c r="P11" s="9">
        <v>2</v>
      </c>
      <c r="Q11" s="43">
        <f t="shared" si="4"/>
        <v>1.3089969389957472</v>
      </c>
      <c r="R11" s="38">
        <f t="shared" si="2"/>
        <v>6.5449846949787362E-3</v>
      </c>
      <c r="S11" s="39">
        <f t="shared" si="5"/>
        <v>0.6544984694978736</v>
      </c>
    </row>
    <row r="12" spans="1:19" x14ac:dyDescent="0.25">
      <c r="B12" s="2" t="s">
        <v>75</v>
      </c>
      <c r="C12" s="47">
        <f>Geometría!F52*10</f>
        <v>880</v>
      </c>
      <c r="D12" s="47">
        <f>Geometría!E52*10</f>
        <v>300</v>
      </c>
      <c r="E12" s="47">
        <v>17</v>
      </c>
      <c r="F12" s="47">
        <v>25</v>
      </c>
      <c r="G12" s="47"/>
      <c r="H12" s="47"/>
      <c r="I12" s="47">
        <f t="shared" si="0"/>
        <v>264000</v>
      </c>
      <c r="J12" s="27">
        <f t="shared" si="1"/>
        <v>8344.8554860978875</v>
      </c>
      <c r="K12" s="34">
        <f t="shared" si="6"/>
        <v>3.1609301083704119E-2</v>
      </c>
      <c r="L12" s="83">
        <f t="shared" si="3"/>
        <v>3.1609301083704118</v>
      </c>
      <c r="M12" s="88" t="s">
        <v>209</v>
      </c>
      <c r="N12" s="47">
        <v>120</v>
      </c>
      <c r="O12" s="47">
        <v>10</v>
      </c>
      <c r="P12" s="47">
        <v>2</v>
      </c>
      <c r="Q12" s="42">
        <f t="shared" si="4"/>
        <v>1.3089969389957472</v>
      </c>
      <c r="R12" s="34">
        <f t="shared" si="2"/>
        <v>4.3633231299858239E-3</v>
      </c>
      <c r="S12" s="35">
        <f t="shared" si="5"/>
        <v>0.43633231299858238</v>
      </c>
    </row>
    <row r="13" spans="1:19" s="46" customFormat="1" x14ac:dyDescent="0.25">
      <c r="B13" s="5" t="s">
        <v>208</v>
      </c>
      <c r="C13" s="53">
        <v>250</v>
      </c>
      <c r="D13" s="53">
        <v>1188</v>
      </c>
      <c r="E13" s="53">
        <v>12</v>
      </c>
      <c r="F13" s="53">
        <v>25</v>
      </c>
      <c r="G13" s="53"/>
      <c r="H13" s="53"/>
      <c r="I13" s="53">
        <f t="shared" si="0"/>
        <v>297000</v>
      </c>
      <c r="J13" s="28">
        <f t="shared" si="1"/>
        <v>5890.4862254808622</v>
      </c>
      <c r="K13" s="36">
        <f>J13/I13</f>
        <v>1.9833286954481017E-2</v>
      </c>
      <c r="L13" s="81">
        <f t="shared" si="3"/>
        <v>1.9833286954481018</v>
      </c>
      <c r="M13" s="89" t="s">
        <v>212</v>
      </c>
      <c r="N13" s="53">
        <v>100</v>
      </c>
      <c r="O13" s="53">
        <v>10</v>
      </c>
      <c r="P13" s="87">
        <v>5</v>
      </c>
      <c r="Q13" s="15">
        <f t="shared" ref="Q13:Q18" si="7">PI()*(O13^2)/4/N13*P13</f>
        <v>3.9269908169872414</v>
      </c>
      <c r="R13" s="36">
        <f t="shared" si="2"/>
        <v>3.3055478257468362E-3</v>
      </c>
      <c r="S13" s="37">
        <f t="shared" si="5"/>
        <v>0.33055478257468363</v>
      </c>
    </row>
    <row r="14" spans="1:19" s="46" customFormat="1" x14ac:dyDescent="0.25">
      <c r="B14" s="5" t="s">
        <v>211</v>
      </c>
      <c r="C14" s="53">
        <v>250</v>
      </c>
      <c r="D14" s="53">
        <v>1188</v>
      </c>
      <c r="E14" s="53">
        <v>12</v>
      </c>
      <c r="F14" s="53">
        <v>25</v>
      </c>
      <c r="G14" s="53"/>
      <c r="H14" s="53"/>
      <c r="I14" s="53">
        <f t="shared" si="0"/>
        <v>297000</v>
      </c>
      <c r="J14" s="28">
        <f t="shared" si="1"/>
        <v>5890.4862254808622</v>
      </c>
      <c r="K14" s="36">
        <f>J14/I14</f>
        <v>1.9833286954481017E-2</v>
      </c>
      <c r="L14" s="81">
        <f t="shared" si="3"/>
        <v>1.9833286954481018</v>
      </c>
      <c r="M14" s="89" t="s">
        <v>213</v>
      </c>
      <c r="N14" s="53">
        <v>120</v>
      </c>
      <c r="O14" s="53">
        <v>10</v>
      </c>
      <c r="P14" s="53">
        <v>5</v>
      </c>
      <c r="Q14" s="15">
        <f t="shared" si="7"/>
        <v>3.2724923474893681</v>
      </c>
      <c r="R14" s="36">
        <f t="shared" si="2"/>
        <v>2.7546231881223639E-3</v>
      </c>
      <c r="S14" s="37">
        <f t="shared" si="5"/>
        <v>0.27546231881223637</v>
      </c>
    </row>
    <row r="15" spans="1:19" s="46" customFormat="1" x14ac:dyDescent="0.25">
      <c r="B15" s="5" t="s">
        <v>78</v>
      </c>
      <c r="C15" s="53">
        <v>250</v>
      </c>
      <c r="D15" s="53">
        <v>1188</v>
      </c>
      <c r="E15" s="53">
        <v>12</v>
      </c>
      <c r="F15" s="53">
        <v>25</v>
      </c>
      <c r="G15" s="53"/>
      <c r="H15" s="53"/>
      <c r="I15" s="53">
        <f t="shared" ref="I15:I18" si="8">C15*D15</f>
        <v>297000</v>
      </c>
      <c r="J15" s="28">
        <f t="shared" ref="J15" si="9">(PI()*(F15^2)/4)*E15</f>
        <v>5890.4862254808622</v>
      </c>
      <c r="K15" s="36">
        <f t="shared" ref="K15:K16" si="10">J15/I15</f>
        <v>1.9833286954481017E-2</v>
      </c>
      <c r="L15" s="81">
        <f t="shared" si="3"/>
        <v>1.9833286954481018</v>
      </c>
      <c r="M15" s="89" t="s">
        <v>215</v>
      </c>
      <c r="N15" s="53">
        <v>150</v>
      </c>
      <c r="O15" s="53">
        <v>10</v>
      </c>
      <c r="P15" s="53">
        <v>5</v>
      </c>
      <c r="Q15" s="15">
        <f t="shared" si="7"/>
        <v>2.6179938779914949</v>
      </c>
      <c r="R15" s="36">
        <f t="shared" si="2"/>
        <v>2.2036985504978912E-3</v>
      </c>
      <c r="S15" s="37">
        <f t="shared" si="5"/>
        <v>0.22036985504978912</v>
      </c>
    </row>
    <row r="16" spans="1:19" s="46" customFormat="1" x14ac:dyDescent="0.25">
      <c r="B16" s="5" t="s">
        <v>214</v>
      </c>
      <c r="C16" s="53">
        <v>250</v>
      </c>
      <c r="D16" s="53">
        <v>1188</v>
      </c>
      <c r="E16" s="53">
        <v>6</v>
      </c>
      <c r="F16" s="53">
        <v>25</v>
      </c>
      <c r="G16" s="53">
        <v>6</v>
      </c>
      <c r="H16" s="53">
        <v>22</v>
      </c>
      <c r="I16" s="53">
        <f t="shared" si="8"/>
        <v>297000</v>
      </c>
      <c r="J16" s="28">
        <f>(PI()*(H16^2)/4)*G16+(PI()*(F16^2)/4)*E16</f>
        <v>5226.0393792466211</v>
      </c>
      <c r="K16" s="36">
        <f t="shared" si="10"/>
        <v>1.7596092186015558E-2</v>
      </c>
      <c r="L16" s="81">
        <f t="shared" si="3"/>
        <v>1.7596092186015557</v>
      </c>
      <c r="M16" s="89" t="s">
        <v>215</v>
      </c>
      <c r="N16" s="53">
        <v>150</v>
      </c>
      <c r="O16" s="53">
        <v>10</v>
      </c>
      <c r="P16" s="53">
        <v>5</v>
      </c>
      <c r="Q16" s="15">
        <f t="shared" si="7"/>
        <v>2.6179938779914949</v>
      </c>
      <c r="R16" s="36">
        <f t="shared" si="2"/>
        <v>2.2036985504978912E-3</v>
      </c>
      <c r="S16" s="37">
        <f>R16*100</f>
        <v>0.22036985504978912</v>
      </c>
    </row>
    <row r="17" spans="1:19" s="46" customFormat="1" x14ac:dyDescent="0.25">
      <c r="B17" s="5" t="s">
        <v>216</v>
      </c>
      <c r="C17" s="53">
        <v>250</v>
      </c>
      <c r="D17" s="53">
        <v>1188</v>
      </c>
      <c r="E17" s="53">
        <v>4</v>
      </c>
      <c r="F17" s="53">
        <v>25</v>
      </c>
      <c r="G17" s="53">
        <v>6</v>
      </c>
      <c r="H17" s="53">
        <v>22</v>
      </c>
      <c r="I17" s="53">
        <f t="shared" si="8"/>
        <v>297000</v>
      </c>
      <c r="J17" s="28">
        <f>(PI()*(H17^2)/4)*G17+(PI()*(F17^2)/4)*E17</f>
        <v>4244.2916749998112</v>
      </c>
      <c r="K17" s="36">
        <f>J17/I17</f>
        <v>1.4290544360268725E-2</v>
      </c>
      <c r="L17" s="81">
        <f t="shared" si="3"/>
        <v>1.4290544360268724</v>
      </c>
      <c r="M17" s="89" t="s">
        <v>215</v>
      </c>
      <c r="N17" s="53">
        <v>150</v>
      </c>
      <c r="O17" s="53">
        <v>10</v>
      </c>
      <c r="P17" s="53">
        <v>5</v>
      </c>
      <c r="Q17" s="15">
        <f t="shared" si="7"/>
        <v>2.6179938779914949</v>
      </c>
      <c r="R17" s="36">
        <f t="shared" si="2"/>
        <v>2.2036985504978912E-3</v>
      </c>
      <c r="S17" s="37">
        <f>R17*100</f>
        <v>0.22036985504978912</v>
      </c>
    </row>
    <row r="18" spans="1:19" s="46" customFormat="1" x14ac:dyDescent="0.25">
      <c r="B18" s="8" t="s">
        <v>217</v>
      </c>
      <c r="C18" s="54">
        <v>250</v>
      </c>
      <c r="D18" s="54">
        <v>1188</v>
      </c>
      <c r="E18" s="54">
        <v>4</v>
      </c>
      <c r="F18" s="54">
        <v>25</v>
      </c>
      <c r="G18" s="54">
        <v>6</v>
      </c>
      <c r="H18" s="54">
        <v>22</v>
      </c>
      <c r="I18" s="54">
        <f t="shared" si="8"/>
        <v>297000</v>
      </c>
      <c r="J18" s="29">
        <f>(PI()*(H18^2)/4)*G18+(PI()*(F18^2)/4)*E18</f>
        <v>4244.2916749998112</v>
      </c>
      <c r="K18" s="38">
        <f>J18/I18</f>
        <v>1.4290544360268725E-2</v>
      </c>
      <c r="L18" s="82">
        <f t="shared" si="3"/>
        <v>1.4290544360268724</v>
      </c>
      <c r="M18" s="90" t="s">
        <v>213</v>
      </c>
      <c r="N18" s="54">
        <v>120</v>
      </c>
      <c r="O18" s="54">
        <v>10</v>
      </c>
      <c r="P18" s="54">
        <v>5</v>
      </c>
      <c r="Q18" s="43">
        <f t="shared" si="7"/>
        <v>3.2724923474893681</v>
      </c>
      <c r="R18" s="38">
        <f t="shared" si="2"/>
        <v>2.7546231881223639E-3</v>
      </c>
      <c r="S18" s="39">
        <f>R18*100</f>
        <v>0.27546231881223637</v>
      </c>
    </row>
    <row r="19" spans="1:19" s="46" customFormat="1" x14ac:dyDescent="0.25">
      <c r="B19" s="53"/>
      <c r="C19" s="53"/>
      <c r="D19" s="53"/>
      <c r="E19" s="53"/>
      <c r="F19" s="53"/>
      <c r="G19" s="53"/>
      <c r="H19" s="53"/>
      <c r="I19" s="53"/>
      <c r="J19" s="28"/>
      <c r="K19" s="36"/>
      <c r="L19" s="81"/>
      <c r="M19" s="81"/>
      <c r="N19" s="53"/>
      <c r="O19" s="53"/>
      <c r="P19" s="53"/>
      <c r="Q19" s="15"/>
      <c r="R19" s="36"/>
      <c r="S19" s="81"/>
    </row>
    <row r="20" spans="1:19" s="46" customFormat="1" x14ac:dyDescent="0.25">
      <c r="B20" s="53"/>
      <c r="C20" s="53"/>
      <c r="D20" s="53"/>
      <c r="E20" s="53"/>
      <c r="F20" s="53"/>
      <c r="G20" s="53"/>
      <c r="H20" s="53"/>
      <c r="I20" s="53"/>
      <c r="J20" s="28"/>
      <c r="K20" s="36"/>
      <c r="L20" s="81"/>
      <c r="M20" s="81"/>
      <c r="N20" s="53"/>
      <c r="O20" s="53"/>
      <c r="P20" s="53"/>
      <c r="Q20" s="15"/>
      <c r="R20" s="36"/>
      <c r="S20" s="81"/>
    </row>
    <row r="21" spans="1:19" s="46" customFormat="1" x14ac:dyDescent="0.25">
      <c r="B21" s="53"/>
      <c r="C21" s="53"/>
      <c r="D21" s="53"/>
      <c r="E21" s="53"/>
      <c r="F21" s="53"/>
      <c r="G21" s="53"/>
      <c r="H21" s="53"/>
      <c r="I21" s="53"/>
      <c r="J21" s="28"/>
      <c r="K21" s="36"/>
      <c r="L21" s="81"/>
      <c r="M21" s="81"/>
      <c r="N21" s="53"/>
      <c r="O21" s="53"/>
      <c r="P21" s="53"/>
      <c r="Q21" s="15"/>
      <c r="R21" s="36"/>
      <c r="S21" s="81"/>
    </row>
    <row r="22" spans="1:19" x14ac:dyDescent="0.25">
      <c r="B22" s="6"/>
    </row>
    <row r="23" spans="1:19" x14ac:dyDescent="0.25">
      <c r="B23" s="6"/>
    </row>
    <row r="24" spans="1:19" x14ac:dyDescent="0.25">
      <c r="B24" s="115" t="s">
        <v>115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7"/>
      <c r="M24" s="53"/>
      <c r="O24" s="68">
        <f>K5/2*D5</f>
        <v>4.7413951625556177</v>
      </c>
      <c r="P24" s="68">
        <f>R5/2*D5</f>
        <v>0.6544984694978736</v>
      </c>
    </row>
    <row r="25" spans="1:19" x14ac:dyDescent="0.25">
      <c r="B25" s="18"/>
      <c r="C25" s="19" t="s">
        <v>91</v>
      </c>
      <c r="D25" s="19" t="s">
        <v>107</v>
      </c>
      <c r="E25" s="19" t="s">
        <v>109</v>
      </c>
      <c r="F25" s="19" t="s">
        <v>93</v>
      </c>
      <c r="G25" s="45"/>
      <c r="H25" s="45"/>
      <c r="I25" s="31" t="s">
        <v>96</v>
      </c>
      <c r="J25" s="19" t="s">
        <v>112</v>
      </c>
      <c r="K25" s="40" t="s">
        <v>113</v>
      </c>
      <c r="L25" s="41" t="s">
        <v>114</v>
      </c>
      <c r="M25" s="84"/>
      <c r="O25" s="68">
        <f>K13/2*C13</f>
        <v>2.4791608693101272</v>
      </c>
      <c r="P25" s="68">
        <f>R13/2*C13</f>
        <v>0.4131934782183545</v>
      </c>
      <c r="Q25" s="1">
        <v>0.8</v>
      </c>
    </row>
    <row r="26" spans="1:19" x14ac:dyDescent="0.25">
      <c r="B26" s="5" t="s">
        <v>68</v>
      </c>
      <c r="C26" s="6">
        <f>Geometría!E45*10</f>
        <v>300</v>
      </c>
      <c r="D26" s="6" t="s">
        <v>108</v>
      </c>
      <c r="E26" s="6">
        <v>2</v>
      </c>
      <c r="F26" s="6">
        <v>10</v>
      </c>
      <c r="G26" s="53"/>
      <c r="H26" s="53"/>
      <c r="I26" s="6">
        <v>150</v>
      </c>
      <c r="J26" s="15">
        <f t="shared" ref="J26:J37" si="11">PI()*(F26^2)/4/I26*E26</f>
        <v>1.0471975511965979</v>
      </c>
      <c r="K26" s="36">
        <f t="shared" ref="K26:K37" si="12">J26/C26</f>
        <v>3.4906585039886596E-3</v>
      </c>
      <c r="L26" s="37">
        <f>K26*100</f>
        <v>0.34906585039886595</v>
      </c>
      <c r="M26" s="81"/>
      <c r="O26" s="68"/>
      <c r="P26" s="1">
        <f>R14/2*C14</f>
        <v>0.34432789851529549</v>
      </c>
      <c r="Q26" s="1">
        <v>0.6</v>
      </c>
    </row>
    <row r="27" spans="1:19" x14ac:dyDescent="0.25">
      <c r="B27" s="5" t="s">
        <v>69</v>
      </c>
      <c r="C27" s="6">
        <f>Geometría!E46*10</f>
        <v>300</v>
      </c>
      <c r="D27" s="6" t="s">
        <v>108</v>
      </c>
      <c r="E27" s="6">
        <v>2</v>
      </c>
      <c r="F27" s="6">
        <v>10</v>
      </c>
      <c r="G27" s="53"/>
      <c r="H27" s="53"/>
      <c r="I27" s="6">
        <v>150</v>
      </c>
      <c r="J27" s="15">
        <f t="shared" si="11"/>
        <v>1.0471975511965979</v>
      </c>
      <c r="K27" s="36">
        <f t="shared" si="12"/>
        <v>3.4906585039886596E-3</v>
      </c>
      <c r="L27" s="37">
        <f t="shared" ref="L27:L37" si="13">K27*100</f>
        <v>0.34906585039886595</v>
      </c>
      <c r="M27" s="81"/>
      <c r="O27" s="68"/>
      <c r="P27" s="1">
        <f>R16/2*C16</f>
        <v>0.27546231881223643</v>
      </c>
      <c r="Q27" s="1">
        <v>0.5</v>
      </c>
    </row>
    <row r="28" spans="1:19" x14ac:dyDescent="0.25">
      <c r="B28" s="5" t="s">
        <v>70</v>
      </c>
      <c r="C28" s="6">
        <f>Geometría!E47*10</f>
        <v>300</v>
      </c>
      <c r="D28" s="6" t="s">
        <v>108</v>
      </c>
      <c r="E28" s="6">
        <v>2</v>
      </c>
      <c r="F28" s="6">
        <v>10</v>
      </c>
      <c r="G28" s="53"/>
      <c r="H28" s="53"/>
      <c r="I28" s="6">
        <v>150</v>
      </c>
      <c r="J28" s="15">
        <f t="shared" si="11"/>
        <v>1.0471975511965979</v>
      </c>
      <c r="K28" s="36">
        <f t="shared" si="12"/>
        <v>3.4906585039886596E-3</v>
      </c>
      <c r="L28" s="37">
        <f t="shared" si="13"/>
        <v>0.34906585039886595</v>
      </c>
      <c r="M28" s="81"/>
      <c r="O28" s="1">
        <f>K16/2*C16</f>
        <v>2.1995115232519447</v>
      </c>
    </row>
    <row r="29" spans="1:19" x14ac:dyDescent="0.25">
      <c r="A29" s="1">
        <v>0.4</v>
      </c>
      <c r="B29" s="5" t="s">
        <v>71</v>
      </c>
      <c r="C29" s="6">
        <f>Geometría!E48*10</f>
        <v>250</v>
      </c>
      <c r="D29" s="6" t="s">
        <v>108</v>
      </c>
      <c r="E29" s="6">
        <v>2</v>
      </c>
      <c r="F29" s="6">
        <v>10</v>
      </c>
      <c r="G29" s="53"/>
      <c r="H29" s="53"/>
      <c r="I29" s="6">
        <v>150</v>
      </c>
      <c r="J29" s="15">
        <f t="shared" si="11"/>
        <v>1.0471975511965979</v>
      </c>
      <c r="K29" s="36">
        <f t="shared" si="12"/>
        <v>4.1887902047863914E-3</v>
      </c>
      <c r="L29" s="37">
        <f t="shared" si="13"/>
        <v>0.41887902047863912</v>
      </c>
      <c r="M29" s="81"/>
      <c r="O29" s="1">
        <f>K17/2*C17</f>
        <v>1.7863180450335907</v>
      </c>
    </row>
    <row r="30" spans="1:19" x14ac:dyDescent="0.25">
      <c r="B30" s="5" t="s">
        <v>72</v>
      </c>
      <c r="C30" s="6">
        <f>Geometría!E49*10</f>
        <v>200</v>
      </c>
      <c r="D30" s="6" t="s">
        <v>110</v>
      </c>
      <c r="E30" s="6">
        <v>2</v>
      </c>
      <c r="F30" s="6">
        <v>10</v>
      </c>
      <c r="G30" s="53"/>
      <c r="H30" s="53"/>
      <c r="I30" s="6">
        <v>200</v>
      </c>
      <c r="J30" s="15">
        <f t="shared" si="11"/>
        <v>0.78539816339744828</v>
      </c>
      <c r="K30" s="36">
        <f t="shared" si="12"/>
        <v>3.9269908169872417E-3</v>
      </c>
      <c r="L30" s="37">
        <f t="shared" si="13"/>
        <v>0.3926990816987242</v>
      </c>
      <c r="M30" s="81"/>
    </row>
    <row r="31" spans="1:19" x14ac:dyDescent="0.25">
      <c r="B31" s="5" t="s">
        <v>73</v>
      </c>
      <c r="C31" s="6">
        <f>Geometría!E50*10</f>
        <v>200</v>
      </c>
      <c r="D31" s="6" t="s">
        <v>111</v>
      </c>
      <c r="E31" s="6">
        <v>2</v>
      </c>
      <c r="F31" s="6">
        <v>8</v>
      </c>
      <c r="G31" s="53"/>
      <c r="H31" s="53"/>
      <c r="I31" s="6">
        <v>200</v>
      </c>
      <c r="J31" s="15">
        <f t="shared" si="11"/>
        <v>0.50265482457436694</v>
      </c>
      <c r="K31" s="36">
        <f t="shared" si="12"/>
        <v>2.5132741228718349E-3</v>
      </c>
      <c r="L31" s="37">
        <f t="shared" si="13"/>
        <v>0.25132741228718347</v>
      </c>
      <c r="M31" s="81"/>
    </row>
    <row r="32" spans="1:19" x14ac:dyDescent="0.25">
      <c r="B32" s="5" t="s">
        <v>74</v>
      </c>
      <c r="C32" s="6">
        <f>Geometría!E51*10</f>
        <v>200</v>
      </c>
      <c r="D32" s="6" t="s">
        <v>111</v>
      </c>
      <c r="E32" s="6">
        <v>2</v>
      </c>
      <c r="F32" s="6">
        <v>8</v>
      </c>
      <c r="G32" s="53"/>
      <c r="H32" s="53"/>
      <c r="I32" s="6">
        <v>200</v>
      </c>
      <c r="J32" s="15">
        <f t="shared" si="11"/>
        <v>0.50265482457436694</v>
      </c>
      <c r="K32" s="36">
        <f t="shared" si="12"/>
        <v>2.5132741228718349E-3</v>
      </c>
      <c r="L32" s="37">
        <f t="shared" si="13"/>
        <v>0.25132741228718347</v>
      </c>
      <c r="M32" s="81"/>
      <c r="O32" s="1" t="s">
        <v>219</v>
      </c>
    </row>
    <row r="33" spans="2:17" x14ac:dyDescent="0.25">
      <c r="B33" s="2" t="s">
        <v>75</v>
      </c>
      <c r="C33" s="3">
        <f>Geometría!E52*10</f>
        <v>300</v>
      </c>
      <c r="D33" s="3" t="s">
        <v>108</v>
      </c>
      <c r="E33" s="3">
        <v>2</v>
      </c>
      <c r="F33" s="3">
        <v>10</v>
      </c>
      <c r="G33" s="47"/>
      <c r="H33" s="47"/>
      <c r="I33" s="3">
        <v>150</v>
      </c>
      <c r="J33" s="42">
        <f t="shared" si="11"/>
        <v>1.0471975511965979</v>
      </c>
      <c r="K33" s="34">
        <f t="shared" si="12"/>
        <v>3.4906585039886596E-3</v>
      </c>
      <c r="L33" s="35">
        <f t="shared" si="13"/>
        <v>0.34906585039886595</v>
      </c>
      <c r="M33" s="81"/>
      <c r="O33" s="68">
        <f t="shared" ref="O33:O39" si="14">K5/2*D5</f>
        <v>4.7413951625556177</v>
      </c>
      <c r="P33" s="68">
        <f t="shared" ref="P33:P39" si="15">R5/2*D5</f>
        <v>0.6544984694978736</v>
      </c>
    </row>
    <row r="34" spans="2:17" x14ac:dyDescent="0.25">
      <c r="B34" s="5" t="s">
        <v>76</v>
      </c>
      <c r="C34" s="6">
        <f>Geometría!E53*10</f>
        <v>300</v>
      </c>
      <c r="D34" s="6" t="s">
        <v>108</v>
      </c>
      <c r="E34" s="6">
        <v>2</v>
      </c>
      <c r="F34" s="6">
        <v>10</v>
      </c>
      <c r="G34" s="53"/>
      <c r="H34" s="53"/>
      <c r="I34" s="6">
        <v>150</v>
      </c>
      <c r="J34" s="15">
        <f t="shared" si="11"/>
        <v>1.0471975511965979</v>
      </c>
      <c r="K34" s="36">
        <f t="shared" si="12"/>
        <v>3.4906585039886596E-3</v>
      </c>
      <c r="L34" s="37">
        <f t="shared" si="13"/>
        <v>0.34906585039886595</v>
      </c>
      <c r="M34" s="81"/>
      <c r="O34" s="68">
        <f t="shared" si="14"/>
        <v>3.3468671735686719</v>
      </c>
      <c r="P34" s="68">
        <f t="shared" si="15"/>
        <v>0.6544984694978736</v>
      </c>
    </row>
    <row r="35" spans="2:17" x14ac:dyDescent="0.25">
      <c r="B35" s="5" t="s">
        <v>77</v>
      </c>
      <c r="C35" s="6">
        <f>Geometría!E54*10</f>
        <v>250</v>
      </c>
      <c r="D35" s="6" t="s">
        <v>108</v>
      </c>
      <c r="E35" s="6">
        <v>2</v>
      </c>
      <c r="F35" s="6">
        <v>10</v>
      </c>
      <c r="G35" s="53"/>
      <c r="H35" s="53"/>
      <c r="I35" s="6">
        <v>150</v>
      </c>
      <c r="J35" s="15">
        <f t="shared" si="11"/>
        <v>1.0471975511965979</v>
      </c>
      <c r="K35" s="36">
        <f t="shared" si="12"/>
        <v>4.1887902047863914E-3</v>
      </c>
      <c r="L35" s="37">
        <f t="shared" si="13"/>
        <v>0.41887902047863912</v>
      </c>
      <c r="M35" s="81"/>
      <c r="O35" s="68">
        <f t="shared" si="14"/>
        <v>2.7890559779738933</v>
      </c>
      <c r="P35" s="68">
        <f t="shared" si="15"/>
        <v>0.6544984694978736</v>
      </c>
    </row>
    <row r="36" spans="2:17" x14ac:dyDescent="0.25">
      <c r="B36" s="5" t="s">
        <v>78</v>
      </c>
      <c r="C36" s="6">
        <f>Geometría!E55*10</f>
        <v>200</v>
      </c>
      <c r="D36" s="6" t="s">
        <v>110</v>
      </c>
      <c r="E36" s="6">
        <v>2</v>
      </c>
      <c r="F36" s="6">
        <v>10</v>
      </c>
      <c r="G36" s="53"/>
      <c r="H36" s="53"/>
      <c r="I36" s="6">
        <v>200</v>
      </c>
      <c r="J36" s="15">
        <f t="shared" si="11"/>
        <v>0.78539816339744828</v>
      </c>
      <c r="K36" s="36">
        <f t="shared" si="12"/>
        <v>3.9269908169872417E-3</v>
      </c>
      <c r="L36" s="37">
        <f t="shared" si="13"/>
        <v>0.3926990816987242</v>
      </c>
      <c r="M36" s="81"/>
      <c r="O36" s="68">
        <f t="shared" si="14"/>
        <v>2.7890559779738933</v>
      </c>
      <c r="P36" s="68">
        <f t="shared" si="15"/>
        <v>0.6544984694978736</v>
      </c>
    </row>
    <row r="37" spans="2:17" x14ac:dyDescent="0.25">
      <c r="B37" s="8" t="s">
        <v>79</v>
      </c>
      <c r="C37" s="9">
        <f>Geometría!E56*10</f>
        <v>200</v>
      </c>
      <c r="D37" s="9" t="s">
        <v>111</v>
      </c>
      <c r="E37" s="9">
        <v>2</v>
      </c>
      <c r="F37" s="9">
        <v>8</v>
      </c>
      <c r="G37" s="54"/>
      <c r="H37" s="54"/>
      <c r="I37" s="9">
        <v>200</v>
      </c>
      <c r="J37" s="43">
        <f t="shared" si="11"/>
        <v>0.50265482457436694</v>
      </c>
      <c r="K37" s="38">
        <f t="shared" si="12"/>
        <v>2.5132741228718349E-3</v>
      </c>
      <c r="L37" s="39">
        <f t="shared" si="13"/>
        <v>0.25132741228718347</v>
      </c>
      <c r="M37" s="81"/>
      <c r="O37" s="68">
        <f t="shared" si="14"/>
        <v>2.2312447823791146</v>
      </c>
      <c r="P37" s="68">
        <f t="shared" si="15"/>
        <v>0.6544984694978736</v>
      </c>
    </row>
    <row r="38" spans="2:17" x14ac:dyDescent="0.25">
      <c r="B38" s="6"/>
      <c r="O38" s="68">
        <f t="shared" si="14"/>
        <v>2.2312447823791146</v>
      </c>
      <c r="P38" s="68">
        <f t="shared" si="15"/>
        <v>0.6544984694978736</v>
      </c>
    </row>
    <row r="39" spans="2:17" x14ac:dyDescent="0.25">
      <c r="B39" s="6"/>
      <c r="O39" s="68">
        <f t="shared" si="14"/>
        <v>1.2959069696057897</v>
      </c>
      <c r="P39" s="68">
        <f t="shared" si="15"/>
        <v>0.6544984694978736</v>
      </c>
      <c r="Q39" s="1">
        <v>0.6</v>
      </c>
    </row>
    <row r="40" spans="2:17" x14ac:dyDescent="0.25">
      <c r="B40" s="6"/>
    </row>
    <row r="41" spans="2:17" x14ac:dyDescent="0.25">
      <c r="B41" s="6"/>
    </row>
    <row r="42" spans="2:17" x14ac:dyDescent="0.25">
      <c r="B42" s="6"/>
    </row>
    <row r="43" spans="2:17" x14ac:dyDescent="0.25">
      <c r="B43" s="6"/>
      <c r="K43" s="1" t="s">
        <v>218</v>
      </c>
    </row>
    <row r="44" spans="2:17" x14ac:dyDescent="0.25">
      <c r="K44" s="91">
        <f>K26/2*C26</f>
        <v>0.52359877559829893</v>
      </c>
    </row>
    <row r="45" spans="2:17" x14ac:dyDescent="0.25">
      <c r="K45" s="92">
        <f t="shared" ref="K45:K55" si="16">K27/2*C27</f>
        <v>0.52359877559829893</v>
      </c>
    </row>
    <row r="46" spans="2:17" x14ac:dyDescent="0.25">
      <c r="K46" s="92">
        <f t="shared" si="16"/>
        <v>0.52359877559829893</v>
      </c>
    </row>
    <row r="47" spans="2:17" x14ac:dyDescent="0.25">
      <c r="K47" s="92">
        <f>K29/2*C29</f>
        <v>0.52359877559829893</v>
      </c>
    </row>
    <row r="48" spans="2:17" x14ac:dyDescent="0.25">
      <c r="K48" s="92">
        <f>K30/2*C30</f>
        <v>0.3926990816987242</v>
      </c>
    </row>
    <row r="49" spans="11:11" x14ac:dyDescent="0.25">
      <c r="K49" s="92">
        <f>K31/2*C31</f>
        <v>0.25132741228718347</v>
      </c>
    </row>
    <row r="50" spans="11:11" x14ac:dyDescent="0.25">
      <c r="K50" s="93">
        <f>K32/2*C32</f>
        <v>0.25132741228718347</v>
      </c>
    </row>
    <row r="51" spans="11:11" x14ac:dyDescent="0.25">
      <c r="K51" s="91">
        <f>K33/2*C33</f>
        <v>0.52359877559829893</v>
      </c>
    </row>
    <row r="52" spans="11:11" x14ac:dyDescent="0.25">
      <c r="K52" s="92">
        <f t="shared" si="16"/>
        <v>0.52359877559829893</v>
      </c>
    </row>
    <row r="53" spans="11:11" x14ac:dyDescent="0.25">
      <c r="K53" s="92">
        <f t="shared" si="16"/>
        <v>0.52359877559829893</v>
      </c>
    </row>
    <row r="54" spans="11:11" x14ac:dyDescent="0.25">
      <c r="K54" s="92">
        <f t="shared" si="16"/>
        <v>0.3926990816987242</v>
      </c>
    </row>
    <row r="55" spans="11:11" x14ac:dyDescent="0.25">
      <c r="K55" s="93">
        <f t="shared" si="16"/>
        <v>0.25132741228718347</v>
      </c>
    </row>
    <row r="56" spans="11:11" x14ac:dyDescent="0.25">
      <c r="K56" s="46"/>
    </row>
    <row r="57" spans="11:11" x14ac:dyDescent="0.25">
      <c r="K57" s="46"/>
    </row>
    <row r="58" spans="11:11" x14ac:dyDescent="0.25">
      <c r="K58" s="46"/>
    </row>
  </sheetData>
  <mergeCells count="4">
    <mergeCell ref="B3:L3"/>
    <mergeCell ref="B2:S2"/>
    <mergeCell ref="B24:L24"/>
    <mergeCell ref="M3:S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I173"/>
  <sheetViews>
    <sheetView topLeftCell="A50" zoomScale="130" zoomScaleNormal="130" workbookViewId="0">
      <selection activeCell="K79" sqref="K79"/>
    </sheetView>
  </sheetViews>
  <sheetFormatPr baseColWidth="10" defaultRowHeight="15" x14ac:dyDescent="0.25"/>
  <cols>
    <col min="1" max="1" width="11.42578125" style="1"/>
    <col min="2" max="2" width="52.140625" style="1" customWidth="1"/>
    <col min="3" max="3" width="23.42578125" style="1" customWidth="1"/>
    <col min="4" max="4" width="11.42578125" style="1"/>
    <col min="5" max="5" width="20.7109375" style="1" customWidth="1"/>
    <col min="6" max="6" width="11.42578125" style="1"/>
    <col min="7" max="7" width="28.5703125" style="1" customWidth="1"/>
    <col min="8" max="16384" width="11.42578125" style="1"/>
  </cols>
  <sheetData>
    <row r="5" spans="1:5" x14ac:dyDescent="0.25">
      <c r="A5" s="119" t="s">
        <v>165</v>
      </c>
      <c r="B5" s="48" t="s">
        <v>116</v>
      </c>
      <c r="C5" s="52" t="s">
        <v>135</v>
      </c>
    </row>
    <row r="6" spans="1:5" x14ac:dyDescent="0.25">
      <c r="A6" s="119"/>
      <c r="B6" s="49" t="s">
        <v>117</v>
      </c>
      <c r="C6" s="44"/>
      <c r="D6" s="44"/>
      <c r="E6" s="44"/>
    </row>
    <row r="7" spans="1:5" x14ac:dyDescent="0.25">
      <c r="A7" s="119"/>
      <c r="B7" s="50" t="s">
        <v>118</v>
      </c>
      <c r="C7" s="1" t="s">
        <v>119</v>
      </c>
      <c r="D7" s="1" t="s">
        <v>120</v>
      </c>
    </row>
    <row r="8" spans="1:5" x14ac:dyDescent="0.25">
      <c r="A8" s="119"/>
      <c r="B8" s="50" t="s">
        <v>121</v>
      </c>
      <c r="C8" s="1">
        <v>448.75</v>
      </c>
      <c r="D8" s="80">
        <v>452.5</v>
      </c>
      <c r="E8" s="1" t="s">
        <v>122</v>
      </c>
    </row>
    <row r="9" spans="1:5" x14ac:dyDescent="0.25">
      <c r="A9" s="119"/>
      <c r="B9" s="50" t="s">
        <v>125</v>
      </c>
      <c r="C9" s="1">
        <v>2.5000000000000001E-2</v>
      </c>
      <c r="D9" s="1">
        <v>2.5000000000000001E-2</v>
      </c>
    </row>
    <row r="10" spans="1:5" x14ac:dyDescent="0.25">
      <c r="A10" s="119"/>
      <c r="B10" s="49" t="s">
        <v>123</v>
      </c>
      <c r="C10" s="32"/>
      <c r="D10" s="32"/>
      <c r="E10" s="32"/>
    </row>
    <row r="11" spans="1:5" x14ac:dyDescent="0.25">
      <c r="A11" s="119"/>
      <c r="B11" s="50" t="s">
        <v>118</v>
      </c>
      <c r="C11" s="1" t="s">
        <v>119</v>
      </c>
      <c r="D11" s="1" t="s">
        <v>120</v>
      </c>
    </row>
    <row r="12" spans="1:5" x14ac:dyDescent="0.25">
      <c r="A12" s="119"/>
      <c r="B12" s="50" t="s">
        <v>124</v>
      </c>
      <c r="C12" s="1">
        <v>448.75</v>
      </c>
      <c r="D12" s="80">
        <v>452.5</v>
      </c>
      <c r="E12" s="1" t="s">
        <v>122</v>
      </c>
    </row>
    <row r="13" spans="1:5" x14ac:dyDescent="0.25">
      <c r="A13" s="119"/>
      <c r="B13" s="50" t="s">
        <v>126</v>
      </c>
      <c r="C13" s="1">
        <v>2.5000000000000001E-2</v>
      </c>
      <c r="D13" s="1">
        <v>2.5000000000000001E-2</v>
      </c>
    </row>
    <row r="14" spans="1:5" x14ac:dyDescent="0.25">
      <c r="A14" s="119"/>
      <c r="B14" s="49" t="s">
        <v>127</v>
      </c>
      <c r="C14" s="32"/>
      <c r="D14" s="32"/>
      <c r="E14" s="32"/>
    </row>
    <row r="15" spans="1:5" x14ac:dyDescent="0.25">
      <c r="A15" s="119"/>
      <c r="B15" s="50" t="s">
        <v>118</v>
      </c>
      <c r="C15" s="124" t="s">
        <v>120</v>
      </c>
      <c r="D15" s="124"/>
    </row>
    <row r="16" spans="1:5" x14ac:dyDescent="0.25">
      <c r="A16" s="119"/>
      <c r="B16" s="50" t="s">
        <v>131</v>
      </c>
      <c r="C16" s="127">
        <v>452.5</v>
      </c>
      <c r="D16" s="127"/>
      <c r="E16" s="1" t="s">
        <v>122</v>
      </c>
    </row>
    <row r="17" spans="1:5" x14ac:dyDescent="0.25">
      <c r="A17" s="119"/>
      <c r="B17" s="50" t="s">
        <v>132</v>
      </c>
      <c r="C17" s="122">
        <v>2.5000000000000001E-2</v>
      </c>
      <c r="D17" s="122"/>
    </row>
    <row r="18" spans="1:5" x14ac:dyDescent="0.25">
      <c r="A18" s="119"/>
      <c r="B18" s="49" t="s">
        <v>128</v>
      </c>
      <c r="C18" s="32"/>
      <c r="D18" s="32"/>
      <c r="E18" s="32"/>
    </row>
    <row r="19" spans="1:5" x14ac:dyDescent="0.25">
      <c r="A19" s="119"/>
      <c r="B19" s="50" t="s">
        <v>118</v>
      </c>
      <c r="C19" s="1" t="s">
        <v>129</v>
      </c>
      <c r="D19" s="1" t="s">
        <v>130</v>
      </c>
    </row>
    <row r="20" spans="1:5" x14ac:dyDescent="0.25">
      <c r="A20" s="119"/>
      <c r="B20" s="50" t="s">
        <v>133</v>
      </c>
      <c r="C20" s="80">
        <v>475</v>
      </c>
      <c r="D20" s="1">
        <v>480.63</v>
      </c>
      <c r="E20" s="1" t="s">
        <v>122</v>
      </c>
    </row>
    <row r="21" spans="1:5" x14ac:dyDescent="0.25">
      <c r="A21" s="119"/>
      <c r="B21" s="51" t="s">
        <v>134</v>
      </c>
      <c r="C21" s="9">
        <v>2.5000000000000001E-2</v>
      </c>
      <c r="D21" s="9">
        <v>2.5000000000000001E-2</v>
      </c>
      <c r="E21" s="9"/>
    </row>
    <row r="22" spans="1:5" x14ac:dyDescent="0.25">
      <c r="A22" s="119"/>
      <c r="B22" s="48" t="s">
        <v>136</v>
      </c>
      <c r="C22" s="124">
        <v>205939.7</v>
      </c>
      <c r="D22" s="124"/>
      <c r="E22" s="1" t="s">
        <v>122</v>
      </c>
    </row>
    <row r="23" spans="1:5" x14ac:dyDescent="0.25">
      <c r="A23" s="119"/>
      <c r="B23" s="48" t="s">
        <v>137</v>
      </c>
      <c r="C23" s="122">
        <v>20</v>
      </c>
      <c r="D23" s="122"/>
    </row>
    <row r="24" spans="1:5" x14ac:dyDescent="0.25">
      <c r="A24" s="119"/>
      <c r="B24" s="55" t="s">
        <v>138</v>
      </c>
      <c r="C24" s="126">
        <v>0.92500000000000004</v>
      </c>
      <c r="D24" s="126"/>
      <c r="E24" s="6"/>
    </row>
    <row r="25" spans="1:5" x14ac:dyDescent="0.25">
      <c r="A25" s="120"/>
      <c r="B25" s="56" t="s">
        <v>139</v>
      </c>
      <c r="C25" s="121">
        <v>0.15</v>
      </c>
      <c r="D25" s="121"/>
      <c r="E25" s="9"/>
    </row>
    <row r="26" spans="1:5" x14ac:dyDescent="0.25">
      <c r="A26" s="118" t="s">
        <v>166</v>
      </c>
      <c r="B26" s="58" t="s">
        <v>116</v>
      </c>
      <c r="C26" s="52" t="s">
        <v>140</v>
      </c>
    </row>
    <row r="27" spans="1:5" x14ac:dyDescent="0.25">
      <c r="A27" s="119"/>
      <c r="B27" s="59" t="s">
        <v>141</v>
      </c>
      <c r="C27" s="44"/>
      <c r="D27" s="44"/>
      <c r="E27" s="44"/>
    </row>
    <row r="28" spans="1:5" x14ac:dyDescent="0.25">
      <c r="A28" s="119"/>
      <c r="B28" s="60" t="s">
        <v>142</v>
      </c>
      <c r="D28" s="1">
        <v>-25</v>
      </c>
      <c r="E28" s="1" t="s">
        <v>122</v>
      </c>
    </row>
    <row r="29" spans="1:5" x14ac:dyDescent="0.25">
      <c r="A29" s="119"/>
      <c r="B29" s="60" t="s">
        <v>144</v>
      </c>
      <c r="D29" s="1">
        <v>-2.5000000000000001E-3</v>
      </c>
    </row>
    <row r="30" spans="1:5" x14ac:dyDescent="0.25">
      <c r="A30" s="119"/>
      <c r="B30" s="60" t="s">
        <v>143</v>
      </c>
      <c r="C30" s="1" t="s">
        <v>155</v>
      </c>
      <c r="D30" s="1">
        <f>2*D28/D29</f>
        <v>20000</v>
      </c>
      <c r="E30" s="1" t="s">
        <v>122</v>
      </c>
    </row>
    <row r="31" spans="1:5" x14ac:dyDescent="0.25">
      <c r="A31" s="119"/>
      <c r="B31" s="60" t="s">
        <v>145</v>
      </c>
      <c r="D31" s="1">
        <v>0</v>
      </c>
      <c r="E31" s="1" t="s">
        <v>122</v>
      </c>
    </row>
    <row r="32" spans="1:5" x14ac:dyDescent="0.25">
      <c r="A32" s="119"/>
      <c r="B32" s="60" t="s">
        <v>148</v>
      </c>
      <c r="D32" s="1">
        <v>1250</v>
      </c>
      <c r="E32" s="1" t="s">
        <v>147</v>
      </c>
    </row>
    <row r="33" spans="1:5" x14ac:dyDescent="0.25">
      <c r="A33" s="119"/>
      <c r="B33" s="60" t="s">
        <v>149</v>
      </c>
      <c r="D33" s="1">
        <v>87.6</v>
      </c>
      <c r="E33" s="1" t="s">
        <v>150</v>
      </c>
    </row>
    <row r="34" spans="1:5" ht="28.5" customHeight="1" x14ac:dyDescent="0.25">
      <c r="A34" s="119"/>
      <c r="B34" s="61" t="s">
        <v>146</v>
      </c>
      <c r="D34" s="57">
        <f>D29-D28/D30+2*(D33/D32)/D28</f>
        <v>-6.8563999999999995E-3</v>
      </c>
    </row>
    <row r="35" spans="1:5" x14ac:dyDescent="0.25">
      <c r="A35" s="119"/>
      <c r="B35" s="59" t="s">
        <v>157</v>
      </c>
      <c r="C35" s="44"/>
      <c r="D35" s="44"/>
      <c r="E35" s="44"/>
    </row>
    <row r="36" spans="1:5" ht="24.75" customHeight="1" x14ac:dyDescent="0.25">
      <c r="A36" s="119"/>
      <c r="B36" s="60" t="s">
        <v>151</v>
      </c>
      <c r="D36" s="1">
        <f>0.31*SQRT(ABS(D28))</f>
        <v>1.55</v>
      </c>
      <c r="E36" s="1" t="s">
        <v>122</v>
      </c>
    </row>
    <row r="37" spans="1:5" x14ac:dyDescent="0.25">
      <c r="A37" s="119"/>
      <c r="B37" s="60" t="s">
        <v>152</v>
      </c>
      <c r="D37" s="1">
        <v>8.0000000000000007E-5</v>
      </c>
    </row>
    <row r="38" spans="1:5" x14ac:dyDescent="0.25">
      <c r="A38" s="119"/>
      <c r="B38" s="60" t="s">
        <v>153</v>
      </c>
      <c r="C38" s="1" t="s">
        <v>154</v>
      </c>
      <c r="D38" s="1">
        <f>0.05*D30</f>
        <v>1000</v>
      </c>
      <c r="E38" s="1" t="s">
        <v>122</v>
      </c>
    </row>
    <row r="39" spans="1:5" x14ac:dyDescent="0.25">
      <c r="A39" s="119"/>
      <c r="B39" s="59" t="s">
        <v>156</v>
      </c>
      <c r="C39" s="44"/>
      <c r="D39" s="44"/>
      <c r="E39" s="44"/>
    </row>
    <row r="40" spans="1:5" x14ac:dyDescent="0.25">
      <c r="A40" s="119"/>
      <c r="B40" s="60" t="s">
        <v>160</v>
      </c>
      <c r="D40" s="1">
        <v>-28.85</v>
      </c>
      <c r="E40" s="1" t="s">
        <v>122</v>
      </c>
    </row>
    <row r="41" spans="1:5" x14ac:dyDescent="0.25">
      <c r="A41" s="119"/>
      <c r="B41" s="60" t="s">
        <v>161</v>
      </c>
      <c r="D41" s="57">
        <v>-5.0000000000000001E-3</v>
      </c>
    </row>
    <row r="42" spans="1:5" x14ac:dyDescent="0.25">
      <c r="A42" s="119"/>
      <c r="B42" s="60" t="s">
        <v>162</v>
      </c>
      <c r="C42" s="1" t="s">
        <v>155</v>
      </c>
      <c r="D42" s="1">
        <f>2*D40/D41</f>
        <v>11540</v>
      </c>
      <c r="E42" s="1" t="s">
        <v>122</v>
      </c>
    </row>
    <row r="43" spans="1:5" x14ac:dyDescent="0.25">
      <c r="A43" s="119"/>
      <c r="B43" s="60" t="s">
        <v>163</v>
      </c>
      <c r="D43" s="1">
        <f>0.2*D40</f>
        <v>-5.7700000000000005</v>
      </c>
      <c r="E43" s="1" t="s">
        <v>122</v>
      </c>
    </row>
    <row r="44" spans="1:5" x14ac:dyDescent="0.25">
      <c r="A44" s="119"/>
      <c r="B44" s="60" t="s">
        <v>148</v>
      </c>
      <c r="D44" s="1">
        <v>1250</v>
      </c>
      <c r="E44" s="1" t="s">
        <v>147</v>
      </c>
    </row>
    <row r="45" spans="1:5" ht="25.5" customHeight="1" x14ac:dyDescent="0.25">
      <c r="A45" s="119"/>
      <c r="B45" s="61" t="s">
        <v>158</v>
      </c>
      <c r="D45" s="1">
        <f>5*(D40/D28-0.85)</f>
        <v>1.5200000000000009</v>
      </c>
    </row>
    <row r="46" spans="1:5" x14ac:dyDescent="0.25">
      <c r="A46" s="119"/>
      <c r="B46" s="60" t="s">
        <v>159</v>
      </c>
      <c r="C46" s="1" t="s">
        <v>164</v>
      </c>
      <c r="D46" s="1">
        <f>D45*D33</f>
        <v>133.15200000000007</v>
      </c>
      <c r="E46" s="1" t="s">
        <v>150</v>
      </c>
    </row>
    <row r="47" spans="1:5" ht="29.25" customHeight="1" x14ac:dyDescent="0.25">
      <c r="A47" s="119"/>
      <c r="B47" s="61" t="s">
        <v>146</v>
      </c>
      <c r="D47" s="57">
        <f>D41-(0.8*D40)/D42+(5/3)*(D46/D44)/D28</f>
        <v>-1.0101440000000003E-2</v>
      </c>
    </row>
    <row r="48" spans="1:5" x14ac:dyDescent="0.25">
      <c r="A48" s="119"/>
      <c r="B48" s="59" t="s">
        <v>157</v>
      </c>
      <c r="C48" s="44"/>
      <c r="D48" s="44"/>
      <c r="E48" s="44"/>
    </row>
    <row r="49" spans="1:5" x14ac:dyDescent="0.25">
      <c r="A49" s="119"/>
      <c r="B49" s="60" t="s">
        <v>151</v>
      </c>
      <c r="D49" s="80">
        <f>0.31*SQRT(ABS(D40))</f>
        <v>1.6650780762474773</v>
      </c>
      <c r="E49" s="1" t="s">
        <v>122</v>
      </c>
    </row>
    <row r="50" spans="1:5" x14ac:dyDescent="0.25">
      <c r="A50" s="119"/>
      <c r="B50" s="60" t="s">
        <v>152</v>
      </c>
      <c r="D50" s="1">
        <v>8.0000000000000007E-5</v>
      </c>
    </row>
    <row r="51" spans="1:5" x14ac:dyDescent="0.25">
      <c r="A51" s="125"/>
      <c r="B51" s="63" t="s">
        <v>153</v>
      </c>
      <c r="C51" s="6" t="s">
        <v>154</v>
      </c>
      <c r="D51" s="28">
        <f>0.05*D42</f>
        <v>577</v>
      </c>
      <c r="E51" s="6" t="s">
        <v>122</v>
      </c>
    </row>
    <row r="52" spans="1:5" x14ac:dyDescent="0.25">
      <c r="A52" s="66"/>
      <c r="B52" s="73" t="s">
        <v>207</v>
      </c>
      <c r="C52" s="44"/>
      <c r="D52" s="44">
        <v>0.1</v>
      </c>
      <c r="E52" s="44"/>
    </row>
    <row r="53" spans="1:5" x14ac:dyDescent="0.25">
      <c r="A53" s="125" t="s">
        <v>174</v>
      </c>
      <c r="B53" s="58" t="s">
        <v>116</v>
      </c>
      <c r="C53" s="52" t="s">
        <v>176</v>
      </c>
      <c r="D53" s="9"/>
      <c r="E53" s="9"/>
    </row>
    <row r="54" spans="1:5" ht="15" customHeight="1" x14ac:dyDescent="0.25">
      <c r="A54" s="125"/>
      <c r="B54" s="59" t="s">
        <v>173</v>
      </c>
      <c r="C54" s="44"/>
      <c r="D54" s="44"/>
      <c r="E54" s="44"/>
    </row>
    <row r="55" spans="1:5" x14ac:dyDescent="0.25">
      <c r="A55" s="125"/>
      <c r="B55" s="60" t="s">
        <v>168</v>
      </c>
      <c r="C55" s="124">
        <f>D37</f>
        <v>8.0000000000000007E-5</v>
      </c>
      <c r="D55" s="124"/>
    </row>
    <row r="56" spans="1:5" x14ac:dyDescent="0.25">
      <c r="A56" s="125"/>
      <c r="B56" s="60" t="s">
        <v>169</v>
      </c>
      <c r="C56" s="123">
        <f>D29</f>
        <v>-2.5000000000000001E-3</v>
      </c>
      <c r="D56" s="123"/>
    </row>
    <row r="57" spans="1:5" x14ac:dyDescent="0.25">
      <c r="A57" s="125"/>
      <c r="B57" s="60" t="s">
        <v>170</v>
      </c>
      <c r="C57" s="122">
        <v>0</v>
      </c>
      <c r="D57" s="122"/>
    </row>
    <row r="58" spans="1:5" ht="18" x14ac:dyDescent="0.3">
      <c r="A58" s="125"/>
      <c r="B58" s="60" t="s">
        <v>172</v>
      </c>
      <c r="C58" s="122">
        <v>0.17499999999999999</v>
      </c>
      <c r="D58" s="122"/>
    </row>
    <row r="59" spans="1:5" ht="18" x14ac:dyDescent="0.3">
      <c r="A59" s="125"/>
      <c r="B59" s="60" t="s">
        <v>171</v>
      </c>
      <c r="C59" s="121">
        <v>0.5</v>
      </c>
      <c r="D59" s="121"/>
    </row>
    <row r="60" spans="1:5" x14ac:dyDescent="0.25">
      <c r="A60" s="125"/>
      <c r="B60" s="59" t="s">
        <v>167</v>
      </c>
      <c r="C60" s="44"/>
      <c r="D60" s="44"/>
      <c r="E60" s="44"/>
    </row>
    <row r="61" spans="1:5" x14ac:dyDescent="0.25">
      <c r="A61" s="125"/>
      <c r="B61" s="60" t="s">
        <v>168</v>
      </c>
      <c r="C61" s="124">
        <f>D50</f>
        <v>8.0000000000000007E-5</v>
      </c>
      <c r="D61" s="124"/>
    </row>
    <row r="62" spans="1:5" x14ac:dyDescent="0.25">
      <c r="A62" s="125"/>
      <c r="B62" s="60" t="s">
        <v>169</v>
      </c>
      <c r="C62" s="123">
        <f>D41</f>
        <v>-5.0000000000000001E-3</v>
      </c>
      <c r="D62" s="123"/>
    </row>
    <row r="63" spans="1:5" x14ac:dyDescent="0.25">
      <c r="A63" s="125"/>
      <c r="B63" s="60" t="s">
        <v>170</v>
      </c>
      <c r="C63" s="122">
        <v>0</v>
      </c>
      <c r="D63" s="122"/>
    </row>
    <row r="64" spans="1:5" ht="18" x14ac:dyDescent="0.3">
      <c r="A64" s="125"/>
      <c r="B64" s="63" t="s">
        <v>172</v>
      </c>
      <c r="C64" s="126">
        <v>0.17499999999999999</v>
      </c>
      <c r="D64" s="126"/>
      <c r="E64" s="6"/>
    </row>
    <row r="65" spans="1:9" ht="18" x14ac:dyDescent="0.3">
      <c r="A65" s="120"/>
      <c r="B65" s="62" t="s">
        <v>171</v>
      </c>
      <c r="C65" s="121">
        <v>0.5</v>
      </c>
      <c r="D65" s="121"/>
      <c r="E65" s="9"/>
    </row>
    <row r="66" spans="1:9" x14ac:dyDescent="0.25">
      <c r="A66" s="118" t="s">
        <v>187</v>
      </c>
      <c r="B66" s="58" t="s">
        <v>116</v>
      </c>
      <c r="C66" s="52" t="s">
        <v>177</v>
      </c>
    </row>
    <row r="67" spans="1:9" x14ac:dyDescent="0.25">
      <c r="A67" s="119"/>
      <c r="B67" s="65" t="s">
        <v>175</v>
      </c>
      <c r="C67" s="32"/>
      <c r="D67" s="32"/>
      <c r="E67" s="32"/>
    </row>
    <row r="68" spans="1:9" x14ac:dyDescent="0.25">
      <c r="A68" s="119"/>
      <c r="B68" s="64" t="s">
        <v>180</v>
      </c>
      <c r="C68" s="124" t="s">
        <v>181</v>
      </c>
      <c r="D68" s="124"/>
    </row>
    <row r="69" spans="1:9" x14ac:dyDescent="0.25">
      <c r="A69" s="119"/>
      <c r="B69" s="64" t="s">
        <v>182</v>
      </c>
      <c r="C69" s="121">
        <v>0</v>
      </c>
      <c r="D69" s="121"/>
      <c r="E69" s="1" t="s">
        <v>183</v>
      </c>
    </row>
    <row r="70" spans="1:9" x14ac:dyDescent="0.25">
      <c r="A70" s="119"/>
      <c r="B70" s="65" t="s">
        <v>184</v>
      </c>
      <c r="C70" s="32"/>
      <c r="D70" s="32"/>
      <c r="E70" s="32"/>
    </row>
    <row r="71" spans="1:9" x14ac:dyDescent="0.25">
      <c r="A71" s="119"/>
      <c r="B71" s="64" t="s">
        <v>178</v>
      </c>
      <c r="C71" s="124" t="s">
        <v>185</v>
      </c>
      <c r="D71" s="124"/>
    </row>
    <row r="72" spans="1:9" x14ac:dyDescent="0.25">
      <c r="A72" s="119"/>
      <c r="B72" s="64" t="s">
        <v>179</v>
      </c>
      <c r="C72" s="122" t="s">
        <v>186</v>
      </c>
      <c r="D72" s="122"/>
    </row>
    <row r="73" spans="1:9" x14ac:dyDescent="0.25">
      <c r="A73" s="120"/>
      <c r="B73" s="67" t="s">
        <v>182</v>
      </c>
      <c r="C73" s="121">
        <v>0</v>
      </c>
      <c r="D73" s="121"/>
      <c r="E73" s="9" t="s">
        <v>183</v>
      </c>
    </row>
    <row r="74" spans="1:9" x14ac:dyDescent="0.25">
      <c r="A74" s="118" t="s">
        <v>201</v>
      </c>
      <c r="B74" s="59" t="s">
        <v>116</v>
      </c>
      <c r="C74" s="70" t="s">
        <v>188</v>
      </c>
      <c r="D74" s="44"/>
      <c r="E74" s="44"/>
    </row>
    <row r="75" spans="1:9" x14ac:dyDescent="0.25">
      <c r="A75" s="119"/>
      <c r="B75" s="67" t="s">
        <v>189</v>
      </c>
      <c r="C75" s="9">
        <v>880</v>
      </c>
      <c r="D75" s="9"/>
      <c r="E75" s="9" t="s">
        <v>147</v>
      </c>
      <c r="G75" s="115" t="s">
        <v>227</v>
      </c>
      <c r="H75" s="116"/>
      <c r="I75" s="117"/>
    </row>
    <row r="76" spans="1:9" x14ac:dyDescent="0.25">
      <c r="A76" s="119"/>
      <c r="B76" s="56" t="s">
        <v>197</v>
      </c>
      <c r="C76" s="69"/>
      <c r="D76" s="69"/>
      <c r="E76" s="69"/>
      <c r="G76" s="104" t="s">
        <v>189</v>
      </c>
      <c r="H76" s="79">
        <v>250</v>
      </c>
      <c r="I76" s="7" t="s">
        <v>147</v>
      </c>
    </row>
    <row r="77" spans="1:9" x14ac:dyDescent="0.25">
      <c r="A77" s="119"/>
      <c r="B77" s="64" t="s">
        <v>190</v>
      </c>
      <c r="C77" s="1">
        <v>300</v>
      </c>
      <c r="E77" s="1" t="s">
        <v>147</v>
      </c>
      <c r="G77" s="104" t="s">
        <v>190</v>
      </c>
      <c r="H77" s="79">
        <v>1188</v>
      </c>
      <c r="I77" s="7" t="s">
        <v>147</v>
      </c>
    </row>
    <row r="78" spans="1:9" x14ac:dyDescent="0.25">
      <c r="A78" s="119"/>
      <c r="B78" s="64" t="s">
        <v>191</v>
      </c>
      <c r="C78" s="1">
        <v>25</v>
      </c>
      <c r="E78" s="1" t="s">
        <v>147</v>
      </c>
      <c r="G78" s="104" t="s">
        <v>191</v>
      </c>
      <c r="H78" s="79">
        <v>25</v>
      </c>
      <c r="I78" s="7" t="s">
        <v>147</v>
      </c>
    </row>
    <row r="79" spans="1:9" x14ac:dyDescent="0.25">
      <c r="A79" s="119"/>
      <c r="B79" s="64" t="s">
        <v>192</v>
      </c>
      <c r="C79" s="1">
        <f>C75*C77</f>
        <v>264000</v>
      </c>
      <c r="E79" s="1" t="s">
        <v>147</v>
      </c>
      <c r="G79" s="104" t="s">
        <v>192</v>
      </c>
      <c r="H79" s="79">
        <f>H76*H77</f>
        <v>297000</v>
      </c>
      <c r="I79" s="7" t="s">
        <v>147</v>
      </c>
    </row>
    <row r="80" spans="1:9" x14ac:dyDescent="0.25">
      <c r="A80" s="119"/>
      <c r="B80" s="64" t="s">
        <v>193</v>
      </c>
      <c r="C80" s="1">
        <f>(C75-C78)*(C77-2*C78)</f>
        <v>213750</v>
      </c>
      <c r="G80" s="104" t="s">
        <v>193</v>
      </c>
      <c r="H80" s="79">
        <f>(H76-2*H78)*(H77-2*H78)</f>
        <v>227600</v>
      </c>
      <c r="I80" s="7"/>
    </row>
    <row r="81" spans="1:9" x14ac:dyDescent="0.25">
      <c r="A81" s="119"/>
      <c r="B81" s="64" t="s">
        <v>194</v>
      </c>
      <c r="C81" s="1">
        <f>C79-C80</f>
        <v>50250</v>
      </c>
      <c r="E81" s="1" t="s">
        <v>147</v>
      </c>
      <c r="G81" s="104" t="s">
        <v>194</v>
      </c>
      <c r="H81" s="79">
        <f>H79-H80</f>
        <v>69400</v>
      </c>
      <c r="I81" s="7" t="s">
        <v>147</v>
      </c>
    </row>
    <row r="82" spans="1:9" x14ac:dyDescent="0.25">
      <c r="A82" s="119"/>
      <c r="B82" s="64" t="s">
        <v>195</v>
      </c>
      <c r="C82" s="68">
        <f>C81/C75</f>
        <v>57.102272727272727</v>
      </c>
      <c r="E82" s="1" t="s">
        <v>147</v>
      </c>
      <c r="G82" s="106" t="s">
        <v>195</v>
      </c>
      <c r="H82" s="107">
        <f>H81/H76</f>
        <v>277.60000000000002</v>
      </c>
      <c r="I82" s="108" t="s">
        <v>147</v>
      </c>
    </row>
    <row r="83" spans="1:9" x14ac:dyDescent="0.25">
      <c r="A83" s="119"/>
      <c r="B83" s="64" t="s">
        <v>196</v>
      </c>
      <c r="C83" s="68">
        <f>C80/C75</f>
        <v>242.89772727272728</v>
      </c>
      <c r="E83" s="1" t="s">
        <v>147</v>
      </c>
      <c r="G83" s="106" t="s">
        <v>196</v>
      </c>
      <c r="H83" s="107">
        <f>H80/H76</f>
        <v>910.4</v>
      </c>
      <c r="I83" s="108" t="s">
        <v>147</v>
      </c>
    </row>
    <row r="84" spans="1:9" x14ac:dyDescent="0.25">
      <c r="A84" s="119"/>
      <c r="B84" s="64" t="s">
        <v>200</v>
      </c>
      <c r="C84" s="1">
        <f>C82+C83</f>
        <v>300</v>
      </c>
      <c r="E84" s="1" t="s">
        <v>147</v>
      </c>
      <c r="G84" s="105" t="s">
        <v>200</v>
      </c>
      <c r="H84" s="77">
        <f>H82+H83</f>
        <v>1188</v>
      </c>
      <c r="I84" s="11" t="s">
        <v>147</v>
      </c>
    </row>
    <row r="85" spans="1:9" x14ac:dyDescent="0.25">
      <c r="A85" s="119"/>
      <c r="B85" s="49" t="s">
        <v>198</v>
      </c>
      <c r="C85" s="71"/>
      <c r="D85" s="71"/>
      <c r="E85" s="71"/>
    </row>
    <row r="86" spans="1:9" x14ac:dyDescent="0.25">
      <c r="A86" s="119"/>
      <c r="B86" s="64" t="s">
        <v>190</v>
      </c>
      <c r="C86" s="1">
        <v>250</v>
      </c>
      <c r="E86" s="1" t="s">
        <v>147</v>
      </c>
    </row>
    <row r="87" spans="1:9" x14ac:dyDescent="0.25">
      <c r="A87" s="119"/>
      <c r="B87" s="64" t="s">
        <v>191</v>
      </c>
      <c r="C87" s="1">
        <v>25</v>
      </c>
      <c r="E87" s="1" t="s">
        <v>147</v>
      </c>
    </row>
    <row r="88" spans="1:9" x14ac:dyDescent="0.25">
      <c r="A88" s="119"/>
      <c r="B88" s="64" t="s">
        <v>192</v>
      </c>
      <c r="C88" s="1">
        <f>$C$75*C86</f>
        <v>220000</v>
      </c>
      <c r="E88" s="1" t="s">
        <v>147</v>
      </c>
    </row>
    <row r="89" spans="1:9" x14ac:dyDescent="0.25">
      <c r="A89" s="119"/>
      <c r="B89" s="64" t="s">
        <v>193</v>
      </c>
      <c r="C89" s="1">
        <f>($C$75-C87)*(C86-2*C87)</f>
        <v>171000</v>
      </c>
    </row>
    <row r="90" spans="1:9" x14ac:dyDescent="0.25">
      <c r="A90" s="119"/>
      <c r="B90" s="64" t="s">
        <v>194</v>
      </c>
      <c r="C90" s="1">
        <f>C88-C89</f>
        <v>49000</v>
      </c>
      <c r="E90" s="1" t="s">
        <v>147</v>
      </c>
    </row>
    <row r="91" spans="1:9" x14ac:dyDescent="0.25">
      <c r="A91" s="119"/>
      <c r="B91" s="64" t="s">
        <v>195</v>
      </c>
      <c r="C91" s="68">
        <f>C90/$C$75</f>
        <v>55.68181818181818</v>
      </c>
      <c r="E91" s="1" t="s">
        <v>147</v>
      </c>
    </row>
    <row r="92" spans="1:9" x14ac:dyDescent="0.25">
      <c r="A92" s="119"/>
      <c r="B92" s="64" t="s">
        <v>196</v>
      </c>
      <c r="C92" s="68">
        <f>C89/$C$75</f>
        <v>194.31818181818181</v>
      </c>
      <c r="E92" s="1" t="s">
        <v>147</v>
      </c>
    </row>
    <row r="93" spans="1:9" x14ac:dyDescent="0.25">
      <c r="A93" s="119"/>
      <c r="B93" s="64" t="s">
        <v>200</v>
      </c>
      <c r="C93" s="1">
        <f>C91+C92</f>
        <v>250</v>
      </c>
      <c r="E93" s="1" t="s">
        <v>147</v>
      </c>
    </row>
    <row r="94" spans="1:9" x14ac:dyDescent="0.25">
      <c r="A94" s="119"/>
      <c r="B94" s="49" t="s">
        <v>199</v>
      </c>
      <c r="C94" s="71"/>
      <c r="D94" s="71"/>
      <c r="E94" s="71"/>
    </row>
    <row r="95" spans="1:9" x14ac:dyDescent="0.25">
      <c r="A95" s="119"/>
      <c r="B95" s="64" t="s">
        <v>190</v>
      </c>
      <c r="C95" s="1">
        <v>200</v>
      </c>
      <c r="E95" s="1" t="s">
        <v>147</v>
      </c>
    </row>
    <row r="96" spans="1:9" x14ac:dyDescent="0.25">
      <c r="A96" s="119"/>
      <c r="B96" s="64" t="s">
        <v>191</v>
      </c>
      <c r="C96" s="1">
        <v>25</v>
      </c>
      <c r="E96" s="1" t="s">
        <v>147</v>
      </c>
    </row>
    <row r="97" spans="1:5" x14ac:dyDescent="0.25">
      <c r="A97" s="119"/>
      <c r="B97" s="64" t="s">
        <v>192</v>
      </c>
      <c r="C97" s="1">
        <f>$C$75*C95</f>
        <v>176000</v>
      </c>
      <c r="E97" s="1" t="s">
        <v>147</v>
      </c>
    </row>
    <row r="98" spans="1:5" x14ac:dyDescent="0.25">
      <c r="A98" s="119"/>
      <c r="B98" s="64" t="s">
        <v>193</v>
      </c>
      <c r="C98" s="1">
        <f>($C$75-C96)*(C95-2*C96)</f>
        <v>128250</v>
      </c>
    </row>
    <row r="99" spans="1:5" x14ac:dyDescent="0.25">
      <c r="A99" s="119"/>
      <c r="B99" s="64" t="s">
        <v>194</v>
      </c>
      <c r="C99" s="1">
        <f>C97-C98</f>
        <v>47750</v>
      </c>
      <c r="E99" s="1" t="s">
        <v>147</v>
      </c>
    </row>
    <row r="100" spans="1:5" x14ac:dyDescent="0.25">
      <c r="A100" s="119"/>
      <c r="B100" s="64" t="s">
        <v>195</v>
      </c>
      <c r="C100" s="68">
        <f>C99/$C$75</f>
        <v>54.261363636363633</v>
      </c>
      <c r="E100" s="1" t="s">
        <v>147</v>
      </c>
    </row>
    <row r="101" spans="1:5" x14ac:dyDescent="0.25">
      <c r="A101" s="119"/>
      <c r="B101" s="64" t="s">
        <v>196</v>
      </c>
      <c r="C101" s="72">
        <f>C98/$C$75</f>
        <v>145.73863636363637</v>
      </c>
      <c r="D101" s="6"/>
      <c r="E101" s="6" t="s">
        <v>147</v>
      </c>
    </row>
    <row r="102" spans="1:5" x14ac:dyDescent="0.25">
      <c r="A102" s="120"/>
      <c r="B102" s="67" t="s">
        <v>200</v>
      </c>
      <c r="C102" s="9">
        <f>C100+C101</f>
        <v>200</v>
      </c>
      <c r="D102" s="9"/>
      <c r="E102" s="9" t="s">
        <v>147</v>
      </c>
    </row>
    <row r="103" spans="1:5" x14ac:dyDescent="0.25">
      <c r="B103" s="59" t="s">
        <v>116</v>
      </c>
      <c r="C103" s="70" t="s">
        <v>202</v>
      </c>
      <c r="D103" s="44"/>
      <c r="E103" s="44"/>
    </row>
    <row r="104" spans="1:5" x14ac:dyDescent="0.25">
      <c r="B104" s="64" t="s">
        <v>203</v>
      </c>
      <c r="C104" s="1">
        <v>4</v>
      </c>
    </row>
    <row r="105" spans="1:5" x14ac:dyDescent="0.25">
      <c r="B105" s="50" t="s">
        <v>206</v>
      </c>
      <c r="C105" s="1">
        <v>2</v>
      </c>
    </row>
    <row r="106" spans="1:5" x14ac:dyDescent="0.25">
      <c r="B106" s="64" t="s">
        <v>204</v>
      </c>
      <c r="C106" s="1">
        <f>C75</f>
        <v>880</v>
      </c>
      <c r="E106" s="1" t="s">
        <v>147</v>
      </c>
    </row>
    <row r="107" spans="1:5" x14ac:dyDescent="0.25">
      <c r="B107" s="64" t="s">
        <v>205</v>
      </c>
      <c r="C107" s="1">
        <f>(Geometría!D45*1000/C105-C106)/C104</f>
        <v>862.5</v>
      </c>
      <c r="E107" s="1" t="s">
        <v>147</v>
      </c>
    </row>
    <row r="108" spans="1:5" x14ac:dyDescent="0.25">
      <c r="B108" s="60"/>
    </row>
    <row r="109" spans="1:5" x14ac:dyDescent="0.25">
      <c r="B109" s="60"/>
    </row>
    <row r="110" spans="1:5" x14ac:dyDescent="0.25">
      <c r="B110" s="60"/>
    </row>
    <row r="111" spans="1:5" x14ac:dyDescent="0.25">
      <c r="B111" s="60"/>
    </row>
    <row r="112" spans="1:5" x14ac:dyDescent="0.25">
      <c r="B112" s="60"/>
    </row>
    <row r="113" spans="2:2" x14ac:dyDescent="0.25">
      <c r="B113" s="60"/>
    </row>
    <row r="114" spans="2:2" x14ac:dyDescent="0.25">
      <c r="B114" s="60"/>
    </row>
    <row r="115" spans="2:2" x14ac:dyDescent="0.25">
      <c r="B115" s="60"/>
    </row>
    <row r="116" spans="2:2" x14ac:dyDescent="0.25">
      <c r="B116" s="60"/>
    </row>
    <row r="117" spans="2:2" x14ac:dyDescent="0.25">
      <c r="B117" s="60"/>
    </row>
    <row r="118" spans="2:2" x14ac:dyDescent="0.25">
      <c r="B118" s="60"/>
    </row>
    <row r="119" spans="2:2" x14ac:dyDescent="0.25">
      <c r="B119" s="60"/>
    </row>
    <row r="120" spans="2:2" x14ac:dyDescent="0.25">
      <c r="B120" s="60"/>
    </row>
    <row r="121" spans="2:2" x14ac:dyDescent="0.25">
      <c r="B121" s="60"/>
    </row>
    <row r="122" spans="2:2" x14ac:dyDescent="0.25">
      <c r="B122" s="60"/>
    </row>
    <row r="123" spans="2:2" x14ac:dyDescent="0.25">
      <c r="B123" s="60"/>
    </row>
    <row r="124" spans="2:2" x14ac:dyDescent="0.25">
      <c r="B124" s="60"/>
    </row>
    <row r="125" spans="2:2" x14ac:dyDescent="0.25">
      <c r="B125" s="60"/>
    </row>
    <row r="126" spans="2:2" x14ac:dyDescent="0.25">
      <c r="B126" s="60"/>
    </row>
    <row r="127" spans="2:2" x14ac:dyDescent="0.25">
      <c r="B127" s="60"/>
    </row>
    <row r="128" spans="2:2" x14ac:dyDescent="0.25">
      <c r="B128" s="60"/>
    </row>
    <row r="129" spans="2:2" x14ac:dyDescent="0.25">
      <c r="B129" s="60"/>
    </row>
    <row r="130" spans="2:2" x14ac:dyDescent="0.25">
      <c r="B130" s="60"/>
    </row>
    <row r="131" spans="2:2" x14ac:dyDescent="0.25">
      <c r="B131" s="60"/>
    </row>
    <row r="132" spans="2:2" x14ac:dyDescent="0.25">
      <c r="B132" s="60"/>
    </row>
    <row r="133" spans="2:2" x14ac:dyDescent="0.25">
      <c r="B133" s="60"/>
    </row>
    <row r="134" spans="2:2" x14ac:dyDescent="0.25">
      <c r="B134" s="60"/>
    </row>
    <row r="135" spans="2:2" x14ac:dyDescent="0.25">
      <c r="B135" s="60"/>
    </row>
    <row r="136" spans="2:2" x14ac:dyDescent="0.25">
      <c r="B136" s="60"/>
    </row>
    <row r="137" spans="2:2" x14ac:dyDescent="0.25">
      <c r="B137" s="60"/>
    </row>
    <row r="138" spans="2:2" x14ac:dyDescent="0.25">
      <c r="B138" s="60"/>
    </row>
    <row r="139" spans="2:2" x14ac:dyDescent="0.25">
      <c r="B139" s="60"/>
    </row>
    <row r="140" spans="2:2" x14ac:dyDescent="0.25">
      <c r="B140" s="60"/>
    </row>
    <row r="141" spans="2:2" x14ac:dyDescent="0.25">
      <c r="B141" s="60"/>
    </row>
    <row r="142" spans="2:2" x14ac:dyDescent="0.25">
      <c r="B142" s="60"/>
    </row>
    <row r="143" spans="2:2" x14ac:dyDescent="0.25">
      <c r="B143" s="60"/>
    </row>
    <row r="144" spans="2:2" x14ac:dyDescent="0.25">
      <c r="B144" s="60"/>
    </row>
    <row r="145" spans="2:2" x14ac:dyDescent="0.25">
      <c r="B145" s="60"/>
    </row>
    <row r="146" spans="2:2" x14ac:dyDescent="0.25">
      <c r="B146" s="60"/>
    </row>
    <row r="147" spans="2:2" x14ac:dyDescent="0.25">
      <c r="B147" s="60"/>
    </row>
    <row r="148" spans="2:2" x14ac:dyDescent="0.25">
      <c r="B148" s="60"/>
    </row>
    <row r="149" spans="2:2" x14ac:dyDescent="0.25">
      <c r="B149" s="60"/>
    </row>
    <row r="150" spans="2:2" x14ac:dyDescent="0.25">
      <c r="B150" s="60"/>
    </row>
    <row r="151" spans="2:2" x14ac:dyDescent="0.25">
      <c r="B151" s="60"/>
    </row>
    <row r="152" spans="2:2" x14ac:dyDescent="0.25">
      <c r="B152" s="60"/>
    </row>
    <row r="153" spans="2:2" x14ac:dyDescent="0.25">
      <c r="B153" s="60"/>
    </row>
    <row r="154" spans="2:2" x14ac:dyDescent="0.25">
      <c r="B154" s="60"/>
    </row>
    <row r="155" spans="2:2" x14ac:dyDescent="0.25">
      <c r="B155" s="60"/>
    </row>
    <row r="156" spans="2:2" x14ac:dyDescent="0.25">
      <c r="B156" s="60"/>
    </row>
    <row r="157" spans="2:2" x14ac:dyDescent="0.25">
      <c r="B157" s="60"/>
    </row>
    <row r="158" spans="2:2" x14ac:dyDescent="0.25">
      <c r="B158" s="60"/>
    </row>
    <row r="159" spans="2:2" x14ac:dyDescent="0.25">
      <c r="B159" s="60"/>
    </row>
    <row r="160" spans="2:2" x14ac:dyDescent="0.25">
      <c r="B160" s="60"/>
    </row>
    <row r="161" spans="2:2" x14ac:dyDescent="0.25">
      <c r="B161" s="60"/>
    </row>
    <row r="162" spans="2:2" x14ac:dyDescent="0.25">
      <c r="B162" s="60"/>
    </row>
    <row r="163" spans="2:2" x14ac:dyDescent="0.25">
      <c r="B163" s="60"/>
    </row>
    <row r="164" spans="2:2" x14ac:dyDescent="0.25">
      <c r="B164" s="60"/>
    </row>
    <row r="165" spans="2:2" x14ac:dyDescent="0.25">
      <c r="B165" s="60"/>
    </row>
    <row r="166" spans="2:2" x14ac:dyDescent="0.25">
      <c r="B166" s="60"/>
    </row>
    <row r="167" spans="2:2" x14ac:dyDescent="0.25">
      <c r="B167" s="60"/>
    </row>
    <row r="168" spans="2:2" x14ac:dyDescent="0.25">
      <c r="B168" s="60"/>
    </row>
    <row r="169" spans="2:2" x14ac:dyDescent="0.25">
      <c r="B169" s="60"/>
    </row>
    <row r="170" spans="2:2" x14ac:dyDescent="0.25">
      <c r="B170" s="60"/>
    </row>
    <row r="171" spans="2:2" x14ac:dyDescent="0.25">
      <c r="B171" s="60"/>
    </row>
    <row r="172" spans="2:2" x14ac:dyDescent="0.25">
      <c r="B172" s="60"/>
    </row>
    <row r="173" spans="2:2" x14ac:dyDescent="0.25">
      <c r="B173" s="60"/>
    </row>
  </sheetData>
  <mergeCells count="28">
    <mergeCell ref="A26:A51"/>
    <mergeCell ref="A5:A25"/>
    <mergeCell ref="A53:A65"/>
    <mergeCell ref="A66:A73"/>
    <mergeCell ref="C65:D65"/>
    <mergeCell ref="C64:D64"/>
    <mergeCell ref="C63:D63"/>
    <mergeCell ref="C62:D62"/>
    <mergeCell ref="C61:D61"/>
    <mergeCell ref="C15:D15"/>
    <mergeCell ref="C16:D16"/>
    <mergeCell ref="C17:D17"/>
    <mergeCell ref="C25:D25"/>
    <mergeCell ref="C24:D24"/>
    <mergeCell ref="C23:D23"/>
    <mergeCell ref="C22:D22"/>
    <mergeCell ref="C56:D56"/>
    <mergeCell ref="C55:D55"/>
    <mergeCell ref="C73:D73"/>
    <mergeCell ref="C72:D72"/>
    <mergeCell ref="C71:D71"/>
    <mergeCell ref="C69:D69"/>
    <mergeCell ref="C68:D68"/>
    <mergeCell ref="G75:I75"/>
    <mergeCell ref="A74:A102"/>
    <mergeCell ref="C59:D59"/>
    <mergeCell ref="C58:D58"/>
    <mergeCell ref="C57:D5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67"/>
  <sheetViews>
    <sheetView topLeftCell="A15" workbookViewId="0">
      <selection activeCell="T43" sqref="T43"/>
    </sheetView>
  </sheetViews>
  <sheetFormatPr baseColWidth="10" defaultRowHeight="15" x14ac:dyDescent="0.25"/>
  <cols>
    <col min="1" max="2" width="11.42578125" style="78"/>
    <col min="3" max="3" width="12.42578125" style="78" customWidth="1"/>
    <col min="4" max="16384" width="11.42578125" style="78"/>
  </cols>
  <sheetData>
    <row r="3" spans="3:5" x14ac:dyDescent="0.25">
      <c r="C3" s="2" t="s">
        <v>220</v>
      </c>
      <c r="D3" s="97"/>
      <c r="E3" s="4" t="s">
        <v>221</v>
      </c>
    </row>
    <row r="4" spans="3:5" x14ac:dyDescent="0.25">
      <c r="C4" s="5">
        <v>20.672468615564</v>
      </c>
      <c r="D4" s="95">
        <v>-0.856539295184234</v>
      </c>
      <c r="E4" s="7">
        <v>-1</v>
      </c>
    </row>
    <row r="5" spans="3:5" x14ac:dyDescent="0.25">
      <c r="C5" s="5">
        <v>16.5344541143592</v>
      </c>
      <c r="D5" s="95">
        <v>1.0785683636083501</v>
      </c>
      <c r="E5" s="7">
        <v>1</v>
      </c>
    </row>
    <row r="6" spans="3:5" x14ac:dyDescent="0.25">
      <c r="C6" s="5">
        <v>27.825149358008101</v>
      </c>
      <c r="D6" s="95">
        <v>2.09264047354465</v>
      </c>
      <c r="E6" s="7">
        <v>2</v>
      </c>
    </row>
    <row r="7" spans="3:5" x14ac:dyDescent="0.25">
      <c r="C7" s="5">
        <v>35.509247543707097</v>
      </c>
      <c r="D7" s="95">
        <v>3.1086490114315199</v>
      </c>
      <c r="E7" s="7">
        <v>3</v>
      </c>
    </row>
    <row r="8" spans="3:5" x14ac:dyDescent="0.25">
      <c r="C8" s="5">
        <v>41.226661092101303</v>
      </c>
      <c r="D8" s="95">
        <v>4.0988678497948001</v>
      </c>
      <c r="E8" s="7">
        <v>4</v>
      </c>
    </row>
    <row r="9" spans="3:5" x14ac:dyDescent="0.25">
      <c r="C9" s="5">
        <v>43.336927460968802</v>
      </c>
      <c r="D9" s="95">
        <v>5.1178690490598404</v>
      </c>
      <c r="E9" s="7">
        <v>5</v>
      </c>
    </row>
    <row r="10" spans="3:5" x14ac:dyDescent="0.25">
      <c r="C10" s="5">
        <v>41.022565987083098</v>
      </c>
      <c r="D10" s="95">
        <v>6.0587089746834</v>
      </c>
      <c r="E10" s="7">
        <v>6</v>
      </c>
    </row>
    <row r="11" spans="3:5" x14ac:dyDescent="0.25">
      <c r="C11" s="5">
        <v>34.444762292466599</v>
      </c>
      <c r="D11" s="95">
        <v>7.0555292719690996</v>
      </c>
      <c r="E11" s="7">
        <v>7</v>
      </c>
    </row>
    <row r="12" spans="3:5" x14ac:dyDescent="0.25">
      <c r="C12" s="5">
        <v>28.194280936086798</v>
      </c>
      <c r="D12" s="95">
        <v>8.0790194633013801</v>
      </c>
      <c r="E12" s="7">
        <v>8</v>
      </c>
    </row>
    <row r="13" spans="3:5" x14ac:dyDescent="0.25">
      <c r="C13" s="5">
        <v>23.091903310631601</v>
      </c>
      <c r="D13" s="95">
        <v>9.0750475855163995</v>
      </c>
      <c r="E13" s="7">
        <v>9</v>
      </c>
    </row>
    <row r="14" spans="3:5" x14ac:dyDescent="0.25">
      <c r="C14" s="5">
        <v>22.086831189692901</v>
      </c>
      <c r="D14" s="95">
        <v>10.122567087326299</v>
      </c>
      <c r="E14" s="7">
        <v>10</v>
      </c>
    </row>
    <row r="15" spans="3:5" x14ac:dyDescent="0.25">
      <c r="C15" s="5">
        <v>26.0009462091122</v>
      </c>
      <c r="D15" s="95">
        <v>11.113754139664801</v>
      </c>
      <c r="E15" s="7">
        <v>11</v>
      </c>
    </row>
    <row r="16" spans="3:5" x14ac:dyDescent="0.25">
      <c r="C16" s="5">
        <v>36.308024073320198</v>
      </c>
      <c r="D16" s="95">
        <v>12.1283543663149</v>
      </c>
      <c r="E16" s="7">
        <v>12</v>
      </c>
    </row>
    <row r="17" spans="3:9" x14ac:dyDescent="0.25">
      <c r="C17" s="5">
        <v>52.191134240667203</v>
      </c>
      <c r="D17" s="95">
        <v>13.032578199782099</v>
      </c>
      <c r="E17" s="7">
        <v>13</v>
      </c>
    </row>
    <row r="18" spans="3:9" x14ac:dyDescent="0.25">
      <c r="C18" s="5">
        <v>72.826194589004103</v>
      </c>
      <c r="D18" s="95">
        <v>14.041633200937399</v>
      </c>
      <c r="E18" s="7">
        <v>14</v>
      </c>
    </row>
    <row r="19" spans="3:9" x14ac:dyDescent="0.25">
      <c r="C19" s="5">
        <v>98.215405604638605</v>
      </c>
      <c r="D19" s="95">
        <v>15.0481356379759</v>
      </c>
      <c r="E19" s="7">
        <v>15</v>
      </c>
    </row>
    <row r="20" spans="3:9" x14ac:dyDescent="0.25">
      <c r="C20" s="8">
        <v>126.88389133998599</v>
      </c>
      <c r="D20" s="94">
        <v>16.026031753017399</v>
      </c>
      <c r="E20" s="11">
        <v>16</v>
      </c>
    </row>
    <row r="23" spans="3:9" x14ac:dyDescent="0.25">
      <c r="F23" s="115" t="s">
        <v>226</v>
      </c>
      <c r="G23" s="116"/>
      <c r="H23" s="116"/>
      <c r="I23" s="117"/>
    </row>
    <row r="24" spans="3:9" x14ac:dyDescent="0.25">
      <c r="C24" s="115" t="s">
        <v>224</v>
      </c>
      <c r="D24" s="117"/>
      <c r="F24" s="74"/>
      <c r="G24" s="75" t="s">
        <v>222</v>
      </c>
      <c r="H24" s="75" t="s">
        <v>225</v>
      </c>
      <c r="I24" s="76" t="s">
        <v>223</v>
      </c>
    </row>
    <row r="25" spans="3:9" x14ac:dyDescent="0.25">
      <c r="C25" s="99">
        <f t="shared" ref="C25:C41" si="0">C4/$C$20</f>
        <v>0.16292429556855267</v>
      </c>
      <c r="D25" s="100">
        <f t="shared" ref="D25:D41" si="1">E4*100/$E$20</f>
        <v>-6.25</v>
      </c>
      <c r="E25" s="98"/>
      <c r="F25" s="101">
        <v>0</v>
      </c>
      <c r="G25" s="102">
        <f>7.36*(10^-9)*F25^4+4.72*(10^-6)*F25^3-6.89*(10^-4)*F25^2+0.0231*F25+0.0697</f>
        <v>6.9699999999999998E-2</v>
      </c>
      <c r="H25" s="79">
        <f>8.18*(10^-9)*F25^4+1.26*(10^-6)*F25^3-2.37*(10^-4)*F25^2+0.012*F25+0.0758</f>
        <v>7.5800000000000006E-2</v>
      </c>
      <c r="I25" s="7">
        <f>-7.77*(10^-9)*F25^4+9.33*(10^-6)*F25^3-0.0011*F25^2+0.0336*F25+0.0478</f>
        <v>4.7800000000000002E-2</v>
      </c>
    </row>
    <row r="26" spans="3:9" x14ac:dyDescent="0.25">
      <c r="C26" s="5">
        <f t="shared" si="0"/>
        <v>0.13031168842430163</v>
      </c>
      <c r="D26" s="7">
        <f t="shared" si="1"/>
        <v>6.25</v>
      </c>
      <c r="F26" s="101">
        <f t="shared" ref="F26:F41" si="2">E5*100/$E$20</f>
        <v>6.25</v>
      </c>
      <c r="G26" s="79">
        <f>7.36*(10^-9)*F26^4+4.72*(10^-6)*F26^3-6.89*(10^-4)*F26^2+0.0231*F26+0.0697</f>
        <v>0.18832451171875</v>
      </c>
      <c r="H26" s="79">
        <f t="shared" ref="H26:H41" si="3">8.18*(10^-9)*F26^4+1.26*(10^-6)*F26^3-2.37*(10^-4)*F26^2+0.012*F26+0.0758</f>
        <v>0.14186228637695314</v>
      </c>
      <c r="I26" s="7">
        <f t="shared" ref="I26:I41" si="4">-7.77*(10^-9)*F26^4+9.33*(10^-6)*F26^3-0.0011*F26^2+0.0336*F26+0.0478</f>
        <v>0.21709722595214845</v>
      </c>
    </row>
    <row r="27" spans="3:9" x14ac:dyDescent="0.25">
      <c r="C27" s="5">
        <f t="shared" si="0"/>
        <v>0.21929615386282944</v>
      </c>
      <c r="D27" s="7">
        <f t="shared" si="1"/>
        <v>12.5</v>
      </c>
      <c r="F27" s="101">
        <f t="shared" si="2"/>
        <v>12.5</v>
      </c>
      <c r="G27" s="79">
        <f>7.36*(10^-9)*F27^4+4.72*(10^-6)*F27^3-6.89*(10^-4)*F27^2+0.0231*F27+0.0697</f>
        <v>0.26019218750000001</v>
      </c>
      <c r="H27" s="79">
        <f t="shared" si="3"/>
        <v>0.19142939453124999</v>
      </c>
      <c r="I27" s="7">
        <f t="shared" si="4"/>
        <v>0.31395795898437501</v>
      </c>
    </row>
    <row r="28" spans="3:9" x14ac:dyDescent="0.25">
      <c r="C28" s="5">
        <f t="shared" si="0"/>
        <v>0.27985623051676356</v>
      </c>
      <c r="D28" s="7">
        <f t="shared" si="1"/>
        <v>18.75</v>
      </c>
      <c r="F28" s="101">
        <f t="shared" si="2"/>
        <v>18.75</v>
      </c>
      <c r="G28" s="79">
        <f t="shared" ref="G28:G41" si="5">7.36*(10^-9)*F28^4+4.72*(10^-6)*F28^3-6.89*(10^-4)*F28^2+0.0231*F28+0.0697</f>
        <v>0.29262138671874993</v>
      </c>
      <c r="H28" s="79">
        <f t="shared" si="3"/>
        <v>0.22679636840820314</v>
      </c>
      <c r="I28" s="7">
        <f t="shared" si="4"/>
        <v>0.35162237243652344</v>
      </c>
    </row>
    <row r="29" spans="3:9" x14ac:dyDescent="0.25">
      <c r="C29" s="5">
        <f t="shared" si="0"/>
        <v>0.32491643073614651</v>
      </c>
      <c r="D29" s="7">
        <f t="shared" si="1"/>
        <v>25</v>
      </c>
      <c r="F29" s="101">
        <f t="shared" si="2"/>
        <v>25</v>
      </c>
      <c r="G29" s="79">
        <f t="shared" si="5"/>
        <v>0.29319999999999996</v>
      </c>
      <c r="H29" s="79">
        <f t="shared" si="3"/>
        <v>0.25055781249999998</v>
      </c>
      <c r="I29" s="7">
        <f t="shared" si="4"/>
        <v>0.34304609375</v>
      </c>
    </row>
    <row r="30" spans="3:9" x14ac:dyDescent="0.25">
      <c r="C30" s="5">
        <f t="shared" si="0"/>
        <v>0.34154790654116446</v>
      </c>
      <c r="D30" s="7">
        <f t="shared" si="1"/>
        <v>31.25</v>
      </c>
      <c r="F30" s="101">
        <f t="shared" si="2"/>
        <v>31.25</v>
      </c>
      <c r="G30" s="79">
        <f t="shared" si="5"/>
        <v>0.26978544921874992</v>
      </c>
      <c r="H30" s="79">
        <f t="shared" si="3"/>
        <v>0.2656078918457031</v>
      </c>
      <c r="I30" s="7">
        <f t="shared" si="4"/>
        <v>0.30090020446777349</v>
      </c>
    </row>
    <row r="31" spans="3:9" x14ac:dyDescent="0.25">
      <c r="C31" s="5">
        <f t="shared" si="0"/>
        <v>0.32330791209077075</v>
      </c>
      <c r="D31" s="7">
        <f t="shared" si="1"/>
        <v>37.5</v>
      </c>
      <c r="F31" s="101">
        <f t="shared" si="2"/>
        <v>37.5</v>
      </c>
      <c r="G31" s="79">
        <f t="shared" si="5"/>
        <v>0.23050468749999986</v>
      </c>
      <c r="H31" s="79">
        <f t="shared" si="3"/>
        <v>0.27514033203124999</v>
      </c>
      <c r="I31" s="7">
        <f t="shared" si="4"/>
        <v>0.2375712402343752</v>
      </c>
    </row>
    <row r="32" spans="3:9" x14ac:dyDescent="0.25">
      <c r="C32" s="5">
        <f t="shared" si="0"/>
        <v>0.27146678690813236</v>
      </c>
      <c r="D32" s="7">
        <f t="shared" si="1"/>
        <v>43.75</v>
      </c>
      <c r="F32" s="101">
        <f t="shared" si="2"/>
        <v>43.75</v>
      </c>
      <c r="G32" s="79">
        <f t="shared" si="5"/>
        <v>0.1837541992187498</v>
      </c>
      <c r="H32" s="79">
        <f t="shared" si="3"/>
        <v>0.28264841918945305</v>
      </c>
      <c r="I32" s="7">
        <f t="shared" si="4"/>
        <v>0.16516119079589847</v>
      </c>
    </row>
    <row r="33" spans="3:9" x14ac:dyDescent="0.25">
      <c r="C33" s="5">
        <f t="shared" si="0"/>
        <v>0.22220536143977557</v>
      </c>
      <c r="D33" s="7">
        <f t="shared" si="1"/>
        <v>50</v>
      </c>
      <c r="F33" s="101">
        <f t="shared" si="2"/>
        <v>50</v>
      </c>
      <c r="G33" s="79">
        <f t="shared" si="5"/>
        <v>0.13819999999999999</v>
      </c>
      <c r="H33" s="79">
        <f t="shared" si="3"/>
        <v>0.29192499999999999</v>
      </c>
      <c r="I33" s="7">
        <f t="shared" si="4"/>
        <v>9.5487499999999892E-2</v>
      </c>
    </row>
    <row r="34" spans="3:9" x14ac:dyDescent="0.25">
      <c r="C34" s="5">
        <f t="shared" si="0"/>
        <v>0.18199239530537992</v>
      </c>
      <c r="D34" s="7">
        <f t="shared" si="1"/>
        <v>56.25</v>
      </c>
      <c r="F34" s="101">
        <f t="shared" si="2"/>
        <v>56.25</v>
      </c>
      <c r="G34" s="79">
        <f t="shared" si="5"/>
        <v>0.10277763671874975</v>
      </c>
      <c r="H34" s="79">
        <f t="shared" si="3"/>
        <v>0.30706248168945316</v>
      </c>
      <c r="I34" s="7">
        <f t="shared" si="4"/>
        <v>4.0083065795898536E-2</v>
      </c>
    </row>
    <row r="35" spans="3:9" x14ac:dyDescent="0.25">
      <c r="C35" s="5">
        <f t="shared" si="0"/>
        <v>0.17407119971211421</v>
      </c>
      <c r="D35" s="7">
        <f t="shared" si="1"/>
        <v>62.5</v>
      </c>
      <c r="F35" s="101">
        <f t="shared" si="2"/>
        <v>62.5</v>
      </c>
      <c r="G35" s="79">
        <f t="shared" si="5"/>
        <v>8.6692187499999865E-2</v>
      </c>
      <c r="H35" s="79">
        <f t="shared" si="3"/>
        <v>0.33245283203124987</v>
      </c>
      <c r="I35" s="7">
        <f t="shared" si="4"/>
        <v>1.0196240234375091E-2</v>
      </c>
    </row>
    <row r="36" spans="3:9" x14ac:dyDescent="0.25">
      <c r="C36" s="5">
        <f t="shared" si="0"/>
        <v>0.20491920553920073</v>
      </c>
      <c r="D36" s="7">
        <f t="shared" si="1"/>
        <v>68.75</v>
      </c>
      <c r="F36" s="101">
        <f t="shared" si="2"/>
        <v>68.75</v>
      </c>
      <c r="G36" s="79">
        <f t="shared" si="5"/>
        <v>9.9418261718749693E-2</v>
      </c>
      <c r="H36" s="79">
        <f t="shared" si="3"/>
        <v>0.37278757934570295</v>
      </c>
      <c r="I36" s="7">
        <f t="shared" si="4"/>
        <v>1.679082946777382E-2</v>
      </c>
    </row>
    <row r="37" spans="3:9" x14ac:dyDescent="0.25">
      <c r="C37" s="5">
        <f t="shared" si="0"/>
        <v>0.28615156494556643</v>
      </c>
      <c r="D37" s="7">
        <f t="shared" si="1"/>
        <v>75</v>
      </c>
      <c r="F37" s="101">
        <f t="shared" si="2"/>
        <v>75</v>
      </c>
      <c r="G37" s="79">
        <f t="shared" si="5"/>
        <v>0.1506999999999995</v>
      </c>
      <c r="H37" s="79">
        <f t="shared" si="3"/>
        <v>0.43305781249999997</v>
      </c>
      <c r="I37" s="7">
        <f t="shared" si="4"/>
        <v>7.0546093750000372E-2</v>
      </c>
    </row>
    <row r="38" spans="3:9" x14ac:dyDescent="0.25">
      <c r="C38" s="5">
        <f t="shared" si="0"/>
        <v>0.41132986771993624</v>
      </c>
      <c r="D38" s="7">
        <f t="shared" si="1"/>
        <v>81.25</v>
      </c>
      <c r="F38" s="101">
        <f t="shared" si="2"/>
        <v>81.25</v>
      </c>
      <c r="G38" s="79">
        <f t="shared" si="5"/>
        <v>0.25055107421874967</v>
      </c>
      <c r="H38" s="79">
        <f t="shared" si="3"/>
        <v>0.51855418090820282</v>
      </c>
      <c r="I38" s="7">
        <f t="shared" si="4"/>
        <v>0.18185674743652397</v>
      </c>
    </row>
    <row r="39" spans="3:9" x14ac:dyDescent="0.25">
      <c r="C39" s="5">
        <f t="shared" si="0"/>
        <v>0.57395934046399921</v>
      </c>
      <c r="D39" s="7">
        <f t="shared" si="1"/>
        <v>87.5</v>
      </c>
      <c r="F39" s="101">
        <f t="shared" si="2"/>
        <v>87.5</v>
      </c>
      <c r="G39" s="79">
        <f t="shared" si="5"/>
        <v>0.40925468749999927</v>
      </c>
      <c r="H39" s="79">
        <f t="shared" si="3"/>
        <v>0.63486689453124978</v>
      </c>
      <c r="I39" s="7">
        <f t="shared" si="4"/>
        <v>0.36083295898437479</v>
      </c>
    </row>
    <row r="40" spans="3:9" x14ac:dyDescent="0.25">
      <c r="C40" s="5">
        <f t="shared" si="0"/>
        <v>0.77405732569684482</v>
      </c>
      <c r="D40" s="7">
        <f t="shared" si="1"/>
        <v>93.75</v>
      </c>
      <c r="F40" s="101">
        <f t="shared" si="2"/>
        <v>93.75</v>
      </c>
      <c r="G40" s="79">
        <f t="shared" si="5"/>
        <v>0.63736357421874901</v>
      </c>
      <c r="H40" s="79">
        <f t="shared" si="3"/>
        <v>0.7878857238769531</v>
      </c>
      <c r="I40" s="7">
        <f t="shared" si="4"/>
        <v>0.6173003509521483</v>
      </c>
    </row>
    <row r="41" spans="3:9" x14ac:dyDescent="0.25">
      <c r="C41" s="8">
        <f t="shared" si="0"/>
        <v>1</v>
      </c>
      <c r="D41" s="11">
        <f t="shared" si="1"/>
        <v>100</v>
      </c>
      <c r="F41" s="103">
        <f t="shared" si="2"/>
        <v>100</v>
      </c>
      <c r="G41" s="77">
        <f t="shared" si="5"/>
        <v>0.94569999999999899</v>
      </c>
      <c r="H41" s="77">
        <f t="shared" si="3"/>
        <v>0.98379999999999967</v>
      </c>
      <c r="I41" s="11">
        <f t="shared" si="4"/>
        <v>0.96080000000000065</v>
      </c>
    </row>
    <row r="47" spans="3:9" x14ac:dyDescent="0.25">
      <c r="G47" s="78" t="s">
        <v>228</v>
      </c>
    </row>
    <row r="50" spans="3:4" x14ac:dyDescent="0.25">
      <c r="C50" s="78">
        <v>2500</v>
      </c>
      <c r="D50" s="78">
        <f>7.36*(10^-9)*(C50/46400*100)^4+4.72*(10^-6)*(C50/46400*100)^3-6.89*(10^-4)*(C50/46400*100)^2+0.0231*(C50/46400*100)+0.0697</f>
        <v>0.17490413447697833</v>
      </c>
    </row>
    <row r="51" spans="3:4" x14ac:dyDescent="0.25">
      <c r="C51" s="78">
        <v>5450</v>
      </c>
      <c r="D51" s="78">
        <f t="shared" ref="D51:D67" si="6">7.36*(10^-9)*(C51/46400*100)^4+4.72*(10^-6)*(C51/46400*100)^3-6.89*(10^-4)*(C51/46400*100)^2+0.0231*(C51/46400*100)+0.0697</f>
        <v>0.25375875453535751</v>
      </c>
    </row>
    <row r="52" spans="3:4" x14ac:dyDescent="0.25">
      <c r="C52" s="78">
        <v>8150</v>
      </c>
      <c r="D52" s="78">
        <f t="shared" si="6"/>
        <v>0.28915345455309044</v>
      </c>
    </row>
    <row r="53" spans="3:4" x14ac:dyDescent="0.25">
      <c r="C53" s="78">
        <v>10700</v>
      </c>
      <c r="D53" s="78">
        <f t="shared" si="6"/>
        <v>0.29596066622054984</v>
      </c>
    </row>
    <row r="54" spans="3:4" x14ac:dyDescent="0.25">
      <c r="C54" s="78">
        <v>13250</v>
      </c>
      <c r="D54" s="78">
        <f t="shared" si="6"/>
        <v>0.28230501856540147</v>
      </c>
    </row>
    <row r="55" spans="3:4" x14ac:dyDescent="0.25">
      <c r="C55" s="78">
        <v>15800</v>
      </c>
      <c r="D55" s="78">
        <f t="shared" si="6"/>
        <v>0.25364386414973317</v>
      </c>
    </row>
    <row r="56" spans="3:4" x14ac:dyDescent="0.25">
      <c r="C56" s="78">
        <v>18350</v>
      </c>
      <c r="D56" s="78">
        <f t="shared" si="6"/>
        <v>0.21559568607303814</v>
      </c>
    </row>
    <row r="57" spans="3:4" x14ac:dyDescent="0.25">
      <c r="C57" s="78">
        <v>20900.000000000004</v>
      </c>
      <c r="D57" s="78">
        <f t="shared" si="6"/>
        <v>0.17394009797221555</v>
      </c>
    </row>
    <row r="58" spans="3:4" x14ac:dyDescent="0.25">
      <c r="C58" s="78">
        <v>23450.000000000004</v>
      </c>
      <c r="D58" s="78">
        <f t="shared" si="6"/>
        <v>0.13461784402157051</v>
      </c>
    </row>
    <row r="59" spans="3:4" x14ac:dyDescent="0.25">
      <c r="C59" s="78">
        <v>26000.000000000004</v>
      </c>
      <c r="D59" s="78">
        <f t="shared" si="6"/>
        <v>0.10373079893281435</v>
      </c>
    </row>
    <row r="60" spans="3:4" x14ac:dyDescent="0.25">
      <c r="C60" s="78">
        <v>28550.000000000004</v>
      </c>
      <c r="D60" s="78">
        <f t="shared" si="6"/>
        <v>8.7541967955063207E-2</v>
      </c>
    </row>
    <row r="61" spans="3:4" x14ac:dyDescent="0.25">
      <c r="C61" s="78">
        <v>31100.000000000004</v>
      </c>
      <c r="D61" s="78">
        <f t="shared" si="6"/>
        <v>9.2475486874840654E-2</v>
      </c>
    </row>
    <row r="62" spans="3:4" x14ac:dyDescent="0.25">
      <c r="C62" s="78">
        <v>33650.000000000007</v>
      </c>
      <c r="D62" s="78">
        <f t="shared" si="6"/>
        <v>0.1251166220160741</v>
      </c>
    </row>
    <row r="63" spans="3:4" x14ac:dyDescent="0.25">
      <c r="C63" s="78">
        <v>36200</v>
      </c>
      <c r="D63" s="78">
        <f t="shared" si="6"/>
        <v>0.19221177024009817</v>
      </c>
    </row>
    <row r="64" spans="3:4" x14ac:dyDescent="0.25">
      <c r="C64" s="78">
        <v>38750</v>
      </c>
      <c r="D64" s="78">
        <f t="shared" si="6"/>
        <v>0.30066845894565419</v>
      </c>
    </row>
    <row r="65" spans="3:4" x14ac:dyDescent="0.25">
      <c r="C65" s="78">
        <v>41300</v>
      </c>
      <c r="D65" s="78">
        <f t="shared" si="6"/>
        <v>0.45755534606888693</v>
      </c>
    </row>
    <row r="66" spans="3:4" x14ac:dyDescent="0.25">
      <c r="C66" s="78">
        <v>43849.999999999993</v>
      </c>
      <c r="D66" s="78">
        <f t="shared" si="6"/>
        <v>0.67010222008334874</v>
      </c>
    </row>
    <row r="67" spans="3:4" x14ac:dyDescent="0.25">
      <c r="C67" s="78">
        <v>46399.999999999993</v>
      </c>
      <c r="D67" s="78">
        <f t="shared" si="6"/>
        <v>0.94569999999999854</v>
      </c>
    </row>
  </sheetData>
  <mergeCells count="2">
    <mergeCell ref="C24:D24"/>
    <mergeCell ref="F23:I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5:O45"/>
  <sheetViews>
    <sheetView tabSelected="1" topLeftCell="H27" zoomScale="160" zoomScaleNormal="160" workbookViewId="0">
      <selection activeCell="J28" sqref="J28:J45"/>
    </sheetView>
  </sheetViews>
  <sheetFormatPr baseColWidth="10" defaultRowHeight="15" x14ac:dyDescent="0.25"/>
  <cols>
    <col min="4" max="4" width="18.28515625" customWidth="1"/>
    <col min="8" max="9" width="11.42578125" style="96"/>
    <col min="10" max="10" width="20.140625" customWidth="1"/>
    <col min="12" max="12" width="14.42578125" customWidth="1"/>
    <col min="13" max="13" width="17.42578125" customWidth="1"/>
    <col min="14" max="14" width="15" customWidth="1"/>
    <col min="15" max="15" width="17" customWidth="1"/>
  </cols>
  <sheetData>
    <row r="25" spans="1:15" x14ac:dyDescent="0.25">
      <c r="B25" s="115" t="s">
        <v>276</v>
      </c>
      <c r="C25" s="116"/>
      <c r="D25" s="116"/>
      <c r="E25" s="116"/>
      <c r="F25" s="116"/>
      <c r="G25" s="116"/>
      <c r="H25" s="117"/>
    </row>
    <row r="26" spans="1:15" x14ac:dyDescent="0.25">
      <c r="B26" s="135" t="s">
        <v>229</v>
      </c>
      <c r="C26" s="136" t="s">
        <v>230</v>
      </c>
      <c r="D26" s="136" t="s">
        <v>231</v>
      </c>
      <c r="E26" s="136" t="s">
        <v>232</v>
      </c>
      <c r="F26" s="137" t="s">
        <v>233</v>
      </c>
      <c r="G26" s="138" t="s">
        <v>274</v>
      </c>
      <c r="H26" s="139" t="s">
        <v>233</v>
      </c>
    </row>
    <row r="27" spans="1:15" x14ac:dyDescent="0.25">
      <c r="B27" s="140"/>
      <c r="C27" s="141"/>
      <c r="D27" s="141"/>
      <c r="E27" s="141"/>
      <c r="F27" s="142" t="s">
        <v>234</v>
      </c>
      <c r="G27" s="107" t="s">
        <v>234</v>
      </c>
      <c r="H27" s="108" t="s">
        <v>275</v>
      </c>
      <c r="J27" s="96"/>
      <c r="K27" s="96"/>
      <c r="L27" s="2" t="s">
        <v>277</v>
      </c>
      <c r="M27" s="97" t="s">
        <v>279</v>
      </c>
      <c r="N27" s="4" t="s">
        <v>278</v>
      </c>
      <c r="O27" s="25" t="s">
        <v>280</v>
      </c>
    </row>
    <row r="28" spans="1:15" x14ac:dyDescent="0.25">
      <c r="A28">
        <v>18</v>
      </c>
      <c r="B28" s="143" t="s">
        <v>235</v>
      </c>
      <c r="C28" s="144" t="s">
        <v>236</v>
      </c>
      <c r="D28" s="144" t="s">
        <v>237</v>
      </c>
      <c r="E28" s="144" t="s">
        <v>255</v>
      </c>
      <c r="F28" s="144">
        <v>-295057.81</v>
      </c>
      <c r="G28" s="145">
        <f>ABS(F28)</f>
        <v>295057.81</v>
      </c>
      <c r="H28" s="130">
        <f>G28/1000</f>
        <v>295.05781000000002</v>
      </c>
      <c r="I28" s="128"/>
      <c r="J28" s="2" t="s">
        <v>256</v>
      </c>
      <c r="K28" s="149">
        <f>G28</f>
        <v>295057.81</v>
      </c>
      <c r="L28" s="133">
        <f>K28/4</f>
        <v>73764.452499999999</v>
      </c>
      <c r="M28" s="27">
        <f>K28/2</f>
        <v>147528.905</v>
      </c>
      <c r="N28" s="134">
        <f>K28/4</f>
        <v>73764.452499999999</v>
      </c>
      <c r="O28" s="134">
        <f>SUM(L28:N28)</f>
        <v>295057.81</v>
      </c>
    </row>
    <row r="29" spans="1:15" x14ac:dyDescent="0.25">
      <c r="A29">
        <v>17</v>
      </c>
      <c r="B29" s="143" t="s">
        <v>238</v>
      </c>
      <c r="C29" s="144" t="s">
        <v>236</v>
      </c>
      <c r="D29" s="144" t="s">
        <v>237</v>
      </c>
      <c r="E29" s="144" t="s">
        <v>255</v>
      </c>
      <c r="F29" s="144">
        <v>-689231.79</v>
      </c>
      <c r="G29" s="145">
        <f t="shared" ref="G29:G45" si="0">ABS(F29)</f>
        <v>689231.79</v>
      </c>
      <c r="H29" s="130">
        <f t="shared" ref="H29:H45" si="1">G29/1000</f>
        <v>689.23179000000005</v>
      </c>
      <c r="I29" s="128"/>
      <c r="J29" s="5" t="s">
        <v>257</v>
      </c>
      <c r="K29" s="150">
        <f>ABS(F28-F29)</f>
        <v>394173.98000000004</v>
      </c>
      <c r="L29" s="129">
        <f>K29/4</f>
        <v>98543.49500000001</v>
      </c>
      <c r="M29" s="28">
        <f>K29/2</f>
        <v>197086.99000000002</v>
      </c>
      <c r="N29" s="130">
        <f>K29/4</f>
        <v>98543.49500000001</v>
      </c>
      <c r="O29" s="130">
        <f t="shared" ref="O29:O45" si="2">SUM(L29:N29)</f>
        <v>394173.98000000004</v>
      </c>
    </row>
    <row r="30" spans="1:15" x14ac:dyDescent="0.25">
      <c r="A30">
        <v>16</v>
      </c>
      <c r="B30" s="143" t="s">
        <v>239</v>
      </c>
      <c r="C30" s="144" t="s">
        <v>236</v>
      </c>
      <c r="D30" s="144" t="s">
        <v>237</v>
      </c>
      <c r="E30" s="144" t="s">
        <v>255</v>
      </c>
      <c r="F30" s="144">
        <v>-1067431.8799999999</v>
      </c>
      <c r="G30" s="145">
        <f t="shared" si="0"/>
        <v>1067431.8799999999</v>
      </c>
      <c r="H30" s="130">
        <f t="shared" si="1"/>
        <v>1067.4318799999999</v>
      </c>
      <c r="I30" s="128"/>
      <c r="J30" s="5" t="s">
        <v>258</v>
      </c>
      <c r="K30" s="150">
        <f>ABS(F29-F30)</f>
        <v>378200.08999999985</v>
      </c>
      <c r="L30" s="129">
        <f>K30/4</f>
        <v>94550.022499999963</v>
      </c>
      <c r="M30" s="28">
        <f>K30/2</f>
        <v>189100.04499999993</v>
      </c>
      <c r="N30" s="130">
        <f>K30/4</f>
        <v>94550.022499999963</v>
      </c>
      <c r="O30" s="130">
        <f t="shared" si="2"/>
        <v>378200.08999999985</v>
      </c>
    </row>
    <row r="31" spans="1:15" x14ac:dyDescent="0.25">
      <c r="A31">
        <v>15</v>
      </c>
      <c r="B31" s="143" t="s">
        <v>240</v>
      </c>
      <c r="C31" s="144" t="s">
        <v>236</v>
      </c>
      <c r="D31" s="144" t="s">
        <v>237</v>
      </c>
      <c r="E31" s="144" t="s">
        <v>255</v>
      </c>
      <c r="F31" s="144">
        <v>-1448014.7</v>
      </c>
      <c r="G31" s="145">
        <f t="shared" si="0"/>
        <v>1448014.7</v>
      </c>
      <c r="H31" s="130">
        <f t="shared" si="1"/>
        <v>1448.0146999999999</v>
      </c>
      <c r="I31" s="128"/>
      <c r="J31" s="5" t="s">
        <v>259</v>
      </c>
      <c r="K31" s="150">
        <f>ABS(F30-F31)</f>
        <v>380582.82000000007</v>
      </c>
      <c r="L31" s="129">
        <f>K31/4</f>
        <v>95145.705000000016</v>
      </c>
      <c r="M31" s="28">
        <f>K31/2</f>
        <v>190291.41000000003</v>
      </c>
      <c r="N31" s="130">
        <f>K31/4</f>
        <v>95145.705000000016</v>
      </c>
      <c r="O31" s="130">
        <f t="shared" si="2"/>
        <v>380582.82000000007</v>
      </c>
    </row>
    <row r="32" spans="1:15" x14ac:dyDescent="0.25">
      <c r="A32">
        <v>14</v>
      </c>
      <c r="B32" s="143" t="s">
        <v>241</v>
      </c>
      <c r="C32" s="144" t="s">
        <v>236</v>
      </c>
      <c r="D32" s="144" t="s">
        <v>237</v>
      </c>
      <c r="E32" s="144" t="s">
        <v>255</v>
      </c>
      <c r="F32" s="144">
        <v>-1830149.3</v>
      </c>
      <c r="G32" s="145">
        <f t="shared" si="0"/>
        <v>1830149.3</v>
      </c>
      <c r="H32" s="130">
        <f t="shared" si="1"/>
        <v>1830.1493</v>
      </c>
      <c r="I32" s="128"/>
      <c r="J32" s="5" t="s">
        <v>260</v>
      </c>
      <c r="K32" s="150">
        <f>ABS(F31-F32)</f>
        <v>382134.60000000009</v>
      </c>
      <c r="L32" s="129">
        <f t="shared" ref="L29:L45" si="3">K32/4</f>
        <v>95533.650000000023</v>
      </c>
      <c r="M32" s="28">
        <f t="shared" ref="M29:M45" si="4">K32/2</f>
        <v>191067.30000000005</v>
      </c>
      <c r="N32" s="130">
        <f t="shared" ref="N29:N45" si="5">K32/4</f>
        <v>95533.650000000023</v>
      </c>
      <c r="O32" s="130">
        <f t="shared" si="2"/>
        <v>382134.60000000009</v>
      </c>
    </row>
    <row r="33" spans="1:15" x14ac:dyDescent="0.25">
      <c r="A33">
        <v>13</v>
      </c>
      <c r="B33" s="143" t="s">
        <v>242</v>
      </c>
      <c r="C33" s="144" t="s">
        <v>236</v>
      </c>
      <c r="D33" s="144" t="s">
        <v>237</v>
      </c>
      <c r="E33" s="144" t="s">
        <v>255</v>
      </c>
      <c r="F33" s="144">
        <v>-2212349.5</v>
      </c>
      <c r="G33" s="145">
        <f t="shared" si="0"/>
        <v>2212349.5</v>
      </c>
      <c r="H33" s="130">
        <f t="shared" si="1"/>
        <v>2212.3494999999998</v>
      </c>
      <c r="I33" s="128"/>
      <c r="J33" s="5" t="s">
        <v>261</v>
      </c>
      <c r="K33" s="150">
        <f>ABS(F32-F33)</f>
        <v>382200.19999999995</v>
      </c>
      <c r="L33" s="129">
        <f t="shared" si="3"/>
        <v>95550.049999999988</v>
      </c>
      <c r="M33" s="28">
        <f t="shared" si="4"/>
        <v>191100.09999999998</v>
      </c>
      <c r="N33" s="130">
        <f t="shared" si="5"/>
        <v>95550.049999999988</v>
      </c>
      <c r="O33" s="130">
        <f t="shared" si="2"/>
        <v>382200.19999999995</v>
      </c>
    </row>
    <row r="34" spans="1:15" x14ac:dyDescent="0.25">
      <c r="A34">
        <v>12</v>
      </c>
      <c r="B34" s="143" t="s">
        <v>243</v>
      </c>
      <c r="C34" s="144" t="s">
        <v>236</v>
      </c>
      <c r="D34" s="144" t="s">
        <v>237</v>
      </c>
      <c r="E34" s="144" t="s">
        <v>255</v>
      </c>
      <c r="F34" s="144">
        <v>-2599076.75</v>
      </c>
      <c r="G34" s="145">
        <f t="shared" si="0"/>
        <v>2599076.75</v>
      </c>
      <c r="H34" s="130">
        <f t="shared" si="1"/>
        <v>2599.0767500000002</v>
      </c>
      <c r="I34" s="128"/>
      <c r="J34" s="5" t="s">
        <v>262</v>
      </c>
      <c r="K34" s="150">
        <f>ABS(F33-F34)</f>
        <v>386727.25</v>
      </c>
      <c r="L34" s="129">
        <f t="shared" si="3"/>
        <v>96681.8125</v>
      </c>
      <c r="M34" s="28">
        <f t="shared" si="4"/>
        <v>193363.625</v>
      </c>
      <c r="N34" s="130">
        <f t="shared" si="5"/>
        <v>96681.8125</v>
      </c>
      <c r="O34" s="130">
        <f t="shared" si="2"/>
        <v>386727.25</v>
      </c>
    </row>
    <row r="35" spans="1:15" x14ac:dyDescent="0.25">
      <c r="A35">
        <v>11</v>
      </c>
      <c r="B35" s="143" t="s">
        <v>244</v>
      </c>
      <c r="C35" s="144" t="s">
        <v>236</v>
      </c>
      <c r="D35" s="144" t="s">
        <v>237</v>
      </c>
      <c r="E35" s="144" t="s">
        <v>255</v>
      </c>
      <c r="F35" s="144">
        <v>-2993317.42</v>
      </c>
      <c r="G35" s="145">
        <f t="shared" si="0"/>
        <v>2993317.42</v>
      </c>
      <c r="H35" s="130">
        <f t="shared" si="1"/>
        <v>2993.3174199999999</v>
      </c>
      <c r="I35" s="128"/>
      <c r="J35" s="5" t="s">
        <v>263</v>
      </c>
      <c r="K35" s="150">
        <f>ABS(F34-F35)</f>
        <v>394240.66999999993</v>
      </c>
      <c r="L35" s="129">
        <f t="shared" si="3"/>
        <v>98560.167499999981</v>
      </c>
      <c r="M35" s="28">
        <f t="shared" si="4"/>
        <v>197120.33499999996</v>
      </c>
      <c r="N35" s="130">
        <f t="shared" si="5"/>
        <v>98560.167499999981</v>
      </c>
      <c r="O35" s="130">
        <f t="shared" si="2"/>
        <v>394240.66999999993</v>
      </c>
    </row>
    <row r="36" spans="1:15" x14ac:dyDescent="0.25">
      <c r="A36">
        <v>10</v>
      </c>
      <c r="B36" s="143" t="s">
        <v>245</v>
      </c>
      <c r="C36" s="144" t="s">
        <v>236</v>
      </c>
      <c r="D36" s="144" t="s">
        <v>237</v>
      </c>
      <c r="E36" s="144" t="s">
        <v>255</v>
      </c>
      <c r="F36" s="144">
        <v>-3397509.25</v>
      </c>
      <c r="G36" s="145">
        <f t="shared" si="0"/>
        <v>3397509.25</v>
      </c>
      <c r="H36" s="130">
        <f t="shared" si="1"/>
        <v>3397.5092500000001</v>
      </c>
      <c r="I36" s="128"/>
      <c r="J36" s="5" t="s">
        <v>264</v>
      </c>
      <c r="K36" s="150">
        <f>ABS(F35-F36)</f>
        <v>404191.83000000007</v>
      </c>
      <c r="L36" s="129">
        <f t="shared" si="3"/>
        <v>101047.95750000002</v>
      </c>
      <c r="M36" s="28">
        <f t="shared" si="4"/>
        <v>202095.91500000004</v>
      </c>
      <c r="N36" s="130">
        <f t="shared" si="5"/>
        <v>101047.95750000002</v>
      </c>
      <c r="O36" s="130">
        <f t="shared" si="2"/>
        <v>404191.83000000007</v>
      </c>
    </row>
    <row r="37" spans="1:15" x14ac:dyDescent="0.25">
      <c r="A37">
        <v>9</v>
      </c>
      <c r="B37" s="143" t="s">
        <v>246</v>
      </c>
      <c r="C37" s="144" t="s">
        <v>236</v>
      </c>
      <c r="D37" s="144" t="s">
        <v>237</v>
      </c>
      <c r="E37" s="144" t="s">
        <v>255</v>
      </c>
      <c r="F37" s="144">
        <v>-3834272.96</v>
      </c>
      <c r="G37" s="145">
        <f t="shared" si="0"/>
        <v>3834272.96</v>
      </c>
      <c r="H37" s="130">
        <f t="shared" si="1"/>
        <v>3834.2729599999998</v>
      </c>
      <c r="I37" s="128"/>
      <c r="J37" s="5" t="s">
        <v>265</v>
      </c>
      <c r="K37" s="150">
        <f>ABS(F36-F37)</f>
        <v>436763.70999999996</v>
      </c>
      <c r="L37" s="129">
        <f t="shared" si="3"/>
        <v>109190.92749999999</v>
      </c>
      <c r="M37" s="28">
        <f t="shared" si="4"/>
        <v>218381.85499999998</v>
      </c>
      <c r="N37" s="130">
        <f t="shared" si="5"/>
        <v>109190.92749999999</v>
      </c>
      <c r="O37" s="130">
        <f t="shared" si="2"/>
        <v>436763.70999999996</v>
      </c>
    </row>
    <row r="38" spans="1:15" x14ac:dyDescent="0.25">
      <c r="A38">
        <v>8</v>
      </c>
      <c r="B38" s="143" t="s">
        <v>247</v>
      </c>
      <c r="C38" s="144" t="s">
        <v>236</v>
      </c>
      <c r="D38" s="144" t="s">
        <v>237</v>
      </c>
      <c r="E38" s="144" t="s">
        <v>255</v>
      </c>
      <c r="F38" s="144">
        <v>-4302383.1900000004</v>
      </c>
      <c r="G38" s="145">
        <f t="shared" si="0"/>
        <v>4302383.1900000004</v>
      </c>
      <c r="H38" s="130">
        <f t="shared" si="1"/>
        <v>4302.3831900000005</v>
      </c>
      <c r="I38" s="128"/>
      <c r="J38" s="5" t="s">
        <v>266</v>
      </c>
      <c r="K38" s="150">
        <f>ABS(F37-F38)</f>
        <v>468110.23000000045</v>
      </c>
      <c r="L38" s="129">
        <f t="shared" si="3"/>
        <v>117027.55750000011</v>
      </c>
      <c r="M38" s="28">
        <f t="shared" si="4"/>
        <v>234055.11500000022</v>
      </c>
      <c r="N38" s="130">
        <f t="shared" si="5"/>
        <v>117027.55750000011</v>
      </c>
      <c r="O38" s="130">
        <f t="shared" si="2"/>
        <v>468110.23000000045</v>
      </c>
    </row>
    <row r="39" spans="1:15" x14ac:dyDescent="0.25">
      <c r="A39">
        <v>7</v>
      </c>
      <c r="B39" s="143" t="s">
        <v>248</v>
      </c>
      <c r="C39" s="144" t="s">
        <v>236</v>
      </c>
      <c r="D39" s="144" t="s">
        <v>237</v>
      </c>
      <c r="E39" s="144" t="s">
        <v>255</v>
      </c>
      <c r="F39" s="144">
        <v>-4769403.5599999996</v>
      </c>
      <c r="G39" s="145">
        <f t="shared" si="0"/>
        <v>4769403.5599999996</v>
      </c>
      <c r="H39" s="130">
        <f t="shared" si="1"/>
        <v>4769.4035599999997</v>
      </c>
      <c r="I39" s="128"/>
      <c r="J39" s="5" t="s">
        <v>267</v>
      </c>
      <c r="K39" s="150">
        <f>ABS(F38-F39)</f>
        <v>467020.36999999918</v>
      </c>
      <c r="L39" s="129">
        <f t="shared" si="3"/>
        <v>116755.0924999998</v>
      </c>
      <c r="M39" s="28">
        <f t="shared" si="4"/>
        <v>233510.18499999959</v>
      </c>
      <c r="N39" s="130">
        <f t="shared" si="5"/>
        <v>116755.0924999998</v>
      </c>
      <c r="O39" s="130">
        <f t="shared" si="2"/>
        <v>467020.36999999918</v>
      </c>
    </row>
    <row r="40" spans="1:15" x14ac:dyDescent="0.25">
      <c r="A40">
        <v>6</v>
      </c>
      <c r="B40" s="143" t="s">
        <v>249</v>
      </c>
      <c r="C40" s="144" t="s">
        <v>236</v>
      </c>
      <c r="D40" s="144" t="s">
        <v>237</v>
      </c>
      <c r="E40" s="144" t="s">
        <v>255</v>
      </c>
      <c r="F40" s="144">
        <v>-5227896.03</v>
      </c>
      <c r="G40" s="145">
        <f t="shared" si="0"/>
        <v>5227896.03</v>
      </c>
      <c r="H40" s="130">
        <f t="shared" si="1"/>
        <v>5227.8960299999999</v>
      </c>
      <c r="I40" s="128"/>
      <c r="J40" s="5" t="s">
        <v>268</v>
      </c>
      <c r="K40" s="150">
        <f>ABS(F39-F40)</f>
        <v>458492.47000000067</v>
      </c>
      <c r="L40" s="129">
        <f t="shared" si="3"/>
        <v>114623.11750000017</v>
      </c>
      <c r="M40" s="28">
        <f t="shared" si="4"/>
        <v>229246.23500000034</v>
      </c>
      <c r="N40" s="130">
        <f t="shared" si="5"/>
        <v>114623.11750000017</v>
      </c>
      <c r="O40" s="130">
        <f t="shared" si="2"/>
        <v>458492.47000000067</v>
      </c>
    </row>
    <row r="41" spans="1:15" x14ac:dyDescent="0.25">
      <c r="A41">
        <v>5</v>
      </c>
      <c r="B41" s="143" t="s">
        <v>250</v>
      </c>
      <c r="C41" s="144" t="s">
        <v>236</v>
      </c>
      <c r="D41" s="144" t="s">
        <v>237</v>
      </c>
      <c r="E41" s="144" t="s">
        <v>255</v>
      </c>
      <c r="F41" s="144">
        <v>-5700618.5700000003</v>
      </c>
      <c r="G41" s="145">
        <f t="shared" si="0"/>
        <v>5700618.5700000003</v>
      </c>
      <c r="H41" s="130">
        <f t="shared" si="1"/>
        <v>5700.6185700000005</v>
      </c>
      <c r="I41" s="128"/>
      <c r="J41" s="5" t="s">
        <v>269</v>
      </c>
      <c r="K41" s="150">
        <f>ABS(F40-F41)</f>
        <v>472722.54000000004</v>
      </c>
      <c r="L41" s="129">
        <f t="shared" si="3"/>
        <v>118180.63500000001</v>
      </c>
      <c r="M41" s="28">
        <f t="shared" si="4"/>
        <v>236361.27000000002</v>
      </c>
      <c r="N41" s="130">
        <f t="shared" si="5"/>
        <v>118180.63500000001</v>
      </c>
      <c r="O41" s="130">
        <f t="shared" si="2"/>
        <v>472722.54000000004</v>
      </c>
    </row>
    <row r="42" spans="1:15" x14ac:dyDescent="0.25">
      <c r="A42">
        <v>4</v>
      </c>
      <c r="B42" s="143" t="s">
        <v>251</v>
      </c>
      <c r="C42" s="144" t="s">
        <v>236</v>
      </c>
      <c r="D42" s="144" t="s">
        <v>237</v>
      </c>
      <c r="E42" s="144" t="s">
        <v>255</v>
      </c>
      <c r="F42" s="144">
        <v>-6236597.0700000003</v>
      </c>
      <c r="G42" s="145">
        <f t="shared" si="0"/>
        <v>6236597.0700000003</v>
      </c>
      <c r="H42" s="130">
        <f t="shared" si="1"/>
        <v>6236.5970700000007</v>
      </c>
      <c r="I42" s="128"/>
      <c r="J42" s="5" t="s">
        <v>270</v>
      </c>
      <c r="K42" s="150">
        <f>ABS(F41-F42)</f>
        <v>535978.5</v>
      </c>
      <c r="L42" s="129">
        <f t="shared" si="3"/>
        <v>133994.625</v>
      </c>
      <c r="M42" s="28">
        <f t="shared" si="4"/>
        <v>267989.25</v>
      </c>
      <c r="N42" s="130">
        <f t="shared" si="5"/>
        <v>133994.625</v>
      </c>
      <c r="O42" s="130">
        <f t="shared" si="2"/>
        <v>535978.5</v>
      </c>
    </row>
    <row r="43" spans="1:15" x14ac:dyDescent="0.25">
      <c r="A43">
        <v>3</v>
      </c>
      <c r="B43" s="143" t="s">
        <v>252</v>
      </c>
      <c r="C43" s="144" t="s">
        <v>236</v>
      </c>
      <c r="D43" s="144" t="s">
        <v>237</v>
      </c>
      <c r="E43" s="144" t="s">
        <v>255</v>
      </c>
      <c r="F43" s="144">
        <v>-7192619.9699999997</v>
      </c>
      <c r="G43" s="145">
        <f t="shared" si="0"/>
        <v>7192619.9699999997</v>
      </c>
      <c r="H43" s="130">
        <f t="shared" si="1"/>
        <v>7192.6199699999997</v>
      </c>
      <c r="I43" s="128"/>
      <c r="J43" s="5" t="s">
        <v>271</v>
      </c>
      <c r="K43" s="150">
        <f>ABS(F42-F43)</f>
        <v>956022.89999999944</v>
      </c>
      <c r="L43" s="129">
        <f t="shared" si="3"/>
        <v>239005.72499999986</v>
      </c>
      <c r="M43" s="28">
        <f t="shared" si="4"/>
        <v>478011.44999999972</v>
      </c>
      <c r="N43" s="130">
        <f t="shared" si="5"/>
        <v>239005.72499999986</v>
      </c>
      <c r="O43" s="130">
        <f t="shared" si="2"/>
        <v>956022.89999999944</v>
      </c>
    </row>
    <row r="44" spans="1:15" x14ac:dyDescent="0.25">
      <c r="A44">
        <v>2</v>
      </c>
      <c r="B44" s="143" t="s">
        <v>253</v>
      </c>
      <c r="C44" s="144" t="s">
        <v>236</v>
      </c>
      <c r="D44" s="144" t="s">
        <v>237</v>
      </c>
      <c r="E44" s="144" t="s">
        <v>255</v>
      </c>
      <c r="F44" s="144">
        <v>-7861697.9199999999</v>
      </c>
      <c r="G44" s="145">
        <f t="shared" si="0"/>
        <v>7861697.9199999999</v>
      </c>
      <c r="H44" s="130">
        <f t="shared" si="1"/>
        <v>7861.6979199999996</v>
      </c>
      <c r="I44" s="128"/>
      <c r="J44" s="5" t="s">
        <v>272</v>
      </c>
      <c r="K44" s="150">
        <f>ABS(F43-F44)</f>
        <v>669077.95000000019</v>
      </c>
      <c r="L44" s="129">
        <f t="shared" si="3"/>
        <v>167269.48750000005</v>
      </c>
      <c r="M44" s="28">
        <f t="shared" si="4"/>
        <v>334538.97500000009</v>
      </c>
      <c r="N44" s="130">
        <f t="shared" si="5"/>
        <v>167269.48750000005</v>
      </c>
      <c r="O44" s="130">
        <f t="shared" si="2"/>
        <v>669077.95000000019</v>
      </c>
    </row>
    <row r="45" spans="1:15" x14ac:dyDescent="0.25">
      <c r="A45">
        <v>1</v>
      </c>
      <c r="B45" s="146" t="s">
        <v>254</v>
      </c>
      <c r="C45" s="147" t="s">
        <v>236</v>
      </c>
      <c r="D45" s="147" t="s">
        <v>237</v>
      </c>
      <c r="E45" s="147" t="s">
        <v>255</v>
      </c>
      <c r="F45" s="147">
        <v>-7703840.4500000002</v>
      </c>
      <c r="G45" s="148">
        <f t="shared" si="0"/>
        <v>7703840.4500000002</v>
      </c>
      <c r="H45" s="132">
        <f t="shared" si="1"/>
        <v>7703.8404500000006</v>
      </c>
      <c r="I45" s="128"/>
      <c r="J45" s="8" t="s">
        <v>273</v>
      </c>
      <c r="K45" s="151">
        <f>ABS(F44-F45)</f>
        <v>157857.46999999974</v>
      </c>
      <c r="L45" s="131">
        <f t="shared" si="3"/>
        <v>39464.367499999935</v>
      </c>
      <c r="M45" s="29">
        <f t="shared" si="4"/>
        <v>78928.73499999987</v>
      </c>
      <c r="N45" s="132">
        <f t="shared" si="5"/>
        <v>39464.367499999935</v>
      </c>
      <c r="O45" s="132">
        <f t="shared" si="2"/>
        <v>157857.46999999974</v>
      </c>
    </row>
  </sheetData>
  <mergeCells count="5">
    <mergeCell ref="B26:B27"/>
    <mergeCell ref="C26:C27"/>
    <mergeCell ref="D26:D27"/>
    <mergeCell ref="E26:E27"/>
    <mergeCell ref="B25:H25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Geometría</vt:lpstr>
      <vt:lpstr>Cuantías</vt:lpstr>
      <vt:lpstr>Propiedades de materiales</vt:lpstr>
      <vt:lpstr>Patron de carga lateral</vt:lpstr>
      <vt:lpstr>Carga gravitacional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2023-11-21T18:38:38Z</dcterms:created>
  <dcterms:modified xsi:type="dcterms:W3CDTF">2023-12-07T22:38:38Z</dcterms:modified>
</cp:coreProperties>
</file>