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j\Documents\GitHub\Ejemplos\Validacion\RW-A20-P10-S38\Documentation\"/>
    </mc:Choice>
  </mc:AlternateContent>
  <xr:revisionPtr revIDLastSave="0" documentId="13_ncr:1_{BC4E4A7E-46FD-4EFB-A3D4-74478D5D3DA1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Prop Geom y de Materiales" sheetId="1" r:id="rId1"/>
    <sheet name="Prop Geom y de Materiales (2)" sheetId="7" r:id="rId2"/>
    <sheet name="Nodos" sheetId="11" r:id="rId3"/>
    <sheet name="Parámetros de Análisis" sheetId="2" r:id="rId4"/>
    <sheet name="Analisis Seccional" sheetId="3" r:id="rId5"/>
    <sheet name="Hoja1" sheetId="5" r:id="rId6"/>
    <sheet name="Resp local exp y analitica" sheetId="8" r:id="rId7"/>
    <sheet name="Drifts" sheetId="9" r:id="rId8"/>
    <sheet name="Energia Disipada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6" i="11" l="1"/>
  <c r="J64" i="11"/>
  <c r="J63" i="11"/>
  <c r="J61" i="11"/>
  <c r="I66" i="11"/>
  <c r="I61" i="11"/>
  <c r="Y13" i="11" l="1"/>
  <c r="Y12" i="11"/>
  <c r="Y14" i="11"/>
  <c r="Y21" i="11"/>
  <c r="Y11" i="11"/>
  <c r="Y24" i="11"/>
  <c r="Y22" i="11"/>
  <c r="Y20" i="11"/>
  <c r="Y18" i="11"/>
  <c r="Y16" i="11"/>
  <c r="Y23" i="11"/>
  <c r="S31" i="11"/>
  <c r="Y15" i="11"/>
  <c r="Y17" i="11" s="1"/>
  <c r="Y19" i="11" s="1"/>
  <c r="T26" i="11"/>
  <c r="R26" i="11"/>
  <c r="T25" i="11"/>
  <c r="R25" i="11"/>
  <c r="T24" i="11"/>
  <c r="R24" i="11"/>
  <c r="T23" i="11"/>
  <c r="R23" i="11"/>
  <c r="T22" i="11"/>
  <c r="R22" i="11"/>
  <c r="T21" i="11"/>
  <c r="R21" i="11"/>
  <c r="T20" i="11"/>
  <c r="R20" i="11"/>
  <c r="T19" i="11"/>
  <c r="R19" i="11"/>
  <c r="T18" i="11"/>
  <c r="R18" i="11"/>
  <c r="T17" i="11"/>
  <c r="R17" i="11"/>
  <c r="T16" i="11"/>
  <c r="R16" i="11"/>
  <c r="T15" i="11"/>
  <c r="R15" i="11"/>
  <c r="T14" i="11"/>
  <c r="R14" i="11"/>
  <c r="T13" i="11"/>
  <c r="R13" i="11"/>
  <c r="T12" i="11"/>
  <c r="R12" i="11"/>
  <c r="T11" i="11"/>
  <c r="R11" i="11"/>
  <c r="T10" i="11"/>
  <c r="R10" i="11"/>
  <c r="T9" i="11"/>
  <c r="R9" i="11"/>
  <c r="T8" i="11"/>
  <c r="R8" i="11"/>
  <c r="T7" i="11"/>
  <c r="R7" i="11"/>
  <c r="L19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20" i="11"/>
  <c r="L21" i="11"/>
  <c r="L22" i="11"/>
  <c r="L23" i="11"/>
  <c r="L24" i="11"/>
  <c r="L25" i="11"/>
  <c r="L6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N4" i="1"/>
  <c r="M4" i="1"/>
  <c r="M9" i="1" s="1"/>
  <c r="C26" i="9" l="1"/>
  <c r="D26" i="9" s="1"/>
  <c r="E26" i="9" s="1"/>
  <c r="F26" i="9" s="1"/>
  <c r="C25" i="9"/>
  <c r="D25" i="9" s="1"/>
  <c r="E25" i="9" s="1"/>
  <c r="F25" i="9" s="1"/>
  <c r="C24" i="9"/>
  <c r="D24" i="9" s="1"/>
  <c r="E24" i="9" s="1"/>
  <c r="F24" i="9" s="1"/>
  <c r="C23" i="9"/>
  <c r="D23" i="9" s="1"/>
  <c r="E23" i="9" s="1"/>
  <c r="F23" i="9" s="1"/>
  <c r="C22" i="9"/>
  <c r="D22" i="9" s="1"/>
  <c r="E22" i="9" s="1"/>
  <c r="F22" i="9" s="1"/>
  <c r="C21" i="9"/>
  <c r="D21" i="9" s="1"/>
  <c r="E21" i="9" s="1"/>
  <c r="F21" i="9" s="1"/>
  <c r="C20" i="9"/>
  <c r="D20" i="9" s="1"/>
  <c r="E20" i="9" s="1"/>
  <c r="F20" i="9" s="1"/>
  <c r="C19" i="9"/>
  <c r="D19" i="9" s="1"/>
  <c r="O29" i="1"/>
  <c r="O28" i="1"/>
  <c r="O27" i="1"/>
  <c r="O17" i="1"/>
  <c r="O16" i="1"/>
  <c r="O18" i="1"/>
  <c r="O19" i="1"/>
  <c r="O20" i="1"/>
  <c r="O21" i="1"/>
  <c r="O22" i="1"/>
  <c r="O23" i="1"/>
  <c r="O24" i="1"/>
  <c r="O25" i="1"/>
  <c r="O26" i="1"/>
  <c r="O15" i="1"/>
  <c r="D27" i="9" l="1"/>
  <c r="E19" i="9"/>
  <c r="F19" i="9" s="1"/>
  <c r="E27" i="9" l="1"/>
  <c r="C6" i="9"/>
  <c r="D6" i="9" s="1"/>
  <c r="E6" i="9" s="1"/>
  <c r="G6" i="9" s="1"/>
  <c r="C7" i="9"/>
  <c r="D7" i="9" s="1"/>
  <c r="E7" i="9" s="1"/>
  <c r="C8" i="9"/>
  <c r="D8" i="9" s="1"/>
  <c r="E8" i="9" s="1"/>
  <c r="C9" i="9"/>
  <c r="D9" i="9" s="1"/>
  <c r="E9" i="9" s="1"/>
  <c r="C10" i="9"/>
  <c r="D10" i="9" s="1"/>
  <c r="E10" i="9" s="1"/>
  <c r="C11" i="9"/>
  <c r="D11" i="9" s="1"/>
  <c r="E11" i="9" s="1"/>
  <c r="C12" i="9"/>
  <c r="D12" i="9" s="1"/>
  <c r="E12" i="9" s="1"/>
  <c r="C13" i="9"/>
  <c r="D13" i="9" s="1"/>
  <c r="E13" i="9" s="1"/>
  <c r="F10" i="9" l="1"/>
  <c r="G10" i="9"/>
  <c r="F11" i="9"/>
  <c r="G11" i="9"/>
  <c r="F8" i="9"/>
  <c r="G8" i="9"/>
  <c r="F7" i="9"/>
  <c r="G7" i="9"/>
  <c r="E14" i="9"/>
  <c r="F9" i="9"/>
  <c r="G9" i="9"/>
  <c r="F12" i="9"/>
  <c r="G12" i="9"/>
  <c r="F13" i="9"/>
  <c r="G13" i="9"/>
  <c r="D14" i="9"/>
  <c r="M32" i="7"/>
  <c r="M4" i="7"/>
  <c r="M9" i="7" s="1"/>
  <c r="G14" i="9" l="1"/>
  <c r="F6" i="9"/>
  <c r="E3" i="2"/>
  <c r="M17" i="7"/>
  <c r="N4" i="7"/>
  <c r="N32" i="7"/>
  <c r="M31" i="7"/>
  <c r="N31" i="7" s="1"/>
  <c r="M30" i="7"/>
  <c r="N30" i="7" s="1"/>
  <c r="M29" i="7"/>
  <c r="N29" i="7" s="1"/>
  <c r="M28" i="7"/>
  <c r="N28" i="7" s="1"/>
  <c r="M27" i="7"/>
  <c r="N27" i="7" s="1"/>
  <c r="M26" i="7"/>
  <c r="M25" i="7"/>
  <c r="N25" i="7" s="1"/>
  <c r="M24" i="7"/>
  <c r="N24" i="7" s="1"/>
  <c r="M23" i="7"/>
  <c r="N23" i="7" s="1"/>
  <c r="M22" i="7"/>
  <c r="N22" i="7" s="1"/>
  <c r="M21" i="7"/>
  <c r="M20" i="7"/>
  <c r="N20" i="7" s="1"/>
  <c r="M19" i="7"/>
  <c r="N19" i="7" s="1"/>
  <c r="M18" i="7"/>
  <c r="N18" i="7" s="1"/>
  <c r="N17" i="7"/>
  <c r="M16" i="7"/>
  <c r="N16" i="7" s="1"/>
  <c r="M15" i="7"/>
  <c r="N15" i="7" s="1"/>
  <c r="M14" i="7"/>
  <c r="N14" i="7" s="1"/>
  <c r="M13" i="7"/>
  <c r="T73" i="7"/>
  <c r="T61" i="7"/>
  <c r="T62" i="7" s="1"/>
  <c r="T54" i="7"/>
  <c r="T55" i="7" s="1"/>
  <c r="T48" i="7"/>
  <c r="T47" i="7"/>
  <c r="T49" i="7" s="1"/>
  <c r="T38" i="7"/>
  <c r="T36" i="7"/>
  <c r="T34" i="7"/>
  <c r="L32" i="7"/>
  <c r="L31" i="7"/>
  <c r="T30" i="7"/>
  <c r="L30" i="7"/>
  <c r="L29" i="7"/>
  <c r="T28" i="7"/>
  <c r="L28" i="7"/>
  <c r="L27" i="7"/>
  <c r="N26" i="7"/>
  <c r="L26" i="7"/>
  <c r="L25" i="7"/>
  <c r="L24" i="7"/>
  <c r="L23" i="7"/>
  <c r="L22" i="7"/>
  <c r="N21" i="7"/>
  <c r="L21" i="7"/>
  <c r="L20" i="7"/>
  <c r="L19" i="7"/>
  <c r="L18" i="7"/>
  <c r="L17" i="7"/>
  <c r="L16" i="7"/>
  <c r="L15" i="7"/>
  <c r="L14" i="7"/>
  <c r="N13" i="7"/>
  <c r="L13" i="7"/>
  <c r="N8" i="7"/>
  <c r="N7" i="7"/>
  <c r="N6" i="7"/>
  <c r="N5" i="7"/>
  <c r="N8" i="1" l="1"/>
  <c r="T54" i="1" l="1"/>
  <c r="T55" i="1" s="1"/>
  <c r="T61" i="1"/>
  <c r="T62" i="1" s="1"/>
  <c r="T48" i="1"/>
  <c r="T36" i="1"/>
  <c r="T34" i="1"/>
  <c r="T30" i="1"/>
  <c r="T28" i="1"/>
  <c r="T38" i="1"/>
  <c r="N6" i="1"/>
  <c r="N7" i="1"/>
  <c r="N5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T73" i="1" l="1"/>
  <c r="T47" i="1" l="1"/>
  <c r="T49" i="1" s="1"/>
  <c r="E4" i="2" l="1"/>
  <c r="G4" i="2" s="1"/>
  <c r="F69" i="2"/>
  <c r="F168" i="3" l="1"/>
  <c r="F167" i="3"/>
  <c r="F166" i="3"/>
  <c r="F165" i="3"/>
  <c r="F164" i="3"/>
  <c r="F163" i="3"/>
  <c r="F131" i="3"/>
  <c r="F130" i="3"/>
  <c r="F129" i="3"/>
  <c r="F128" i="3"/>
  <c r="F127" i="3"/>
  <c r="F126" i="3"/>
  <c r="F95" i="3"/>
  <c r="F94" i="3"/>
  <c r="F93" i="3"/>
  <c r="F91" i="3"/>
  <c r="F90" i="3"/>
  <c r="F92" i="3"/>
  <c r="F124" i="3"/>
  <c r="F161" i="3"/>
  <c r="AK37" i="3"/>
  <c r="AK40" i="3" s="1"/>
  <c r="W11" i="3"/>
  <c r="T11" i="3"/>
  <c r="V13" i="3"/>
  <c r="W13" i="3" s="1"/>
  <c r="V12" i="3"/>
  <c r="W12" i="3" s="1"/>
  <c r="S26" i="3"/>
  <c r="T26" i="3" s="1"/>
  <c r="S12" i="3"/>
  <c r="T12" i="3" s="1"/>
  <c r="AK95" i="3" l="1"/>
  <c r="AK87" i="3"/>
  <c r="AK79" i="3"/>
  <c r="AK71" i="3"/>
  <c r="AK63" i="3"/>
  <c r="AK55" i="3"/>
  <c r="AK47" i="3"/>
  <c r="AK94" i="3"/>
  <c r="AK86" i="3"/>
  <c r="AK78" i="3"/>
  <c r="AK70" i="3"/>
  <c r="AK62" i="3"/>
  <c r="AK54" i="3"/>
  <c r="AK46" i="3"/>
  <c r="S25" i="3"/>
  <c r="T25" i="3" s="1"/>
  <c r="AK93" i="3"/>
  <c r="AK85" i="3"/>
  <c r="AK77" i="3"/>
  <c r="AK69" i="3"/>
  <c r="AK61" i="3"/>
  <c r="AK53" i="3"/>
  <c r="AK45" i="3"/>
  <c r="AK92" i="3"/>
  <c r="AK84" i="3"/>
  <c r="AK76" i="3"/>
  <c r="AK68" i="3"/>
  <c r="AK60" i="3"/>
  <c r="AK52" i="3"/>
  <c r="AK44" i="3"/>
  <c r="S13" i="3"/>
  <c r="AK39" i="3"/>
  <c r="AK91" i="3"/>
  <c r="AK83" i="3"/>
  <c r="AK75" i="3"/>
  <c r="AK67" i="3"/>
  <c r="AK59" i="3"/>
  <c r="AK51" i="3"/>
  <c r="AK43" i="3"/>
  <c r="AK98" i="3"/>
  <c r="AK90" i="3"/>
  <c r="AK82" i="3"/>
  <c r="AK74" i="3"/>
  <c r="AK66" i="3"/>
  <c r="AK58" i="3"/>
  <c r="AK50" i="3"/>
  <c r="AK42" i="3"/>
  <c r="AK97" i="3"/>
  <c r="AK89" i="3"/>
  <c r="AK81" i="3"/>
  <c r="AK73" i="3"/>
  <c r="AK65" i="3"/>
  <c r="AK57" i="3"/>
  <c r="AK49" i="3"/>
  <c r="AK41" i="3"/>
  <c r="AK96" i="3"/>
  <c r="AK88" i="3"/>
  <c r="AK80" i="3"/>
  <c r="AK72" i="3"/>
  <c r="AK64" i="3"/>
  <c r="AK56" i="3"/>
  <c r="AK48" i="3"/>
  <c r="AD85" i="3"/>
  <c r="AH85" i="3" s="1"/>
  <c r="AF85" i="3"/>
  <c r="AD86" i="3"/>
  <c r="AH86" i="3" s="1"/>
  <c r="AF86" i="3"/>
  <c r="AD87" i="3"/>
  <c r="AH87" i="3" s="1"/>
  <c r="AF87" i="3"/>
  <c r="AD88" i="3"/>
  <c r="AH88" i="3" s="1"/>
  <c r="AF88" i="3"/>
  <c r="AD89" i="3"/>
  <c r="AH89" i="3" s="1"/>
  <c r="AF89" i="3"/>
  <c r="AD90" i="3"/>
  <c r="AH90" i="3" s="1"/>
  <c r="AF90" i="3"/>
  <c r="AD91" i="3"/>
  <c r="AH91" i="3" s="1"/>
  <c r="AF91" i="3"/>
  <c r="AD92" i="3"/>
  <c r="AH92" i="3" s="1"/>
  <c r="AF92" i="3"/>
  <c r="AD93" i="3"/>
  <c r="AH93" i="3" s="1"/>
  <c r="AF93" i="3"/>
  <c r="AD94" i="3"/>
  <c r="AH94" i="3" s="1"/>
  <c r="AF94" i="3"/>
  <c r="AD95" i="3"/>
  <c r="AH95" i="3" s="1"/>
  <c r="AF95" i="3"/>
  <c r="AD96" i="3"/>
  <c r="AH96" i="3" s="1"/>
  <c r="AF96" i="3"/>
  <c r="AD97" i="3"/>
  <c r="AH97" i="3" s="1"/>
  <c r="AF97" i="3"/>
  <c r="AF84" i="3"/>
  <c r="AD84" i="3"/>
  <c r="AH84" i="3" s="1"/>
  <c r="AD71" i="3"/>
  <c r="AH71" i="3" s="1"/>
  <c r="AF71" i="3"/>
  <c r="AD72" i="3"/>
  <c r="AH72" i="3" s="1"/>
  <c r="AF72" i="3"/>
  <c r="AD73" i="3"/>
  <c r="AH73" i="3" s="1"/>
  <c r="AF73" i="3"/>
  <c r="AD74" i="3"/>
  <c r="AH74" i="3" s="1"/>
  <c r="AF74" i="3"/>
  <c r="AD75" i="3"/>
  <c r="AH75" i="3" s="1"/>
  <c r="AF75" i="3"/>
  <c r="AD76" i="3"/>
  <c r="AH76" i="3" s="1"/>
  <c r="AF76" i="3"/>
  <c r="AD77" i="3"/>
  <c r="AH77" i="3" s="1"/>
  <c r="AF77" i="3"/>
  <c r="AD78" i="3"/>
  <c r="AH78" i="3" s="1"/>
  <c r="AF78" i="3"/>
  <c r="AD79" i="3"/>
  <c r="AH79" i="3" s="1"/>
  <c r="AF79" i="3"/>
  <c r="AD80" i="3"/>
  <c r="AH80" i="3" s="1"/>
  <c r="AF80" i="3"/>
  <c r="AD81" i="3"/>
  <c r="AH81" i="3" s="1"/>
  <c r="AF81" i="3"/>
  <c r="AD82" i="3"/>
  <c r="AH82" i="3" s="1"/>
  <c r="AF82" i="3"/>
  <c r="AD83" i="3"/>
  <c r="AH83" i="3" s="1"/>
  <c r="AF83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40" i="3"/>
  <c r="AD41" i="3"/>
  <c r="AH41" i="3" s="1"/>
  <c r="AD42" i="3"/>
  <c r="AH42" i="3" s="1"/>
  <c r="AD43" i="3"/>
  <c r="AH43" i="3" s="1"/>
  <c r="AD44" i="3"/>
  <c r="AH44" i="3" s="1"/>
  <c r="AD45" i="3"/>
  <c r="AH45" i="3" s="1"/>
  <c r="AD46" i="3"/>
  <c r="AH46" i="3" s="1"/>
  <c r="AD47" i="3"/>
  <c r="AH47" i="3" s="1"/>
  <c r="AD48" i="3"/>
  <c r="AH48" i="3" s="1"/>
  <c r="AD49" i="3"/>
  <c r="AH49" i="3" s="1"/>
  <c r="AD50" i="3"/>
  <c r="AH50" i="3" s="1"/>
  <c r="AD51" i="3"/>
  <c r="AH51" i="3" s="1"/>
  <c r="AD52" i="3"/>
  <c r="AH52" i="3" s="1"/>
  <c r="AD53" i="3"/>
  <c r="AH53" i="3" s="1"/>
  <c r="AD54" i="3"/>
  <c r="AH54" i="3" s="1"/>
  <c r="AD55" i="3"/>
  <c r="AH55" i="3" s="1"/>
  <c r="AD56" i="3"/>
  <c r="AH56" i="3" s="1"/>
  <c r="AD57" i="3"/>
  <c r="AH57" i="3" s="1"/>
  <c r="AD58" i="3"/>
  <c r="AH58" i="3" s="1"/>
  <c r="AD59" i="3"/>
  <c r="AH59" i="3" s="1"/>
  <c r="AD60" i="3"/>
  <c r="AH60" i="3" s="1"/>
  <c r="AD61" i="3"/>
  <c r="AH61" i="3" s="1"/>
  <c r="AD62" i="3"/>
  <c r="AH62" i="3" s="1"/>
  <c r="AD63" i="3"/>
  <c r="AH63" i="3" s="1"/>
  <c r="AD64" i="3"/>
  <c r="AH64" i="3" s="1"/>
  <c r="AD65" i="3"/>
  <c r="AH65" i="3" s="1"/>
  <c r="AD66" i="3"/>
  <c r="AH66" i="3" s="1"/>
  <c r="AD67" i="3"/>
  <c r="AH67" i="3" s="1"/>
  <c r="AD68" i="3"/>
  <c r="AH68" i="3" s="1"/>
  <c r="AD69" i="3"/>
  <c r="AH69" i="3" s="1"/>
  <c r="AD70" i="3"/>
  <c r="AH70" i="3" s="1"/>
  <c r="AD40" i="3"/>
  <c r="AH40" i="3" s="1"/>
  <c r="AB38" i="3"/>
  <c r="AB88" i="3" s="1"/>
  <c r="F19" i="3"/>
  <c r="AB47" i="3" l="1"/>
  <c r="AB43" i="3"/>
  <c r="AB59" i="3"/>
  <c r="AB41" i="3"/>
  <c r="AB57" i="3"/>
  <c r="AB67" i="3"/>
  <c r="AB65" i="3"/>
  <c r="AB54" i="3"/>
  <c r="AB63" i="3"/>
  <c r="AB55" i="3"/>
  <c r="AB51" i="3"/>
  <c r="AB49" i="3"/>
  <c r="AB46" i="3"/>
  <c r="AB62" i="3"/>
  <c r="AB61" i="3"/>
  <c r="AB70" i="3"/>
  <c r="AB84" i="3"/>
  <c r="AB76" i="3"/>
  <c r="AB93" i="3"/>
  <c r="AB85" i="3"/>
  <c r="AB81" i="3"/>
  <c r="AB73" i="3"/>
  <c r="AB90" i="3"/>
  <c r="AB53" i="3"/>
  <c r="AB45" i="3"/>
  <c r="AB69" i="3"/>
  <c r="AB78" i="3"/>
  <c r="AB95" i="3"/>
  <c r="AB87" i="3"/>
  <c r="S24" i="3"/>
  <c r="T24" i="3" s="1"/>
  <c r="T13" i="3"/>
  <c r="S14" i="3"/>
  <c r="AB40" i="3"/>
  <c r="AB52" i="3"/>
  <c r="AB44" i="3"/>
  <c r="AB68" i="3"/>
  <c r="AB83" i="3"/>
  <c r="AB75" i="3"/>
  <c r="AB92" i="3"/>
  <c r="AB80" i="3"/>
  <c r="AB72" i="3"/>
  <c r="AB97" i="3"/>
  <c r="AB89" i="3"/>
  <c r="AB58" i="3"/>
  <c r="AB50" i="3"/>
  <c r="AB42" i="3"/>
  <c r="AB66" i="3"/>
  <c r="AB77" i="3"/>
  <c r="AB94" i="3"/>
  <c r="AB86" i="3"/>
  <c r="AB82" i="3"/>
  <c r="AB74" i="3"/>
  <c r="AB91" i="3"/>
  <c r="AB56" i="3"/>
  <c r="AB48" i="3"/>
  <c r="AB60" i="3"/>
  <c r="AB64" i="3"/>
  <c r="AB79" i="3"/>
  <c r="AB71" i="3"/>
  <c r="AB96" i="3"/>
  <c r="F88" i="3"/>
  <c r="K80" i="3"/>
  <c r="K71" i="3"/>
  <c r="K79" i="3"/>
  <c r="K73" i="3"/>
  <c r="J79" i="3" s="1"/>
  <c r="S15" i="3" l="1"/>
  <c r="S23" i="3"/>
  <c r="T23" i="3" s="1"/>
  <c r="T14" i="3"/>
  <c r="J80" i="3"/>
  <c r="X107" i="3"/>
  <c r="X108" i="3" s="1"/>
  <c r="X109" i="3" s="1"/>
  <c r="X110" i="3" s="1"/>
  <c r="X111" i="3" s="1"/>
  <c r="X112" i="3" s="1"/>
  <c r="X113" i="3" s="1"/>
  <c r="X114" i="3" s="1"/>
  <c r="S16" i="3" l="1"/>
  <c r="S22" i="3"/>
  <c r="T22" i="3" s="1"/>
  <c r="T15" i="3"/>
  <c r="D71" i="3"/>
  <c r="G71" i="3"/>
  <c r="E71" i="3" s="1"/>
  <c r="D72" i="3"/>
  <c r="G72" i="3"/>
  <c r="E72" i="3" s="1"/>
  <c r="D73" i="3"/>
  <c r="G73" i="3"/>
  <c r="E73" i="3" s="1"/>
  <c r="D74" i="3"/>
  <c r="G74" i="3"/>
  <c r="E74" i="3" s="1"/>
  <c r="D75" i="3"/>
  <c r="G75" i="3"/>
  <c r="E75" i="3" s="1"/>
  <c r="D76" i="3"/>
  <c r="G76" i="3"/>
  <c r="E76" i="3" s="1"/>
  <c r="D77" i="3"/>
  <c r="G77" i="3"/>
  <c r="E77" i="3" s="1"/>
  <c r="D78" i="3"/>
  <c r="G78" i="3"/>
  <c r="E78" i="3" s="1"/>
  <c r="D79" i="3"/>
  <c r="G79" i="3"/>
  <c r="E79" i="3" s="1"/>
  <c r="D80" i="3"/>
  <c r="G80" i="3"/>
  <c r="E80" i="3" s="1"/>
  <c r="D81" i="3"/>
  <c r="G81" i="3"/>
  <c r="E81" i="3" s="1"/>
  <c r="S21" i="3" l="1"/>
  <c r="T21" i="3" s="1"/>
  <c r="T16" i="3"/>
  <c r="S17" i="3"/>
  <c r="K76" i="3"/>
  <c r="K74" i="3"/>
  <c r="K72" i="3"/>
  <c r="J72" i="3"/>
  <c r="K75" i="3"/>
  <c r="J74" i="3"/>
  <c r="J76" i="3"/>
  <c r="J75" i="3"/>
  <c r="J73" i="3"/>
  <c r="J71" i="3"/>
  <c r="S18" i="3" l="1"/>
  <c r="S20" i="3"/>
  <c r="T20" i="3" s="1"/>
  <c r="T17" i="3"/>
  <c r="F18" i="3"/>
  <c r="F17" i="3"/>
  <c r="S19" i="3" l="1"/>
  <c r="T19" i="3" s="1"/>
  <c r="T18" i="3"/>
  <c r="J1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Jose Nuñez</author>
    <author>María José Núñez</author>
  </authors>
  <commentList>
    <comment ref="M9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Según la literatura tiene un valor de 2,0.
</t>
        </r>
      </text>
    </comment>
    <comment ref="T58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#2</t>
        </r>
      </text>
    </comment>
    <comment ref="T59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2in</t>
        </r>
      </text>
    </comment>
    <comment ref="R63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Capitulo 4 "Analytical Modeling of Cyclic Shear Flexure Interaction in RC Walls" (2013)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María José Núñez</author>
  </authors>
  <commentList>
    <comment ref="T5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#2</t>
        </r>
      </text>
    </comment>
    <comment ref="T5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2in</t>
        </r>
      </text>
    </comment>
    <comment ref="R6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Capitulo 4 "Analytical Modeling of Cyclic Shear Flexure Interaction in RC Walls" (2013)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María José Núñez</author>
  </authors>
  <commentList>
    <comment ref="E3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  <comment ref="E50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  <comment ref="E69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María José Núñez</author>
  </authors>
  <commentList>
    <comment ref="D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Rango:</t>
        </r>
        <r>
          <rPr>
            <sz val="9"/>
            <color indexed="81"/>
            <rFont val="Tahoma"/>
            <family val="2"/>
          </rPr>
          <t xml:space="preserve">
"0.001 0.0025 0.005 0.0075 0.01 0.015 0.02 0.03"</t>
        </r>
      </text>
    </comment>
  </commentList>
</comments>
</file>

<file path=xl/sharedStrings.xml><?xml version="1.0" encoding="utf-8"?>
<sst xmlns="http://schemas.openxmlformats.org/spreadsheetml/2006/main" count="872" uniqueCount="380">
  <si>
    <t>m</t>
  </si>
  <si>
    <t>tw</t>
  </si>
  <si>
    <t>cm</t>
  </si>
  <si>
    <t>Propiedades Acero</t>
  </si>
  <si>
    <t>Comando OpenSees</t>
  </si>
  <si>
    <t>Refuerzo transversal (dirección X)</t>
  </si>
  <si>
    <t>Tipo</t>
  </si>
  <si>
    <t>Resistencia de fluencia (T/C)</t>
  </si>
  <si>
    <t>fyX</t>
  </si>
  <si>
    <t>kgf/cm2</t>
  </si>
  <si>
    <t>Armadura</t>
  </si>
  <si>
    <t xml:space="preserve">Pendiente de endurecimiento </t>
  </si>
  <si>
    <t>bx</t>
  </si>
  <si>
    <t>Refuerzo transversal - alma (dirección Y)</t>
  </si>
  <si>
    <t>fyYw</t>
  </si>
  <si>
    <t>byw</t>
  </si>
  <si>
    <t>Refuerzo longitudinal - borde (Y direction)</t>
  </si>
  <si>
    <t>fyYb</t>
  </si>
  <si>
    <t>byb</t>
  </si>
  <si>
    <t xml:space="preserve">Módulo de Young </t>
  </si>
  <si>
    <t>Es</t>
  </si>
  <si>
    <t xml:space="preserve">Inicial value of curvature parameter </t>
  </si>
  <si>
    <t>R0</t>
  </si>
  <si>
    <t>valor recomendado</t>
  </si>
  <si>
    <t xml:space="preserve">Curvature degradation parameter </t>
  </si>
  <si>
    <t>cR1 (ó A1)</t>
  </si>
  <si>
    <t>cR2 (ó A2)</t>
  </si>
  <si>
    <t>Propiedades Hormigón</t>
  </si>
  <si>
    <t>uniaxialMaterial ConcreteCM </t>
  </si>
  <si>
    <t>Hormigón no confinado en compresión</t>
  </si>
  <si>
    <t>Resistencia máxima</t>
  </si>
  <si>
    <t>fpc</t>
  </si>
  <si>
    <t>Deformación en la resistencia máxima</t>
  </si>
  <si>
    <t>ec0</t>
  </si>
  <si>
    <t>Deformación crítica</t>
  </si>
  <si>
    <t>xcrnu</t>
  </si>
  <si>
    <t>Parámetro de forma</t>
  </si>
  <si>
    <t xml:space="preserve">Hormigón confinado en compresión </t>
  </si>
  <si>
    <t>Peak compressive stress</t>
  </si>
  <si>
    <t>fpcc</t>
  </si>
  <si>
    <t>Strain at peak compressive stress</t>
  </si>
  <si>
    <t>ec0c</t>
  </si>
  <si>
    <t>Young's modulus</t>
  </si>
  <si>
    <t>xcrnc</t>
  </si>
  <si>
    <t>Hormigón en tracción</t>
  </si>
  <si>
    <t xml:space="preserve">Tensión máxima de tracción </t>
  </si>
  <si>
    <t>Deformación en tracción máxima</t>
  </si>
  <si>
    <t>et</t>
  </si>
  <si>
    <t>xcrp</t>
  </si>
  <si>
    <t>rt</t>
  </si>
  <si>
    <t>FSAM</t>
  </si>
  <si>
    <t>nDMaterial FSAM</t>
  </si>
  <si>
    <t>Cuantía de refuerzo (Y, X dir. alma)</t>
  </si>
  <si>
    <t>Armadura transversal</t>
  </si>
  <si>
    <t>Diametro</t>
  </si>
  <si>
    <t>φ</t>
  </si>
  <si>
    <t>mm</t>
  </si>
  <si>
    <t>Espaciamiento</t>
  </si>
  <si>
    <t>s</t>
  </si>
  <si>
    <t xml:space="preserve">Área </t>
  </si>
  <si>
    <t>As/s</t>
  </si>
  <si>
    <t>Cuantía de refuerzo</t>
  </si>
  <si>
    <t>Cuantía de refuerzo (Y dir. borde)</t>
  </si>
  <si>
    <t>Armadura longitudinal</t>
  </si>
  <si>
    <t>Numero de barras</t>
  </si>
  <si>
    <t>n_b</t>
  </si>
  <si>
    <t xml:space="preserve">Area </t>
  </si>
  <si>
    <t>As</t>
  </si>
  <si>
    <t>cm2</t>
  </si>
  <si>
    <t>Reinforcing ratio (X dir. boundary)</t>
  </si>
  <si>
    <t>Armadura de corte</t>
  </si>
  <si>
    <t>Número de ramas</t>
  </si>
  <si>
    <t>n_ramas</t>
  </si>
  <si>
    <t>Parameters of shear resisting mechanism</t>
  </si>
  <si>
    <t>Concrete friction coefficient</t>
  </si>
  <si>
    <t>nu</t>
  </si>
  <si>
    <t xml:space="preserve">   ϵ   [0.0; 1.5]</t>
  </si>
  <si>
    <t xml:space="preserve">Stiffness coefficient of reinf.dowel action </t>
  </si>
  <si>
    <t>alfadow</t>
  </si>
  <si>
    <t xml:space="preserve">   ϵ   [0.0; 0.05]</t>
  </si>
  <si>
    <t>NODOS</t>
  </si>
  <si>
    <t>Número de elementos SFI-MVLEM</t>
  </si>
  <si>
    <t>n</t>
  </si>
  <si>
    <t>Discretización a lo largo de la altura del muro</t>
  </si>
  <si>
    <t xml:space="preserve">Discretización de sección transversal del muro </t>
  </si>
  <si>
    <t xml:space="preserve">Número de macro-fibras (RC panel element) </t>
  </si>
  <si>
    <t>Altura de elementos SFI-MVLEM</t>
  </si>
  <si>
    <t xml:space="preserve"> m_1, m_8</t>
  </si>
  <si>
    <t>[m_2,…, m_7]</t>
  </si>
  <si>
    <t>Largo de macro-fibras</t>
  </si>
  <si>
    <t>Nodo</t>
  </si>
  <si>
    <t>N = (10%-15%)Ag*f'c</t>
  </si>
  <si>
    <t>kgf</t>
  </si>
  <si>
    <t>N</t>
  </si>
  <si>
    <t>Número de ciclos</t>
  </si>
  <si>
    <t xml:space="preserve">Tolerancia </t>
  </si>
  <si>
    <t>Push</t>
  </si>
  <si>
    <t>Deriva</t>
  </si>
  <si>
    <t>Tipo de análisis</t>
  </si>
  <si>
    <t>Desplazamiento controlado</t>
  </si>
  <si>
    <t>iDmax</t>
  </si>
  <si>
    <t>Dincr</t>
  </si>
  <si>
    <t>Incremento de desplazamiento</t>
  </si>
  <si>
    <t>Tipo de ciclo</t>
  </si>
  <si>
    <t>CycleType</t>
  </si>
  <si>
    <t>Ncycles</t>
  </si>
  <si>
    <t>Tol</t>
  </si>
  <si>
    <t>Desplazamiento de techo objetivo</t>
  </si>
  <si>
    <t>Deriva [%]</t>
  </si>
  <si>
    <t>Desplazamiento [m]</t>
  </si>
  <si>
    <t xml:space="preserve">Nro iteraciones </t>
  </si>
  <si>
    <t>Propiedades hormigón</t>
  </si>
  <si>
    <t>Análisis Estático</t>
  </si>
  <si>
    <t>Carga</t>
  </si>
  <si>
    <t>Carga de tipo axial</t>
  </si>
  <si>
    <t>SFI_MVLEM_Eje14Simplificado.tcl</t>
  </si>
  <si>
    <t>Archivo tcl</t>
  </si>
  <si>
    <t>dispControl_Eje14Simplificado.tcl</t>
  </si>
  <si>
    <t>LibAnalysisStaticParameters.tcl</t>
  </si>
  <si>
    <t>Tipo de test</t>
  </si>
  <si>
    <t>NormDispIncr</t>
  </si>
  <si>
    <t>Nro iteraciones</t>
  </si>
  <si>
    <t>maxNumIterStatic</t>
  </si>
  <si>
    <t>testTypeStatic</t>
  </si>
  <si>
    <t>RelativeEnergyIncr</t>
  </si>
  <si>
    <t>maxNumIterConvergeStatic</t>
  </si>
  <si>
    <t>Nro iteraciones test</t>
  </si>
  <si>
    <t>Largo muro</t>
  </si>
  <si>
    <t>Espesor muro</t>
  </si>
  <si>
    <t>Recubrimiento muro</t>
  </si>
  <si>
    <t>Hsec</t>
  </si>
  <si>
    <t>Bsec</t>
  </si>
  <si>
    <t>coverSec</t>
  </si>
  <si>
    <t>Diámetro</t>
  </si>
  <si>
    <t>Número de barras fibra superior</t>
  </si>
  <si>
    <t>numBarsTop</t>
  </si>
  <si>
    <t>Número de barras fibra inferior</t>
  </si>
  <si>
    <t>numBarsBot</t>
  </si>
  <si>
    <t>Número de barras intermedias</t>
  </si>
  <si>
    <t>barAreaTop</t>
  </si>
  <si>
    <t>barAreaBot</t>
  </si>
  <si>
    <t>barAreaInt</t>
  </si>
  <si>
    <t>Nro de fibras en dirección Y</t>
  </si>
  <si>
    <t>nfY</t>
  </si>
  <si>
    <t>Nro de fibras en dirección Z</t>
  </si>
  <si>
    <t>nfZ</t>
  </si>
  <si>
    <t>x1</t>
  </si>
  <si>
    <t>y1</t>
  </si>
  <si>
    <t>x2</t>
  </si>
  <si>
    <t>y2</t>
  </si>
  <si>
    <t>x</t>
  </si>
  <si>
    <t>y</t>
  </si>
  <si>
    <t xml:space="preserve">Lado corto </t>
  </si>
  <si>
    <t>Lado largo</t>
  </si>
  <si>
    <t>TABLE:  Moment Curvature Data"</t>
  </si>
  <si>
    <t>Point</t>
  </si>
  <si>
    <t>Moment</t>
  </si>
  <si>
    <t>Curvature</t>
  </si>
  <si>
    <t>kgf-cm</t>
  </si>
  <si>
    <t>rad/cm</t>
  </si>
  <si>
    <t>Bar ID</t>
  </si>
  <si>
    <t>Área</t>
  </si>
  <si>
    <t>[mm2]</t>
  </si>
  <si>
    <t>[cm2]</t>
  </si>
  <si>
    <t>[mm]</t>
  </si>
  <si>
    <t>[cm]</t>
  </si>
  <si>
    <t>6mm</t>
  </si>
  <si>
    <t>8mm</t>
  </si>
  <si>
    <t>10mm</t>
  </si>
  <si>
    <t>12mm</t>
  </si>
  <si>
    <t>16mm</t>
  </si>
  <si>
    <t>18mm</t>
  </si>
  <si>
    <t>22mm</t>
  </si>
  <si>
    <t>25mm</t>
  </si>
  <si>
    <t>28mm</t>
  </si>
  <si>
    <t>32mm</t>
  </si>
  <si>
    <t>36mm</t>
  </si>
  <si>
    <t>ANALISIS SECCIONAL OPENSEES</t>
  </si>
  <si>
    <t>ANALISIS SECCIONAL MEDIANTE 'SECTION DESIGNER' ETABS</t>
  </si>
  <si>
    <t>Reinforcement bar size</t>
  </si>
  <si>
    <t>Material Name</t>
  </si>
  <si>
    <t>Material Type</t>
  </si>
  <si>
    <t>Rebar</t>
  </si>
  <si>
    <t>Weight per Unit Volume</t>
  </si>
  <si>
    <t>kgf/cm3</t>
  </si>
  <si>
    <t>Modulus of Elasticity</t>
  </si>
  <si>
    <t>Material Propierties Data</t>
  </si>
  <si>
    <t>Material Property Design Data</t>
  </si>
  <si>
    <t>E</t>
  </si>
  <si>
    <t>Fy</t>
  </si>
  <si>
    <t>Fu</t>
  </si>
  <si>
    <t>Fye</t>
  </si>
  <si>
    <t>Fue</t>
  </si>
  <si>
    <t>Minimum Yield Strength</t>
  </si>
  <si>
    <t>Minimum Tensile Strength</t>
  </si>
  <si>
    <t>Expected Yield Strength</t>
  </si>
  <si>
    <t>Expected Tensile Strength</t>
  </si>
  <si>
    <t>Nonlinear Material Data - Stress Strain Curve Definition Options</t>
  </si>
  <si>
    <t>Strain</t>
  </si>
  <si>
    <t>Stress</t>
  </si>
  <si>
    <t>Puntos obtenidos de Tesis de Betzabeth</t>
  </si>
  <si>
    <t>ru = f'c/5.2-1.9 [MPa]</t>
  </si>
  <si>
    <t>rc = f'c/5,2-1,9 [MPa]</t>
  </si>
  <si>
    <t>ft = 0,31*f'c^(1/2)  [MPa]</t>
  </si>
  <si>
    <t>Ec = 4700*f'c^(1/2)  [MPa]</t>
  </si>
  <si>
    <t>MATLAB</t>
  </si>
  <si>
    <t>Perfil de deformaciones</t>
  </si>
  <si>
    <t>Acero</t>
  </si>
  <si>
    <t>Barra#25</t>
  </si>
  <si>
    <t>HNoConfinado</t>
  </si>
  <si>
    <t>Concrete</t>
  </si>
  <si>
    <t>f'c</t>
  </si>
  <si>
    <t>Specified Concrete Compressive Strength</t>
  </si>
  <si>
    <t>HconfinadoB-B</t>
  </si>
  <si>
    <t>Largo (cm)</t>
  </si>
  <si>
    <t>Fuerza Axial</t>
  </si>
  <si>
    <t>Hormigón</t>
  </si>
  <si>
    <t>Seccion HNC</t>
  </si>
  <si>
    <t>Seccion HC</t>
  </si>
  <si>
    <t xml:space="preserve">DIBUJO SECCION TRANSVERSAL </t>
  </si>
  <si>
    <t>PROPIEDADES DE LOS MATERIALES</t>
  </si>
  <si>
    <t>Ancho (cm)</t>
  </si>
  <si>
    <t>Seccion hormigón</t>
  </si>
  <si>
    <t>Refuerzo de acero</t>
  </si>
  <si>
    <t>DIAGRAMA MOMENTO - CURVATURA</t>
  </si>
  <si>
    <t>Settings</t>
  </si>
  <si>
    <t>Axial Force</t>
  </si>
  <si>
    <t>Angle</t>
  </si>
  <si>
    <t>deg</t>
  </si>
  <si>
    <t>P</t>
  </si>
  <si>
    <t>Sección no Fisurada (Elástico)</t>
  </si>
  <si>
    <t>Momento de fisuración</t>
  </si>
  <si>
    <t xml:space="preserve">Curvatura de fisuración </t>
  </si>
  <si>
    <t>Sección Fisurada (Fisurado)</t>
  </si>
  <si>
    <t>Sección plastificada</t>
  </si>
  <si>
    <t>Momento de plastificación</t>
  </si>
  <si>
    <t>Curvatura de plastificación</t>
  </si>
  <si>
    <t>Momento último</t>
  </si>
  <si>
    <t>Curvatura última</t>
  </si>
  <si>
    <t>187825854,39</t>
  </si>
  <si>
    <t>301788205,76</t>
  </si>
  <si>
    <t>418061739,99</t>
  </si>
  <si>
    <t>441715439,03</t>
  </si>
  <si>
    <t>460772108,03</t>
  </si>
  <si>
    <t>478747453,75</t>
  </si>
  <si>
    <t>495542122,06</t>
  </si>
  <si>
    <t>512781964,98</t>
  </si>
  <si>
    <t>530858385,91</t>
  </si>
  <si>
    <t>549855168,16</t>
  </si>
  <si>
    <t>569876899,15</t>
  </si>
  <si>
    <t>591049370,28</t>
  </si>
  <si>
    <t>612809018,54</t>
  </si>
  <si>
    <t>635357296,65</t>
  </si>
  <si>
    <t>220876651,91</t>
  </si>
  <si>
    <t>221440763,52</t>
  </si>
  <si>
    <t>221845761,65</t>
  </si>
  <si>
    <t>222201925,79</t>
  </si>
  <si>
    <t>222495633,15</t>
  </si>
  <si>
    <t>numBarsIntTot</t>
  </si>
  <si>
    <t>ycoord [cm]</t>
  </si>
  <si>
    <t>zcoord [cm]</t>
  </si>
  <si>
    <t>2530281,44</t>
  </si>
  <si>
    <t>5731513,31</t>
  </si>
  <si>
    <t>7193866,66</t>
  </si>
  <si>
    <t>7547974,68</t>
  </si>
  <si>
    <t>7947882,85</t>
  </si>
  <si>
    <t>8393717,16</t>
  </si>
  <si>
    <t>8891714,35</t>
  </si>
  <si>
    <t>9437350,62</t>
  </si>
  <si>
    <t>10026859,05</t>
  </si>
  <si>
    <t>10647999,74</t>
  </si>
  <si>
    <t>11305109,62</t>
  </si>
  <si>
    <t>12005879,34</t>
  </si>
  <si>
    <t>12552377,29</t>
  </si>
  <si>
    <t>514367,32</t>
  </si>
  <si>
    <t>532365,39</t>
  </si>
  <si>
    <t>535939,04</t>
  </si>
  <si>
    <t>444229,92</t>
  </si>
  <si>
    <t>383018,14</t>
  </si>
  <si>
    <t>336023,18</t>
  </si>
  <si>
    <t>181865134,65</t>
  </si>
  <si>
    <t>251835112,4</t>
  </si>
  <si>
    <t>262917204,33</t>
  </si>
  <si>
    <t>275227745,86</t>
  </si>
  <si>
    <t>288989330,52</t>
  </si>
  <si>
    <t>304462621,82</t>
  </si>
  <si>
    <t>321543502,25</t>
  </si>
  <si>
    <t>340533944,98</t>
  </si>
  <si>
    <t>360945594,8</t>
  </si>
  <si>
    <t>382795197,43</t>
  </si>
  <si>
    <t>406171978,2</t>
  </si>
  <si>
    <t>431156837,82</t>
  </si>
  <si>
    <t>110276824,02</t>
  </si>
  <si>
    <t>8834553,94</t>
  </si>
  <si>
    <t>9188798,61</t>
  </si>
  <si>
    <t>9468449,67</t>
  </si>
  <si>
    <t>9888774,76</t>
  </si>
  <si>
    <t>10077951,04</t>
  </si>
  <si>
    <t>M_cr</t>
  </si>
  <si>
    <t>φ_cr</t>
  </si>
  <si>
    <t>M_y</t>
  </si>
  <si>
    <t>φ_y</t>
  </si>
  <si>
    <t>M_n</t>
  </si>
  <si>
    <t>φ_u</t>
  </si>
  <si>
    <t>ρ = As/(tw*s)</t>
  </si>
  <si>
    <t>ρt = 2*As/(tw*s)</t>
  </si>
  <si>
    <t>ρl = 2*As/(tw*L_alma)</t>
  </si>
  <si>
    <t>PC: Prueba 1</t>
  </si>
  <si>
    <t>PC: Prueba 1_1</t>
  </si>
  <si>
    <t>PC: Prueba 2</t>
  </si>
  <si>
    <t>in</t>
  </si>
  <si>
    <t>X cord [in]</t>
  </si>
  <si>
    <t>Y cord [in]</t>
  </si>
  <si>
    <t>$iter (test NormDispIncr)</t>
  </si>
  <si>
    <t>SFI_MVLEM_E14</t>
  </si>
  <si>
    <t>dispControl_E14</t>
  </si>
  <si>
    <t>LibAnalysisStaticParameters</t>
  </si>
  <si>
    <t>TolStatic</t>
  </si>
  <si>
    <t>EnergyIncr</t>
  </si>
  <si>
    <t>Original</t>
  </si>
  <si>
    <t>rango</t>
  </si>
  <si>
    <t>Full</t>
  </si>
  <si>
    <t>RESULTADOS</t>
  </si>
  <si>
    <t xml:space="preserve">Load Step </t>
  </si>
  <si>
    <t>Roof  Disp (inch)</t>
  </si>
  <si>
    <t>t_ejecucion (min)</t>
  </si>
  <si>
    <t>08:040</t>
  </si>
  <si>
    <t>X cord [mm]</t>
  </si>
  <si>
    <t>Y cord [mm]</t>
  </si>
  <si>
    <t>hw</t>
  </si>
  <si>
    <t>lw</t>
  </si>
  <si>
    <t>element MEFI</t>
  </si>
  <si>
    <t xml:space="preserve">Altura muro </t>
  </si>
  <si>
    <t>RC WALL SPECIMEN: RW-A20-P10-S38 (Tran and Wallace, 2012)</t>
  </si>
  <si>
    <t>tb</t>
  </si>
  <si>
    <t>Espesor viga de transf. de carga</t>
  </si>
  <si>
    <t>IMPLEMENTACIÓN RW-A20-P10-S38</t>
  </si>
  <si>
    <t>uniaxialMaterial Steel02</t>
  </si>
  <si>
    <t>MPa</t>
  </si>
  <si>
    <t>Largo borde discretización</t>
  </si>
  <si>
    <t>db</t>
  </si>
  <si>
    <t>ρ = As/(tw*db)</t>
  </si>
  <si>
    <t>mm2</t>
  </si>
  <si>
    <t>mm2/mm</t>
  </si>
  <si>
    <t xml:space="preserve">#2@2in </t>
  </si>
  <si>
    <t>8#4</t>
  </si>
  <si>
    <t>MEFI</t>
  </si>
  <si>
    <t>D6b@5.5in</t>
  </si>
  <si>
    <t xml:space="preserve">D6a@5.5in </t>
  </si>
  <si>
    <t>D6a@5.5in / D6b@5.5 in</t>
  </si>
  <si>
    <t>Aspect ratio</t>
  </si>
  <si>
    <t>hw/lw</t>
  </si>
  <si>
    <t>shear-controlled</t>
  </si>
  <si>
    <t>Moderate aspect ratio</t>
  </si>
  <si>
    <t>Height [in]</t>
  </si>
  <si>
    <t>Height [mm]</t>
  </si>
  <si>
    <t>Positive</t>
  </si>
  <si>
    <t>Negative</t>
  </si>
  <si>
    <t>Hw [mm]</t>
  </si>
  <si>
    <t>Dincr [mm]</t>
  </si>
  <si>
    <t>drift [%]</t>
  </si>
  <si>
    <t>∆ [mm]</t>
  </si>
  <si>
    <t>NstepsPeak</t>
  </si>
  <si>
    <t>Valor entero NstepsPeak</t>
  </si>
  <si>
    <t>∆ real [mm]</t>
  </si>
  <si>
    <t>Load Steps</t>
  </si>
  <si>
    <t>Modelo</t>
  </si>
  <si>
    <t>Test</t>
  </si>
  <si>
    <t>Load Step inicio drift</t>
  </si>
  <si>
    <t>Load Step fin drift</t>
  </si>
  <si>
    <t>Gfc</t>
  </si>
  <si>
    <t>N/mm</t>
  </si>
  <si>
    <t>ec</t>
  </si>
  <si>
    <t>Lelem</t>
  </si>
  <si>
    <t>er</t>
  </si>
  <si>
    <t>Ec</t>
  </si>
  <si>
    <t>No confinado</t>
  </si>
  <si>
    <t>Confinado</t>
  </si>
  <si>
    <t>K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</si>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</sst>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"/>
    <numFmt numFmtId="166" formatCode="0.0000"/>
    <numFmt numFmtId="167" formatCode="0.0"/>
    <numFmt numFmtId="168" formatCode="0.00000"/>
    <numFmt numFmtId="169" formatCode="0.00000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i/>
      <sz val="9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4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Calibri"/>
      <family val="2"/>
      <scheme val="minor"/>
    </font>
    <font>
      <sz val="11"/>
      <color rgb="FFFF000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70C0"/>
      <name val="Times New Roman"/>
      <family val="1"/>
    </font>
    <font>
      <sz val="11"/>
      <color rgb="FF9C5700"/>
      <name val="Calibri"/>
      <family val="2"/>
      <scheme val="minor"/>
    </font>
    <font>
      <sz val="10"/>
      <color theme="0" tint="-0.499984740745262"/>
      <name val="Times New Roman"/>
      <family val="1"/>
    </font>
    <font>
      <b/>
      <sz val="10"/>
      <color theme="0" tint="-0.499984740745262"/>
      <name val="Times New Roman"/>
      <family val="1"/>
    </font>
    <font>
      <i/>
      <sz val="10"/>
      <color theme="0" tint="-0.499984740745262"/>
      <name val="Times New Roman"/>
      <family val="1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2" fillId="9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284">
    <xf numFmtId="0" fontId="0" fillId="0" borderId="0" xfId="0"/>
    <xf numFmtId="0" fontId="3" fillId="0" borderId="4" xfId="0" applyFont="1" applyBorder="1"/>
    <xf numFmtId="0" fontId="2" fillId="0" borderId="4" xfId="0" applyFont="1" applyBorder="1"/>
    <xf numFmtId="0" fontId="6" fillId="0" borderId="4" xfId="0" applyFont="1" applyBorder="1"/>
    <xf numFmtId="0" fontId="6" fillId="0" borderId="4" xfId="0" applyFont="1" applyBorder="1" applyAlignment="1">
      <alignment horizontal="right"/>
    </xf>
    <xf numFmtId="0" fontId="6" fillId="0" borderId="4" xfId="0" applyFont="1" applyBorder="1" applyAlignment="1">
      <alignment horizontal="left"/>
    </xf>
    <xf numFmtId="0" fontId="3" fillId="0" borderId="5" xfId="0" applyFont="1" applyBorder="1"/>
    <xf numFmtId="0" fontId="2" fillId="0" borderId="5" xfId="0" applyFont="1" applyBorder="1"/>
    <xf numFmtId="0" fontId="2" fillId="0" borderId="4" xfId="0" applyFont="1" applyBorder="1" applyAlignment="1">
      <alignment horizontal="right"/>
    </xf>
    <xf numFmtId="0" fontId="2" fillId="2" borderId="4" xfId="0" applyFont="1" applyFill="1" applyBorder="1" applyAlignment="1">
      <alignment horizontal="left"/>
    </xf>
    <xf numFmtId="0" fontId="4" fillId="0" borderId="5" xfId="0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14" xfId="0" applyFont="1" applyBorder="1"/>
    <xf numFmtId="0" fontId="4" fillId="0" borderId="14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0" xfId="0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16" xfId="0" applyFont="1" applyBorder="1"/>
    <xf numFmtId="0" fontId="2" fillId="0" borderId="17" xfId="0" applyFont="1" applyBorder="1"/>
    <xf numFmtId="0" fontId="7" fillId="0" borderId="16" xfId="0" applyFont="1" applyBorder="1"/>
    <xf numFmtId="0" fontId="3" fillId="0" borderId="0" xfId="0" applyFont="1"/>
    <xf numFmtId="0" fontId="2" fillId="2" borderId="0" xfId="0" applyFont="1" applyFill="1" applyAlignment="1">
      <alignment horizontal="left"/>
    </xf>
    <xf numFmtId="0" fontId="4" fillId="0" borderId="10" xfId="0" applyFont="1" applyBorder="1"/>
    <xf numFmtId="0" fontId="4" fillId="0" borderId="16" xfId="0" applyFont="1" applyBorder="1"/>
    <xf numFmtId="0" fontId="8" fillId="0" borderId="0" xfId="0" applyFont="1"/>
    <xf numFmtId="165" fontId="2" fillId="0" borderId="0" xfId="0" applyNumberFormat="1" applyFont="1" applyAlignment="1">
      <alignment horizontal="left"/>
    </xf>
    <xf numFmtId="166" fontId="2" fillId="3" borderId="0" xfId="0" applyNumberFormat="1" applyFont="1" applyFill="1" applyAlignment="1">
      <alignment horizontal="left"/>
    </xf>
    <xf numFmtId="0" fontId="2" fillId="0" borderId="10" xfId="0" applyFont="1" applyBorder="1" applyAlignment="1">
      <alignment horizontal="right"/>
    </xf>
    <xf numFmtId="0" fontId="2" fillId="0" borderId="12" xfId="0" applyFont="1" applyBorder="1"/>
    <xf numFmtId="0" fontId="2" fillId="0" borderId="12" xfId="0" applyFont="1" applyBorder="1" applyAlignment="1">
      <alignment horizontal="right"/>
    </xf>
    <xf numFmtId="0" fontId="2" fillId="2" borderId="12" xfId="0" applyFont="1" applyFill="1" applyBorder="1" applyAlignment="1">
      <alignment horizontal="left"/>
    </xf>
    <xf numFmtId="0" fontId="2" fillId="0" borderId="13" xfId="0" applyFont="1" applyBorder="1" applyAlignment="1">
      <alignment horizontal="right"/>
    </xf>
    <xf numFmtId="0" fontId="5" fillId="0" borderId="0" xfId="0" applyFont="1"/>
    <xf numFmtId="0" fontId="5" fillId="0" borderId="10" xfId="0" applyFont="1" applyBorder="1"/>
    <xf numFmtId="0" fontId="2" fillId="0" borderId="1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5" fillId="0" borderId="5" xfId="0" applyFont="1" applyBorder="1"/>
    <xf numFmtId="0" fontId="5" fillId="0" borderId="17" xfId="0" applyFont="1" applyBorder="1"/>
    <xf numFmtId="0" fontId="12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4" fontId="12" fillId="0" borderId="0" xfId="0" applyNumberFormat="1" applyFont="1" applyAlignment="1">
      <alignment horizontal="left"/>
    </xf>
    <xf numFmtId="0" fontId="15" fillId="0" borderId="20" xfId="0" applyFont="1" applyBorder="1"/>
    <xf numFmtId="0" fontId="12" fillId="0" borderId="21" xfId="0" applyFont="1" applyBorder="1"/>
    <xf numFmtId="0" fontId="12" fillId="0" borderId="20" xfId="0" applyFont="1" applyBorder="1"/>
    <xf numFmtId="0" fontId="0" fillId="0" borderId="21" xfId="0" applyBorder="1"/>
    <xf numFmtId="0" fontId="13" fillId="4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0" fontId="12" fillId="0" borderId="22" xfId="0" applyFont="1" applyBorder="1"/>
    <xf numFmtId="0" fontId="12" fillId="0" borderId="4" xfId="0" applyFont="1" applyBorder="1"/>
    <xf numFmtId="11" fontId="12" fillId="0" borderId="4" xfId="0" applyNumberFormat="1" applyFont="1" applyBorder="1"/>
    <xf numFmtId="0" fontId="12" fillId="0" borderId="23" xfId="0" applyFont="1" applyBorder="1"/>
    <xf numFmtId="0" fontId="12" fillId="0" borderId="4" xfId="0" applyFont="1" applyBorder="1" applyAlignment="1">
      <alignment horizontal="center"/>
    </xf>
    <xf numFmtId="0" fontId="15" fillId="0" borderId="27" xfId="0" applyFont="1" applyBorder="1"/>
    <xf numFmtId="0" fontId="14" fillId="0" borderId="5" xfId="0" applyFont="1" applyBorder="1"/>
    <xf numFmtId="0" fontId="12" fillId="0" borderId="5" xfId="0" applyFont="1" applyBorder="1"/>
    <xf numFmtId="0" fontId="12" fillId="0" borderId="28" xfId="0" applyFont="1" applyBorder="1"/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left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11" fontId="5" fillId="0" borderId="0" xfId="0" applyNumberFormat="1" applyFont="1"/>
    <xf numFmtId="0" fontId="5" fillId="0" borderId="9" xfId="0" applyFont="1" applyBorder="1"/>
    <xf numFmtId="0" fontId="5" fillId="0" borderId="12" xfId="0" applyFont="1" applyBorder="1" applyAlignment="1">
      <alignment horizontal="right"/>
    </xf>
    <xf numFmtId="0" fontId="5" fillId="0" borderId="12" xfId="0" applyFont="1" applyBorder="1" applyAlignment="1">
      <alignment horizontal="left"/>
    </xf>
    <xf numFmtId="0" fontId="5" fillId="0" borderId="13" xfId="0" applyFont="1" applyBorder="1"/>
    <xf numFmtId="0" fontId="19" fillId="0" borderId="0" xfId="0" applyFont="1"/>
    <xf numFmtId="0" fontId="5" fillId="0" borderId="4" xfId="0" applyFont="1" applyBorder="1"/>
    <xf numFmtId="0" fontId="11" fillId="0" borderId="33" xfId="0" applyFont="1" applyBorder="1" applyAlignment="1">
      <alignment vertical="center"/>
    </xf>
    <xf numFmtId="0" fontId="12" fillId="0" borderId="33" xfId="0" applyFont="1" applyBorder="1"/>
    <xf numFmtId="1" fontId="12" fillId="0" borderId="33" xfId="0" applyNumberFormat="1" applyFont="1" applyBorder="1"/>
    <xf numFmtId="0" fontId="19" fillId="0" borderId="34" xfId="0" applyFont="1" applyBorder="1"/>
    <xf numFmtId="0" fontId="5" fillId="0" borderId="34" xfId="0" applyFont="1" applyBorder="1"/>
    <xf numFmtId="0" fontId="5" fillId="0" borderId="36" xfId="0" applyFont="1" applyBorder="1"/>
    <xf numFmtId="0" fontId="5" fillId="0" borderId="21" xfId="0" applyFont="1" applyBorder="1"/>
    <xf numFmtId="0" fontId="5" fillId="0" borderId="35" xfId="0" applyFont="1" applyBorder="1"/>
    <xf numFmtId="0" fontId="5" fillId="0" borderId="20" xfId="0" applyFont="1" applyBorder="1"/>
    <xf numFmtId="0" fontId="5" fillId="0" borderId="22" xfId="0" applyFont="1" applyBorder="1"/>
    <xf numFmtId="0" fontId="5" fillId="0" borderId="23" xfId="0" applyFont="1" applyBorder="1"/>
    <xf numFmtId="0" fontId="19" fillId="0" borderId="20" xfId="0" applyFont="1" applyBorder="1"/>
    <xf numFmtId="0" fontId="19" fillId="0" borderId="27" xfId="0" applyFont="1" applyBorder="1"/>
    <xf numFmtId="0" fontId="5" fillId="0" borderId="28" xfId="0" applyFont="1" applyBorder="1"/>
    <xf numFmtId="0" fontId="5" fillId="3" borderId="0" xfId="0" applyFont="1" applyFill="1"/>
    <xf numFmtId="0" fontId="5" fillId="0" borderId="35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7" fontId="5" fillId="0" borderId="4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0" fontId="0" fillId="7" borderId="0" xfId="0" applyFill="1"/>
    <xf numFmtId="0" fontId="20" fillId="5" borderId="0" xfId="0" applyFont="1" applyFill="1"/>
    <xf numFmtId="0" fontId="0" fillId="5" borderId="0" xfId="0" applyFill="1"/>
    <xf numFmtId="0" fontId="20" fillId="6" borderId="31" xfId="0" applyFont="1" applyFill="1" applyBorder="1" applyAlignment="1">
      <alignment horizontal="center"/>
    </xf>
    <xf numFmtId="0" fontId="20" fillId="6" borderId="30" xfId="0" applyFont="1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5" fillId="0" borderId="34" xfId="0" applyFont="1" applyBorder="1" applyAlignment="1">
      <alignment horizontal="left"/>
    </xf>
    <xf numFmtId="0" fontId="5" fillId="0" borderId="36" xfId="0" applyFont="1" applyBorder="1" applyAlignment="1">
      <alignment horizontal="left"/>
    </xf>
    <xf numFmtId="11" fontId="5" fillId="0" borderId="0" xfId="0" applyNumberFormat="1" applyFont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21" fillId="2" borderId="0" xfId="0" applyFont="1" applyFill="1" applyAlignment="1">
      <alignment horizontal="left"/>
    </xf>
    <xf numFmtId="0" fontId="21" fillId="2" borderId="4" xfId="0" applyFont="1" applyFill="1" applyBorder="1" applyAlignment="1">
      <alignment horizontal="left"/>
    </xf>
    <xf numFmtId="0" fontId="5" fillId="8" borderId="20" xfId="0" applyFont="1" applyFill="1" applyBorder="1" applyAlignment="1">
      <alignment horizontal="center"/>
    </xf>
    <xf numFmtId="167" fontId="5" fillId="8" borderId="0" xfId="0" applyNumberFormat="1" applyFont="1" applyFill="1" applyAlignment="1">
      <alignment horizontal="center"/>
    </xf>
    <xf numFmtId="165" fontId="5" fillId="8" borderId="0" xfId="0" applyNumberFormat="1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21" xfId="0" applyFont="1" applyFill="1" applyBorder="1" applyAlignment="1">
      <alignment horizontal="center"/>
    </xf>
    <xf numFmtId="168" fontId="5" fillId="0" borderId="0" xfId="0" applyNumberFormat="1" applyFont="1"/>
    <xf numFmtId="165" fontId="5" fillId="0" borderId="0" xfId="0" applyNumberFormat="1" applyFont="1"/>
    <xf numFmtId="0" fontId="1" fillId="0" borderId="0" xfId="0" applyFont="1"/>
    <xf numFmtId="0" fontId="1" fillId="0" borderId="31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67" fontId="5" fillId="0" borderId="0" xfId="0" applyNumberFormat="1" applyFont="1"/>
    <xf numFmtId="0" fontId="1" fillId="0" borderId="5" xfId="0" applyFont="1" applyBorder="1"/>
    <xf numFmtId="0" fontId="22" fillId="9" borderId="0" xfId="1"/>
    <xf numFmtId="11" fontId="5" fillId="0" borderId="4" xfId="0" applyNumberFormat="1" applyFont="1" applyBorder="1" applyAlignment="1">
      <alignment horizontal="left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11" fontId="22" fillId="9" borderId="0" xfId="1" applyNumberFormat="1" applyAlignment="1">
      <alignment vertical="center" wrapText="1"/>
    </xf>
    <xf numFmtId="0" fontId="22" fillId="9" borderId="0" xfId="1" applyAlignment="1">
      <alignment vertical="center" wrapText="1"/>
    </xf>
    <xf numFmtId="169" fontId="2" fillId="0" borderId="0" xfId="0" applyNumberFormat="1" applyFont="1" applyAlignment="1">
      <alignment horizontal="left"/>
    </xf>
    <xf numFmtId="168" fontId="2" fillId="10" borderId="0" xfId="0" applyNumberFormat="1" applyFont="1" applyFill="1" applyAlignment="1">
      <alignment horizontal="left"/>
    </xf>
    <xf numFmtId="0" fontId="12" fillId="0" borderId="0" xfId="0" applyFont="1" applyAlignment="1">
      <alignment horizontal="center" vertical="center"/>
    </xf>
    <xf numFmtId="0" fontId="24" fillId="0" borderId="27" xfId="0" applyFont="1" applyBorder="1"/>
    <xf numFmtId="0" fontId="25" fillId="0" borderId="5" xfId="0" applyFont="1" applyBorder="1"/>
    <xf numFmtId="0" fontId="23" fillId="0" borderId="5" xfId="0" applyFont="1" applyBorder="1"/>
    <xf numFmtId="0" fontId="23" fillId="0" borderId="28" xfId="0" applyFont="1" applyBorder="1"/>
    <xf numFmtId="0" fontId="24" fillId="0" borderId="20" xfId="0" applyFont="1" applyBorder="1"/>
    <xf numFmtId="0" fontId="23" fillId="0" borderId="0" xfId="0" applyFont="1"/>
    <xf numFmtId="0" fontId="23" fillId="0" borderId="21" xfId="0" applyFont="1" applyBorder="1"/>
    <xf numFmtId="0" fontId="23" fillId="0" borderId="20" xfId="0" applyFont="1" applyBorder="1"/>
    <xf numFmtId="0" fontId="23" fillId="0" borderId="0" xfId="0" applyFont="1" applyAlignment="1">
      <alignment horizontal="right"/>
    </xf>
    <xf numFmtId="4" fontId="23" fillId="0" borderId="0" xfId="0" applyNumberFormat="1" applyFont="1" applyAlignment="1">
      <alignment horizontal="left"/>
    </xf>
    <xf numFmtId="0" fontId="26" fillId="0" borderId="21" xfId="0" applyFont="1" applyBorder="1"/>
    <xf numFmtId="0" fontId="23" fillId="0" borderId="0" xfId="0" applyFont="1" applyAlignment="1">
      <alignment horizontal="center"/>
    </xf>
    <xf numFmtId="0" fontId="23" fillId="4" borderId="0" xfId="0" applyFont="1" applyFill="1" applyAlignment="1">
      <alignment vertical="center"/>
    </xf>
    <xf numFmtId="0" fontId="23" fillId="0" borderId="0" xfId="0" applyFont="1" applyAlignment="1">
      <alignment horizontal="left"/>
    </xf>
    <xf numFmtId="0" fontId="23" fillId="0" borderId="22" xfId="0" applyFont="1" applyBorder="1"/>
    <xf numFmtId="0" fontId="23" fillId="0" borderId="4" xfId="0" applyFont="1" applyBorder="1"/>
    <xf numFmtId="11" fontId="23" fillId="0" borderId="4" xfId="0" applyNumberFormat="1" applyFont="1" applyBorder="1"/>
    <xf numFmtId="0" fontId="23" fillId="0" borderId="23" xfId="0" applyFont="1" applyBorder="1"/>
    <xf numFmtId="0" fontId="23" fillId="0" borderId="4" xfId="0" applyFont="1" applyBorder="1" applyAlignment="1">
      <alignment horizontal="center"/>
    </xf>
    <xf numFmtId="0" fontId="4" fillId="0" borderId="4" xfId="0" applyFont="1" applyBorder="1"/>
    <xf numFmtId="166" fontId="2" fillId="0" borderId="12" xfId="0" applyNumberFormat="1" applyFont="1" applyBorder="1" applyAlignment="1">
      <alignment horizontal="right"/>
    </xf>
    <xf numFmtId="0" fontId="5" fillId="0" borderId="2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1" fontId="5" fillId="0" borderId="23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11" fontId="5" fillId="0" borderId="22" xfId="0" applyNumberFormat="1" applyFont="1" applyBorder="1" applyAlignment="1">
      <alignment horizontal="center"/>
    </xf>
    <xf numFmtId="11" fontId="5" fillId="7" borderId="2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166" fontId="5" fillId="0" borderId="0" xfId="0" applyNumberFormat="1" applyFont="1"/>
    <xf numFmtId="166" fontId="5" fillId="0" borderId="10" xfId="0" applyNumberFormat="1" applyFont="1" applyBorder="1" applyAlignment="1">
      <alignment horizontal="center"/>
    </xf>
    <xf numFmtId="166" fontId="5" fillId="0" borderId="13" xfId="0" applyNumberFormat="1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5" fillId="0" borderId="7" xfId="0" applyFont="1" applyBorder="1"/>
    <xf numFmtId="166" fontId="5" fillId="0" borderId="10" xfId="0" applyNumberFormat="1" applyFont="1" applyBorder="1" applyAlignment="1">
      <alignment horizontal="center" vertical="center"/>
    </xf>
    <xf numFmtId="0" fontId="5" fillId="0" borderId="11" xfId="0" applyFont="1" applyBorder="1"/>
    <xf numFmtId="0" fontId="5" fillId="0" borderId="12" xfId="0" applyFont="1" applyBorder="1"/>
    <xf numFmtId="166" fontId="5" fillId="0" borderId="1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2" fontId="2" fillId="2" borderId="0" xfId="0" applyNumberFormat="1" applyFont="1" applyFill="1" applyAlignment="1">
      <alignment horizontal="left"/>
    </xf>
    <xf numFmtId="4" fontId="2" fillId="2" borderId="0" xfId="0" applyNumberFormat="1" applyFont="1" applyFill="1" applyAlignment="1">
      <alignment horizontal="left"/>
    </xf>
    <xf numFmtId="2" fontId="7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5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center" vertical="center"/>
    </xf>
    <xf numFmtId="0" fontId="27" fillId="0" borderId="0" xfId="2" applyBorder="1" applyAlignment="1">
      <alignment horizontal="center"/>
    </xf>
    <xf numFmtId="0" fontId="5" fillId="3" borderId="0" xfId="0" applyFont="1" applyFill="1" applyAlignment="1">
      <alignment horizontal="center"/>
    </xf>
    <xf numFmtId="167" fontId="5" fillId="0" borderId="12" xfId="0" applyNumberFormat="1" applyFont="1" applyBorder="1" applyAlignment="1">
      <alignment horizontal="center" vertical="center"/>
    </xf>
    <xf numFmtId="166" fontId="19" fillId="0" borderId="13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167" fontId="5" fillId="0" borderId="1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3" xfId="0" applyBorder="1" applyAlignment="1">
      <alignment horizontal="center"/>
    </xf>
    <xf numFmtId="10" fontId="0" fillId="0" borderId="27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28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11" fontId="0" fillId="0" borderId="20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21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1" fontId="0" fillId="0" borderId="22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23" xfId="0" applyNumberFormat="1" applyBorder="1" applyAlignment="1">
      <alignment horizontal="center"/>
    </xf>
    <xf numFmtId="0" fontId="28" fillId="0" borderId="0" xfId="0" applyFont="1" applyAlignment="1">
      <alignment horizontal="center"/>
    </xf>
    <xf numFmtId="0" fontId="0" fillId="0" borderId="35" xfId="0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" xfId="0" applyBorder="1" applyAlignment="1">
      <alignment horizontal="center"/>
    </xf>
    <xf numFmtId="0" fontId="29" fillId="0" borderId="36" xfId="0" applyFont="1" applyBorder="1" applyAlignment="1">
      <alignment horizontal="center"/>
    </xf>
    <xf numFmtId="0" fontId="0" fillId="0" borderId="23" xfId="0" applyBorder="1" applyAlignment="1">
      <alignment horizontal="center"/>
    </xf>
    <xf numFmtId="2" fontId="5" fillId="0" borderId="0" xfId="0" applyNumberFormat="1" applyFont="1"/>
    <xf numFmtId="0" fontId="0" fillId="0" borderId="20" xfId="0" applyBorder="1"/>
    <xf numFmtId="0" fontId="0" fillId="0" borderId="35" xfId="0" applyBorder="1"/>
    <xf numFmtId="0" fontId="0" fillId="0" borderId="36" xfId="0" applyBorder="1"/>
    <xf numFmtId="0" fontId="0" fillId="0" borderId="22" xfId="0" applyBorder="1"/>
    <xf numFmtId="0" fontId="0" fillId="0" borderId="23" xfId="0" applyBorder="1"/>
    <xf numFmtId="0" fontId="5" fillId="3" borderId="9" xfId="0" applyFont="1" applyFill="1" applyBorder="1" applyAlignment="1">
      <alignment horizontal="center"/>
    </xf>
    <xf numFmtId="166" fontId="5" fillId="3" borderId="10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3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3" borderId="0" xfId="0" applyFill="1"/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Positive</a:t>
            </a:r>
            <a:r>
              <a:rPr lang="es-CL" baseline="0"/>
              <a:t> Cycles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0,28%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 local exp y analitica'!$D$4:$D$10</c:f>
              <c:numCache>
                <c:formatCode>0.00E+00</c:formatCode>
                <c:ptCount val="7"/>
                <c:pt idx="0">
                  <c:v>-5.2825603426972703E-6</c:v>
                </c:pt>
                <c:pt idx="1">
                  <c:v>1.9496732295356501E-4</c:v>
                </c:pt>
                <c:pt idx="2">
                  <c:v>4.6934124172776402E-4</c:v>
                </c:pt>
                <c:pt idx="3">
                  <c:v>1.03011642914023E-4</c:v>
                </c:pt>
                <c:pt idx="4">
                  <c:v>5.0113957766970803E-7</c:v>
                </c:pt>
                <c:pt idx="5">
                  <c:v>-1.4896888815662899E-6</c:v>
                </c:pt>
                <c:pt idx="6">
                  <c:v>-4.4930938847241501E-6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0-4344-B291-6277981707CC}"/>
            </c:ext>
          </c:extLst>
        </c:ser>
        <c:ser>
          <c:idx val="1"/>
          <c:order val="1"/>
          <c:tx>
            <c:v>0,38%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 local exp y analitica'!$E$4:$E$10</c:f>
              <c:numCache>
                <c:formatCode>0.00E+00</c:formatCode>
                <c:ptCount val="7"/>
                <c:pt idx="0">
                  <c:v>-5.2997226570011297E-6</c:v>
                </c:pt>
                <c:pt idx="1">
                  <c:v>3.0175124255155502E-4</c:v>
                </c:pt>
                <c:pt idx="2">
                  <c:v>6.95471894994096E-4</c:v>
                </c:pt>
                <c:pt idx="3">
                  <c:v>4.8617747205975198E-4</c:v>
                </c:pt>
                <c:pt idx="4">
                  <c:v>2.32913199879177E-4</c:v>
                </c:pt>
                <c:pt idx="5">
                  <c:v>4.7917181536093601E-6</c:v>
                </c:pt>
                <c:pt idx="6">
                  <c:v>1.7883131504514901E-6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0-4344-B291-6277981707CC}"/>
            </c:ext>
          </c:extLst>
        </c:ser>
        <c:ser>
          <c:idx val="2"/>
          <c:order val="2"/>
          <c:tx>
            <c:v>0,56%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 local exp y analitica'!$F$4:$F$10</c:f>
              <c:numCache>
                <c:formatCode>0.00E+00</c:formatCode>
                <c:ptCount val="7"/>
                <c:pt idx="0">
                  <c:v>8.2639975835461203E-5</c:v>
                </c:pt>
                <c:pt idx="1">
                  <c:v>3.0176840486585899E-4</c:v>
                </c:pt>
                <c:pt idx="2">
                  <c:v>1.2482528764038701E-3</c:v>
                </c:pt>
                <c:pt idx="3">
                  <c:v>1.24624488563033E-3</c:v>
                </c:pt>
                <c:pt idx="4">
                  <c:v>8.1708405415053295E-4</c:v>
                </c:pt>
                <c:pt idx="5">
                  <c:v>1.17839882472471E-4</c:v>
                </c:pt>
                <c:pt idx="6">
                  <c:v>-4.4930938847241501E-6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30-4344-B291-6277981707CC}"/>
            </c:ext>
          </c:extLst>
        </c:ser>
        <c:ser>
          <c:idx val="3"/>
          <c:order val="3"/>
          <c:tx>
            <c:v>0,75%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 local exp y analitica'!$G$4:$G$10</c:f>
              <c:numCache>
                <c:formatCode>0.00E+00</c:formatCode>
                <c:ptCount val="7"/>
                <c:pt idx="0">
                  <c:v>1.3290839443117199E-4</c:v>
                </c:pt>
                <c:pt idx="1">
                  <c:v>4.4622360436060002E-4</c:v>
                </c:pt>
                <c:pt idx="2">
                  <c:v>1.50579056484608E-3</c:v>
                </c:pt>
                <c:pt idx="3">
                  <c:v>1.6105664936705299E-3</c:v>
                </c:pt>
                <c:pt idx="4">
                  <c:v>1.1311544059093199E-3</c:v>
                </c:pt>
                <c:pt idx="5">
                  <c:v>2.81173627701348E-4</c:v>
                </c:pt>
                <c:pt idx="6">
                  <c:v>1.7883131504514901E-6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30-4344-B291-6277981707CC}"/>
            </c:ext>
          </c:extLst>
        </c:ser>
        <c:ser>
          <c:idx val="4"/>
          <c:order val="4"/>
          <c:tx>
            <c:v>1,10%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 local exp y analitica'!$H$4:$H$10</c:f>
              <c:numCache>
                <c:formatCode>0.00E+00</c:formatCode>
                <c:ptCount val="7"/>
                <c:pt idx="0">
                  <c:v>1.95705302468626E-4</c:v>
                </c:pt>
                <c:pt idx="1">
                  <c:v>4.52505011395776E-4</c:v>
                </c:pt>
                <c:pt idx="2">
                  <c:v>1.8512507894664499E-3</c:v>
                </c:pt>
                <c:pt idx="3">
                  <c:v>1.9309010901502001E-3</c:v>
                </c:pt>
                <c:pt idx="4">
                  <c:v>1.35100365214048E-3</c:v>
                </c:pt>
                <c:pt idx="5">
                  <c:v>4.1306601312573701E-4</c:v>
                </c:pt>
                <c:pt idx="6">
                  <c:v>-4.4930938847241501E-6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30-4344-B291-6277981707CC}"/>
            </c:ext>
          </c:extLst>
        </c:ser>
        <c:ser>
          <c:idx val="5"/>
          <c:order val="5"/>
          <c:tx>
            <c:v>1,50%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 local exp y analitica'!$I$4:$I$10</c:f>
              <c:numCache>
                <c:formatCode>0.00E+00</c:formatCode>
                <c:ptCount val="7"/>
                <c:pt idx="0">
                  <c:v>-1.1581129692177001E-5</c:v>
                </c:pt>
                <c:pt idx="1">
                  <c:v>7.6657536315457003E-4</c:v>
                </c:pt>
                <c:pt idx="2">
                  <c:v>2.4793914929840399E-3</c:v>
                </c:pt>
                <c:pt idx="3">
                  <c:v>2.30152126753988E-3</c:v>
                </c:pt>
                <c:pt idx="4">
                  <c:v>1.5394458631957601E-3</c:v>
                </c:pt>
                <c:pt idx="5">
                  <c:v>4.9470714226871996E-4</c:v>
                </c:pt>
                <c:pt idx="6">
                  <c:v>-1.07745009199E-5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30-4344-B291-6277981707CC}"/>
            </c:ext>
          </c:extLst>
        </c:ser>
        <c:ser>
          <c:idx val="6"/>
          <c:order val="6"/>
          <c:tx>
            <c:v>2,30%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analitica'!$J$4:$J$10</c:f>
              <c:numCache>
                <c:formatCode>0.00E+00</c:formatCode>
                <c:ptCount val="7"/>
                <c:pt idx="0">
                  <c:v>-1.8116195732762101E-4</c:v>
                </c:pt>
                <c:pt idx="1">
                  <c:v>2.0605452124008001E-3</c:v>
                </c:pt>
                <c:pt idx="2">
                  <c:v>4.3763764176071602E-3</c:v>
                </c:pt>
                <c:pt idx="3">
                  <c:v>3.1934639042205501E-3</c:v>
                </c:pt>
                <c:pt idx="4">
                  <c:v>1.91633028530631E-3</c:v>
                </c:pt>
                <c:pt idx="5">
                  <c:v>6.2665101463602101E-4</c:v>
                </c:pt>
                <c:pt idx="6">
                  <c:v>-4.5102561990280197E-6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30-4344-B291-6277981707CC}"/>
            </c:ext>
          </c:extLst>
        </c:ser>
        <c:ser>
          <c:idx val="7"/>
          <c:order val="7"/>
          <c:tx>
            <c:v>3,10%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analitica'!$K$4:$K$10</c:f>
              <c:numCache>
                <c:formatCode>0.00E+00</c:formatCode>
                <c:ptCount val="7"/>
                <c:pt idx="0">
                  <c:v>-5.2997226570011297E-6</c:v>
                </c:pt>
                <c:pt idx="1">
                  <c:v>4.6170778757173804E-3</c:v>
                </c:pt>
                <c:pt idx="2">
                  <c:v>7.1716197105747299E-3</c:v>
                </c:pt>
                <c:pt idx="3">
                  <c:v>5.0464961419117403E-3</c:v>
                </c:pt>
                <c:pt idx="4">
                  <c:v>2.60728505917566E-3</c:v>
                </c:pt>
                <c:pt idx="5">
                  <c:v>8.2137463272647304E-4</c:v>
                </c:pt>
                <c:pt idx="6">
                  <c:v>-4.5102561990280197E-6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30-4344-B291-627798170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092447"/>
        <c:axId val="1049097439"/>
      </c:scatterChart>
      <c:valAx>
        <c:axId val="104909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Horizontal</a:t>
                </a:r>
                <a:r>
                  <a:rPr lang="es-CL" baseline="0"/>
                  <a:t> Strain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097439"/>
        <c:crosses val="autoZero"/>
        <c:crossBetween val="midCat"/>
        <c:majorUnit val="1.0000000000000002E-3"/>
      </c:valAx>
      <c:valAx>
        <c:axId val="1049097439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Height</a:t>
                </a:r>
                <a:r>
                  <a:rPr lang="es-CL" baseline="0"/>
                  <a:t> [mm]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09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Negative 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0,28%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 local exp y analitica'!$L$4:$L$10</c:f>
              <c:numCache>
                <c:formatCode>0.00E+00</c:formatCode>
                <c:ptCount val="7"/>
                <c:pt idx="0">
                  <c:v>3.1055900621118102E-5</c:v>
                </c:pt>
                <c:pt idx="1">
                  <c:v>2.48447204968944E-4</c:v>
                </c:pt>
                <c:pt idx="2">
                  <c:v>4.7826086956521702E-4</c:v>
                </c:pt>
                <c:pt idx="3">
                  <c:v>2.48447204968944E-4</c:v>
                </c:pt>
                <c:pt idx="4">
                  <c:v>1.8633540372670902E-5</c:v>
                </c:pt>
                <c:pt idx="5">
                  <c:v>2.4844720496894298E-5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4-4251-93F2-C9B507EDCC5C}"/>
            </c:ext>
          </c:extLst>
        </c:ser>
        <c:ser>
          <c:idx val="1"/>
          <c:order val="1"/>
          <c:tx>
            <c:v>0,38%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 local exp y analitica'!$M$4:$M$10</c:f>
              <c:numCache>
                <c:formatCode>0.00E+00</c:formatCode>
                <c:ptCount val="7"/>
                <c:pt idx="0">
                  <c:v>3.1055900621118102E-5</c:v>
                </c:pt>
                <c:pt idx="1">
                  <c:v>3.2298136645962698E-4</c:v>
                </c:pt>
                <c:pt idx="2">
                  <c:v>5.5900621118012397E-4</c:v>
                </c:pt>
                <c:pt idx="3">
                  <c:v>5.0310559006211104E-4</c:v>
                </c:pt>
                <c:pt idx="4">
                  <c:v>2.3602484472049699E-4</c:v>
                </c:pt>
                <c:pt idx="5">
                  <c:v>2.4844720496894298E-5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24-4251-93F2-C9B507EDCC5C}"/>
            </c:ext>
          </c:extLst>
        </c:ser>
        <c:ser>
          <c:idx val="2"/>
          <c:order val="2"/>
          <c:tx>
            <c:v>0,56%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 local exp y analitica'!$N$4:$N$10</c:f>
              <c:numCache>
                <c:formatCode>0.00E+00</c:formatCode>
                <c:ptCount val="7"/>
                <c:pt idx="0">
                  <c:v>1.11801242236024E-4</c:v>
                </c:pt>
                <c:pt idx="1">
                  <c:v>3.2298136645962698E-4</c:v>
                </c:pt>
                <c:pt idx="2">
                  <c:v>1.1677018633540299E-3</c:v>
                </c:pt>
                <c:pt idx="3">
                  <c:v>1.06211180124223E-3</c:v>
                </c:pt>
                <c:pt idx="4">
                  <c:v>8.1366459627329199E-4</c:v>
                </c:pt>
                <c:pt idx="5">
                  <c:v>1.4906832298136599E-4</c:v>
                </c:pt>
                <c:pt idx="6">
                  <c:v>1.8633540372670902E-5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24-4251-93F2-C9B507EDCC5C}"/>
            </c:ext>
          </c:extLst>
        </c:ser>
        <c:ser>
          <c:idx val="3"/>
          <c:order val="3"/>
          <c:tx>
            <c:v>0,75%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 local exp y analitica'!$O$4:$O$10</c:f>
              <c:numCache>
                <c:formatCode>0.00E+00</c:formatCode>
                <c:ptCount val="7"/>
                <c:pt idx="0">
                  <c:v>1.42857142857142E-4</c:v>
                </c:pt>
                <c:pt idx="1">
                  <c:v>4.5962732919254599E-4</c:v>
                </c:pt>
                <c:pt idx="2">
                  <c:v>1.2546583850931599E-3</c:v>
                </c:pt>
                <c:pt idx="3">
                  <c:v>1.27329192546583E-3</c:v>
                </c:pt>
                <c:pt idx="4">
                  <c:v>9.93788819875776E-4</c:v>
                </c:pt>
                <c:pt idx="5">
                  <c:v>2.9813664596273302E-4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24-4251-93F2-C9B507EDCC5C}"/>
            </c:ext>
          </c:extLst>
        </c:ser>
        <c:ser>
          <c:idx val="4"/>
          <c:order val="4"/>
          <c:tx>
            <c:v>1,10%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 local exp y analitica'!$P$4:$P$10</c:f>
              <c:numCache>
                <c:formatCode>0.00E+00</c:formatCode>
                <c:ptCount val="7"/>
                <c:pt idx="0">
                  <c:v>1.4906832298136599E-4</c:v>
                </c:pt>
                <c:pt idx="1">
                  <c:v>4.6583850931677001E-4</c:v>
                </c:pt>
                <c:pt idx="2">
                  <c:v>1.4534161490683201E-3</c:v>
                </c:pt>
                <c:pt idx="3">
                  <c:v>1.4285714285714199E-3</c:v>
                </c:pt>
                <c:pt idx="4">
                  <c:v>1.1304347826086899E-3</c:v>
                </c:pt>
                <c:pt idx="5">
                  <c:v>3.8509316770186301E-4</c:v>
                </c:pt>
                <c:pt idx="6">
                  <c:v>1.8633540372670902E-5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24-4251-93F2-C9B507EDCC5C}"/>
            </c:ext>
          </c:extLst>
        </c:ser>
        <c:ser>
          <c:idx val="5"/>
          <c:order val="5"/>
          <c:tx>
            <c:v>1,50%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 local exp y analitica'!$Q$4:$Q$10</c:f>
              <c:numCache>
                <c:formatCode>0.00E+00</c:formatCode>
                <c:ptCount val="7"/>
                <c:pt idx="0">
                  <c:v>-1.61490683229813E-4</c:v>
                </c:pt>
                <c:pt idx="1">
                  <c:v>1.0807453416148999E-3</c:v>
                </c:pt>
                <c:pt idx="2">
                  <c:v>1.9130434782608601E-3</c:v>
                </c:pt>
                <c:pt idx="3">
                  <c:v>1.73291925465838E-3</c:v>
                </c:pt>
                <c:pt idx="4">
                  <c:v>1.32298136645962E-3</c:v>
                </c:pt>
                <c:pt idx="5">
                  <c:v>3.9751552795031002E-4</c:v>
                </c:pt>
                <c:pt idx="6">
                  <c:v>1.8633540372670902E-5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24-4251-93F2-C9B507EDCC5C}"/>
            </c:ext>
          </c:extLst>
        </c:ser>
        <c:ser>
          <c:idx val="6"/>
          <c:order val="6"/>
          <c:tx>
            <c:v>2,30%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analitica'!$R$4:$R$10</c:f>
              <c:numCache>
                <c:formatCode>0.00E+00</c:formatCode>
                <c:ptCount val="7"/>
                <c:pt idx="0">
                  <c:v>-1.9254658385093099E-4</c:v>
                </c:pt>
                <c:pt idx="1">
                  <c:v>2.7018633540372601E-3</c:v>
                </c:pt>
                <c:pt idx="2">
                  <c:v>4.0931677018633504E-3</c:v>
                </c:pt>
                <c:pt idx="3">
                  <c:v>2.47204968944099E-3</c:v>
                </c:pt>
                <c:pt idx="4">
                  <c:v>1.6894409937888201E-3</c:v>
                </c:pt>
                <c:pt idx="5">
                  <c:v>4.6583850931677001E-4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24-4251-93F2-C9B507EDCC5C}"/>
            </c:ext>
          </c:extLst>
        </c:ser>
        <c:ser>
          <c:idx val="7"/>
          <c:order val="7"/>
          <c:tx>
            <c:v>3,10%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analitica'!$S$4:$S$10</c:f>
              <c:numCache>
                <c:formatCode>0.00E+00</c:formatCode>
                <c:ptCount val="7"/>
                <c:pt idx="0">
                  <c:v>5.1552795031055898E-4</c:v>
                </c:pt>
                <c:pt idx="1">
                  <c:v>5.8633540372670804E-3</c:v>
                </c:pt>
                <c:pt idx="2">
                  <c:v>6.9751552795030997E-3</c:v>
                </c:pt>
                <c:pt idx="3">
                  <c:v>4.1739130434782596E-3</c:v>
                </c:pt>
                <c:pt idx="4">
                  <c:v>2.6024844720496801E-3</c:v>
                </c:pt>
                <c:pt idx="5">
                  <c:v>6.1490683229813603E-4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24-4251-93F2-C9B507EDC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90303"/>
        <c:axId val="1163201535"/>
      </c:scatterChart>
      <c:valAx>
        <c:axId val="11631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Horizontal</a:t>
                </a:r>
                <a:r>
                  <a:rPr lang="es-CL" baseline="0"/>
                  <a:t> Strain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01535"/>
        <c:crosses val="autoZero"/>
        <c:crossBetween val="midCat"/>
        <c:majorUnit val="1.0000000000000002E-3"/>
      </c:valAx>
      <c:valAx>
        <c:axId val="1163201535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Height</a:t>
                </a:r>
                <a:r>
                  <a:rPr lang="es-CL" baseline="0"/>
                  <a:t> [mm]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77470</xdr:colOff>
      <xdr:row>41</xdr:row>
      <xdr:rowOff>100382</xdr:rowOff>
    </xdr:from>
    <xdr:to>
      <xdr:col>8</xdr:col>
      <xdr:colOff>1152</xdr:colOff>
      <xdr:row>83</xdr:row>
      <xdr:rowOff>17598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220" y="7260007"/>
          <a:ext cx="5916812" cy="7266705"/>
        </a:xfrm>
        <a:prstGeom prst="rect">
          <a:avLst/>
        </a:prstGeom>
      </xdr:spPr>
    </xdr:pic>
    <xdr:clientData/>
  </xdr:twoCellAnchor>
  <xdr:twoCellAnchor editAs="oneCell">
    <xdr:from>
      <xdr:col>8</xdr:col>
      <xdr:colOff>245271</xdr:colOff>
      <xdr:row>55</xdr:row>
      <xdr:rowOff>130970</xdr:rowOff>
    </xdr:from>
    <xdr:to>
      <xdr:col>12</xdr:col>
      <xdr:colOff>714375</xdr:colOff>
      <xdr:row>66</xdr:row>
      <xdr:rowOff>133493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6596" y="9608345"/>
          <a:ext cx="4850604" cy="1894187"/>
        </a:xfrm>
        <a:prstGeom prst="rect">
          <a:avLst/>
        </a:prstGeom>
      </xdr:spPr>
    </xdr:pic>
    <xdr:clientData/>
  </xdr:twoCellAnchor>
  <xdr:twoCellAnchor editAs="oneCell">
    <xdr:from>
      <xdr:col>8</xdr:col>
      <xdr:colOff>516678</xdr:colOff>
      <xdr:row>37</xdr:row>
      <xdr:rowOff>29846</xdr:rowOff>
    </xdr:from>
    <xdr:to>
      <xdr:col>12</xdr:col>
      <xdr:colOff>196215</xdr:colOff>
      <xdr:row>43</xdr:row>
      <xdr:rowOff>49433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8003" y="6421121"/>
          <a:ext cx="4064847" cy="1046382"/>
        </a:xfrm>
        <a:prstGeom prst="rect">
          <a:avLst/>
        </a:prstGeom>
      </xdr:spPr>
    </xdr:pic>
    <xdr:clientData/>
  </xdr:twoCellAnchor>
  <xdr:twoCellAnchor editAs="oneCell">
    <xdr:from>
      <xdr:col>8</xdr:col>
      <xdr:colOff>468653</xdr:colOff>
      <xdr:row>45</xdr:row>
      <xdr:rowOff>83185</xdr:rowOff>
    </xdr:from>
    <xdr:to>
      <xdr:col>13</xdr:col>
      <xdr:colOff>402247</xdr:colOff>
      <xdr:row>54</xdr:row>
      <xdr:rowOff>135715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79028" y="7941310"/>
          <a:ext cx="5165782" cy="1624155"/>
        </a:xfrm>
        <a:prstGeom prst="rect">
          <a:avLst/>
        </a:prstGeom>
      </xdr:spPr>
    </xdr:pic>
    <xdr:clientData/>
  </xdr:twoCellAnchor>
  <xdr:twoCellAnchor editAs="oneCell">
    <xdr:from>
      <xdr:col>8</xdr:col>
      <xdr:colOff>255271</xdr:colOff>
      <xdr:row>69</xdr:row>
      <xdr:rowOff>11430</xdr:rowOff>
    </xdr:from>
    <xdr:to>
      <xdr:col>12</xdr:col>
      <xdr:colOff>724710</xdr:colOff>
      <xdr:row>99</xdr:row>
      <xdr:rowOff>35338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67209" y="13195618"/>
          <a:ext cx="4739814" cy="574684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</xdr:row>
      <xdr:rowOff>97155</xdr:rowOff>
    </xdr:from>
    <xdr:to>
      <xdr:col>7</xdr:col>
      <xdr:colOff>828006</xdr:colOff>
      <xdr:row>38</xdr:row>
      <xdr:rowOff>174134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0600" y="278130"/>
          <a:ext cx="5373336" cy="6468572"/>
        </a:xfrm>
        <a:prstGeom prst="rect">
          <a:avLst/>
        </a:prstGeom>
      </xdr:spPr>
    </xdr:pic>
    <xdr:clientData/>
  </xdr:twoCellAnchor>
  <xdr:twoCellAnchor>
    <xdr:from>
      <xdr:col>9</xdr:col>
      <xdr:colOff>896938</xdr:colOff>
      <xdr:row>71</xdr:row>
      <xdr:rowOff>111126</xdr:rowOff>
    </xdr:from>
    <xdr:to>
      <xdr:col>10</xdr:col>
      <xdr:colOff>761999</xdr:colOff>
      <xdr:row>79</xdr:row>
      <xdr:rowOff>39689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278813" y="13676314"/>
          <a:ext cx="1770061" cy="1460500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1055688</xdr:colOff>
      <xdr:row>72</xdr:row>
      <xdr:rowOff>57151</xdr:rowOff>
    </xdr:from>
    <xdr:to>
      <xdr:col>10</xdr:col>
      <xdr:colOff>642938</xdr:colOff>
      <xdr:row>78</xdr:row>
      <xdr:rowOff>71438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437563" y="13812839"/>
          <a:ext cx="1492250" cy="1165224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77470</xdr:colOff>
      <xdr:row>41</xdr:row>
      <xdr:rowOff>100382</xdr:rowOff>
    </xdr:from>
    <xdr:to>
      <xdr:col>8</xdr:col>
      <xdr:colOff>1152</xdr:colOff>
      <xdr:row>83</xdr:row>
      <xdr:rowOff>17598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995" y="7948982"/>
          <a:ext cx="5772032" cy="7937266"/>
        </a:xfrm>
        <a:prstGeom prst="rect">
          <a:avLst/>
        </a:prstGeom>
      </xdr:spPr>
    </xdr:pic>
    <xdr:clientData/>
  </xdr:twoCellAnchor>
  <xdr:twoCellAnchor editAs="oneCell">
    <xdr:from>
      <xdr:col>8</xdr:col>
      <xdr:colOff>245271</xdr:colOff>
      <xdr:row>55</xdr:row>
      <xdr:rowOff>130970</xdr:rowOff>
    </xdr:from>
    <xdr:to>
      <xdr:col>12</xdr:col>
      <xdr:colOff>714375</xdr:colOff>
      <xdr:row>66</xdr:row>
      <xdr:rowOff>133492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5146" y="10646570"/>
          <a:ext cx="4736304" cy="2107547"/>
        </a:xfrm>
        <a:prstGeom prst="rect">
          <a:avLst/>
        </a:prstGeom>
      </xdr:spPr>
    </xdr:pic>
    <xdr:clientData/>
  </xdr:twoCellAnchor>
  <xdr:twoCellAnchor editAs="oneCell">
    <xdr:from>
      <xdr:col>8</xdr:col>
      <xdr:colOff>516678</xdr:colOff>
      <xdr:row>37</xdr:row>
      <xdr:rowOff>29846</xdr:rowOff>
    </xdr:from>
    <xdr:to>
      <xdr:col>12</xdr:col>
      <xdr:colOff>196215</xdr:colOff>
      <xdr:row>43</xdr:row>
      <xdr:rowOff>49433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6553" y="7116446"/>
          <a:ext cx="3946737" cy="1162587"/>
        </a:xfrm>
        <a:prstGeom prst="rect">
          <a:avLst/>
        </a:prstGeom>
      </xdr:spPr>
    </xdr:pic>
    <xdr:clientData/>
  </xdr:twoCellAnchor>
  <xdr:twoCellAnchor editAs="oneCell">
    <xdr:from>
      <xdr:col>8</xdr:col>
      <xdr:colOff>468653</xdr:colOff>
      <xdr:row>45</xdr:row>
      <xdr:rowOff>83185</xdr:rowOff>
    </xdr:from>
    <xdr:to>
      <xdr:col>13</xdr:col>
      <xdr:colOff>402247</xdr:colOff>
      <xdr:row>54</xdr:row>
      <xdr:rowOff>135715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88528" y="8693785"/>
          <a:ext cx="5000894" cy="1767030"/>
        </a:xfrm>
        <a:prstGeom prst="rect">
          <a:avLst/>
        </a:prstGeom>
      </xdr:spPr>
    </xdr:pic>
    <xdr:clientData/>
  </xdr:twoCellAnchor>
  <xdr:twoCellAnchor editAs="oneCell">
    <xdr:from>
      <xdr:col>8</xdr:col>
      <xdr:colOff>255271</xdr:colOff>
      <xdr:row>69</xdr:row>
      <xdr:rowOff>11430</xdr:rowOff>
    </xdr:from>
    <xdr:to>
      <xdr:col>12</xdr:col>
      <xdr:colOff>724710</xdr:colOff>
      <xdr:row>99</xdr:row>
      <xdr:rowOff>35339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75146" y="13203555"/>
          <a:ext cx="4736639" cy="5748434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</xdr:row>
      <xdr:rowOff>97155</xdr:rowOff>
    </xdr:from>
    <xdr:to>
      <xdr:col>7</xdr:col>
      <xdr:colOff>828006</xdr:colOff>
      <xdr:row>39</xdr:row>
      <xdr:rowOff>6812</xdr:rowOff>
    </xdr:to>
    <xdr:pic>
      <xdr:nvPicPr>
        <xdr:cNvPr id="7" name="Picture 9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1550" y="278130"/>
          <a:ext cx="5257131" cy="7196282"/>
        </a:xfrm>
        <a:prstGeom prst="rect">
          <a:avLst/>
        </a:prstGeom>
      </xdr:spPr>
    </xdr:pic>
    <xdr:clientData/>
  </xdr:twoCellAnchor>
  <xdr:twoCellAnchor>
    <xdr:from>
      <xdr:col>9</xdr:col>
      <xdr:colOff>896938</xdr:colOff>
      <xdr:row>71</xdr:row>
      <xdr:rowOff>111126</xdr:rowOff>
    </xdr:from>
    <xdr:to>
      <xdr:col>10</xdr:col>
      <xdr:colOff>761999</xdr:colOff>
      <xdr:row>79</xdr:row>
      <xdr:rowOff>39689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8288338" y="13684251"/>
          <a:ext cx="1770061" cy="1462088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1055688</xdr:colOff>
      <xdr:row>72</xdr:row>
      <xdr:rowOff>57151</xdr:rowOff>
    </xdr:from>
    <xdr:to>
      <xdr:col>10</xdr:col>
      <xdr:colOff>642938</xdr:colOff>
      <xdr:row>78</xdr:row>
      <xdr:rowOff>71438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8447088" y="13820776"/>
          <a:ext cx="1492250" cy="1166812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58617</xdr:colOff>
      <xdr:row>5</xdr:row>
      <xdr:rowOff>95250</xdr:rowOff>
    </xdr:from>
    <xdr:to>
      <xdr:col>7</xdr:col>
      <xdr:colOff>511127</xdr:colOff>
      <xdr:row>20</xdr:row>
      <xdr:rowOff>78985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E60C8-2E66-08ED-49E9-3D7DF8D52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1155" y="1033096"/>
          <a:ext cx="2284534" cy="2731331"/>
        </a:xfrm>
        <a:prstGeom prst="rect">
          <a:avLst/>
        </a:prstGeom>
      </xdr:spPr>
    </xdr:pic>
    <xdr:clientData/>
  </xdr:twoCellAnchor>
  <xdr:twoCellAnchor editAs="oneCell">
    <xdr:from>
      <xdr:col>7</xdr:col>
      <xdr:colOff>520651</xdr:colOff>
      <xdr:row>27</xdr:row>
      <xdr:rowOff>66675</xdr:rowOff>
    </xdr:from>
    <xdr:to>
      <xdr:col>13</xdr:col>
      <xdr:colOff>288245</xdr:colOff>
      <xdr:row>52</xdr:row>
      <xdr:rowOff>150981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3A00D7-A387-4DEB-9613-CB02F7138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87851" y="5000625"/>
          <a:ext cx="3971929" cy="4608681"/>
        </a:xfrm>
        <a:prstGeom prst="rect">
          <a:avLst/>
        </a:prstGeom>
      </xdr:spPr>
    </xdr:pic>
    <xdr:clientData/>
  </xdr:twoCellAnchor>
  <xdr:twoCellAnchor editAs="oneCell">
    <xdr:from>
      <xdr:col>20</xdr:col>
      <xdr:colOff>372828</xdr:colOff>
      <xdr:row>26</xdr:row>
      <xdr:rowOff>66675</xdr:rowOff>
    </xdr:from>
    <xdr:to>
      <xdr:col>27</xdr:col>
      <xdr:colOff>250600</xdr:colOff>
      <xdr:row>52</xdr:row>
      <xdr:rowOff>60048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B8AF20-348F-D69C-EB9B-29E42EE42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17328" y="4819650"/>
          <a:ext cx="4417387" cy="46949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118454</xdr:colOff>
      <xdr:row>96</xdr:row>
      <xdr:rowOff>61742</xdr:rowOff>
    </xdr:from>
    <xdr:to>
      <xdr:col>6</xdr:col>
      <xdr:colOff>417540</xdr:colOff>
      <xdr:row>120</xdr:row>
      <xdr:rowOff>95915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006" y="17031570"/>
          <a:ext cx="6276844" cy="4384449"/>
        </a:xfrm>
        <a:prstGeom prst="rect">
          <a:avLst/>
        </a:prstGeom>
      </xdr:spPr>
    </xdr:pic>
    <xdr:clientData/>
  </xdr:twoCellAnchor>
  <xdr:twoCellAnchor editAs="oneCell">
    <xdr:from>
      <xdr:col>7</xdr:col>
      <xdr:colOff>693068</xdr:colOff>
      <xdr:row>10</xdr:row>
      <xdr:rowOff>111695</xdr:rowOff>
    </xdr:from>
    <xdr:to>
      <xdr:col>15</xdr:col>
      <xdr:colOff>306393</xdr:colOff>
      <xdr:row>18</xdr:row>
      <xdr:rowOff>96171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10983207" y="-692096"/>
          <a:ext cx="1401851" cy="6565433"/>
        </a:xfrm>
        <a:prstGeom prst="rect">
          <a:avLst/>
        </a:prstGeom>
      </xdr:spPr>
    </xdr:pic>
    <xdr:clientData/>
  </xdr:twoCellAnchor>
  <xdr:twoCellAnchor editAs="oneCell">
    <xdr:from>
      <xdr:col>7</xdr:col>
      <xdr:colOff>357673</xdr:colOff>
      <xdr:row>30</xdr:row>
      <xdr:rowOff>69980</xdr:rowOff>
    </xdr:from>
    <xdr:to>
      <xdr:col>17</xdr:col>
      <xdr:colOff>533577</xdr:colOff>
      <xdr:row>64</xdr:row>
      <xdr:rowOff>15396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63204" y="5450633"/>
          <a:ext cx="9023736" cy="6026021"/>
        </a:xfrm>
        <a:prstGeom prst="rect">
          <a:avLst/>
        </a:prstGeom>
      </xdr:spPr>
    </xdr:pic>
    <xdr:clientData/>
  </xdr:twoCellAnchor>
  <xdr:twoCellAnchor editAs="oneCell">
    <xdr:from>
      <xdr:col>12</xdr:col>
      <xdr:colOff>405027</xdr:colOff>
      <xdr:row>86</xdr:row>
      <xdr:rowOff>104033</xdr:rowOff>
    </xdr:from>
    <xdr:to>
      <xdr:col>19</xdr:col>
      <xdr:colOff>588883</xdr:colOff>
      <xdr:row>107</xdr:row>
      <xdr:rowOff>172312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13044" y="15201705"/>
          <a:ext cx="6010726" cy="3963479"/>
        </a:xfrm>
        <a:prstGeom prst="rect">
          <a:avLst/>
        </a:prstGeom>
      </xdr:spPr>
    </xdr:pic>
    <xdr:clientData/>
  </xdr:twoCellAnchor>
  <xdr:twoCellAnchor editAs="oneCell">
    <xdr:from>
      <xdr:col>2</xdr:col>
      <xdr:colOff>102345</xdr:colOff>
      <xdr:row>169</xdr:row>
      <xdr:rowOff>16435</xdr:rowOff>
    </xdr:from>
    <xdr:to>
      <xdr:col>7</xdr:col>
      <xdr:colOff>60791</xdr:colOff>
      <xdr:row>195</xdr:row>
      <xdr:rowOff>59032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78897" y="23708504"/>
          <a:ext cx="6720670" cy="4735598"/>
        </a:xfrm>
        <a:prstGeom prst="rect">
          <a:avLst/>
        </a:prstGeom>
      </xdr:spPr>
    </xdr:pic>
    <xdr:clientData/>
  </xdr:twoCellAnchor>
  <xdr:twoCellAnchor editAs="oneCell">
    <xdr:from>
      <xdr:col>2</xdr:col>
      <xdr:colOff>328658</xdr:colOff>
      <xdr:row>132</xdr:row>
      <xdr:rowOff>61879</xdr:rowOff>
    </xdr:from>
    <xdr:to>
      <xdr:col>6</xdr:col>
      <xdr:colOff>629146</xdr:colOff>
      <xdr:row>156</xdr:row>
      <xdr:rowOff>131092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210" y="23578776"/>
          <a:ext cx="6263006" cy="44156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14</xdr:row>
      <xdr:rowOff>104775</xdr:rowOff>
    </xdr:from>
    <xdr:to>
      <xdr:col>10</xdr:col>
      <xdr:colOff>219075</xdr:colOff>
      <xdr:row>28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14</xdr:row>
      <xdr:rowOff>66675</xdr:rowOff>
    </xdr:from>
    <xdr:to>
      <xdr:col>17</xdr:col>
      <xdr:colOff>590550</xdr:colOff>
      <xdr:row>28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V73"/>
  <sheetViews>
    <sheetView zoomScale="78" zoomScaleNormal="50" workbookViewId="0">
      <selection activeCell="J11" sqref="J11:N32"/>
    </sheetView>
  </sheetViews>
  <sheetFormatPr defaultColWidth="11.5546875" defaultRowHeight="13.8" x14ac:dyDescent="0.25"/>
  <cols>
    <col min="1" max="7" width="11.5546875" style="44"/>
    <col min="8" max="8" width="18.33203125" style="44" customWidth="1"/>
    <col min="9" max="9" width="11.5546875" style="44"/>
    <col min="10" max="10" width="28.5546875" style="44" bestFit="1" customWidth="1"/>
    <col min="11" max="11" width="11.88671875" style="44" bestFit="1" customWidth="1"/>
    <col min="12" max="13" width="12" style="44" bestFit="1" customWidth="1"/>
    <col min="14" max="14" width="21.44140625" style="44" customWidth="1"/>
    <col min="15" max="16" width="11.5546875" style="44"/>
    <col min="17" max="17" width="15.6640625" style="44" bestFit="1" customWidth="1"/>
    <col min="18" max="18" width="34.33203125" style="44" customWidth="1"/>
    <col min="19" max="19" width="22.88671875" style="44" bestFit="1" customWidth="1"/>
    <col min="20" max="20" width="10.109375" style="44" bestFit="1" customWidth="1"/>
    <col min="21" max="21" width="17" style="44" customWidth="1"/>
    <col min="22" max="16384" width="11.5546875" style="44"/>
  </cols>
  <sheetData>
    <row r="1" spans="10:21" ht="14.4" thickBot="1" x14ac:dyDescent="0.3"/>
    <row r="2" spans="10:21" ht="14.4" thickBot="1" x14ac:dyDescent="0.3">
      <c r="J2" s="237" t="s">
        <v>333</v>
      </c>
      <c r="K2" s="238"/>
      <c r="L2" s="238"/>
      <c r="M2" s="238"/>
      <c r="N2" s="239"/>
      <c r="Q2" s="237" t="s">
        <v>336</v>
      </c>
      <c r="R2" s="238"/>
      <c r="S2" s="238"/>
      <c r="T2" s="238"/>
      <c r="U2" s="239"/>
    </row>
    <row r="3" spans="10:21" x14ac:dyDescent="0.25">
      <c r="J3" s="11"/>
      <c r="K3" s="182"/>
      <c r="L3" s="182"/>
      <c r="M3" s="12" t="s">
        <v>56</v>
      </c>
      <c r="N3" s="13" t="s">
        <v>310</v>
      </c>
      <c r="Q3" s="243" t="s">
        <v>3</v>
      </c>
      <c r="R3" s="18" t="s">
        <v>4</v>
      </c>
      <c r="S3" s="19" t="s">
        <v>337</v>
      </c>
      <c r="T3" s="20"/>
      <c r="U3" s="21"/>
    </row>
    <row r="4" spans="10:21" x14ac:dyDescent="0.25">
      <c r="J4" s="76" t="s">
        <v>332</v>
      </c>
      <c r="L4" s="181" t="s">
        <v>329</v>
      </c>
      <c r="M4" s="177">
        <f>M29</f>
        <v>2438.4</v>
      </c>
      <c r="N4" s="183">
        <f>M4/25.4</f>
        <v>96.000000000000014</v>
      </c>
      <c r="Q4" s="244"/>
      <c r="R4" s="1"/>
      <c r="S4" s="166"/>
      <c r="T4" s="2"/>
      <c r="U4" s="22"/>
    </row>
    <row r="5" spans="10:21" x14ac:dyDescent="0.25">
      <c r="J5" s="76" t="s">
        <v>127</v>
      </c>
      <c r="L5" s="181" t="s">
        <v>330</v>
      </c>
      <c r="M5" s="177">
        <v>1220</v>
      </c>
      <c r="N5" s="183">
        <f>M5/25.4</f>
        <v>48.031496062992126</v>
      </c>
      <c r="Q5" s="244"/>
      <c r="R5" s="1" t="s">
        <v>5</v>
      </c>
      <c r="S5" s="2"/>
      <c r="T5" s="2"/>
      <c r="U5" s="22"/>
    </row>
    <row r="6" spans="10:21" ht="14.4" x14ac:dyDescent="0.3">
      <c r="J6" s="76" t="s">
        <v>128</v>
      </c>
      <c r="L6" s="181" t="s">
        <v>1</v>
      </c>
      <c r="M6" s="177">
        <v>152.4</v>
      </c>
      <c r="N6" s="183">
        <f t="shared" ref="N6:N7" si="0">M6/25.4</f>
        <v>6.0000000000000009</v>
      </c>
      <c r="Q6" s="244"/>
      <c r="R6" s="23" t="s">
        <v>6</v>
      </c>
      <c r="S6" s="197"/>
      <c r="T6" s="23"/>
      <c r="U6" s="25"/>
    </row>
    <row r="7" spans="10:21" x14ac:dyDescent="0.25">
      <c r="J7" s="76" t="s">
        <v>335</v>
      </c>
      <c r="L7" s="181" t="s">
        <v>334</v>
      </c>
      <c r="M7" s="177">
        <v>304.8</v>
      </c>
      <c r="N7" s="183">
        <f t="shared" si="0"/>
        <v>12.000000000000002</v>
      </c>
      <c r="Q7" s="244"/>
      <c r="R7" s="23" t="s">
        <v>7</v>
      </c>
      <c r="S7" s="26" t="s">
        <v>8</v>
      </c>
      <c r="T7" s="188">
        <v>469.93</v>
      </c>
      <c r="U7" s="25" t="s">
        <v>338</v>
      </c>
    </row>
    <row r="8" spans="10:21" ht="14.4" thickBot="1" x14ac:dyDescent="0.3">
      <c r="J8" s="184" t="s">
        <v>339</v>
      </c>
      <c r="K8" s="185"/>
      <c r="L8" s="195" t="s">
        <v>340</v>
      </c>
      <c r="M8" s="196">
        <v>228.6</v>
      </c>
      <c r="N8" s="186">
        <f>M8/25.4</f>
        <v>9</v>
      </c>
      <c r="Q8" s="244"/>
      <c r="R8" s="23" t="s">
        <v>10</v>
      </c>
      <c r="S8" s="24" t="s">
        <v>347</v>
      </c>
      <c r="T8" s="28"/>
      <c r="U8" s="25"/>
    </row>
    <row r="9" spans="10:21" ht="14.4" thickBot="1" x14ac:dyDescent="0.3">
      <c r="J9" s="184" t="s">
        <v>350</v>
      </c>
      <c r="K9" s="185"/>
      <c r="L9" s="195" t="s">
        <v>351</v>
      </c>
      <c r="M9" s="199">
        <f>M4/M5</f>
        <v>1.998688524590164</v>
      </c>
      <c r="N9" s="200" t="s">
        <v>353</v>
      </c>
      <c r="Q9" s="244"/>
      <c r="R9" s="3" t="s">
        <v>11</v>
      </c>
      <c r="S9" s="4" t="s">
        <v>12</v>
      </c>
      <c r="T9" s="5">
        <v>0.02</v>
      </c>
      <c r="U9" s="29"/>
    </row>
    <row r="10" spans="10:21" ht="14.4" thickBot="1" x14ac:dyDescent="0.3">
      <c r="Q10" s="244"/>
      <c r="R10" s="6" t="s">
        <v>13</v>
      </c>
      <c r="S10" s="7"/>
      <c r="T10" s="7"/>
      <c r="U10" s="30"/>
    </row>
    <row r="11" spans="10:21" ht="14.4" thickBot="1" x14ac:dyDescent="0.3">
      <c r="J11" s="240" t="s">
        <v>80</v>
      </c>
      <c r="K11" s="241"/>
      <c r="L11" s="241"/>
      <c r="M11" s="241"/>
      <c r="N11" s="242"/>
      <c r="Q11" s="244"/>
      <c r="R11" s="23" t="s">
        <v>6</v>
      </c>
      <c r="S11" s="187"/>
      <c r="T11" s="23"/>
      <c r="U11" s="25"/>
    </row>
    <row r="12" spans="10:21" x14ac:dyDescent="0.25">
      <c r="J12" s="11" t="s">
        <v>90</v>
      </c>
      <c r="K12" s="12" t="s">
        <v>327</v>
      </c>
      <c r="L12" s="12" t="s">
        <v>311</v>
      </c>
      <c r="M12" s="12" t="s">
        <v>328</v>
      </c>
      <c r="N12" s="13" t="s">
        <v>312</v>
      </c>
      <c r="Q12" s="244"/>
      <c r="R12" s="23" t="s">
        <v>7</v>
      </c>
      <c r="S12" s="26" t="s">
        <v>14</v>
      </c>
      <c r="T12" s="188">
        <v>409.71</v>
      </c>
      <c r="U12" s="25" t="s">
        <v>338</v>
      </c>
    </row>
    <row r="13" spans="10:21" x14ac:dyDescent="0.25">
      <c r="J13" s="14">
        <v>1</v>
      </c>
      <c r="K13" s="15">
        <v>0</v>
      </c>
      <c r="L13" s="15">
        <f>K13/25.4</f>
        <v>0</v>
      </c>
      <c r="M13" s="15">
        <v>0</v>
      </c>
      <c r="N13" s="179">
        <f>M13/25.4</f>
        <v>0</v>
      </c>
      <c r="Q13" s="244"/>
      <c r="R13" s="23" t="s">
        <v>10</v>
      </c>
      <c r="S13" s="24" t="s">
        <v>348</v>
      </c>
      <c r="T13" s="28"/>
      <c r="U13" s="25"/>
    </row>
    <row r="14" spans="10:21" x14ac:dyDescent="0.25">
      <c r="J14" s="14">
        <v>2</v>
      </c>
      <c r="K14" s="15">
        <v>1220</v>
      </c>
      <c r="L14" s="15">
        <f t="shared" ref="L14:L32" si="1">K14/25.4</f>
        <v>48.031496062992126</v>
      </c>
      <c r="M14" s="15">
        <v>0</v>
      </c>
      <c r="N14" s="179">
        <f t="shared" ref="N14:N32" si="2">M14/25.4</f>
        <v>0</v>
      </c>
      <c r="Q14" s="244"/>
      <c r="R14" s="3" t="s">
        <v>11</v>
      </c>
      <c r="S14" s="4" t="s">
        <v>15</v>
      </c>
      <c r="T14" s="5">
        <v>2.5000000000000001E-2</v>
      </c>
      <c r="U14" s="31"/>
    </row>
    <row r="15" spans="10:21" x14ac:dyDescent="0.25">
      <c r="J15" s="14">
        <v>3</v>
      </c>
      <c r="K15" s="15">
        <v>0</v>
      </c>
      <c r="L15" s="15">
        <f t="shared" si="1"/>
        <v>0</v>
      </c>
      <c r="M15" s="15">
        <v>315.69</v>
      </c>
      <c r="N15" s="179">
        <f t="shared" si="2"/>
        <v>12.428740157480316</v>
      </c>
      <c r="O15" s="226">
        <f>M15-$M$15/2</f>
        <v>157.845</v>
      </c>
      <c r="Q15" s="244"/>
      <c r="R15" s="6" t="s">
        <v>16</v>
      </c>
      <c r="S15" s="7"/>
      <c r="T15" s="7"/>
      <c r="U15" s="30"/>
    </row>
    <row r="16" spans="10:21" x14ac:dyDescent="0.25">
      <c r="J16" s="14">
        <v>4</v>
      </c>
      <c r="K16" s="15">
        <v>1220</v>
      </c>
      <c r="L16" s="15">
        <f t="shared" si="1"/>
        <v>48.031496062992126</v>
      </c>
      <c r="M16" s="15">
        <v>315.69</v>
      </c>
      <c r="N16" s="179">
        <f t="shared" si="2"/>
        <v>12.428740157480316</v>
      </c>
      <c r="O16" s="226">
        <f t="shared" ref="O16:O26" si="3">M16-$M$15/2</f>
        <v>157.845</v>
      </c>
      <c r="Q16" s="244"/>
      <c r="R16" s="23" t="s">
        <v>6</v>
      </c>
      <c r="S16" s="187"/>
      <c r="T16" s="23"/>
      <c r="U16" s="25"/>
    </row>
    <row r="17" spans="10:22" x14ac:dyDescent="0.25">
      <c r="J17" s="14">
        <v>5</v>
      </c>
      <c r="K17" s="15">
        <v>0</v>
      </c>
      <c r="L17" s="15">
        <f t="shared" si="1"/>
        <v>0</v>
      </c>
      <c r="M17" s="15">
        <v>631.37</v>
      </c>
      <c r="N17" s="179">
        <f t="shared" si="2"/>
        <v>24.85708661417323</v>
      </c>
      <c r="O17" s="226">
        <f>M17-$M$15/2</f>
        <v>473.52499999999998</v>
      </c>
      <c r="Q17" s="244"/>
      <c r="R17" s="23" t="s">
        <v>7</v>
      </c>
      <c r="S17" s="26" t="s">
        <v>17</v>
      </c>
      <c r="T17" s="188">
        <v>429.78</v>
      </c>
      <c r="U17" s="25" t="s">
        <v>338</v>
      </c>
    </row>
    <row r="18" spans="10:22" x14ac:dyDescent="0.25">
      <c r="J18" s="14">
        <v>6</v>
      </c>
      <c r="K18" s="15">
        <v>1220</v>
      </c>
      <c r="L18" s="15">
        <f t="shared" si="1"/>
        <v>48.031496062992126</v>
      </c>
      <c r="M18" s="15">
        <v>631.37</v>
      </c>
      <c r="N18" s="179">
        <f t="shared" si="2"/>
        <v>24.85708661417323</v>
      </c>
      <c r="O18" s="226">
        <f t="shared" si="3"/>
        <v>473.52499999999998</v>
      </c>
      <c r="Q18" s="244"/>
      <c r="R18" s="23" t="s">
        <v>10</v>
      </c>
      <c r="S18" s="24" t="s">
        <v>345</v>
      </c>
      <c r="T18" s="28"/>
      <c r="U18" s="25"/>
    </row>
    <row r="19" spans="10:22" x14ac:dyDescent="0.25">
      <c r="J19" s="14">
        <v>7</v>
      </c>
      <c r="K19" s="15">
        <v>0</v>
      </c>
      <c r="L19" s="15">
        <f t="shared" si="1"/>
        <v>0</v>
      </c>
      <c r="M19" s="15">
        <v>947.06</v>
      </c>
      <c r="N19" s="179">
        <f t="shared" si="2"/>
        <v>37.285826771653547</v>
      </c>
      <c r="O19" s="226">
        <f t="shared" si="3"/>
        <v>789.21499999999992</v>
      </c>
      <c r="Q19" s="244"/>
      <c r="R19" s="3" t="s">
        <v>11</v>
      </c>
      <c r="S19" s="4" t="s">
        <v>18</v>
      </c>
      <c r="T19" s="5">
        <v>0.01</v>
      </c>
      <c r="U19" s="31"/>
      <c r="V19" s="71"/>
    </row>
    <row r="20" spans="10:22" x14ac:dyDescent="0.25">
      <c r="J20" s="14">
        <v>8</v>
      </c>
      <c r="K20" s="15">
        <v>1220</v>
      </c>
      <c r="L20" s="15">
        <f t="shared" si="1"/>
        <v>48.031496062992126</v>
      </c>
      <c r="M20" s="15">
        <v>947.06</v>
      </c>
      <c r="N20" s="179">
        <f t="shared" si="2"/>
        <v>37.285826771653547</v>
      </c>
      <c r="O20" s="226">
        <f t="shared" si="3"/>
        <v>789.21499999999992</v>
      </c>
      <c r="Q20" s="244"/>
      <c r="R20" s="32" t="s">
        <v>19</v>
      </c>
      <c r="S20" s="26" t="s">
        <v>20</v>
      </c>
      <c r="T20" s="27">
        <v>200000</v>
      </c>
      <c r="U20" s="25" t="s">
        <v>338</v>
      </c>
    </row>
    <row r="21" spans="10:22" x14ac:dyDescent="0.25">
      <c r="J21" s="14">
        <v>9</v>
      </c>
      <c r="K21" s="15">
        <v>0</v>
      </c>
      <c r="L21" s="15">
        <f t="shared" si="1"/>
        <v>0</v>
      </c>
      <c r="M21" s="15">
        <v>1262.74</v>
      </c>
      <c r="N21" s="179">
        <f t="shared" si="2"/>
        <v>49.714173228346461</v>
      </c>
      <c r="O21" s="226">
        <f t="shared" si="3"/>
        <v>1104.895</v>
      </c>
      <c r="Q21" s="244"/>
      <c r="R21" s="32" t="s">
        <v>21</v>
      </c>
      <c r="S21" s="26" t="s">
        <v>22</v>
      </c>
      <c r="T21" s="33">
        <v>20</v>
      </c>
      <c r="U21" s="34"/>
    </row>
    <row r="22" spans="10:22" x14ac:dyDescent="0.25">
      <c r="J22" s="14">
        <v>10</v>
      </c>
      <c r="K22" s="15">
        <v>1220</v>
      </c>
      <c r="L22" s="15">
        <f t="shared" si="1"/>
        <v>48.031496062992126</v>
      </c>
      <c r="M22" s="15">
        <v>1262.74</v>
      </c>
      <c r="N22" s="179">
        <f t="shared" si="2"/>
        <v>49.714173228346461</v>
      </c>
      <c r="O22" s="226">
        <f t="shared" si="3"/>
        <v>1104.895</v>
      </c>
      <c r="Q22" s="244"/>
      <c r="R22" s="32" t="s">
        <v>24</v>
      </c>
      <c r="S22" s="26" t="s">
        <v>25</v>
      </c>
      <c r="T22" s="33">
        <v>0.92500000000000004</v>
      </c>
      <c r="U22" s="34"/>
    </row>
    <row r="23" spans="10:22" x14ac:dyDescent="0.25">
      <c r="J23" s="14">
        <v>11</v>
      </c>
      <c r="K23" s="15">
        <v>0</v>
      </c>
      <c r="L23" s="15">
        <f t="shared" si="1"/>
        <v>0</v>
      </c>
      <c r="M23" s="15">
        <v>1578.43</v>
      </c>
      <c r="N23" s="179">
        <f t="shared" si="2"/>
        <v>62.14291338582678</v>
      </c>
      <c r="O23" s="226">
        <f t="shared" si="3"/>
        <v>1420.585</v>
      </c>
      <c r="Q23" s="245"/>
      <c r="R23" s="2"/>
      <c r="S23" s="8" t="s">
        <v>26</v>
      </c>
      <c r="T23" s="9">
        <v>0.15</v>
      </c>
      <c r="U23" s="35"/>
    </row>
    <row r="24" spans="10:22" x14ac:dyDescent="0.25">
      <c r="J24" s="14">
        <v>12</v>
      </c>
      <c r="K24" s="15">
        <v>1220</v>
      </c>
      <c r="L24" s="15">
        <f t="shared" si="1"/>
        <v>48.031496062992126</v>
      </c>
      <c r="M24" s="15">
        <v>1578.43</v>
      </c>
      <c r="N24" s="179">
        <f t="shared" si="2"/>
        <v>62.14291338582678</v>
      </c>
      <c r="O24" s="226">
        <f t="shared" si="3"/>
        <v>1420.585</v>
      </c>
      <c r="Q24" s="246" t="s">
        <v>27</v>
      </c>
      <c r="R24" s="1" t="s">
        <v>4</v>
      </c>
      <c r="S24" s="36" t="s">
        <v>28</v>
      </c>
      <c r="T24" s="23"/>
      <c r="U24" s="25"/>
    </row>
    <row r="25" spans="10:22" x14ac:dyDescent="0.25">
      <c r="J25" s="14">
        <v>13</v>
      </c>
      <c r="K25" s="15">
        <v>0</v>
      </c>
      <c r="L25" s="15">
        <f t="shared" si="1"/>
        <v>0</v>
      </c>
      <c r="M25" s="15">
        <v>1894.11</v>
      </c>
      <c r="N25" s="179">
        <f t="shared" si="2"/>
        <v>74.57125984251968</v>
      </c>
      <c r="O25" s="226">
        <f t="shared" si="3"/>
        <v>1736.2649999999999</v>
      </c>
      <c r="Q25" s="244"/>
      <c r="R25" s="6" t="s">
        <v>29</v>
      </c>
      <c r="S25" s="7"/>
      <c r="T25" s="7"/>
      <c r="U25" s="30"/>
    </row>
    <row r="26" spans="10:22" x14ac:dyDescent="0.25">
      <c r="J26" s="14">
        <v>14</v>
      </c>
      <c r="K26" s="15">
        <v>1220</v>
      </c>
      <c r="L26" s="15">
        <f t="shared" si="1"/>
        <v>48.031496062992126</v>
      </c>
      <c r="M26" s="15">
        <v>1894.11</v>
      </c>
      <c r="N26" s="179">
        <f t="shared" si="2"/>
        <v>74.57125984251968</v>
      </c>
      <c r="O26" s="226">
        <f t="shared" si="3"/>
        <v>1736.2649999999999</v>
      </c>
      <c r="Q26" s="244"/>
      <c r="R26" s="23" t="s">
        <v>30</v>
      </c>
      <c r="S26" s="26" t="s">
        <v>31</v>
      </c>
      <c r="T26" s="27">
        <v>-47.09</v>
      </c>
      <c r="U26" s="25" t="s">
        <v>338</v>
      </c>
    </row>
    <row r="27" spans="10:22" x14ac:dyDescent="0.25">
      <c r="J27" s="14">
        <v>15</v>
      </c>
      <c r="K27" s="15">
        <v>0</v>
      </c>
      <c r="L27" s="15">
        <f t="shared" si="1"/>
        <v>0</v>
      </c>
      <c r="M27" s="15">
        <v>2209.8000000000002</v>
      </c>
      <c r="N27" s="179">
        <f t="shared" si="2"/>
        <v>87.000000000000014</v>
      </c>
      <c r="O27" s="226">
        <f>M27-$M$15/2</f>
        <v>2051.9550000000004</v>
      </c>
      <c r="Q27" s="244"/>
      <c r="R27" s="23" t="s">
        <v>32</v>
      </c>
      <c r="S27" s="26" t="s">
        <v>33</v>
      </c>
      <c r="T27" s="27">
        <v>-2.32E-3</v>
      </c>
      <c r="U27" s="25"/>
    </row>
    <row r="28" spans="10:22" x14ac:dyDescent="0.25">
      <c r="J28" s="14">
        <v>16</v>
      </c>
      <c r="K28" s="15">
        <v>1220</v>
      </c>
      <c r="L28" s="15">
        <f t="shared" si="1"/>
        <v>48.031496062992126</v>
      </c>
      <c r="M28" s="15">
        <v>2209.8000000000002</v>
      </c>
      <c r="N28" s="179">
        <f t="shared" si="2"/>
        <v>87.000000000000014</v>
      </c>
      <c r="O28" s="226">
        <f>M28-$M$15/2</f>
        <v>2051.9550000000004</v>
      </c>
      <c r="Q28" s="244"/>
      <c r="R28" s="23" t="s">
        <v>19</v>
      </c>
      <c r="S28" s="26" t="s">
        <v>204</v>
      </c>
      <c r="T28" s="193">
        <f>4700*SQRT(-T26)</f>
        <v>32252.412312879791</v>
      </c>
      <c r="U28" s="25" t="s">
        <v>338</v>
      </c>
    </row>
    <row r="29" spans="10:22" x14ac:dyDescent="0.25">
      <c r="J29" s="14">
        <v>17</v>
      </c>
      <c r="K29" s="15">
        <v>0</v>
      </c>
      <c r="L29" s="15">
        <f t="shared" si="1"/>
        <v>0</v>
      </c>
      <c r="M29" s="198">
        <v>2438.4</v>
      </c>
      <c r="N29" s="179">
        <f t="shared" si="2"/>
        <v>96.000000000000014</v>
      </c>
      <c r="O29" s="226">
        <f>M29-228.6/2</f>
        <v>2324.1</v>
      </c>
      <c r="Q29" s="244"/>
      <c r="R29" s="23" t="s">
        <v>34</v>
      </c>
      <c r="S29" s="26" t="s">
        <v>35</v>
      </c>
      <c r="T29" s="192">
        <v>1.02</v>
      </c>
      <c r="U29" s="88"/>
      <c r="V29" s="23"/>
    </row>
    <row r="30" spans="10:22" x14ac:dyDescent="0.25">
      <c r="J30" s="14">
        <v>18</v>
      </c>
      <c r="K30" s="15">
        <v>1220</v>
      </c>
      <c r="L30" s="15">
        <f t="shared" si="1"/>
        <v>48.031496062992126</v>
      </c>
      <c r="M30" s="198">
        <v>2438.4</v>
      </c>
      <c r="N30" s="179">
        <f t="shared" si="2"/>
        <v>96.000000000000014</v>
      </c>
      <c r="O30" s="178"/>
      <c r="Q30" s="244"/>
      <c r="R30" s="23" t="s">
        <v>36</v>
      </c>
      <c r="S30" s="26" t="s">
        <v>201</v>
      </c>
      <c r="T30" s="191">
        <f>(-T26/5.2-1.9)</f>
        <v>7.1557692307692307</v>
      </c>
      <c r="U30" s="190"/>
    </row>
    <row r="31" spans="10:22" x14ac:dyDescent="0.25">
      <c r="J31" s="14">
        <v>19</v>
      </c>
      <c r="K31" s="15">
        <v>0</v>
      </c>
      <c r="L31" s="15">
        <f t="shared" si="1"/>
        <v>0</v>
      </c>
      <c r="M31" s="15">
        <v>2667</v>
      </c>
      <c r="N31" s="179">
        <f t="shared" si="2"/>
        <v>105</v>
      </c>
      <c r="O31" s="178"/>
      <c r="Q31" s="244"/>
      <c r="R31" s="6" t="s">
        <v>37</v>
      </c>
      <c r="S31" s="7"/>
      <c r="T31" s="7"/>
      <c r="U31" s="30"/>
    </row>
    <row r="32" spans="10:22" ht="14.4" thickBot="1" x14ac:dyDescent="0.3">
      <c r="J32" s="16">
        <v>20</v>
      </c>
      <c r="K32" s="17">
        <v>1220</v>
      </c>
      <c r="L32" s="17">
        <f t="shared" si="1"/>
        <v>48.031496062992126</v>
      </c>
      <c r="M32" s="17">
        <v>2667</v>
      </c>
      <c r="N32" s="180">
        <f t="shared" si="2"/>
        <v>105</v>
      </c>
      <c r="O32" s="178"/>
      <c r="Q32" s="244"/>
      <c r="R32" s="23" t="s">
        <v>38</v>
      </c>
      <c r="S32" s="26" t="s">
        <v>39</v>
      </c>
      <c r="T32" s="27">
        <v>-53.78</v>
      </c>
      <c r="U32" s="25" t="s">
        <v>338</v>
      </c>
    </row>
    <row r="33" spans="17:21" x14ac:dyDescent="0.25">
      <c r="Q33" s="244"/>
      <c r="R33" s="23" t="s">
        <v>40</v>
      </c>
      <c r="S33" s="26" t="s">
        <v>41</v>
      </c>
      <c r="T33" s="27">
        <v>-3.9699999999999996E-3</v>
      </c>
      <c r="U33" s="25"/>
    </row>
    <row r="34" spans="17:21" x14ac:dyDescent="0.25">
      <c r="Q34" s="244"/>
      <c r="R34" s="23" t="s">
        <v>42</v>
      </c>
      <c r="S34" s="26" t="s">
        <v>204</v>
      </c>
      <c r="T34" s="193">
        <f>4700*SQRT(-T32)</f>
        <v>34467.378780522318</v>
      </c>
      <c r="U34" s="25" t="s">
        <v>338</v>
      </c>
    </row>
    <row r="35" spans="17:21" x14ac:dyDescent="0.25">
      <c r="Q35" s="244"/>
      <c r="R35" s="23" t="s">
        <v>34</v>
      </c>
      <c r="S35" s="26" t="s">
        <v>43</v>
      </c>
      <c r="T35" s="192">
        <v>1.02</v>
      </c>
      <c r="U35" s="25"/>
    </row>
    <row r="36" spans="17:21" x14ac:dyDescent="0.25">
      <c r="Q36" s="244"/>
      <c r="R36" s="23" t="s">
        <v>36</v>
      </c>
      <c r="S36" s="26" t="s">
        <v>202</v>
      </c>
      <c r="T36" s="191">
        <f>(-T32/5.2-1.9)</f>
        <v>8.4423076923076916</v>
      </c>
      <c r="U36" s="190"/>
    </row>
    <row r="37" spans="17:21" x14ac:dyDescent="0.25">
      <c r="Q37" s="244"/>
      <c r="R37" s="6" t="s">
        <v>44</v>
      </c>
      <c r="S37" s="7"/>
      <c r="T37" s="7"/>
      <c r="U37" s="30"/>
    </row>
    <row r="38" spans="17:21" x14ac:dyDescent="0.25">
      <c r="Q38" s="244"/>
      <c r="R38" s="23" t="s">
        <v>45</v>
      </c>
      <c r="S38" s="26" t="s">
        <v>203</v>
      </c>
      <c r="T38" s="189">
        <f>0.31*SQRT(-T26)</f>
        <v>2.1272867695729225</v>
      </c>
      <c r="U38" s="25" t="s">
        <v>338</v>
      </c>
    </row>
    <row r="39" spans="17:21" x14ac:dyDescent="0.25">
      <c r="Q39" s="244"/>
      <c r="R39" s="23" t="s">
        <v>46</v>
      </c>
      <c r="S39" s="26" t="s">
        <v>47</v>
      </c>
      <c r="T39" s="27">
        <v>8.0000000000000007E-5</v>
      </c>
      <c r="U39" s="25"/>
    </row>
    <row r="40" spans="17:21" x14ac:dyDescent="0.25">
      <c r="Q40" s="244"/>
      <c r="R40" s="23" t="s">
        <v>34</v>
      </c>
      <c r="S40" s="26" t="s">
        <v>48</v>
      </c>
      <c r="T40" s="33">
        <v>10000</v>
      </c>
      <c r="U40" s="34" t="s">
        <v>23</v>
      </c>
    </row>
    <row r="41" spans="17:21" x14ac:dyDescent="0.25">
      <c r="Q41" s="245"/>
      <c r="R41" s="23" t="s">
        <v>36</v>
      </c>
      <c r="S41" s="26" t="s">
        <v>49</v>
      </c>
      <c r="T41" s="9">
        <v>1.2</v>
      </c>
      <c r="U41" s="22"/>
    </row>
    <row r="42" spans="17:21" x14ac:dyDescent="0.25">
      <c r="Q42" s="247" t="s">
        <v>50</v>
      </c>
      <c r="R42" s="6" t="s">
        <v>4</v>
      </c>
      <c r="S42" s="10" t="s">
        <v>51</v>
      </c>
      <c r="T42" s="7"/>
      <c r="U42" s="30"/>
    </row>
    <row r="43" spans="17:21" x14ac:dyDescent="0.25">
      <c r="Q43" s="235"/>
      <c r="R43" s="6" t="s">
        <v>52</v>
      </c>
      <c r="S43" s="7"/>
      <c r="T43" s="7"/>
      <c r="U43" s="30"/>
    </row>
    <row r="44" spans="17:21" x14ac:dyDescent="0.25">
      <c r="Q44" s="235"/>
      <c r="R44" s="23" t="s">
        <v>53</v>
      </c>
      <c r="S44" s="24" t="s">
        <v>349</v>
      </c>
      <c r="T44" s="15"/>
      <c r="U44" s="25"/>
    </row>
    <row r="45" spans="17:21" x14ac:dyDescent="0.25">
      <c r="Q45" s="235"/>
      <c r="R45" s="23" t="s">
        <v>54</v>
      </c>
      <c r="S45" s="26" t="s">
        <v>55</v>
      </c>
      <c r="T45" s="27">
        <v>10</v>
      </c>
      <c r="U45" s="25" t="s">
        <v>56</v>
      </c>
    </row>
    <row r="46" spans="17:21" x14ac:dyDescent="0.25">
      <c r="Q46" s="235"/>
      <c r="R46" s="23" t="s">
        <v>57</v>
      </c>
      <c r="S46" s="26" t="s">
        <v>58</v>
      </c>
      <c r="T46" s="27">
        <v>15</v>
      </c>
      <c r="U46" s="25" t="s">
        <v>2</v>
      </c>
    </row>
    <row r="47" spans="17:21" x14ac:dyDescent="0.25">
      <c r="Q47" s="235"/>
      <c r="R47" s="23" t="s">
        <v>59</v>
      </c>
      <c r="S47" s="26" t="s">
        <v>67</v>
      </c>
      <c r="T47" s="37">
        <f>((T45/10)^2)*PI()/4</f>
        <v>0.78539816339744828</v>
      </c>
      <c r="U47" s="25" t="s">
        <v>68</v>
      </c>
    </row>
    <row r="48" spans="17:21" x14ac:dyDescent="0.25">
      <c r="Q48" s="235"/>
      <c r="R48" s="23"/>
      <c r="S48" s="26" t="s">
        <v>306</v>
      </c>
      <c r="T48" s="145">
        <f>V47/(M6*(M7-2*M8))</f>
        <v>0</v>
      </c>
      <c r="U48" s="25"/>
    </row>
    <row r="49" spans="8:22" x14ac:dyDescent="0.25">
      <c r="Q49" s="235"/>
      <c r="R49" s="23" t="s">
        <v>61</v>
      </c>
      <c r="S49" s="26" t="s">
        <v>305</v>
      </c>
      <c r="T49" s="145">
        <f>2*T47/(M6*T46)</f>
        <v>6.8713750078516907E-4</v>
      </c>
      <c r="U49" s="25"/>
    </row>
    <row r="50" spans="8:22" x14ac:dyDescent="0.25">
      <c r="Q50" s="235"/>
      <c r="R50" s="6" t="s">
        <v>62</v>
      </c>
      <c r="S50" s="7"/>
      <c r="T50" s="7"/>
      <c r="U50" s="30"/>
    </row>
    <row r="51" spans="8:22" x14ac:dyDescent="0.25">
      <c r="H51" s="15"/>
      <c r="I51" s="15"/>
      <c r="J51" s="15"/>
      <c r="Q51" s="235"/>
      <c r="R51" s="23" t="s">
        <v>63</v>
      </c>
      <c r="S51" s="24" t="s">
        <v>345</v>
      </c>
      <c r="T51" s="23"/>
      <c r="U51" s="25"/>
    </row>
    <row r="52" spans="8:22" x14ac:dyDescent="0.25">
      <c r="H52" s="15"/>
      <c r="I52" s="15"/>
      <c r="J52" s="15"/>
      <c r="N52" s="144"/>
      <c r="Q52" s="235"/>
      <c r="R52" s="23" t="s">
        <v>54</v>
      </c>
      <c r="S52" s="26" t="s">
        <v>55</v>
      </c>
      <c r="T52" s="27">
        <v>12.7</v>
      </c>
      <c r="U52" s="25" t="s">
        <v>56</v>
      </c>
    </row>
    <row r="53" spans="8:22" x14ac:dyDescent="0.25">
      <c r="H53" s="15"/>
      <c r="I53" s="15"/>
      <c r="J53" s="15"/>
      <c r="Q53" s="235"/>
      <c r="R53" s="23" t="s">
        <v>64</v>
      </c>
      <c r="S53" s="26" t="s">
        <v>65</v>
      </c>
      <c r="T53" s="27">
        <v>8</v>
      </c>
      <c r="U53" s="25"/>
      <c r="V53" s="44">
        <v>193.72499999999999</v>
      </c>
    </row>
    <row r="54" spans="8:22" x14ac:dyDescent="0.25">
      <c r="Q54" s="235"/>
      <c r="R54" s="23" t="s">
        <v>66</v>
      </c>
      <c r="S54" s="26" t="s">
        <v>67</v>
      </c>
      <c r="T54" s="37">
        <f>(T52^2)*PI()/4*T53</f>
        <v>1013.4149581949954</v>
      </c>
      <c r="U54" s="25" t="s">
        <v>342</v>
      </c>
    </row>
    <row r="55" spans="8:22" x14ac:dyDescent="0.25">
      <c r="Q55" s="235"/>
      <c r="R55" s="23" t="s">
        <v>61</v>
      </c>
      <c r="S55" s="26" t="s">
        <v>341</v>
      </c>
      <c r="T55" s="38">
        <f>T54/(M6*V53)</f>
        <v>3.4325484321065407E-2</v>
      </c>
      <c r="U55" s="25"/>
    </row>
    <row r="56" spans="8:22" x14ac:dyDescent="0.25">
      <c r="Q56" s="235"/>
      <c r="R56" s="6" t="s">
        <v>69</v>
      </c>
      <c r="S56" s="7"/>
      <c r="T56" s="7"/>
      <c r="U56" s="30"/>
    </row>
    <row r="57" spans="8:22" x14ac:dyDescent="0.25">
      <c r="Q57" s="235"/>
      <c r="R57" s="23" t="s">
        <v>70</v>
      </c>
      <c r="S57" s="24" t="s">
        <v>344</v>
      </c>
      <c r="T57" s="23"/>
      <c r="U57" s="25"/>
    </row>
    <row r="58" spans="8:22" x14ac:dyDescent="0.25">
      <c r="Q58" s="235"/>
      <c r="R58" s="23" t="s">
        <v>54</v>
      </c>
      <c r="S58" s="26" t="s">
        <v>55</v>
      </c>
      <c r="T58" s="27">
        <v>6.4</v>
      </c>
      <c r="U58" s="25" t="s">
        <v>56</v>
      </c>
      <c r="V58" s="27"/>
    </row>
    <row r="59" spans="8:22" x14ac:dyDescent="0.25">
      <c r="Q59" s="235"/>
      <c r="R59" s="23" t="s">
        <v>57</v>
      </c>
      <c r="S59" s="26" t="s">
        <v>58</v>
      </c>
      <c r="T59" s="27">
        <v>50.8</v>
      </c>
      <c r="U59" s="25" t="s">
        <v>56</v>
      </c>
    </row>
    <row r="60" spans="8:22" x14ac:dyDescent="0.25">
      <c r="Q60" s="235"/>
      <c r="R60" s="23" t="s">
        <v>71</v>
      </c>
      <c r="S60" s="26" t="s">
        <v>72</v>
      </c>
      <c r="T60" s="27">
        <v>2</v>
      </c>
      <c r="U60" s="25"/>
    </row>
    <row r="61" spans="8:22" x14ac:dyDescent="0.25">
      <c r="Q61" s="235"/>
      <c r="R61" s="23" t="s">
        <v>59</v>
      </c>
      <c r="S61" s="26" t="s">
        <v>60</v>
      </c>
      <c r="T61" s="37">
        <f>(T58^2)*PI()/4/T59*T60</f>
        <v>1.266531841447224</v>
      </c>
      <c r="U61" s="25" t="s">
        <v>343</v>
      </c>
      <c r="V61" s="37"/>
    </row>
    <row r="62" spans="8:22" x14ac:dyDescent="0.25">
      <c r="Q62" s="235"/>
      <c r="R62" s="23" t="s">
        <v>61</v>
      </c>
      <c r="S62" s="26" t="s">
        <v>304</v>
      </c>
      <c r="T62" s="38">
        <f>T61/M6</f>
        <v>8.3105763874489758E-3</v>
      </c>
      <c r="U62" s="25"/>
      <c r="V62" s="194"/>
    </row>
    <row r="63" spans="8:22" x14ac:dyDescent="0.25">
      <c r="Q63" s="235"/>
      <c r="R63" s="6" t="s">
        <v>73</v>
      </c>
      <c r="S63" s="7"/>
      <c r="T63" s="7"/>
      <c r="U63" s="30"/>
    </row>
    <row r="64" spans="8:22" x14ac:dyDescent="0.25">
      <c r="Q64" s="235"/>
      <c r="R64" s="23" t="s">
        <v>74</v>
      </c>
      <c r="S64" s="26" t="s">
        <v>75</v>
      </c>
      <c r="T64" s="33">
        <v>0.2</v>
      </c>
      <c r="U64" s="39" t="s">
        <v>76</v>
      </c>
    </row>
    <row r="65" spans="17:21" ht="14.4" thickBot="1" x14ac:dyDescent="0.3">
      <c r="Q65" s="236"/>
      <c r="R65" s="40" t="s">
        <v>77</v>
      </c>
      <c r="S65" s="41" t="s">
        <v>78</v>
      </c>
      <c r="T65" s="42">
        <v>1.2E-2</v>
      </c>
      <c r="U65" s="43" t="s">
        <v>79</v>
      </c>
    </row>
    <row r="66" spans="17:21" x14ac:dyDescent="0.25">
      <c r="Q66" s="234" t="s">
        <v>346</v>
      </c>
      <c r="R66" s="18" t="s">
        <v>4</v>
      </c>
      <c r="S66" s="19" t="s">
        <v>331</v>
      </c>
      <c r="T66" s="20"/>
      <c r="U66" s="21"/>
    </row>
    <row r="67" spans="17:21" x14ac:dyDescent="0.25">
      <c r="Q67" s="235"/>
      <c r="R67" s="6" t="s">
        <v>83</v>
      </c>
      <c r="S67" s="48"/>
      <c r="T67" s="48"/>
      <c r="U67" s="30"/>
    </row>
    <row r="68" spans="17:21" x14ac:dyDescent="0.25">
      <c r="Q68" s="235"/>
      <c r="R68" s="23" t="s">
        <v>81</v>
      </c>
      <c r="S68" s="26" t="s">
        <v>82</v>
      </c>
      <c r="T68" s="23">
        <v>16</v>
      </c>
      <c r="U68" s="45"/>
    </row>
    <row r="69" spans="17:21" x14ac:dyDescent="0.25">
      <c r="Q69" s="235"/>
      <c r="R69" s="2" t="s">
        <v>86</v>
      </c>
      <c r="S69" s="2"/>
      <c r="T69" s="2">
        <v>2.5499999999999998</v>
      </c>
      <c r="U69" s="22" t="s">
        <v>0</v>
      </c>
    </row>
    <row r="70" spans="17:21" x14ac:dyDescent="0.25">
      <c r="Q70" s="235"/>
      <c r="R70" s="6" t="s">
        <v>84</v>
      </c>
      <c r="S70" s="48"/>
      <c r="T70" s="48"/>
      <c r="U70" s="49"/>
    </row>
    <row r="71" spans="17:21" x14ac:dyDescent="0.25">
      <c r="Q71" s="235"/>
      <c r="R71" s="23" t="s">
        <v>85</v>
      </c>
      <c r="S71" s="26" t="s">
        <v>0</v>
      </c>
      <c r="T71" s="23">
        <v>8</v>
      </c>
      <c r="U71" s="45"/>
    </row>
    <row r="72" spans="17:21" x14ac:dyDescent="0.25">
      <c r="Q72" s="235"/>
      <c r="R72" s="23" t="s">
        <v>89</v>
      </c>
      <c r="S72" s="26" t="s">
        <v>87</v>
      </c>
      <c r="T72" s="26">
        <v>88</v>
      </c>
      <c r="U72" s="46" t="s">
        <v>2</v>
      </c>
    </row>
    <row r="73" spans="17:21" ht="14.4" thickBot="1" x14ac:dyDescent="0.3">
      <c r="Q73" s="236"/>
      <c r="R73" s="40"/>
      <c r="S73" s="41" t="s">
        <v>88</v>
      </c>
      <c r="T73" s="167">
        <f>115/2.54</f>
        <v>45.275590551181104</v>
      </c>
      <c r="U73" s="47" t="s">
        <v>310</v>
      </c>
    </row>
  </sheetData>
  <mergeCells count="7">
    <mergeCell ref="Q66:Q73"/>
    <mergeCell ref="J2:N2"/>
    <mergeCell ref="J11:N11"/>
    <mergeCell ref="Q2:U2"/>
    <mergeCell ref="Q3:Q23"/>
    <mergeCell ref="Q24:Q41"/>
    <mergeCell ref="Q42:Q65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:V73"/>
  <sheetViews>
    <sheetView topLeftCell="H8" zoomScale="92" zoomScaleNormal="100" workbookViewId="0">
      <selection activeCell="J9" sqref="J9:N9"/>
    </sheetView>
  </sheetViews>
  <sheetFormatPr defaultColWidth="11.5546875" defaultRowHeight="13.8" x14ac:dyDescent="0.25"/>
  <cols>
    <col min="1" max="7" width="11.5546875" style="44"/>
    <col min="8" max="8" width="18.33203125" style="44" customWidth="1"/>
    <col min="9" max="9" width="11.5546875" style="44"/>
    <col min="10" max="10" width="28.5546875" style="44" bestFit="1" customWidth="1"/>
    <col min="11" max="11" width="11.88671875" style="44" bestFit="1" customWidth="1"/>
    <col min="12" max="13" width="12" style="44" bestFit="1" customWidth="1"/>
    <col min="14" max="14" width="17.109375" style="44" customWidth="1"/>
    <col min="15" max="16" width="11.5546875" style="44"/>
    <col min="17" max="17" width="15.6640625" style="44" bestFit="1" customWidth="1"/>
    <col min="18" max="18" width="34.33203125" style="44" customWidth="1"/>
    <col min="19" max="19" width="22.88671875" style="44" bestFit="1" customWidth="1"/>
    <col min="20" max="20" width="10.109375" style="44" bestFit="1" customWidth="1"/>
    <col min="21" max="21" width="17" style="44" customWidth="1"/>
    <col min="22" max="16384" width="11.5546875" style="44"/>
  </cols>
  <sheetData>
    <row r="1" spans="10:21" ht="14.4" thickBot="1" x14ac:dyDescent="0.3"/>
    <row r="2" spans="10:21" ht="14.4" thickBot="1" x14ac:dyDescent="0.3">
      <c r="J2" s="237" t="s">
        <v>333</v>
      </c>
      <c r="K2" s="238"/>
      <c r="L2" s="238"/>
      <c r="M2" s="238"/>
      <c r="N2" s="239"/>
      <c r="Q2" s="237" t="s">
        <v>336</v>
      </c>
      <c r="R2" s="238"/>
      <c r="S2" s="238"/>
      <c r="T2" s="238"/>
      <c r="U2" s="239"/>
    </row>
    <row r="3" spans="10:21" x14ac:dyDescent="0.25">
      <c r="J3" s="11"/>
      <c r="K3" s="182"/>
      <c r="L3" s="182"/>
      <c r="M3" s="12" t="s">
        <v>56</v>
      </c>
      <c r="N3" s="13" t="s">
        <v>310</v>
      </c>
      <c r="Q3" s="243" t="s">
        <v>3</v>
      </c>
      <c r="R3" s="18" t="s">
        <v>4</v>
      </c>
      <c r="S3" s="19" t="s">
        <v>337</v>
      </c>
      <c r="T3" s="20"/>
      <c r="U3" s="21"/>
    </row>
    <row r="4" spans="10:21" x14ac:dyDescent="0.25">
      <c r="J4" s="76" t="s">
        <v>332</v>
      </c>
      <c r="L4" s="181" t="s">
        <v>329</v>
      </c>
      <c r="M4" s="177">
        <f>2667/2</f>
        <v>1333.5</v>
      </c>
      <c r="N4" s="183">
        <f>M4/25.4</f>
        <v>52.5</v>
      </c>
      <c r="Q4" s="244"/>
      <c r="R4" s="1"/>
      <c r="S4" s="166"/>
      <c r="T4" s="2"/>
      <c r="U4" s="22"/>
    </row>
    <row r="5" spans="10:21" x14ac:dyDescent="0.25">
      <c r="J5" s="76" t="s">
        <v>127</v>
      </c>
      <c r="L5" s="181" t="s">
        <v>330</v>
      </c>
      <c r="M5" s="177">
        <v>1220</v>
      </c>
      <c r="N5" s="183">
        <f>M5/25.4</f>
        <v>48.031496062992126</v>
      </c>
      <c r="Q5" s="244"/>
      <c r="R5" s="1" t="s">
        <v>5</v>
      </c>
      <c r="S5" s="2"/>
      <c r="T5" s="2"/>
      <c r="U5" s="22"/>
    </row>
    <row r="6" spans="10:21" ht="14.4" x14ac:dyDescent="0.3">
      <c r="J6" s="76" t="s">
        <v>128</v>
      </c>
      <c r="L6" s="181" t="s">
        <v>1</v>
      </c>
      <c r="M6" s="177">
        <v>152.4</v>
      </c>
      <c r="N6" s="183">
        <f t="shared" ref="N6:N7" si="0">M6/25.4</f>
        <v>6.0000000000000009</v>
      </c>
      <c r="Q6" s="244"/>
      <c r="R6" s="23" t="s">
        <v>6</v>
      </c>
      <c r="S6" s="197"/>
      <c r="T6" s="23"/>
      <c r="U6" s="25"/>
    </row>
    <row r="7" spans="10:21" x14ac:dyDescent="0.25">
      <c r="J7" s="76" t="s">
        <v>335</v>
      </c>
      <c r="L7" s="181" t="s">
        <v>334</v>
      </c>
      <c r="M7" s="177">
        <v>304.8</v>
      </c>
      <c r="N7" s="183">
        <f t="shared" si="0"/>
        <v>12.000000000000002</v>
      </c>
      <c r="Q7" s="244"/>
      <c r="R7" s="23" t="s">
        <v>7</v>
      </c>
      <c r="S7" s="26" t="s">
        <v>8</v>
      </c>
      <c r="T7" s="188">
        <v>469.93</v>
      </c>
      <c r="U7" s="25" t="s">
        <v>338</v>
      </c>
    </row>
    <row r="8" spans="10:21" x14ac:dyDescent="0.25">
      <c r="J8" s="76" t="s">
        <v>339</v>
      </c>
      <c r="L8" s="181" t="s">
        <v>340</v>
      </c>
      <c r="M8" s="177">
        <v>228.6</v>
      </c>
      <c r="N8" s="183">
        <f>M8/25.4</f>
        <v>9</v>
      </c>
      <c r="Q8" s="244"/>
      <c r="R8" s="23" t="s">
        <v>10</v>
      </c>
      <c r="S8" s="24" t="s">
        <v>347</v>
      </c>
      <c r="T8" s="28"/>
      <c r="U8" s="25"/>
    </row>
    <row r="9" spans="10:21" ht="14.4" thickBot="1" x14ac:dyDescent="0.3">
      <c r="J9" s="184" t="s">
        <v>350</v>
      </c>
      <c r="K9" s="185"/>
      <c r="L9" s="195" t="s">
        <v>351</v>
      </c>
      <c r="M9" s="199">
        <f>M4/M5</f>
        <v>1.0930327868852459</v>
      </c>
      <c r="N9" s="200" t="s">
        <v>352</v>
      </c>
      <c r="Q9" s="244"/>
      <c r="R9" s="3" t="s">
        <v>11</v>
      </c>
      <c r="S9" s="4" t="s">
        <v>12</v>
      </c>
      <c r="T9" s="5">
        <v>0.02</v>
      </c>
      <c r="U9" s="29"/>
    </row>
    <row r="10" spans="10:21" ht="14.4" thickBot="1" x14ac:dyDescent="0.3">
      <c r="Q10" s="244"/>
      <c r="R10" s="6" t="s">
        <v>13</v>
      </c>
      <c r="S10" s="7"/>
      <c r="T10" s="7"/>
      <c r="U10" s="30"/>
    </row>
    <row r="11" spans="10:21" ht="14.4" thickBot="1" x14ac:dyDescent="0.3">
      <c r="J11" s="240" t="s">
        <v>80</v>
      </c>
      <c r="K11" s="241"/>
      <c r="L11" s="241"/>
      <c r="M11" s="241"/>
      <c r="N11" s="242"/>
      <c r="Q11" s="244"/>
      <c r="R11" s="23" t="s">
        <v>6</v>
      </c>
      <c r="S11" s="187"/>
      <c r="T11" s="23"/>
      <c r="U11" s="25"/>
    </row>
    <row r="12" spans="10:21" x14ac:dyDescent="0.25">
      <c r="J12" s="11" t="s">
        <v>90</v>
      </c>
      <c r="K12" s="12" t="s">
        <v>327</v>
      </c>
      <c r="L12" s="12" t="s">
        <v>311</v>
      </c>
      <c r="M12" s="12" t="s">
        <v>328</v>
      </c>
      <c r="N12" s="13" t="s">
        <v>312</v>
      </c>
      <c r="Q12" s="244"/>
      <c r="R12" s="23" t="s">
        <v>7</v>
      </c>
      <c r="S12" s="26" t="s">
        <v>14</v>
      </c>
      <c r="T12" s="188">
        <v>409.71</v>
      </c>
      <c r="U12" s="25" t="s">
        <v>338</v>
      </c>
    </row>
    <row r="13" spans="10:21" x14ac:dyDescent="0.25">
      <c r="J13" s="14">
        <v>1</v>
      </c>
      <c r="K13" s="15">
        <v>0</v>
      </c>
      <c r="L13" s="15">
        <f>K13/25.4</f>
        <v>0</v>
      </c>
      <c r="M13" s="15">
        <f>0/2</f>
        <v>0</v>
      </c>
      <c r="N13" s="179">
        <f>M13/25.4</f>
        <v>0</v>
      </c>
      <c r="Q13" s="244"/>
      <c r="R13" s="23" t="s">
        <v>10</v>
      </c>
      <c r="S13" s="24" t="s">
        <v>348</v>
      </c>
      <c r="T13" s="28"/>
      <c r="U13" s="25"/>
    </row>
    <row r="14" spans="10:21" x14ac:dyDescent="0.25">
      <c r="J14" s="14">
        <v>2</v>
      </c>
      <c r="K14" s="15">
        <v>1220</v>
      </c>
      <c r="L14" s="15">
        <f t="shared" ref="L14:L32" si="1">K14/25.4</f>
        <v>48.031496062992126</v>
      </c>
      <c r="M14" s="15">
        <f>0/2</f>
        <v>0</v>
      </c>
      <c r="N14" s="179">
        <f t="shared" ref="N14:N32" si="2">M14/25.4</f>
        <v>0</v>
      </c>
      <c r="Q14" s="244"/>
      <c r="R14" s="3" t="s">
        <v>11</v>
      </c>
      <c r="S14" s="4" t="s">
        <v>15</v>
      </c>
      <c r="T14" s="5">
        <v>2.5000000000000001E-2</v>
      </c>
      <c r="U14" s="31"/>
    </row>
    <row r="15" spans="10:21" x14ac:dyDescent="0.25">
      <c r="J15" s="14">
        <v>3</v>
      </c>
      <c r="K15" s="15">
        <v>0</v>
      </c>
      <c r="L15" s="15">
        <f t="shared" si="1"/>
        <v>0</v>
      </c>
      <c r="M15" s="201">
        <f>315.69/2</f>
        <v>157.845</v>
      </c>
      <c r="N15" s="179">
        <f t="shared" si="2"/>
        <v>6.2143700787401581</v>
      </c>
      <c r="O15" s="178"/>
      <c r="Q15" s="244"/>
      <c r="R15" s="6" t="s">
        <v>16</v>
      </c>
      <c r="S15" s="7"/>
      <c r="T15" s="7"/>
      <c r="U15" s="30"/>
    </row>
    <row r="16" spans="10:21" x14ac:dyDescent="0.25">
      <c r="J16" s="14">
        <v>4</v>
      </c>
      <c r="K16" s="15">
        <v>1220</v>
      </c>
      <c r="L16" s="15">
        <f t="shared" si="1"/>
        <v>48.031496062992126</v>
      </c>
      <c r="M16" s="201">
        <f>315.69/2</f>
        <v>157.845</v>
      </c>
      <c r="N16" s="179">
        <f t="shared" si="2"/>
        <v>6.2143700787401581</v>
      </c>
      <c r="Q16" s="244"/>
      <c r="R16" s="23" t="s">
        <v>6</v>
      </c>
      <c r="S16" s="187"/>
      <c r="T16" s="23"/>
      <c r="U16" s="25"/>
    </row>
    <row r="17" spans="10:22" x14ac:dyDescent="0.25">
      <c r="J17" s="14">
        <v>5</v>
      </c>
      <c r="K17" s="15">
        <v>0</v>
      </c>
      <c r="L17" s="15">
        <f t="shared" si="1"/>
        <v>0</v>
      </c>
      <c r="M17" s="201">
        <f>631.37/2</f>
        <v>315.685</v>
      </c>
      <c r="N17" s="179">
        <f t="shared" si="2"/>
        <v>12.428543307086615</v>
      </c>
      <c r="O17" s="178"/>
      <c r="Q17" s="244"/>
      <c r="R17" s="23" t="s">
        <v>7</v>
      </c>
      <c r="S17" s="26" t="s">
        <v>17</v>
      </c>
      <c r="T17" s="188">
        <v>429.78</v>
      </c>
      <c r="U17" s="25" t="s">
        <v>338</v>
      </c>
    </row>
    <row r="18" spans="10:22" x14ac:dyDescent="0.25">
      <c r="J18" s="14">
        <v>6</v>
      </c>
      <c r="K18" s="15">
        <v>1220</v>
      </c>
      <c r="L18" s="15">
        <f t="shared" si="1"/>
        <v>48.031496062992126</v>
      </c>
      <c r="M18" s="201">
        <f>631.37/2</f>
        <v>315.685</v>
      </c>
      <c r="N18" s="179">
        <f t="shared" si="2"/>
        <v>12.428543307086615</v>
      </c>
      <c r="Q18" s="244"/>
      <c r="R18" s="23" t="s">
        <v>10</v>
      </c>
      <c r="S18" s="24" t="s">
        <v>345</v>
      </c>
      <c r="T18" s="28"/>
      <c r="U18" s="25"/>
    </row>
    <row r="19" spans="10:22" x14ac:dyDescent="0.25">
      <c r="J19" s="14">
        <v>7</v>
      </c>
      <c r="K19" s="15">
        <v>0</v>
      </c>
      <c r="L19" s="15">
        <f t="shared" si="1"/>
        <v>0</v>
      </c>
      <c r="M19" s="15">
        <f>947.06/2</f>
        <v>473.53</v>
      </c>
      <c r="N19" s="179">
        <f t="shared" si="2"/>
        <v>18.642913385826773</v>
      </c>
      <c r="O19" s="178"/>
      <c r="Q19" s="244"/>
      <c r="R19" s="3" t="s">
        <v>11</v>
      </c>
      <c r="S19" s="4" t="s">
        <v>18</v>
      </c>
      <c r="T19" s="5">
        <v>0.01</v>
      </c>
      <c r="U19" s="31"/>
      <c r="V19" s="71"/>
    </row>
    <row r="20" spans="10:22" x14ac:dyDescent="0.25">
      <c r="J20" s="14">
        <v>8</v>
      </c>
      <c r="K20" s="15">
        <v>1220</v>
      </c>
      <c r="L20" s="15">
        <f t="shared" si="1"/>
        <v>48.031496062992126</v>
      </c>
      <c r="M20" s="15">
        <f>947.06/2</f>
        <v>473.53</v>
      </c>
      <c r="N20" s="179">
        <f t="shared" si="2"/>
        <v>18.642913385826773</v>
      </c>
      <c r="Q20" s="244"/>
      <c r="R20" s="32" t="s">
        <v>19</v>
      </c>
      <c r="S20" s="26" t="s">
        <v>20</v>
      </c>
      <c r="T20" s="27">
        <v>200000</v>
      </c>
      <c r="U20" s="25" t="s">
        <v>338</v>
      </c>
    </row>
    <row r="21" spans="10:22" x14ac:dyDescent="0.25">
      <c r="J21" s="14">
        <v>9</v>
      </c>
      <c r="K21" s="15">
        <v>0</v>
      </c>
      <c r="L21" s="15">
        <f t="shared" si="1"/>
        <v>0</v>
      </c>
      <c r="M21" s="15">
        <f>1262.74/2</f>
        <v>631.37</v>
      </c>
      <c r="N21" s="179">
        <f t="shared" si="2"/>
        <v>24.85708661417323</v>
      </c>
      <c r="O21" s="178"/>
      <c r="Q21" s="244"/>
      <c r="R21" s="32" t="s">
        <v>21</v>
      </c>
      <c r="S21" s="26" t="s">
        <v>22</v>
      </c>
      <c r="T21" s="33">
        <v>20</v>
      </c>
      <c r="U21" s="34"/>
    </row>
    <row r="22" spans="10:22" x14ac:dyDescent="0.25">
      <c r="J22" s="14">
        <v>10</v>
      </c>
      <c r="K22" s="15">
        <v>1220</v>
      </c>
      <c r="L22" s="15">
        <f t="shared" si="1"/>
        <v>48.031496062992126</v>
      </c>
      <c r="M22" s="15">
        <f>1262.74/2</f>
        <v>631.37</v>
      </c>
      <c r="N22" s="179">
        <f t="shared" si="2"/>
        <v>24.85708661417323</v>
      </c>
      <c r="Q22" s="244"/>
      <c r="R22" s="32" t="s">
        <v>24</v>
      </c>
      <c r="S22" s="26" t="s">
        <v>25</v>
      </c>
      <c r="T22" s="33">
        <v>0.92500000000000004</v>
      </c>
      <c r="U22" s="34"/>
    </row>
    <row r="23" spans="10:22" x14ac:dyDescent="0.25">
      <c r="J23" s="14">
        <v>11</v>
      </c>
      <c r="K23" s="15">
        <v>0</v>
      </c>
      <c r="L23" s="15">
        <f t="shared" si="1"/>
        <v>0</v>
      </c>
      <c r="M23" s="201">
        <f>1578.43/2</f>
        <v>789.21500000000003</v>
      </c>
      <c r="N23" s="179">
        <f t="shared" si="2"/>
        <v>31.07145669291339</v>
      </c>
      <c r="O23" s="178"/>
      <c r="Q23" s="245"/>
      <c r="R23" s="2"/>
      <c r="S23" s="8" t="s">
        <v>26</v>
      </c>
      <c r="T23" s="9">
        <v>0.15</v>
      </c>
      <c r="U23" s="35"/>
    </row>
    <row r="24" spans="10:22" x14ac:dyDescent="0.25">
      <c r="J24" s="14">
        <v>12</v>
      </c>
      <c r="K24" s="15">
        <v>1220</v>
      </c>
      <c r="L24" s="15">
        <f t="shared" si="1"/>
        <v>48.031496062992126</v>
      </c>
      <c r="M24" s="201">
        <f>1578.43/2</f>
        <v>789.21500000000003</v>
      </c>
      <c r="N24" s="179">
        <f t="shared" si="2"/>
        <v>31.07145669291339</v>
      </c>
      <c r="Q24" s="246" t="s">
        <v>27</v>
      </c>
      <c r="R24" s="1" t="s">
        <v>4</v>
      </c>
      <c r="S24" s="36" t="s">
        <v>28</v>
      </c>
      <c r="T24" s="23"/>
      <c r="U24" s="25"/>
    </row>
    <row r="25" spans="10:22" x14ac:dyDescent="0.25">
      <c r="J25" s="14">
        <v>13</v>
      </c>
      <c r="K25" s="15">
        <v>0</v>
      </c>
      <c r="L25" s="15">
        <f t="shared" si="1"/>
        <v>0</v>
      </c>
      <c r="M25" s="201">
        <f>1894.11/2</f>
        <v>947.05499999999995</v>
      </c>
      <c r="N25" s="179">
        <f t="shared" si="2"/>
        <v>37.28562992125984</v>
      </c>
      <c r="O25" s="178"/>
      <c r="Q25" s="244"/>
      <c r="R25" s="6" t="s">
        <v>29</v>
      </c>
      <c r="S25" s="7"/>
      <c r="T25" s="7"/>
      <c r="U25" s="30"/>
    </row>
    <row r="26" spans="10:22" x14ac:dyDescent="0.25">
      <c r="J26" s="14">
        <v>14</v>
      </c>
      <c r="K26" s="15">
        <v>1220</v>
      </c>
      <c r="L26" s="15">
        <f t="shared" si="1"/>
        <v>48.031496062992126</v>
      </c>
      <c r="M26" s="201">
        <f>1894.11/2</f>
        <v>947.05499999999995</v>
      </c>
      <c r="N26" s="179">
        <f t="shared" si="2"/>
        <v>37.28562992125984</v>
      </c>
      <c r="Q26" s="244"/>
      <c r="R26" s="23" t="s">
        <v>30</v>
      </c>
      <c r="S26" s="26" t="s">
        <v>31</v>
      </c>
      <c r="T26" s="27">
        <v>-47.09</v>
      </c>
      <c r="U26" s="25" t="s">
        <v>338</v>
      </c>
    </row>
    <row r="27" spans="10:22" x14ac:dyDescent="0.25">
      <c r="J27" s="14">
        <v>15</v>
      </c>
      <c r="K27" s="15">
        <v>0</v>
      </c>
      <c r="L27" s="15">
        <f t="shared" si="1"/>
        <v>0</v>
      </c>
      <c r="M27" s="15">
        <f>2209.8/2</f>
        <v>1104.9000000000001</v>
      </c>
      <c r="N27" s="179">
        <f t="shared" si="2"/>
        <v>43.500000000000007</v>
      </c>
      <c r="O27" s="178"/>
      <c r="Q27" s="244"/>
      <c r="R27" s="23" t="s">
        <v>32</v>
      </c>
      <c r="S27" s="26" t="s">
        <v>33</v>
      </c>
      <c r="T27" s="27">
        <v>-2.32E-3</v>
      </c>
      <c r="U27" s="25"/>
    </row>
    <row r="28" spans="10:22" x14ac:dyDescent="0.25">
      <c r="J28" s="14">
        <v>16</v>
      </c>
      <c r="K28" s="15">
        <v>1220</v>
      </c>
      <c r="L28" s="15">
        <f t="shared" si="1"/>
        <v>48.031496062992126</v>
      </c>
      <c r="M28" s="15">
        <f>2209.8/2</f>
        <v>1104.9000000000001</v>
      </c>
      <c r="N28" s="179">
        <f t="shared" si="2"/>
        <v>43.500000000000007</v>
      </c>
      <c r="Q28" s="244"/>
      <c r="R28" s="23" t="s">
        <v>19</v>
      </c>
      <c r="S28" s="26" t="s">
        <v>204</v>
      </c>
      <c r="T28" s="193">
        <f>4700*SQRT(-T26)</f>
        <v>32252.412312879791</v>
      </c>
      <c r="U28" s="25" t="s">
        <v>338</v>
      </c>
    </row>
    <row r="29" spans="10:22" x14ac:dyDescent="0.25">
      <c r="J29" s="14">
        <v>17</v>
      </c>
      <c r="K29" s="15">
        <v>0</v>
      </c>
      <c r="L29" s="15">
        <f t="shared" si="1"/>
        <v>0</v>
      </c>
      <c r="M29" s="198">
        <f>2438.4/2</f>
        <v>1219.2</v>
      </c>
      <c r="N29" s="179">
        <f t="shared" si="2"/>
        <v>48.000000000000007</v>
      </c>
      <c r="O29" s="178"/>
      <c r="Q29" s="244"/>
      <c r="R29" s="23" t="s">
        <v>34</v>
      </c>
      <c r="S29" s="26" t="s">
        <v>35</v>
      </c>
      <c r="T29" s="192">
        <v>1.02</v>
      </c>
      <c r="U29" s="88"/>
      <c r="V29" s="23"/>
    </row>
    <row r="30" spans="10:22" x14ac:dyDescent="0.25">
      <c r="J30" s="14">
        <v>18</v>
      </c>
      <c r="K30" s="15">
        <v>1220</v>
      </c>
      <c r="L30" s="15">
        <f t="shared" si="1"/>
        <v>48.031496062992126</v>
      </c>
      <c r="M30" s="198">
        <f>2438.4/2</f>
        <v>1219.2</v>
      </c>
      <c r="N30" s="179">
        <f t="shared" si="2"/>
        <v>48.000000000000007</v>
      </c>
      <c r="Q30" s="244"/>
      <c r="R30" s="23" t="s">
        <v>36</v>
      </c>
      <c r="S30" s="26" t="s">
        <v>201</v>
      </c>
      <c r="T30" s="191">
        <f>(-T26/5.2-1.9)</f>
        <v>7.1557692307692307</v>
      </c>
      <c r="U30" s="190"/>
    </row>
    <row r="31" spans="10:22" x14ac:dyDescent="0.25">
      <c r="J31" s="14">
        <v>19</v>
      </c>
      <c r="K31" s="15">
        <v>0</v>
      </c>
      <c r="L31" s="15">
        <f t="shared" si="1"/>
        <v>0</v>
      </c>
      <c r="M31" s="15">
        <f>2667/2</f>
        <v>1333.5</v>
      </c>
      <c r="N31" s="179">
        <f t="shared" si="2"/>
        <v>52.5</v>
      </c>
      <c r="O31" s="178"/>
      <c r="Q31" s="244"/>
      <c r="R31" s="6" t="s">
        <v>37</v>
      </c>
      <c r="S31" s="7"/>
      <c r="T31" s="7"/>
      <c r="U31" s="30"/>
    </row>
    <row r="32" spans="10:22" ht="14.4" thickBot="1" x14ac:dyDescent="0.3">
      <c r="J32" s="16">
        <v>20</v>
      </c>
      <c r="K32" s="17">
        <v>1220</v>
      </c>
      <c r="L32" s="17">
        <f t="shared" si="1"/>
        <v>48.031496062992126</v>
      </c>
      <c r="M32" s="202">
        <f>2667/2</f>
        <v>1333.5</v>
      </c>
      <c r="N32" s="180">
        <f t="shared" si="2"/>
        <v>52.5</v>
      </c>
      <c r="Q32" s="244"/>
      <c r="R32" s="23" t="s">
        <v>38</v>
      </c>
      <c r="S32" s="26" t="s">
        <v>39</v>
      </c>
      <c r="T32" s="27">
        <v>-53.78</v>
      </c>
      <c r="U32" s="25" t="s">
        <v>338</v>
      </c>
    </row>
    <row r="33" spans="17:21" x14ac:dyDescent="0.25">
      <c r="Q33" s="244"/>
      <c r="R33" s="23" t="s">
        <v>40</v>
      </c>
      <c r="S33" s="26" t="s">
        <v>41</v>
      </c>
      <c r="T33" s="27">
        <v>-3.9699999999999996E-3</v>
      </c>
      <c r="U33" s="25"/>
    </row>
    <row r="34" spans="17:21" x14ac:dyDescent="0.25">
      <c r="Q34" s="244"/>
      <c r="R34" s="23" t="s">
        <v>42</v>
      </c>
      <c r="S34" s="26" t="s">
        <v>204</v>
      </c>
      <c r="T34" s="193">
        <f>4700*SQRT(-T32)</f>
        <v>34467.378780522318</v>
      </c>
      <c r="U34" s="25" t="s">
        <v>338</v>
      </c>
    </row>
    <row r="35" spans="17:21" x14ac:dyDescent="0.25">
      <c r="Q35" s="244"/>
      <c r="R35" s="23" t="s">
        <v>34</v>
      </c>
      <c r="S35" s="26" t="s">
        <v>43</v>
      </c>
      <c r="T35" s="192">
        <v>1.02</v>
      </c>
      <c r="U35" s="25"/>
    </row>
    <row r="36" spans="17:21" x14ac:dyDescent="0.25">
      <c r="Q36" s="244"/>
      <c r="R36" s="23" t="s">
        <v>36</v>
      </c>
      <c r="S36" s="26" t="s">
        <v>202</v>
      </c>
      <c r="T36" s="191">
        <f>(-T32/5.2-1.9)</f>
        <v>8.4423076923076916</v>
      </c>
      <c r="U36" s="190"/>
    </row>
    <row r="37" spans="17:21" x14ac:dyDescent="0.25">
      <c r="Q37" s="244"/>
      <c r="R37" s="6" t="s">
        <v>44</v>
      </c>
      <c r="S37" s="7"/>
      <c r="T37" s="7"/>
      <c r="U37" s="30"/>
    </row>
    <row r="38" spans="17:21" x14ac:dyDescent="0.25">
      <c r="Q38" s="244"/>
      <c r="R38" s="23" t="s">
        <v>45</v>
      </c>
      <c r="S38" s="26" t="s">
        <v>203</v>
      </c>
      <c r="T38" s="189">
        <f>0.31*SQRT(-T26)</f>
        <v>2.1272867695729225</v>
      </c>
      <c r="U38" s="25" t="s">
        <v>338</v>
      </c>
    </row>
    <row r="39" spans="17:21" x14ac:dyDescent="0.25">
      <c r="Q39" s="244"/>
      <c r="R39" s="23" t="s">
        <v>46</v>
      </c>
      <c r="S39" s="26" t="s">
        <v>47</v>
      </c>
      <c r="T39" s="27">
        <v>8.0000000000000007E-5</v>
      </c>
      <c r="U39" s="25"/>
    </row>
    <row r="40" spans="17:21" x14ac:dyDescent="0.25">
      <c r="Q40" s="244"/>
      <c r="R40" s="23" t="s">
        <v>34</v>
      </c>
      <c r="S40" s="26" t="s">
        <v>48</v>
      </c>
      <c r="T40" s="33">
        <v>10000</v>
      </c>
      <c r="U40" s="34" t="s">
        <v>23</v>
      </c>
    </row>
    <row r="41" spans="17:21" x14ac:dyDescent="0.25">
      <c r="Q41" s="245"/>
      <c r="R41" s="23" t="s">
        <v>36</v>
      </c>
      <c r="S41" s="26" t="s">
        <v>49</v>
      </c>
      <c r="T41" s="9">
        <v>1.2</v>
      </c>
      <c r="U41" s="22"/>
    </row>
    <row r="42" spans="17:21" x14ac:dyDescent="0.25">
      <c r="Q42" s="247" t="s">
        <v>50</v>
      </c>
      <c r="R42" s="6" t="s">
        <v>4</v>
      </c>
      <c r="S42" s="10" t="s">
        <v>51</v>
      </c>
      <c r="T42" s="7"/>
      <c r="U42" s="30"/>
    </row>
    <row r="43" spans="17:21" x14ac:dyDescent="0.25">
      <c r="Q43" s="235"/>
      <c r="R43" s="6" t="s">
        <v>52</v>
      </c>
      <c r="S43" s="7"/>
      <c r="T43" s="7"/>
      <c r="U43" s="30"/>
    </row>
    <row r="44" spans="17:21" x14ac:dyDescent="0.25">
      <c r="Q44" s="235"/>
      <c r="R44" s="23" t="s">
        <v>53</v>
      </c>
      <c r="S44" s="24" t="s">
        <v>349</v>
      </c>
      <c r="T44" s="15"/>
      <c r="U44" s="25"/>
    </row>
    <row r="45" spans="17:21" x14ac:dyDescent="0.25">
      <c r="Q45" s="235"/>
      <c r="R45" s="23" t="s">
        <v>54</v>
      </c>
      <c r="S45" s="26" t="s">
        <v>55</v>
      </c>
      <c r="T45" s="27">
        <v>10</v>
      </c>
      <c r="U45" s="25" t="s">
        <v>56</v>
      </c>
    </row>
    <row r="46" spans="17:21" x14ac:dyDescent="0.25">
      <c r="Q46" s="235"/>
      <c r="R46" s="23" t="s">
        <v>57</v>
      </c>
      <c r="S46" s="26" t="s">
        <v>58</v>
      </c>
      <c r="T46" s="27">
        <v>15</v>
      </c>
      <c r="U46" s="25" t="s">
        <v>2</v>
      </c>
    </row>
    <row r="47" spans="17:21" x14ac:dyDescent="0.25">
      <c r="Q47" s="235"/>
      <c r="R47" s="23" t="s">
        <v>59</v>
      </c>
      <c r="S47" s="26" t="s">
        <v>67</v>
      </c>
      <c r="T47" s="37">
        <f>((T45/10)^2)*PI()/4</f>
        <v>0.78539816339744828</v>
      </c>
      <c r="U47" s="25" t="s">
        <v>68</v>
      </c>
    </row>
    <row r="48" spans="17:21" x14ac:dyDescent="0.25">
      <c r="Q48" s="235"/>
      <c r="R48" s="23"/>
      <c r="S48" s="26" t="s">
        <v>306</v>
      </c>
      <c r="T48" s="145">
        <f>V47/(M6*(M7-2*M8))</f>
        <v>0</v>
      </c>
      <c r="U48" s="25"/>
    </row>
    <row r="49" spans="8:22" x14ac:dyDescent="0.25">
      <c r="Q49" s="235"/>
      <c r="R49" s="23" t="s">
        <v>61</v>
      </c>
      <c r="S49" s="26" t="s">
        <v>305</v>
      </c>
      <c r="T49" s="145">
        <f>2*T47/(M6*T46)</f>
        <v>6.8713750078516907E-4</v>
      </c>
      <c r="U49" s="25"/>
    </row>
    <row r="50" spans="8:22" x14ac:dyDescent="0.25">
      <c r="Q50" s="235"/>
      <c r="R50" s="6" t="s">
        <v>62</v>
      </c>
      <c r="S50" s="7"/>
      <c r="T50" s="7"/>
      <c r="U50" s="30"/>
    </row>
    <row r="51" spans="8:22" x14ac:dyDescent="0.25">
      <c r="H51" s="15"/>
      <c r="I51" s="15"/>
      <c r="J51" s="15"/>
      <c r="Q51" s="235"/>
      <c r="R51" s="23" t="s">
        <v>63</v>
      </c>
      <c r="S51" s="24" t="s">
        <v>345</v>
      </c>
      <c r="T51" s="23"/>
      <c r="U51" s="25"/>
    </row>
    <row r="52" spans="8:22" x14ac:dyDescent="0.25">
      <c r="H52" s="15"/>
      <c r="I52" s="15"/>
      <c r="J52" s="15"/>
      <c r="N52" s="144"/>
      <c r="Q52" s="235"/>
      <c r="R52" s="23" t="s">
        <v>54</v>
      </c>
      <c r="S52" s="26" t="s">
        <v>55</v>
      </c>
      <c r="T52" s="27">
        <v>12.7</v>
      </c>
      <c r="U52" s="25" t="s">
        <v>56</v>
      </c>
    </row>
    <row r="53" spans="8:22" x14ac:dyDescent="0.25">
      <c r="H53" s="15"/>
      <c r="I53" s="15"/>
      <c r="J53" s="15"/>
      <c r="Q53" s="235"/>
      <c r="R53" s="23" t="s">
        <v>64</v>
      </c>
      <c r="S53" s="26" t="s">
        <v>65</v>
      </c>
      <c r="T53" s="27">
        <v>8</v>
      </c>
      <c r="U53" s="25"/>
      <c r="V53" s="44">
        <v>193.72499999999999</v>
      </c>
    </row>
    <row r="54" spans="8:22" x14ac:dyDescent="0.25">
      <c r="Q54" s="235"/>
      <c r="R54" s="23" t="s">
        <v>66</v>
      </c>
      <c r="S54" s="26" t="s">
        <v>67</v>
      </c>
      <c r="T54" s="37">
        <f>(T52^2)*PI()/4*T53</f>
        <v>1013.4149581949954</v>
      </c>
      <c r="U54" s="25" t="s">
        <v>342</v>
      </c>
    </row>
    <row r="55" spans="8:22" x14ac:dyDescent="0.25">
      <c r="Q55" s="235"/>
      <c r="R55" s="23" t="s">
        <v>61</v>
      </c>
      <c r="S55" s="26" t="s">
        <v>341</v>
      </c>
      <c r="T55" s="38">
        <f>T54/(M6*V53)</f>
        <v>3.4325484321065407E-2</v>
      </c>
      <c r="U55" s="25"/>
    </row>
    <row r="56" spans="8:22" x14ac:dyDescent="0.25">
      <c r="Q56" s="235"/>
      <c r="R56" s="6" t="s">
        <v>69</v>
      </c>
      <c r="S56" s="7"/>
      <c r="T56" s="7"/>
      <c r="U56" s="30"/>
    </row>
    <row r="57" spans="8:22" x14ac:dyDescent="0.25">
      <c r="Q57" s="235"/>
      <c r="R57" s="23" t="s">
        <v>70</v>
      </c>
      <c r="S57" s="24" t="s">
        <v>344</v>
      </c>
      <c r="T57" s="23"/>
      <c r="U57" s="25"/>
    </row>
    <row r="58" spans="8:22" x14ac:dyDescent="0.25">
      <c r="Q58" s="235"/>
      <c r="R58" s="23" t="s">
        <v>54</v>
      </c>
      <c r="S58" s="26" t="s">
        <v>55</v>
      </c>
      <c r="T58" s="27">
        <v>6.4</v>
      </c>
      <c r="U58" s="25" t="s">
        <v>56</v>
      </c>
      <c r="V58" s="27"/>
    </row>
    <row r="59" spans="8:22" x14ac:dyDescent="0.25">
      <c r="Q59" s="235"/>
      <c r="R59" s="23" t="s">
        <v>57</v>
      </c>
      <c r="S59" s="26" t="s">
        <v>58</v>
      </c>
      <c r="T59" s="27">
        <v>50.8</v>
      </c>
      <c r="U59" s="25" t="s">
        <v>56</v>
      </c>
    </row>
    <row r="60" spans="8:22" x14ac:dyDescent="0.25">
      <c r="Q60" s="235"/>
      <c r="R60" s="23" t="s">
        <v>71</v>
      </c>
      <c r="S60" s="26" t="s">
        <v>72</v>
      </c>
      <c r="T60" s="27">
        <v>2</v>
      </c>
      <c r="U60" s="25"/>
    </row>
    <row r="61" spans="8:22" x14ac:dyDescent="0.25">
      <c r="Q61" s="235"/>
      <c r="R61" s="23" t="s">
        <v>59</v>
      </c>
      <c r="S61" s="26" t="s">
        <v>60</v>
      </c>
      <c r="T61" s="37">
        <f>(T58^2)*PI()/4/T59*T60</f>
        <v>1.266531841447224</v>
      </c>
      <c r="U61" s="25" t="s">
        <v>343</v>
      </c>
      <c r="V61" s="37"/>
    </row>
    <row r="62" spans="8:22" x14ac:dyDescent="0.25">
      <c r="Q62" s="235"/>
      <c r="R62" s="23" t="s">
        <v>61</v>
      </c>
      <c r="S62" s="26" t="s">
        <v>304</v>
      </c>
      <c r="T62" s="38">
        <f>T61/M6</f>
        <v>8.3105763874489758E-3</v>
      </c>
      <c r="U62" s="25"/>
      <c r="V62" s="194"/>
    </row>
    <row r="63" spans="8:22" x14ac:dyDescent="0.25">
      <c r="Q63" s="235"/>
      <c r="R63" s="6" t="s">
        <v>73</v>
      </c>
      <c r="S63" s="7"/>
      <c r="T63" s="7"/>
      <c r="U63" s="30"/>
    </row>
    <row r="64" spans="8:22" x14ac:dyDescent="0.25">
      <c r="Q64" s="235"/>
      <c r="R64" s="23" t="s">
        <v>74</v>
      </c>
      <c r="S64" s="26" t="s">
        <v>75</v>
      </c>
      <c r="T64" s="33">
        <v>0.2</v>
      </c>
      <c r="U64" s="39" t="s">
        <v>76</v>
      </c>
    </row>
    <row r="65" spans="17:21" ht="14.4" thickBot="1" x14ac:dyDescent="0.3">
      <c r="Q65" s="236"/>
      <c r="R65" s="40" t="s">
        <v>77</v>
      </c>
      <c r="S65" s="41" t="s">
        <v>78</v>
      </c>
      <c r="T65" s="42">
        <v>1.2E-2</v>
      </c>
      <c r="U65" s="43" t="s">
        <v>79</v>
      </c>
    </row>
    <row r="66" spans="17:21" x14ac:dyDescent="0.25">
      <c r="Q66" s="234" t="s">
        <v>346</v>
      </c>
      <c r="R66" s="18" t="s">
        <v>4</v>
      </c>
      <c r="S66" s="19" t="s">
        <v>331</v>
      </c>
      <c r="T66" s="20"/>
      <c r="U66" s="21"/>
    </row>
    <row r="67" spans="17:21" x14ac:dyDescent="0.25">
      <c r="Q67" s="235"/>
      <c r="R67" s="6" t="s">
        <v>83</v>
      </c>
      <c r="S67" s="48"/>
      <c r="T67" s="48"/>
      <c r="U67" s="30"/>
    </row>
    <row r="68" spans="17:21" x14ac:dyDescent="0.25">
      <c r="Q68" s="235"/>
      <c r="R68" s="23" t="s">
        <v>81</v>
      </c>
      <c r="S68" s="26" t="s">
        <v>82</v>
      </c>
      <c r="T68" s="23">
        <v>16</v>
      </c>
      <c r="U68" s="45"/>
    </row>
    <row r="69" spans="17:21" x14ac:dyDescent="0.25">
      <c r="Q69" s="235"/>
      <c r="R69" s="2" t="s">
        <v>86</v>
      </c>
      <c r="S69" s="2"/>
      <c r="T69" s="2">
        <v>2.5499999999999998</v>
      </c>
      <c r="U69" s="22" t="s">
        <v>0</v>
      </c>
    </row>
    <row r="70" spans="17:21" x14ac:dyDescent="0.25">
      <c r="Q70" s="235"/>
      <c r="R70" s="6" t="s">
        <v>84</v>
      </c>
      <c r="S70" s="48"/>
      <c r="T70" s="48"/>
      <c r="U70" s="49"/>
    </row>
    <row r="71" spans="17:21" x14ac:dyDescent="0.25">
      <c r="Q71" s="235"/>
      <c r="R71" s="23" t="s">
        <v>85</v>
      </c>
      <c r="S71" s="26" t="s">
        <v>0</v>
      </c>
      <c r="T71" s="23">
        <v>8</v>
      </c>
      <c r="U71" s="45"/>
    </row>
    <row r="72" spans="17:21" x14ac:dyDescent="0.25">
      <c r="Q72" s="235"/>
      <c r="R72" s="23" t="s">
        <v>89</v>
      </c>
      <c r="S72" s="26" t="s">
        <v>87</v>
      </c>
      <c r="T72" s="26">
        <v>88</v>
      </c>
      <c r="U72" s="46" t="s">
        <v>2</v>
      </c>
    </row>
    <row r="73" spans="17:21" ht="14.4" thickBot="1" x14ac:dyDescent="0.3">
      <c r="Q73" s="236"/>
      <c r="R73" s="40"/>
      <c r="S73" s="41" t="s">
        <v>88</v>
      </c>
      <c r="T73" s="167">
        <f>115/2.54</f>
        <v>45.275590551181104</v>
      </c>
      <c r="U73" s="47" t="s">
        <v>310</v>
      </c>
    </row>
  </sheetData>
  <mergeCells count="7">
    <mergeCell ref="Q66:Q73"/>
    <mergeCell ref="J2:N2"/>
    <mergeCell ref="Q2:U2"/>
    <mergeCell ref="Q3:Q23"/>
    <mergeCell ref="J11:N11"/>
    <mergeCell ref="Q24:Q41"/>
    <mergeCell ref="Q42:Q65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64495-0A64-4917-8E7B-BBB41A05E68F}">
  <dimension ref="H3:Z66"/>
  <sheetViews>
    <sheetView tabSelected="1" topLeftCell="E42" zoomScaleNormal="100" workbookViewId="0">
      <selection activeCell="K63" sqref="K63"/>
    </sheetView>
  </sheetViews>
  <sheetFormatPr defaultRowHeight="14.4" x14ac:dyDescent="0.3"/>
  <cols>
    <col min="10" max="10" width="11" customWidth="1"/>
    <col min="11" max="11" width="10.33203125" customWidth="1"/>
    <col min="12" max="12" width="11.33203125" customWidth="1"/>
    <col min="13" max="13" width="10.77734375" customWidth="1"/>
    <col min="16" max="16" width="5.5546875" bestFit="1" customWidth="1"/>
    <col min="17" max="17" width="11.5546875" bestFit="1" customWidth="1"/>
    <col min="18" max="18" width="12" bestFit="1" customWidth="1"/>
    <col min="19" max="19" width="11.5546875" bestFit="1" customWidth="1"/>
    <col min="20" max="20" width="9.88671875" bestFit="1" customWidth="1"/>
    <col min="22" max="22" width="5.44140625" bestFit="1" customWidth="1"/>
    <col min="23" max="23" width="11.5546875" bestFit="1" customWidth="1"/>
    <col min="24" max="24" width="9.88671875" bestFit="1" customWidth="1"/>
    <col min="25" max="25" width="11.6640625" bestFit="1" customWidth="1"/>
    <col min="26" max="26" width="10" bestFit="1" customWidth="1"/>
  </cols>
  <sheetData>
    <row r="3" spans="9:26" ht="15" thickBot="1" x14ac:dyDescent="0.35"/>
    <row r="4" spans="9:26" ht="15" thickBot="1" x14ac:dyDescent="0.35">
      <c r="I4" s="240" t="s">
        <v>80</v>
      </c>
      <c r="J4" s="241"/>
      <c r="K4" s="241"/>
      <c r="L4" s="241"/>
      <c r="M4" s="242"/>
    </row>
    <row r="5" spans="9:26" ht="15" thickBot="1" x14ac:dyDescent="0.35">
      <c r="I5" s="11" t="s">
        <v>90</v>
      </c>
      <c r="J5" s="12" t="s">
        <v>327</v>
      </c>
      <c r="K5" s="12" t="s">
        <v>311</v>
      </c>
      <c r="L5" s="12" t="s">
        <v>328</v>
      </c>
      <c r="M5" s="13" t="s">
        <v>312</v>
      </c>
      <c r="P5" s="240" t="s">
        <v>80</v>
      </c>
      <c r="Q5" s="241"/>
      <c r="R5" s="241"/>
      <c r="S5" s="241"/>
      <c r="T5" s="242"/>
    </row>
    <row r="6" spans="9:26" x14ac:dyDescent="0.3">
      <c r="I6" s="14">
        <v>1</v>
      </c>
      <c r="J6" s="15">
        <v>0</v>
      </c>
      <c r="K6" s="15">
        <f>J6/25.4</f>
        <v>0</v>
      </c>
      <c r="L6" s="15">
        <f>M6*25.4</f>
        <v>0</v>
      </c>
      <c r="M6" s="179">
        <v>0</v>
      </c>
      <c r="P6" s="11" t="s">
        <v>90</v>
      </c>
      <c r="Q6" s="12" t="s">
        <v>327</v>
      </c>
      <c r="R6" s="12" t="s">
        <v>311</v>
      </c>
      <c r="S6" s="12" t="s">
        <v>328</v>
      </c>
      <c r="T6" s="13" t="s">
        <v>312</v>
      </c>
      <c r="V6" s="11" t="s">
        <v>90</v>
      </c>
      <c r="W6" s="12" t="s">
        <v>327</v>
      </c>
      <c r="X6" s="12" t="s">
        <v>311</v>
      </c>
      <c r="Y6" s="12" t="s">
        <v>328</v>
      </c>
      <c r="Z6" s="13" t="s">
        <v>312</v>
      </c>
    </row>
    <row r="7" spans="9:26" x14ac:dyDescent="0.3">
      <c r="I7" s="14">
        <v>2</v>
      </c>
      <c r="J7" s="15">
        <v>1220</v>
      </c>
      <c r="K7" s="15">
        <f t="shared" ref="K7:K25" si="0">J7/25.4</f>
        <v>48.031496062992126</v>
      </c>
      <c r="L7" s="15">
        <f t="shared" ref="L7:L25" si="1">M7*25.4</f>
        <v>0</v>
      </c>
      <c r="M7" s="179">
        <v>0</v>
      </c>
      <c r="P7" s="14">
        <v>1</v>
      </c>
      <c r="Q7" s="15">
        <v>0</v>
      </c>
      <c r="R7" s="15">
        <f>Q7/25.4</f>
        <v>0</v>
      </c>
      <c r="S7" s="15">
        <v>0</v>
      </c>
      <c r="T7" s="179">
        <f>S7/25.4</f>
        <v>0</v>
      </c>
      <c r="V7">
        <v>1</v>
      </c>
      <c r="Y7">
        <v>0</v>
      </c>
    </row>
    <row r="8" spans="9:26" x14ac:dyDescent="0.3">
      <c r="I8" s="14">
        <v>3</v>
      </c>
      <c r="J8" s="15">
        <v>0</v>
      </c>
      <c r="K8" s="15">
        <f t="shared" si="0"/>
        <v>0</v>
      </c>
      <c r="L8" s="15">
        <f t="shared" si="1"/>
        <v>304.79999999999995</v>
      </c>
      <c r="M8" s="179">
        <f>M7+N8</f>
        <v>12</v>
      </c>
      <c r="N8" s="15">
        <v>12</v>
      </c>
      <c r="P8" s="14">
        <v>2</v>
      </c>
      <c r="Q8" s="15">
        <v>1220</v>
      </c>
      <c r="R8" s="15">
        <f t="shared" ref="R8:R26" si="2">Q8/25.4</f>
        <v>48.031496062992126</v>
      </c>
      <c r="S8" s="15">
        <v>0</v>
      </c>
      <c r="T8" s="179">
        <f t="shared" ref="T8:T26" si="3">S8/25.4</f>
        <v>0</v>
      </c>
      <c r="V8">
        <v>2</v>
      </c>
      <c r="Y8">
        <v>0</v>
      </c>
    </row>
    <row r="9" spans="9:26" x14ac:dyDescent="0.3">
      <c r="I9" s="14">
        <v>4</v>
      </c>
      <c r="J9" s="15">
        <v>1220</v>
      </c>
      <c r="K9" s="15">
        <f t="shared" si="0"/>
        <v>48.031496062992126</v>
      </c>
      <c r="L9" s="15">
        <f t="shared" si="1"/>
        <v>304.79999999999995</v>
      </c>
      <c r="M9" s="179">
        <f>M8</f>
        <v>12</v>
      </c>
      <c r="P9" s="14">
        <v>3</v>
      </c>
      <c r="Q9" s="15">
        <v>0</v>
      </c>
      <c r="R9" s="15">
        <f t="shared" si="2"/>
        <v>0</v>
      </c>
      <c r="S9" s="15">
        <v>315.69</v>
      </c>
      <c r="T9" s="179">
        <f t="shared" si="3"/>
        <v>12.428740157480316</v>
      </c>
      <c r="V9">
        <v>3</v>
      </c>
      <c r="Y9">
        <v>610</v>
      </c>
    </row>
    <row r="10" spans="9:26" x14ac:dyDescent="0.3">
      <c r="I10" s="14">
        <v>5</v>
      </c>
      <c r="J10" s="15">
        <v>0</v>
      </c>
      <c r="K10" s="15">
        <f t="shared" si="0"/>
        <v>0</v>
      </c>
      <c r="L10" s="15">
        <f t="shared" si="1"/>
        <v>609.59999999999991</v>
      </c>
      <c r="M10" s="179">
        <f>M9+N10</f>
        <v>24</v>
      </c>
      <c r="N10">
        <v>12</v>
      </c>
      <c r="P10" s="14">
        <v>4</v>
      </c>
      <c r="Q10" s="15">
        <v>1220</v>
      </c>
      <c r="R10" s="15">
        <f t="shared" si="2"/>
        <v>48.031496062992126</v>
      </c>
      <c r="S10" s="15">
        <v>315.69</v>
      </c>
      <c r="T10" s="179">
        <f t="shared" si="3"/>
        <v>12.428740157480316</v>
      </c>
      <c r="V10">
        <v>4</v>
      </c>
      <c r="Y10">
        <v>610</v>
      </c>
    </row>
    <row r="11" spans="9:26" x14ac:dyDescent="0.3">
      <c r="I11" s="14">
        <v>6</v>
      </c>
      <c r="J11" s="15">
        <v>1220</v>
      </c>
      <c r="K11" s="15">
        <f t="shared" si="0"/>
        <v>48.031496062992126</v>
      </c>
      <c r="L11" s="15">
        <f t="shared" si="1"/>
        <v>609.59999999999991</v>
      </c>
      <c r="M11" s="179">
        <f>M10</f>
        <v>24</v>
      </c>
      <c r="P11" s="14">
        <v>5</v>
      </c>
      <c r="Q11" s="15">
        <v>0</v>
      </c>
      <c r="R11" s="15">
        <f t="shared" si="2"/>
        <v>0</v>
      </c>
      <c r="S11" s="15">
        <v>631.37</v>
      </c>
      <c r="T11" s="179">
        <f t="shared" si="3"/>
        <v>24.85708661417323</v>
      </c>
      <c r="V11">
        <v>5</v>
      </c>
      <c r="Y11">
        <f>Y9+S31</f>
        <v>929.96</v>
      </c>
    </row>
    <row r="12" spans="9:26" x14ac:dyDescent="0.3">
      <c r="I12" s="14">
        <v>7</v>
      </c>
      <c r="J12" s="15">
        <v>0</v>
      </c>
      <c r="K12" s="15">
        <f t="shared" si="0"/>
        <v>0</v>
      </c>
      <c r="L12" s="15">
        <f t="shared" si="1"/>
        <v>1016</v>
      </c>
      <c r="M12" s="179">
        <f>M11+N12</f>
        <v>40</v>
      </c>
      <c r="N12">
        <v>16</v>
      </c>
      <c r="P12" s="14">
        <v>6</v>
      </c>
      <c r="Q12" s="15">
        <v>1220</v>
      </c>
      <c r="R12" s="15">
        <f t="shared" si="2"/>
        <v>48.031496062992126</v>
      </c>
      <c r="S12" s="15">
        <v>631.37</v>
      </c>
      <c r="T12" s="179">
        <f t="shared" si="3"/>
        <v>24.85708661417323</v>
      </c>
      <c r="V12">
        <v>6</v>
      </c>
      <c r="Y12">
        <f>Y11</f>
        <v>929.96</v>
      </c>
    </row>
    <row r="13" spans="9:26" x14ac:dyDescent="0.3">
      <c r="I13" s="14">
        <v>8</v>
      </c>
      <c r="J13" s="15">
        <v>1220</v>
      </c>
      <c r="K13" s="15">
        <f t="shared" si="0"/>
        <v>48.031496062992126</v>
      </c>
      <c r="L13" s="15">
        <f t="shared" si="1"/>
        <v>1016</v>
      </c>
      <c r="M13" s="179">
        <f>M12</f>
        <v>40</v>
      </c>
      <c r="P13" s="14">
        <v>7</v>
      </c>
      <c r="Q13" s="15">
        <v>0</v>
      </c>
      <c r="R13" s="15">
        <f t="shared" si="2"/>
        <v>0</v>
      </c>
      <c r="S13" s="15">
        <v>947.06</v>
      </c>
      <c r="T13" s="179">
        <f t="shared" si="3"/>
        <v>37.285826771653547</v>
      </c>
      <c r="V13">
        <v>7</v>
      </c>
      <c r="Y13">
        <f>Y11+S31</f>
        <v>1249.92</v>
      </c>
    </row>
    <row r="14" spans="9:26" x14ac:dyDescent="0.3">
      <c r="I14" s="14">
        <v>9</v>
      </c>
      <c r="J14" s="15">
        <v>0</v>
      </c>
      <c r="K14" s="15">
        <f t="shared" si="0"/>
        <v>0</v>
      </c>
      <c r="L14" s="15">
        <f t="shared" si="1"/>
        <v>1422.3999999999999</v>
      </c>
      <c r="M14" s="179">
        <f>M13+N14</f>
        <v>56</v>
      </c>
      <c r="N14">
        <v>16</v>
      </c>
      <c r="P14" s="14">
        <v>8</v>
      </c>
      <c r="Q14" s="15">
        <v>1220</v>
      </c>
      <c r="R14" s="15">
        <f t="shared" si="2"/>
        <v>48.031496062992126</v>
      </c>
      <c r="S14" s="15">
        <v>947.06</v>
      </c>
      <c r="T14" s="179">
        <f t="shared" si="3"/>
        <v>37.285826771653547</v>
      </c>
      <c r="V14">
        <v>8</v>
      </c>
      <c r="Y14">
        <f>Y13</f>
        <v>1249.92</v>
      </c>
    </row>
    <row r="15" spans="9:26" x14ac:dyDescent="0.3">
      <c r="I15" s="14">
        <v>10</v>
      </c>
      <c r="J15" s="15">
        <v>1220</v>
      </c>
      <c r="K15" s="15">
        <f t="shared" si="0"/>
        <v>48.031496062992126</v>
      </c>
      <c r="L15" s="15">
        <f t="shared" si="1"/>
        <v>1422.3999999999999</v>
      </c>
      <c r="M15" s="179">
        <f>M14</f>
        <v>56</v>
      </c>
      <c r="P15" s="14">
        <v>9</v>
      </c>
      <c r="Q15" s="15">
        <v>0</v>
      </c>
      <c r="R15" s="15">
        <f t="shared" si="2"/>
        <v>0</v>
      </c>
      <c r="S15" s="15">
        <v>1262.74</v>
      </c>
      <c r="T15" s="179">
        <f t="shared" si="3"/>
        <v>49.714173228346461</v>
      </c>
      <c r="V15">
        <v>9</v>
      </c>
      <c r="Y15">
        <f>Y13+S31</f>
        <v>1569.88</v>
      </c>
    </row>
    <row r="16" spans="9:26" x14ac:dyDescent="0.3">
      <c r="I16" s="14">
        <v>11</v>
      </c>
      <c r="J16" s="15">
        <v>0</v>
      </c>
      <c r="K16" s="15">
        <f t="shared" si="0"/>
        <v>0</v>
      </c>
      <c r="L16" s="15">
        <f t="shared" si="1"/>
        <v>1828.8</v>
      </c>
      <c r="M16" s="179">
        <f>M15+N16</f>
        <v>72</v>
      </c>
      <c r="N16">
        <v>16</v>
      </c>
      <c r="P16" s="14">
        <v>10</v>
      </c>
      <c r="Q16" s="15">
        <v>1220</v>
      </c>
      <c r="R16" s="15">
        <f t="shared" si="2"/>
        <v>48.031496062992126</v>
      </c>
      <c r="S16" s="15">
        <v>1262.74</v>
      </c>
      <c r="T16" s="179">
        <f t="shared" si="3"/>
        <v>49.714173228346461</v>
      </c>
      <c r="V16">
        <v>10</v>
      </c>
      <c r="Y16">
        <f>Y15</f>
        <v>1569.88</v>
      </c>
    </row>
    <row r="17" spans="9:25" x14ac:dyDescent="0.3">
      <c r="I17" s="14">
        <v>12</v>
      </c>
      <c r="J17" s="15">
        <v>1220</v>
      </c>
      <c r="K17" s="15">
        <f t="shared" si="0"/>
        <v>48.031496062992126</v>
      </c>
      <c r="L17" s="15">
        <f t="shared" si="1"/>
        <v>1828.8</v>
      </c>
      <c r="M17" s="179">
        <f>M16</f>
        <v>72</v>
      </c>
      <c r="P17" s="14">
        <v>11</v>
      </c>
      <c r="Q17" s="15">
        <v>0</v>
      </c>
      <c r="R17" s="15">
        <f t="shared" si="2"/>
        <v>0</v>
      </c>
      <c r="S17" s="15">
        <v>1578.43</v>
      </c>
      <c r="T17" s="179">
        <f t="shared" si="3"/>
        <v>62.14291338582678</v>
      </c>
      <c r="V17">
        <v>11</v>
      </c>
      <c r="Y17">
        <f>Y15+S31</f>
        <v>1889.8400000000001</v>
      </c>
    </row>
    <row r="18" spans="9:25" x14ac:dyDescent="0.3">
      <c r="I18" s="232">
        <v>13</v>
      </c>
      <c r="J18" s="198">
        <v>0</v>
      </c>
      <c r="K18" s="198">
        <f t="shared" si="0"/>
        <v>0</v>
      </c>
      <c r="L18" s="198">
        <f t="shared" si="1"/>
        <v>2438.3999999999996</v>
      </c>
      <c r="M18" s="233">
        <f>M17+N18</f>
        <v>96</v>
      </c>
      <c r="N18">
        <v>24</v>
      </c>
      <c r="P18" s="14">
        <v>12</v>
      </c>
      <c r="Q18" s="15">
        <v>1220</v>
      </c>
      <c r="R18" s="15">
        <f t="shared" si="2"/>
        <v>48.031496062992126</v>
      </c>
      <c r="S18" s="15">
        <v>1578.43</v>
      </c>
      <c r="T18" s="179">
        <f t="shared" si="3"/>
        <v>62.14291338582678</v>
      </c>
      <c r="V18">
        <v>12</v>
      </c>
      <c r="Y18">
        <f>Y17</f>
        <v>1889.8400000000001</v>
      </c>
    </row>
    <row r="19" spans="9:25" x14ac:dyDescent="0.3">
      <c r="I19" s="232">
        <v>14</v>
      </c>
      <c r="J19" s="198">
        <v>1220</v>
      </c>
      <c r="K19" s="198">
        <f t="shared" si="0"/>
        <v>48.031496062992126</v>
      </c>
      <c r="L19" s="198">
        <f>M19*25.4</f>
        <v>2438.3999999999996</v>
      </c>
      <c r="M19" s="233">
        <f>M18</f>
        <v>96</v>
      </c>
      <c r="P19" s="14">
        <v>13</v>
      </c>
      <c r="Q19" s="15">
        <v>0</v>
      </c>
      <c r="R19" s="15">
        <f t="shared" si="2"/>
        <v>0</v>
      </c>
      <c r="S19" s="15">
        <v>1894.11</v>
      </c>
      <c r="T19" s="179">
        <f t="shared" si="3"/>
        <v>74.57125984251968</v>
      </c>
      <c r="V19">
        <v>13</v>
      </c>
      <c r="Y19">
        <f>Y17+S31</f>
        <v>2209.8000000000002</v>
      </c>
    </row>
    <row r="20" spans="9:25" x14ac:dyDescent="0.3">
      <c r="I20" s="14">
        <v>15</v>
      </c>
      <c r="J20" s="15">
        <v>0</v>
      </c>
      <c r="K20" s="15">
        <f t="shared" si="0"/>
        <v>0</v>
      </c>
      <c r="L20" s="15">
        <f t="shared" si="1"/>
        <v>0</v>
      </c>
      <c r="M20" s="179"/>
      <c r="P20" s="14">
        <v>14</v>
      </c>
      <c r="Q20" s="15">
        <v>1220</v>
      </c>
      <c r="R20" s="15">
        <f t="shared" si="2"/>
        <v>48.031496062992126</v>
      </c>
      <c r="S20" s="15">
        <v>1894.11</v>
      </c>
      <c r="T20" s="179">
        <f t="shared" si="3"/>
        <v>74.57125984251968</v>
      </c>
      <c r="V20">
        <v>14</v>
      </c>
      <c r="Y20">
        <f>Y19</f>
        <v>2209.8000000000002</v>
      </c>
    </row>
    <row r="21" spans="9:25" x14ac:dyDescent="0.3">
      <c r="I21" s="14">
        <v>16</v>
      </c>
      <c r="J21" s="15">
        <v>1220</v>
      </c>
      <c r="K21" s="15">
        <f t="shared" si="0"/>
        <v>48.031496062992126</v>
      </c>
      <c r="L21" s="15">
        <f t="shared" si="1"/>
        <v>0</v>
      </c>
      <c r="M21" s="179"/>
      <c r="P21" s="14">
        <v>15</v>
      </c>
      <c r="Q21" s="15">
        <v>0</v>
      </c>
      <c r="R21" s="15">
        <f t="shared" si="2"/>
        <v>0</v>
      </c>
      <c r="S21" s="15">
        <v>2209.8000000000002</v>
      </c>
      <c r="T21" s="179">
        <f t="shared" si="3"/>
        <v>87.000000000000014</v>
      </c>
      <c r="V21" s="283">
        <v>15</v>
      </c>
      <c r="W21" s="283"/>
      <c r="X21" s="283"/>
      <c r="Y21" s="283">
        <f>Y19+S33</f>
        <v>2438.4</v>
      </c>
    </row>
    <row r="22" spans="9:25" x14ac:dyDescent="0.3">
      <c r="I22" s="14">
        <v>17</v>
      </c>
      <c r="J22" s="15">
        <v>0</v>
      </c>
      <c r="K22" s="15">
        <f t="shared" si="0"/>
        <v>0</v>
      </c>
      <c r="L22" s="15">
        <f t="shared" si="1"/>
        <v>0</v>
      </c>
      <c r="M22" s="179"/>
      <c r="P22" s="14">
        <v>16</v>
      </c>
      <c r="Q22" s="15">
        <v>1220</v>
      </c>
      <c r="R22" s="15">
        <f t="shared" si="2"/>
        <v>48.031496062992126</v>
      </c>
      <c r="S22" s="15">
        <v>2209.8000000000002</v>
      </c>
      <c r="T22" s="179">
        <f t="shared" si="3"/>
        <v>87.000000000000014</v>
      </c>
      <c r="V22" s="283">
        <v>16</v>
      </c>
      <c r="W22" s="283"/>
      <c r="X22" s="283"/>
      <c r="Y22" s="283">
        <f>Y21</f>
        <v>2438.4</v>
      </c>
    </row>
    <row r="23" spans="9:25" x14ac:dyDescent="0.3">
      <c r="I23" s="14">
        <v>18</v>
      </c>
      <c r="J23" s="15">
        <v>1220</v>
      </c>
      <c r="K23" s="15">
        <f t="shared" si="0"/>
        <v>48.031496062992126</v>
      </c>
      <c r="L23" s="15">
        <f t="shared" si="1"/>
        <v>0</v>
      </c>
      <c r="M23" s="179"/>
      <c r="P23" s="232">
        <v>17</v>
      </c>
      <c r="Q23" s="198">
        <v>0</v>
      </c>
      <c r="R23" s="198">
        <f t="shared" si="2"/>
        <v>0</v>
      </c>
      <c r="S23" s="198">
        <v>2438.4</v>
      </c>
      <c r="T23" s="233">
        <f t="shared" si="3"/>
        <v>96.000000000000014</v>
      </c>
      <c r="V23">
        <v>17</v>
      </c>
      <c r="Y23">
        <f>Y21+S33</f>
        <v>2667</v>
      </c>
    </row>
    <row r="24" spans="9:25" x14ac:dyDescent="0.3">
      <c r="I24" s="14">
        <v>19</v>
      </c>
      <c r="J24" s="15">
        <v>0</v>
      </c>
      <c r="K24" s="15">
        <f t="shared" si="0"/>
        <v>0</v>
      </c>
      <c r="L24" s="15">
        <f t="shared" si="1"/>
        <v>0</v>
      </c>
      <c r="M24" s="179"/>
      <c r="P24" s="232">
        <v>18</v>
      </c>
      <c r="Q24" s="198">
        <v>1220</v>
      </c>
      <c r="R24" s="198">
        <f t="shared" si="2"/>
        <v>48.031496062992126</v>
      </c>
      <c r="S24" s="198">
        <v>2438.4</v>
      </c>
      <c r="T24" s="233">
        <f t="shared" si="3"/>
        <v>96.000000000000014</v>
      </c>
      <c r="V24">
        <v>18</v>
      </c>
      <c r="Y24">
        <f>Y23</f>
        <v>2667</v>
      </c>
    </row>
    <row r="25" spans="9:25" ht="15" thickBot="1" x14ac:dyDescent="0.35">
      <c r="I25" s="16">
        <v>20</v>
      </c>
      <c r="J25" s="17">
        <v>1220</v>
      </c>
      <c r="K25" s="17">
        <f t="shared" si="0"/>
        <v>48.031496062992126</v>
      </c>
      <c r="L25" s="15">
        <f t="shared" si="1"/>
        <v>0</v>
      </c>
      <c r="M25" s="180"/>
      <c r="P25" s="14">
        <v>19</v>
      </c>
      <c r="Q25" s="15">
        <v>0</v>
      </c>
      <c r="R25" s="15">
        <f t="shared" si="2"/>
        <v>0</v>
      </c>
      <c r="S25" s="15">
        <v>2667</v>
      </c>
      <c r="T25" s="179">
        <f t="shared" si="3"/>
        <v>105</v>
      </c>
    </row>
    <row r="26" spans="9:25" ht="15" thickBot="1" x14ac:dyDescent="0.35">
      <c r="P26" s="16">
        <v>20</v>
      </c>
      <c r="Q26" s="17">
        <v>1220</v>
      </c>
      <c r="R26" s="17">
        <f t="shared" si="2"/>
        <v>48.031496062992126</v>
      </c>
      <c r="S26" s="17">
        <v>2667</v>
      </c>
      <c r="T26" s="180">
        <f t="shared" si="3"/>
        <v>105</v>
      </c>
    </row>
    <row r="31" spans="9:25" x14ac:dyDescent="0.3">
      <c r="S31">
        <f>(2667-610-228.6*2)/5</f>
        <v>319.95999999999998</v>
      </c>
    </row>
    <row r="33" spans="19:19" x14ac:dyDescent="0.3">
      <c r="S33">
        <v>228.6</v>
      </c>
    </row>
    <row r="58" spans="8:14" x14ac:dyDescent="0.3">
      <c r="H58" t="s">
        <v>376</v>
      </c>
      <c r="J58" t="s">
        <v>377</v>
      </c>
    </row>
    <row r="59" spans="8:14" x14ac:dyDescent="0.3">
      <c r="H59" t="s">
        <v>211</v>
      </c>
      <c r="I59">
        <v>47.09</v>
      </c>
      <c r="J59">
        <v>53.78</v>
      </c>
    </row>
    <row r="60" spans="8:14" x14ac:dyDescent="0.3">
      <c r="H60" t="s">
        <v>372</v>
      </c>
      <c r="I60">
        <v>2.32E-3</v>
      </c>
      <c r="J60">
        <v>3.9699999999999996E-3</v>
      </c>
      <c r="N60" t="s">
        <v>371</v>
      </c>
    </row>
    <row r="61" spans="8:14" x14ac:dyDescent="0.3">
      <c r="H61" t="s">
        <v>375</v>
      </c>
      <c r="I61">
        <f>4700*I59^0.5</f>
        <v>32252.412312879791</v>
      </c>
      <c r="J61">
        <f>4700*J59^0.5</f>
        <v>34467.378780522318</v>
      </c>
      <c r="N61" t="s">
        <v>338</v>
      </c>
    </row>
    <row r="62" spans="8:14" x14ac:dyDescent="0.3">
      <c r="H62" t="s">
        <v>373</v>
      </c>
      <c r="I62">
        <v>610</v>
      </c>
      <c r="J62">
        <v>610</v>
      </c>
    </row>
    <row r="63" spans="8:14" x14ac:dyDescent="0.3">
      <c r="H63" t="s">
        <v>378</v>
      </c>
      <c r="I63" t="s">
        <v>379</v>
      </c>
      <c r="J63">
        <f>5*(J59/I59-0.85)</f>
        <v>1.4603418984922483</v>
      </c>
    </row>
    <row r="64" spans="8:14" x14ac:dyDescent="0.3">
      <c r="H64" t="s">
        <v>370</v>
      </c>
      <c r="I64">
        <v>87.563000000000002</v>
      </c>
      <c r="J64">
        <f>J63*I64</f>
        <v>127.87191765767673</v>
      </c>
      <c r="N64" t="s">
        <v>56</v>
      </c>
    </row>
    <row r="66" spans="8:10" x14ac:dyDescent="0.3">
      <c r="H66" t="s">
        <v>374</v>
      </c>
      <c r="I66">
        <f>I60-I59/I61+2*(I64/I62)/I59</f>
        <v>6.9566159544933127E-3</v>
      </c>
      <c r="J66">
        <f>J60-0.8*J59/J61+((5/3)*J64/J62)/I59</f>
        <v>1.0141089460168916E-2</v>
      </c>
    </row>
  </sheetData>
  <mergeCells count="2">
    <mergeCell ref="I4:M4"/>
    <mergeCell ref="P5:T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J83"/>
  <sheetViews>
    <sheetView zoomScale="130" zoomScaleNormal="130" workbookViewId="0">
      <selection activeCell="J6" sqref="J6"/>
    </sheetView>
  </sheetViews>
  <sheetFormatPr defaultColWidth="11.5546875" defaultRowHeight="13.2" x14ac:dyDescent="0.25"/>
  <cols>
    <col min="1" max="2" width="11.5546875" style="50"/>
    <col min="3" max="3" width="18.109375" style="50" customWidth="1"/>
    <col min="4" max="4" width="31.109375" style="50" customWidth="1"/>
    <col min="5" max="5" width="34.33203125" style="50" customWidth="1"/>
    <col min="6" max="9" width="11.5546875" style="50"/>
    <col min="10" max="10" width="18.109375" style="50" customWidth="1"/>
    <col min="11" max="16384" width="11.5546875" style="50"/>
  </cols>
  <sheetData>
    <row r="3" spans="3:10" x14ac:dyDescent="0.25">
      <c r="C3" s="251" t="s">
        <v>215</v>
      </c>
      <c r="D3" s="251" t="s">
        <v>91</v>
      </c>
      <c r="E3" s="82">
        <f>0.1*'Prop Geom y de Materiales'!M7*'Prop Geom y de Materiales'!M6*'Prop Geom y de Materiales'!T26</f>
        <v>-218740.20768000005</v>
      </c>
      <c r="F3" s="83" t="s">
        <v>92</v>
      </c>
    </row>
    <row r="4" spans="3:10" x14ac:dyDescent="0.25">
      <c r="C4" s="251"/>
      <c r="D4" s="251"/>
      <c r="E4" s="84">
        <f>E3*9.807</f>
        <v>-2145185.2167177605</v>
      </c>
      <c r="F4" s="83" t="s">
        <v>93</v>
      </c>
      <c r="G4" s="50">
        <f>E4/1000</f>
        <v>-2145.1852167177603</v>
      </c>
    </row>
    <row r="8" spans="3:10" ht="14.4" customHeight="1" x14ac:dyDescent="0.25">
      <c r="C8" s="252">
        <v>1</v>
      </c>
      <c r="D8" s="147" t="s">
        <v>116</v>
      </c>
      <c r="E8" s="148" t="s">
        <v>115</v>
      </c>
      <c r="F8" s="149"/>
      <c r="G8" s="150"/>
    </row>
    <row r="9" spans="3:10" x14ac:dyDescent="0.25">
      <c r="C9" s="253"/>
      <c r="D9" s="151" t="s">
        <v>111</v>
      </c>
      <c r="E9" s="152"/>
      <c r="F9" s="152"/>
      <c r="G9" s="153"/>
    </row>
    <row r="10" spans="3:10" ht="14.4" x14ac:dyDescent="0.3">
      <c r="C10" s="253"/>
      <c r="D10" s="154" t="s">
        <v>34</v>
      </c>
      <c r="E10" s="155" t="s">
        <v>35</v>
      </c>
      <c r="F10" s="156">
        <v>1.52</v>
      </c>
      <c r="G10" s="157"/>
    </row>
    <row r="11" spans="3:10" ht="14.4" x14ac:dyDescent="0.3">
      <c r="C11" s="253"/>
      <c r="D11" s="151" t="s">
        <v>113</v>
      </c>
      <c r="E11" s="155"/>
      <c r="F11" s="156"/>
      <c r="G11" s="157"/>
    </row>
    <row r="12" spans="3:10" x14ac:dyDescent="0.25">
      <c r="C12" s="253"/>
      <c r="D12" s="154" t="s">
        <v>114</v>
      </c>
      <c r="E12" s="158" t="s">
        <v>91</v>
      </c>
      <c r="F12" s="159">
        <v>0</v>
      </c>
      <c r="G12" s="153"/>
    </row>
    <row r="13" spans="3:10" x14ac:dyDescent="0.25">
      <c r="C13" s="253"/>
      <c r="D13" s="151" t="s">
        <v>112</v>
      </c>
      <c r="E13" s="152"/>
      <c r="F13" s="152"/>
      <c r="G13" s="153"/>
      <c r="I13" s="50" t="s">
        <v>107</v>
      </c>
    </row>
    <row r="14" spans="3:10" x14ac:dyDescent="0.25">
      <c r="C14" s="253"/>
      <c r="D14" s="154" t="s">
        <v>98</v>
      </c>
      <c r="E14" s="160" t="s">
        <v>99</v>
      </c>
      <c r="F14" s="160"/>
      <c r="G14" s="153"/>
      <c r="I14" s="50" t="s">
        <v>108</v>
      </c>
      <c r="J14" s="50" t="s">
        <v>109</v>
      </c>
    </row>
    <row r="15" spans="3:10" x14ac:dyDescent="0.25">
      <c r="C15" s="253"/>
      <c r="D15" s="154" t="s">
        <v>97</v>
      </c>
      <c r="E15" s="152" t="s">
        <v>100</v>
      </c>
      <c r="F15" s="152">
        <v>0.03</v>
      </c>
      <c r="G15" s="153"/>
      <c r="I15" s="50">
        <v>3</v>
      </c>
      <c r="J15" s="50">
        <f>'Prop Geom y de Materiales'!M9*'Parámetros de Análisis'!I15/100</f>
        <v>5.996065573770492E-2</v>
      </c>
    </row>
    <row r="16" spans="3:10" x14ac:dyDescent="0.25">
      <c r="C16" s="253"/>
      <c r="D16" s="154" t="s">
        <v>102</v>
      </c>
      <c r="E16" s="152" t="s">
        <v>101</v>
      </c>
      <c r="F16" s="152">
        <v>0.1</v>
      </c>
      <c r="G16" s="153"/>
    </row>
    <row r="17" spans="3:7" x14ac:dyDescent="0.25">
      <c r="C17" s="253"/>
      <c r="D17" s="154" t="s">
        <v>103</v>
      </c>
      <c r="E17" s="152" t="s">
        <v>104</v>
      </c>
      <c r="F17" s="155" t="s">
        <v>96</v>
      </c>
      <c r="G17" s="153"/>
    </row>
    <row r="18" spans="3:7" x14ac:dyDescent="0.25">
      <c r="C18" s="253"/>
      <c r="D18" s="154" t="s">
        <v>94</v>
      </c>
      <c r="E18" s="152" t="s">
        <v>105</v>
      </c>
      <c r="F18" s="152">
        <v>1</v>
      </c>
      <c r="G18" s="153"/>
    </row>
    <row r="19" spans="3:7" x14ac:dyDescent="0.25">
      <c r="C19" s="253"/>
      <c r="D19" s="161" t="s">
        <v>95</v>
      </c>
      <c r="E19" s="162" t="s">
        <v>106</v>
      </c>
      <c r="F19" s="163">
        <v>1.0000000000000001E-5</v>
      </c>
      <c r="G19" s="164"/>
    </row>
    <row r="20" spans="3:7" x14ac:dyDescent="0.25">
      <c r="C20" s="253"/>
      <c r="D20" s="147" t="s">
        <v>116</v>
      </c>
      <c r="E20" s="148" t="s">
        <v>117</v>
      </c>
      <c r="F20" s="149"/>
      <c r="G20" s="150"/>
    </row>
    <row r="21" spans="3:7" x14ac:dyDescent="0.25">
      <c r="C21" s="253"/>
      <c r="D21" s="154" t="s">
        <v>119</v>
      </c>
      <c r="E21" s="158" t="s">
        <v>120</v>
      </c>
      <c r="F21" s="152"/>
      <c r="G21" s="153"/>
    </row>
    <row r="22" spans="3:7" x14ac:dyDescent="0.25">
      <c r="C22" s="253"/>
      <c r="D22" s="161" t="s">
        <v>121</v>
      </c>
      <c r="E22" s="162"/>
      <c r="F22" s="165">
        <v>10000</v>
      </c>
      <c r="G22" s="164"/>
    </row>
    <row r="23" spans="3:7" x14ac:dyDescent="0.25">
      <c r="C23" s="253"/>
      <c r="D23" s="147" t="s">
        <v>116</v>
      </c>
      <c r="E23" s="148" t="s">
        <v>118</v>
      </c>
      <c r="F23" s="149"/>
      <c r="G23" s="150"/>
    </row>
    <row r="24" spans="3:7" x14ac:dyDescent="0.25">
      <c r="C24" s="253"/>
      <c r="D24" s="154" t="s">
        <v>126</v>
      </c>
      <c r="E24" s="152" t="s">
        <v>122</v>
      </c>
      <c r="F24" s="152">
        <v>40000</v>
      </c>
      <c r="G24" s="153"/>
    </row>
    <row r="25" spans="3:7" x14ac:dyDescent="0.25">
      <c r="C25" s="253"/>
      <c r="D25" s="154" t="s">
        <v>119</v>
      </c>
      <c r="E25" s="152" t="s">
        <v>123</v>
      </c>
      <c r="F25" s="152" t="s">
        <v>124</v>
      </c>
      <c r="G25" s="153"/>
    </row>
    <row r="26" spans="3:7" x14ac:dyDescent="0.25">
      <c r="C26" s="254"/>
      <c r="D26" s="161" t="s">
        <v>110</v>
      </c>
      <c r="E26" s="162" t="s">
        <v>125</v>
      </c>
      <c r="F26" s="162">
        <v>40000</v>
      </c>
      <c r="G26" s="164"/>
    </row>
    <row r="27" spans="3:7" x14ac:dyDescent="0.25">
      <c r="C27" s="248" t="s">
        <v>307</v>
      </c>
      <c r="D27" s="65" t="s">
        <v>116</v>
      </c>
      <c r="E27" s="66" t="s">
        <v>115</v>
      </c>
      <c r="F27" s="67"/>
      <c r="G27" s="68"/>
    </row>
    <row r="28" spans="3:7" x14ac:dyDescent="0.25">
      <c r="C28" s="249"/>
      <c r="D28" s="54" t="s">
        <v>111</v>
      </c>
      <c r="G28" s="55"/>
    </row>
    <row r="29" spans="3:7" ht="14.4" x14ac:dyDescent="0.3">
      <c r="C29" s="249"/>
      <c r="D29" s="56" t="s">
        <v>34</v>
      </c>
      <c r="E29" s="51" t="s">
        <v>35</v>
      </c>
      <c r="F29" s="53">
        <v>1.52</v>
      </c>
      <c r="G29" s="57"/>
    </row>
    <row r="30" spans="3:7" ht="14.4" x14ac:dyDescent="0.3">
      <c r="C30" s="249"/>
      <c r="D30" s="54" t="s">
        <v>113</v>
      </c>
      <c r="E30" s="51"/>
      <c r="F30" s="53"/>
      <c r="G30" s="57"/>
    </row>
    <row r="31" spans="3:7" x14ac:dyDescent="0.25">
      <c r="C31" s="249"/>
      <c r="D31" s="56" t="s">
        <v>114</v>
      </c>
      <c r="E31" s="146" t="s">
        <v>91</v>
      </c>
      <c r="F31" s="58">
        <v>0</v>
      </c>
      <c r="G31" s="50" t="s">
        <v>92</v>
      </c>
    </row>
    <row r="32" spans="3:7" x14ac:dyDescent="0.25">
      <c r="C32" s="249"/>
      <c r="D32" s="54" t="s">
        <v>112</v>
      </c>
      <c r="G32" s="55"/>
    </row>
    <row r="33" spans="3:7" x14ac:dyDescent="0.25">
      <c r="C33" s="249"/>
      <c r="D33" s="56" t="s">
        <v>98</v>
      </c>
      <c r="E33" s="59" t="s">
        <v>99</v>
      </c>
      <c r="F33" s="59"/>
      <c r="G33" s="55"/>
    </row>
    <row r="34" spans="3:7" x14ac:dyDescent="0.25">
      <c r="C34" s="249"/>
      <c r="D34" s="56" t="s">
        <v>97</v>
      </c>
      <c r="E34" s="50" t="s">
        <v>100</v>
      </c>
      <c r="F34" s="50">
        <v>0.03</v>
      </c>
      <c r="G34" s="55"/>
    </row>
    <row r="35" spans="3:7" x14ac:dyDescent="0.25">
      <c r="C35" s="249"/>
      <c r="D35" s="56" t="s">
        <v>102</v>
      </c>
      <c r="E35" s="50" t="s">
        <v>101</v>
      </c>
      <c r="F35" s="50">
        <v>0.1</v>
      </c>
      <c r="G35" s="55"/>
    </row>
    <row r="36" spans="3:7" x14ac:dyDescent="0.25">
      <c r="C36" s="249"/>
      <c r="D36" s="56" t="s">
        <v>103</v>
      </c>
      <c r="E36" s="50" t="s">
        <v>104</v>
      </c>
      <c r="F36" s="51" t="s">
        <v>96</v>
      </c>
      <c r="G36" s="55"/>
    </row>
    <row r="37" spans="3:7" x14ac:dyDescent="0.25">
      <c r="C37" s="249"/>
      <c r="D37" s="56" t="s">
        <v>94</v>
      </c>
      <c r="E37" s="50" t="s">
        <v>105</v>
      </c>
      <c r="F37" s="50">
        <v>1</v>
      </c>
      <c r="G37" s="55"/>
    </row>
    <row r="38" spans="3:7" x14ac:dyDescent="0.25">
      <c r="C38" s="249"/>
      <c r="D38" s="60" t="s">
        <v>95</v>
      </c>
      <c r="E38" s="61" t="s">
        <v>106</v>
      </c>
      <c r="F38" s="62">
        <v>1E-3</v>
      </c>
      <c r="G38" s="63"/>
    </row>
    <row r="39" spans="3:7" x14ac:dyDescent="0.25">
      <c r="C39" s="249"/>
      <c r="D39" s="65" t="s">
        <v>116</v>
      </c>
      <c r="E39" s="66" t="s">
        <v>117</v>
      </c>
      <c r="F39" s="67"/>
      <c r="G39" s="68"/>
    </row>
    <row r="40" spans="3:7" x14ac:dyDescent="0.25">
      <c r="C40" s="249"/>
      <c r="D40" s="56" t="s">
        <v>119</v>
      </c>
      <c r="E40" s="52" t="s">
        <v>120</v>
      </c>
      <c r="G40" s="55"/>
    </row>
    <row r="41" spans="3:7" x14ac:dyDescent="0.25">
      <c r="C41" s="249"/>
      <c r="D41" s="60" t="s">
        <v>121</v>
      </c>
      <c r="E41" s="61"/>
      <c r="F41" s="64">
        <v>2000</v>
      </c>
      <c r="G41" s="63"/>
    </row>
    <row r="42" spans="3:7" x14ac:dyDescent="0.25">
      <c r="C42" s="249"/>
      <c r="D42" s="65" t="s">
        <v>116</v>
      </c>
      <c r="E42" s="66" t="s">
        <v>118</v>
      </c>
      <c r="F42" s="67"/>
      <c r="G42" s="68"/>
    </row>
    <row r="43" spans="3:7" x14ac:dyDescent="0.25">
      <c r="C43" s="249"/>
      <c r="D43" s="56" t="s">
        <v>126</v>
      </c>
      <c r="E43" s="50" t="s">
        <v>122</v>
      </c>
      <c r="F43" s="50">
        <v>100</v>
      </c>
      <c r="G43" s="55"/>
    </row>
    <row r="44" spans="3:7" x14ac:dyDescent="0.25">
      <c r="C44" s="249"/>
      <c r="D44" s="56" t="s">
        <v>119</v>
      </c>
      <c r="E44" s="50" t="s">
        <v>123</v>
      </c>
      <c r="F44" s="50" t="s">
        <v>124</v>
      </c>
      <c r="G44" s="55"/>
    </row>
    <row r="45" spans="3:7" x14ac:dyDescent="0.25">
      <c r="C45" s="250"/>
      <c r="D45" s="60" t="s">
        <v>110</v>
      </c>
      <c r="E45" s="61" t="s">
        <v>125</v>
      </c>
      <c r="F45" s="61">
        <v>2000</v>
      </c>
      <c r="G45" s="63"/>
    </row>
    <row r="46" spans="3:7" x14ac:dyDescent="0.25">
      <c r="C46" s="248" t="s">
        <v>308</v>
      </c>
      <c r="D46" s="65" t="s">
        <v>116</v>
      </c>
      <c r="E46" s="66" t="s">
        <v>115</v>
      </c>
      <c r="F46" s="67"/>
      <c r="G46" s="68"/>
    </row>
    <row r="47" spans="3:7" x14ac:dyDescent="0.25">
      <c r="C47" s="249"/>
      <c r="D47" s="54" t="s">
        <v>111</v>
      </c>
      <c r="G47" s="55"/>
    </row>
    <row r="48" spans="3:7" ht="14.4" x14ac:dyDescent="0.3">
      <c r="C48" s="249"/>
      <c r="D48" s="56" t="s">
        <v>34</v>
      </c>
      <c r="E48" s="51" t="s">
        <v>35</v>
      </c>
      <c r="F48" s="53">
        <v>1.52</v>
      </c>
      <c r="G48" s="57"/>
    </row>
    <row r="49" spans="3:7" ht="14.4" x14ac:dyDescent="0.3">
      <c r="C49" s="249"/>
      <c r="D49" s="54" t="s">
        <v>113</v>
      </c>
      <c r="E49" s="51"/>
      <c r="F49" s="53"/>
      <c r="G49" s="57"/>
    </row>
    <row r="50" spans="3:7" x14ac:dyDescent="0.25">
      <c r="C50" s="249"/>
      <c r="D50" s="56" t="s">
        <v>114</v>
      </c>
      <c r="E50" s="146" t="s">
        <v>91</v>
      </c>
      <c r="F50" s="58">
        <v>0</v>
      </c>
      <c r="G50" s="50" t="s">
        <v>92</v>
      </c>
    </row>
    <row r="51" spans="3:7" x14ac:dyDescent="0.25">
      <c r="C51" s="249"/>
      <c r="D51" s="54" t="s">
        <v>112</v>
      </c>
      <c r="G51" s="55"/>
    </row>
    <row r="52" spans="3:7" x14ac:dyDescent="0.25">
      <c r="C52" s="249"/>
      <c r="D52" s="56" t="s">
        <v>98</v>
      </c>
      <c r="E52" s="59" t="s">
        <v>99</v>
      </c>
      <c r="F52" s="59"/>
      <c r="G52" s="55"/>
    </row>
    <row r="53" spans="3:7" x14ac:dyDescent="0.25">
      <c r="C53" s="249"/>
      <c r="D53" s="56" t="s">
        <v>97</v>
      </c>
      <c r="E53" s="50" t="s">
        <v>100</v>
      </c>
      <c r="F53" s="50">
        <v>0.03</v>
      </c>
      <c r="G53" s="55"/>
    </row>
    <row r="54" spans="3:7" x14ac:dyDescent="0.25">
      <c r="C54" s="249"/>
      <c r="D54" s="56" t="s">
        <v>102</v>
      </c>
      <c r="E54" s="50" t="s">
        <v>101</v>
      </c>
      <c r="F54" s="50">
        <v>0.1</v>
      </c>
      <c r="G54" s="55"/>
    </row>
    <row r="55" spans="3:7" x14ac:dyDescent="0.25">
      <c r="C55" s="249"/>
      <c r="D55" s="56" t="s">
        <v>103</v>
      </c>
      <c r="E55" s="50" t="s">
        <v>104</v>
      </c>
      <c r="F55" s="51" t="s">
        <v>96</v>
      </c>
      <c r="G55" s="55"/>
    </row>
    <row r="56" spans="3:7" x14ac:dyDescent="0.25">
      <c r="C56" s="249"/>
      <c r="D56" s="56" t="s">
        <v>94</v>
      </c>
      <c r="E56" s="50" t="s">
        <v>105</v>
      </c>
      <c r="F56" s="50">
        <v>1</v>
      </c>
      <c r="G56" s="55"/>
    </row>
    <row r="57" spans="3:7" x14ac:dyDescent="0.25">
      <c r="C57" s="249"/>
      <c r="D57" s="60" t="s">
        <v>95</v>
      </c>
      <c r="E57" s="61" t="s">
        <v>106</v>
      </c>
      <c r="F57" s="62">
        <v>1.0000000000000001E-5</v>
      </c>
      <c r="G57" s="63"/>
    </row>
    <row r="58" spans="3:7" x14ac:dyDescent="0.25">
      <c r="C58" s="249"/>
      <c r="D58" s="65" t="s">
        <v>116</v>
      </c>
      <c r="E58" s="66" t="s">
        <v>117</v>
      </c>
      <c r="F58" s="67"/>
      <c r="G58" s="68"/>
    </row>
    <row r="59" spans="3:7" x14ac:dyDescent="0.25">
      <c r="C59" s="249"/>
      <c r="D59" s="56" t="s">
        <v>119</v>
      </c>
      <c r="E59" s="52" t="s">
        <v>120</v>
      </c>
      <c r="G59" s="55"/>
    </row>
    <row r="60" spans="3:7" x14ac:dyDescent="0.25">
      <c r="C60" s="249"/>
      <c r="D60" s="60" t="s">
        <v>121</v>
      </c>
      <c r="E60" s="61"/>
      <c r="F60" s="64">
        <v>2000</v>
      </c>
      <c r="G60" s="63"/>
    </row>
    <row r="61" spans="3:7" x14ac:dyDescent="0.25">
      <c r="C61" s="249"/>
      <c r="D61" s="65" t="s">
        <v>116</v>
      </c>
      <c r="E61" s="66" t="s">
        <v>118</v>
      </c>
      <c r="F61" s="67"/>
      <c r="G61" s="68"/>
    </row>
    <row r="62" spans="3:7" x14ac:dyDescent="0.25">
      <c r="C62" s="249"/>
      <c r="D62" s="56" t="s">
        <v>126</v>
      </c>
      <c r="E62" s="50" t="s">
        <v>122</v>
      </c>
      <c r="F62" s="50">
        <v>100</v>
      </c>
      <c r="G62" s="55"/>
    </row>
    <row r="63" spans="3:7" x14ac:dyDescent="0.25">
      <c r="C63" s="249"/>
      <c r="D63" s="56" t="s">
        <v>119</v>
      </c>
      <c r="E63" s="50" t="s">
        <v>123</v>
      </c>
      <c r="F63" s="50" t="s">
        <v>124</v>
      </c>
      <c r="G63" s="55"/>
    </row>
    <row r="64" spans="3:7" x14ac:dyDescent="0.25">
      <c r="C64" s="250"/>
      <c r="D64" s="60" t="s">
        <v>110</v>
      </c>
      <c r="E64" s="61" t="s">
        <v>125</v>
      </c>
      <c r="F64" s="61">
        <v>2000</v>
      </c>
      <c r="G64" s="63"/>
    </row>
    <row r="65" spans="3:7" x14ac:dyDescent="0.25">
      <c r="C65" s="248" t="s">
        <v>309</v>
      </c>
      <c r="D65" s="65" t="s">
        <v>116</v>
      </c>
      <c r="E65" s="66" t="s">
        <v>115</v>
      </c>
      <c r="F65" s="67"/>
      <c r="G65" s="68"/>
    </row>
    <row r="66" spans="3:7" x14ac:dyDescent="0.25">
      <c r="C66" s="249"/>
      <c r="D66" s="54" t="s">
        <v>111</v>
      </c>
      <c r="G66" s="55"/>
    </row>
    <row r="67" spans="3:7" ht="14.4" x14ac:dyDescent="0.3">
      <c r="C67" s="249"/>
      <c r="D67" s="56" t="s">
        <v>34</v>
      </c>
      <c r="E67" s="51" t="s">
        <v>35</v>
      </c>
      <c r="F67" s="53">
        <v>1.52</v>
      </c>
      <c r="G67" s="57"/>
    </row>
    <row r="68" spans="3:7" ht="14.4" x14ac:dyDescent="0.3">
      <c r="C68" s="249"/>
      <c r="D68" s="54" t="s">
        <v>113</v>
      </c>
      <c r="E68" s="51"/>
      <c r="F68" s="53"/>
      <c r="G68" s="57"/>
    </row>
    <row r="69" spans="3:7" x14ac:dyDescent="0.25">
      <c r="C69" s="249"/>
      <c r="D69" s="56" t="s">
        <v>114</v>
      </c>
      <c r="E69" s="146" t="s">
        <v>91</v>
      </c>
      <c r="F69" s="58">
        <f>E3</f>
        <v>-218740.20768000005</v>
      </c>
      <c r="G69" s="50" t="s">
        <v>92</v>
      </c>
    </row>
    <row r="70" spans="3:7" x14ac:dyDescent="0.25">
      <c r="C70" s="249"/>
      <c r="D70" s="54" t="s">
        <v>112</v>
      </c>
      <c r="G70" s="55"/>
    </row>
    <row r="71" spans="3:7" x14ac:dyDescent="0.25">
      <c r="C71" s="249"/>
      <c r="D71" s="56" t="s">
        <v>98</v>
      </c>
      <c r="E71" s="59" t="s">
        <v>99</v>
      </c>
      <c r="F71" s="59"/>
      <c r="G71" s="55"/>
    </row>
    <row r="72" spans="3:7" x14ac:dyDescent="0.25">
      <c r="C72" s="249"/>
      <c r="D72" s="56" t="s">
        <v>97</v>
      </c>
      <c r="E72" s="50" t="s">
        <v>100</v>
      </c>
      <c r="F72" s="50">
        <v>0.03</v>
      </c>
      <c r="G72" s="55"/>
    </row>
    <row r="73" spans="3:7" x14ac:dyDescent="0.25">
      <c r="C73" s="249"/>
      <c r="D73" s="56" t="s">
        <v>102</v>
      </c>
      <c r="E73" s="50" t="s">
        <v>101</v>
      </c>
      <c r="F73" s="50">
        <v>0.1</v>
      </c>
      <c r="G73" s="55"/>
    </row>
    <row r="74" spans="3:7" x14ac:dyDescent="0.25">
      <c r="C74" s="249"/>
      <c r="D74" s="56" t="s">
        <v>103</v>
      </c>
      <c r="E74" s="50" t="s">
        <v>104</v>
      </c>
      <c r="F74" s="51" t="s">
        <v>96</v>
      </c>
      <c r="G74" s="55"/>
    </row>
    <row r="75" spans="3:7" x14ac:dyDescent="0.25">
      <c r="C75" s="249"/>
      <c r="D75" s="56" t="s">
        <v>94</v>
      </c>
      <c r="E75" s="50" t="s">
        <v>105</v>
      </c>
      <c r="F75" s="50">
        <v>1</v>
      </c>
      <c r="G75" s="55"/>
    </row>
    <row r="76" spans="3:7" x14ac:dyDescent="0.25">
      <c r="C76" s="249"/>
      <c r="D76" s="60" t="s">
        <v>95</v>
      </c>
      <c r="E76" s="61" t="s">
        <v>106</v>
      </c>
      <c r="F76" s="62">
        <v>1E-3</v>
      </c>
      <c r="G76" s="63"/>
    </row>
    <row r="77" spans="3:7" x14ac:dyDescent="0.25">
      <c r="C77" s="249"/>
      <c r="D77" s="65" t="s">
        <v>116</v>
      </c>
      <c r="E77" s="66" t="s">
        <v>117</v>
      </c>
      <c r="F77" s="67"/>
      <c r="G77" s="68"/>
    </row>
    <row r="78" spans="3:7" x14ac:dyDescent="0.25">
      <c r="C78" s="249"/>
      <c r="D78" s="56" t="s">
        <v>119</v>
      </c>
      <c r="E78" s="52" t="s">
        <v>120</v>
      </c>
      <c r="G78" s="55"/>
    </row>
    <row r="79" spans="3:7" x14ac:dyDescent="0.25">
      <c r="C79" s="249"/>
      <c r="D79" s="60" t="s">
        <v>121</v>
      </c>
      <c r="E79" s="61"/>
      <c r="F79" s="64">
        <v>2000</v>
      </c>
      <c r="G79" s="63"/>
    </row>
    <row r="80" spans="3:7" x14ac:dyDescent="0.25">
      <c r="C80" s="249"/>
      <c r="D80" s="65" t="s">
        <v>116</v>
      </c>
      <c r="E80" s="66" t="s">
        <v>118</v>
      </c>
      <c r="F80" s="67"/>
      <c r="G80" s="68"/>
    </row>
    <row r="81" spans="3:7" x14ac:dyDescent="0.25">
      <c r="C81" s="249"/>
      <c r="D81" s="56" t="s">
        <v>126</v>
      </c>
      <c r="E81" s="50" t="s">
        <v>122</v>
      </c>
      <c r="F81" s="50">
        <v>100</v>
      </c>
      <c r="G81" s="55"/>
    </row>
    <row r="82" spans="3:7" x14ac:dyDescent="0.25">
      <c r="C82" s="249"/>
      <c r="D82" s="56" t="s">
        <v>119</v>
      </c>
      <c r="E82" s="50" t="s">
        <v>123</v>
      </c>
      <c r="F82" s="50" t="s">
        <v>124</v>
      </c>
      <c r="G82" s="55"/>
    </row>
    <row r="83" spans="3:7" x14ac:dyDescent="0.25">
      <c r="C83" s="250"/>
      <c r="D83" s="60" t="s">
        <v>110</v>
      </c>
      <c r="E83" s="61" t="s">
        <v>125</v>
      </c>
      <c r="F83" s="61">
        <v>2000</v>
      </c>
      <c r="G83" s="63"/>
    </row>
  </sheetData>
  <mergeCells count="6">
    <mergeCell ref="C65:C83"/>
    <mergeCell ref="D3:D4"/>
    <mergeCell ref="C8:C26"/>
    <mergeCell ref="C27:C45"/>
    <mergeCell ref="C3:C4"/>
    <mergeCell ref="C46:C64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AK323"/>
  <sheetViews>
    <sheetView topLeftCell="D163" zoomScale="60" zoomScaleNormal="60" workbookViewId="0">
      <selection activeCell="G131" sqref="G131"/>
    </sheetView>
  </sheetViews>
  <sheetFormatPr defaultColWidth="11.5546875" defaultRowHeight="13.8" x14ac:dyDescent="0.25"/>
  <cols>
    <col min="1" max="2" width="11.5546875" style="44"/>
    <col min="3" max="3" width="18.109375" style="44" customWidth="1"/>
    <col min="4" max="4" width="37.109375" style="44" customWidth="1"/>
    <col min="5" max="5" width="16.5546875" style="44" customWidth="1"/>
    <col min="6" max="6" width="15.44140625" style="44" customWidth="1"/>
    <col min="7" max="7" width="11.5546875" style="44"/>
    <col min="8" max="8" width="15.6640625" style="44" customWidth="1"/>
    <col min="9" max="9" width="13" style="44" customWidth="1"/>
    <col min="10" max="10" width="14.88671875" style="44" customWidth="1"/>
    <col min="11" max="16" width="11.5546875" style="44"/>
    <col min="17" max="17" width="15.88671875" style="44" customWidth="1"/>
    <col min="18" max="16384" width="11.5546875" style="44"/>
  </cols>
  <sheetData>
    <row r="3" spans="4:23" x14ac:dyDescent="0.25">
      <c r="I3" s="15"/>
      <c r="T3" s="131"/>
    </row>
    <row r="4" spans="4:23" x14ac:dyDescent="0.25">
      <c r="I4" s="69"/>
      <c r="J4" s="28"/>
      <c r="T4" s="132"/>
      <c r="U4" s="132"/>
      <c r="V4" s="133"/>
    </row>
    <row r="5" spans="4:23" x14ac:dyDescent="0.25">
      <c r="I5" s="15"/>
      <c r="J5" s="28"/>
      <c r="Q5" s="44">
        <v>2.5</v>
      </c>
      <c r="T5" s="134"/>
      <c r="U5" s="134"/>
      <c r="V5" s="135"/>
    </row>
    <row r="6" spans="4:23" x14ac:dyDescent="0.25">
      <c r="H6" s="72"/>
      <c r="I6" s="73"/>
      <c r="J6" s="74"/>
      <c r="K6" s="71"/>
      <c r="Q6" s="44">
        <v>25</v>
      </c>
    </row>
    <row r="7" spans="4:23" x14ac:dyDescent="0.25">
      <c r="Q7" s="44">
        <v>866</v>
      </c>
      <c r="V7" s="75"/>
    </row>
    <row r="8" spans="4:23" ht="14.4" thickBot="1" x14ac:dyDescent="0.3">
      <c r="Q8" s="44">
        <v>12.021000000000001</v>
      </c>
      <c r="V8" s="75"/>
    </row>
    <row r="9" spans="4:23" x14ac:dyDescent="0.25">
      <c r="D9" s="264" t="s">
        <v>177</v>
      </c>
      <c r="E9" s="265"/>
      <c r="F9" s="265"/>
      <c r="G9" s="266"/>
      <c r="V9" s="75"/>
    </row>
    <row r="10" spans="4:23" x14ac:dyDescent="0.25">
      <c r="D10" s="14" t="s">
        <v>127</v>
      </c>
      <c r="E10" s="69" t="s">
        <v>130</v>
      </c>
      <c r="F10" s="28">
        <v>866</v>
      </c>
      <c r="G10" s="45" t="s">
        <v>2</v>
      </c>
      <c r="S10" s="44" t="s">
        <v>259</v>
      </c>
      <c r="V10" s="75" t="s">
        <v>260</v>
      </c>
    </row>
    <row r="11" spans="4:23" x14ac:dyDescent="0.25">
      <c r="D11" s="14" t="s">
        <v>128</v>
      </c>
      <c r="E11" s="69" t="s">
        <v>131</v>
      </c>
      <c r="F11" s="28">
        <v>25</v>
      </c>
      <c r="G11" s="45" t="s">
        <v>2</v>
      </c>
      <c r="S11" s="44">
        <v>2.5</v>
      </c>
      <c r="T11" s="44">
        <f>S11-$Q$7/2</f>
        <v>-430.5</v>
      </c>
      <c r="V11" s="136">
        <v>2.5</v>
      </c>
      <c r="W11" s="44">
        <f>V11-$Q$6/2</f>
        <v>-10</v>
      </c>
    </row>
    <row r="12" spans="4:23" x14ac:dyDescent="0.25">
      <c r="D12" s="14" t="s">
        <v>129</v>
      </c>
      <c r="E12" s="69" t="s">
        <v>132</v>
      </c>
      <c r="F12" s="28">
        <v>2.5</v>
      </c>
      <c r="G12" s="45" t="s">
        <v>2</v>
      </c>
      <c r="S12" s="44">
        <f t="shared" ref="S12:S18" si="0">S11+$Q$8</f>
        <v>14.521000000000001</v>
      </c>
      <c r="T12" s="44">
        <f t="shared" ref="T12:T18" si="1">S12-$Q$7/2</f>
        <v>-418.47899999999998</v>
      </c>
      <c r="V12" s="44">
        <f>Q6/2</f>
        <v>12.5</v>
      </c>
      <c r="W12" s="44">
        <f>V12-$Q$6/2</f>
        <v>0</v>
      </c>
    </row>
    <row r="13" spans="4:23" x14ac:dyDescent="0.25">
      <c r="D13" s="14" t="s">
        <v>134</v>
      </c>
      <c r="E13" s="69" t="s">
        <v>135</v>
      </c>
      <c r="F13" s="28">
        <v>3</v>
      </c>
      <c r="G13" s="45"/>
      <c r="S13" s="44">
        <f t="shared" si="0"/>
        <v>26.542000000000002</v>
      </c>
      <c r="T13" s="44">
        <f t="shared" si="1"/>
        <v>-406.45799999999997</v>
      </c>
      <c r="V13" s="136">
        <f>Q6-Q5</f>
        <v>22.5</v>
      </c>
      <c r="W13" s="44">
        <f>V13-$Q$6/2</f>
        <v>10</v>
      </c>
    </row>
    <row r="14" spans="4:23" x14ac:dyDescent="0.25">
      <c r="D14" s="14" t="s">
        <v>136</v>
      </c>
      <c r="E14" s="69" t="s">
        <v>137</v>
      </c>
      <c r="F14" s="28">
        <v>3</v>
      </c>
      <c r="G14" s="45"/>
      <c r="S14" s="44">
        <f t="shared" si="0"/>
        <v>38.563000000000002</v>
      </c>
      <c r="T14" s="44">
        <f t="shared" si="1"/>
        <v>-394.43700000000001</v>
      </c>
      <c r="V14" s="75"/>
    </row>
    <row r="15" spans="4:23" x14ac:dyDescent="0.25">
      <c r="D15" s="14" t="s">
        <v>138</v>
      </c>
      <c r="E15" s="69" t="s">
        <v>258</v>
      </c>
      <c r="F15" s="28">
        <v>28</v>
      </c>
      <c r="G15" s="45"/>
      <c r="S15" s="44">
        <f t="shared" si="0"/>
        <v>50.584000000000003</v>
      </c>
      <c r="T15" s="44">
        <f t="shared" si="1"/>
        <v>-382.416</v>
      </c>
      <c r="V15" s="75"/>
    </row>
    <row r="16" spans="4:23" x14ac:dyDescent="0.25">
      <c r="D16" s="14" t="s">
        <v>133</v>
      </c>
      <c r="E16" s="69" t="s">
        <v>55</v>
      </c>
      <c r="F16" s="28">
        <v>25</v>
      </c>
      <c r="G16" s="45" t="s">
        <v>56</v>
      </c>
      <c r="S16" s="44">
        <f t="shared" si="0"/>
        <v>62.605000000000004</v>
      </c>
      <c r="T16" s="44">
        <f t="shared" si="1"/>
        <v>-370.39499999999998</v>
      </c>
    </row>
    <row r="17" spans="3:22" x14ac:dyDescent="0.25">
      <c r="D17" s="235" t="s">
        <v>59</v>
      </c>
      <c r="E17" s="69" t="s">
        <v>139</v>
      </c>
      <c r="F17" s="70">
        <f>(($F$16/10)^2)*PI()/4</f>
        <v>4.908738521234052</v>
      </c>
      <c r="G17" s="45" t="s">
        <v>68</v>
      </c>
      <c r="S17" s="44">
        <f t="shared" si="0"/>
        <v>74.626000000000005</v>
      </c>
      <c r="T17" s="44">
        <f t="shared" si="1"/>
        <v>-358.37400000000002</v>
      </c>
      <c r="V17" s="75"/>
    </row>
    <row r="18" spans="3:22" x14ac:dyDescent="0.25">
      <c r="D18" s="235"/>
      <c r="E18" s="69" t="s">
        <v>140</v>
      </c>
      <c r="F18" s="70">
        <f>(($F$16/10)^2)*PI()/4</f>
        <v>4.908738521234052</v>
      </c>
      <c r="G18" s="45" t="s">
        <v>68</v>
      </c>
      <c r="S18" s="81">
        <f t="shared" si="0"/>
        <v>86.647000000000006</v>
      </c>
      <c r="T18" s="81">
        <f t="shared" si="1"/>
        <v>-346.35300000000001</v>
      </c>
      <c r="V18" s="75"/>
    </row>
    <row r="19" spans="3:22" x14ac:dyDescent="0.25">
      <c r="D19" s="235"/>
      <c r="E19" s="69" t="s">
        <v>141</v>
      </c>
      <c r="F19" s="70">
        <f>(($F$16/10)^2)*PI()/4</f>
        <v>4.908738521234052</v>
      </c>
      <c r="G19" s="45" t="s">
        <v>68</v>
      </c>
      <c r="S19" s="44">
        <f>$Q$7-S18</f>
        <v>779.35299999999995</v>
      </c>
      <c r="T19" s="44">
        <f t="shared" ref="T19:T26" si="2">S19-$Q$7/2</f>
        <v>346.35299999999995</v>
      </c>
      <c r="V19" s="75"/>
    </row>
    <row r="20" spans="3:22" x14ac:dyDescent="0.25">
      <c r="D20" s="76"/>
      <c r="G20" s="45"/>
      <c r="S20" s="44">
        <f>$Q$7-S17</f>
        <v>791.37400000000002</v>
      </c>
      <c r="T20" s="44">
        <f t="shared" si="2"/>
        <v>358.37400000000002</v>
      </c>
    </row>
    <row r="21" spans="3:22" x14ac:dyDescent="0.25">
      <c r="D21" s="14" t="s">
        <v>142</v>
      </c>
      <c r="E21" s="69" t="s">
        <v>143</v>
      </c>
      <c r="F21" s="28">
        <v>433</v>
      </c>
      <c r="G21" s="45"/>
      <c r="S21" s="44">
        <f>$Q$7-S16</f>
        <v>803.39499999999998</v>
      </c>
      <c r="T21" s="44">
        <f t="shared" si="2"/>
        <v>370.39499999999998</v>
      </c>
    </row>
    <row r="22" spans="3:22" ht="14.4" thickBot="1" x14ac:dyDescent="0.3">
      <c r="D22" s="16" t="s">
        <v>144</v>
      </c>
      <c r="E22" s="77" t="s">
        <v>145</v>
      </c>
      <c r="F22" s="78">
        <v>10</v>
      </c>
      <c r="G22" s="79"/>
      <c r="S22" s="44">
        <f>$Q$7-S15</f>
        <v>815.41599999999994</v>
      </c>
      <c r="T22" s="44">
        <f t="shared" si="2"/>
        <v>382.41599999999994</v>
      </c>
    </row>
    <row r="23" spans="3:22" x14ac:dyDescent="0.25">
      <c r="F23" s="28"/>
      <c r="S23" s="44">
        <f>$Q$7-S14</f>
        <v>827.43700000000001</v>
      </c>
      <c r="T23" s="44">
        <f t="shared" si="2"/>
        <v>394.43700000000001</v>
      </c>
    </row>
    <row r="24" spans="3:22" x14ac:dyDescent="0.25">
      <c r="S24" s="44">
        <f>$Q$7-S13</f>
        <v>839.45799999999997</v>
      </c>
      <c r="T24" s="44">
        <f t="shared" si="2"/>
        <v>406.45799999999997</v>
      </c>
    </row>
    <row r="25" spans="3:22" x14ac:dyDescent="0.25">
      <c r="S25" s="44">
        <f>$Q$7-S12</f>
        <v>851.47900000000004</v>
      </c>
      <c r="T25" s="44">
        <f t="shared" si="2"/>
        <v>418.47900000000004</v>
      </c>
    </row>
    <row r="26" spans="3:22" x14ac:dyDescent="0.25">
      <c r="S26" s="44">
        <f>$Q$7-S11</f>
        <v>863.5</v>
      </c>
      <c r="T26" s="44">
        <f t="shared" si="2"/>
        <v>430.5</v>
      </c>
    </row>
    <row r="29" spans="3:22" s="48" customFormat="1" x14ac:dyDescent="0.25">
      <c r="C29" s="137" t="s">
        <v>178</v>
      </c>
    </row>
    <row r="31" spans="3:22" x14ac:dyDescent="0.25">
      <c r="C31" s="96" t="s">
        <v>220</v>
      </c>
      <c r="D31" s="96"/>
    </row>
    <row r="32" spans="3:22" ht="14.4" customHeight="1" x14ac:dyDescent="0.25">
      <c r="C32" s="267" t="s">
        <v>207</v>
      </c>
      <c r="D32" s="85" t="s">
        <v>186</v>
      </c>
      <c r="E32" s="86"/>
      <c r="F32" s="86"/>
      <c r="G32" s="87"/>
    </row>
    <row r="33" spans="3:37" x14ac:dyDescent="0.25">
      <c r="C33" s="268"/>
      <c r="D33" s="89" t="s">
        <v>180</v>
      </c>
      <c r="E33" s="86" t="s">
        <v>208</v>
      </c>
      <c r="F33" s="86"/>
      <c r="G33" s="87"/>
    </row>
    <row r="34" spans="3:37" x14ac:dyDescent="0.25">
      <c r="C34" s="268"/>
      <c r="D34" s="90" t="s">
        <v>181</v>
      </c>
      <c r="E34" s="44" t="s">
        <v>182</v>
      </c>
      <c r="G34" s="88"/>
    </row>
    <row r="35" spans="3:37" x14ac:dyDescent="0.25">
      <c r="C35" s="268"/>
      <c r="D35" s="90" t="s">
        <v>183</v>
      </c>
      <c r="F35" s="44">
        <v>7.8499999999999993E-3</v>
      </c>
      <c r="G35" s="88" t="s">
        <v>184</v>
      </c>
    </row>
    <row r="36" spans="3:37" x14ac:dyDescent="0.25">
      <c r="C36" s="268"/>
      <c r="D36" s="91" t="s">
        <v>185</v>
      </c>
      <c r="E36" s="81" t="s">
        <v>188</v>
      </c>
      <c r="F36" s="81">
        <v>2038901.92</v>
      </c>
      <c r="G36" s="92" t="s">
        <v>9</v>
      </c>
    </row>
    <row r="37" spans="3:37" x14ac:dyDescent="0.25">
      <c r="C37" s="268"/>
      <c r="D37" s="94" t="s">
        <v>187</v>
      </c>
      <c r="E37" s="48"/>
      <c r="F37" s="48"/>
      <c r="G37" s="95"/>
      <c r="AK37" s="44">
        <f>866-2*88</f>
        <v>690</v>
      </c>
    </row>
    <row r="38" spans="3:37" x14ac:dyDescent="0.25">
      <c r="C38" s="268"/>
      <c r="D38" s="89" t="s">
        <v>193</v>
      </c>
      <c r="E38" s="86" t="s">
        <v>189</v>
      </c>
      <c r="F38" s="86">
        <v>4901.0600000000004</v>
      </c>
      <c r="G38" s="87" t="s">
        <v>9</v>
      </c>
      <c r="AB38" s="44">
        <f>88-2.5</f>
        <v>85.5</v>
      </c>
      <c r="AD38" s="44">
        <v>84.15</v>
      </c>
      <c r="AF38" s="44">
        <v>692.6</v>
      </c>
    </row>
    <row r="39" spans="3:37" x14ac:dyDescent="0.25">
      <c r="C39" s="268"/>
      <c r="D39" s="90" t="s">
        <v>194</v>
      </c>
      <c r="E39" s="44" t="s">
        <v>190</v>
      </c>
      <c r="F39" s="44">
        <v>6911.13</v>
      </c>
      <c r="G39" s="88" t="s">
        <v>9</v>
      </c>
      <c r="AJ39" s="44">
        <v>260</v>
      </c>
      <c r="AK39" s="44">
        <f>$AK$37/AJ39</f>
        <v>2.6538461538461537</v>
      </c>
    </row>
    <row r="40" spans="3:37" x14ac:dyDescent="0.25">
      <c r="C40" s="268"/>
      <c r="D40" s="90" t="s">
        <v>195</v>
      </c>
      <c r="E40" s="44" t="s">
        <v>191</v>
      </c>
      <c r="F40" s="44">
        <v>4901.0600000000004</v>
      </c>
      <c r="G40" s="88" t="s">
        <v>9</v>
      </c>
      <c r="AA40" s="44">
        <v>10</v>
      </c>
      <c r="AB40" s="44">
        <f t="shared" ref="AB40:AB70" si="3">$AB$38/AA40</f>
        <v>8.5500000000000007</v>
      </c>
      <c r="AD40" s="44">
        <f>$AD$38/AA40</f>
        <v>8.4150000000000009</v>
      </c>
      <c r="AF40" s="44">
        <f>$AF$38/AA40</f>
        <v>69.260000000000005</v>
      </c>
      <c r="AH40" s="44">
        <f>$AF$38/AD40</f>
        <v>82.305407011289361</v>
      </c>
      <c r="AJ40" s="44">
        <v>261</v>
      </c>
      <c r="AK40" s="44">
        <f t="shared" ref="AK40:AK98" si="4">$AK$37/AJ40</f>
        <v>2.6436781609195403</v>
      </c>
    </row>
    <row r="41" spans="3:37" x14ac:dyDescent="0.25">
      <c r="C41" s="268"/>
      <c r="D41" s="91" t="s">
        <v>196</v>
      </c>
      <c r="E41" s="81" t="s">
        <v>192</v>
      </c>
      <c r="F41" s="81">
        <v>6911.13</v>
      </c>
      <c r="G41" s="92" t="s">
        <v>9</v>
      </c>
      <c r="AA41" s="44">
        <v>11</v>
      </c>
      <c r="AB41" s="44">
        <f t="shared" si="3"/>
        <v>7.7727272727272725</v>
      </c>
      <c r="AD41" s="44">
        <f t="shared" ref="AD41:AD70" si="5">$AD$38/AA41</f>
        <v>7.65</v>
      </c>
      <c r="AF41" s="44">
        <f t="shared" ref="AF41:AF70" si="6">$AF$38/AA41</f>
        <v>62.963636363636368</v>
      </c>
      <c r="AH41" s="44">
        <f t="shared" ref="AH41:AH97" si="7">$AF$38/AD41</f>
        <v>90.535947712418306</v>
      </c>
      <c r="AJ41" s="44">
        <v>262</v>
      </c>
      <c r="AK41" s="44">
        <f t="shared" si="4"/>
        <v>2.6335877862595418</v>
      </c>
    </row>
    <row r="42" spans="3:37" x14ac:dyDescent="0.25">
      <c r="C42" s="268"/>
      <c r="D42" s="80" t="s">
        <v>197</v>
      </c>
      <c r="G42" s="88"/>
      <c r="AA42" s="44">
        <v>12</v>
      </c>
      <c r="AB42" s="44">
        <f t="shared" si="3"/>
        <v>7.125</v>
      </c>
      <c r="AD42" s="44">
        <f t="shared" si="5"/>
        <v>7.0125000000000002</v>
      </c>
      <c r="AF42" s="44">
        <f t="shared" si="6"/>
        <v>57.716666666666669</v>
      </c>
      <c r="AH42" s="44">
        <f t="shared" si="7"/>
        <v>98.766488413547236</v>
      </c>
      <c r="AJ42" s="44">
        <v>263</v>
      </c>
      <c r="AK42" s="44">
        <f t="shared" si="4"/>
        <v>2.623574144486692</v>
      </c>
    </row>
    <row r="43" spans="3:37" x14ac:dyDescent="0.25">
      <c r="C43" s="268"/>
      <c r="D43" s="44" t="s">
        <v>198</v>
      </c>
      <c r="E43" s="259" t="s">
        <v>200</v>
      </c>
      <c r="F43" s="259"/>
      <c r="G43" s="260"/>
      <c r="AA43" s="44">
        <v>13</v>
      </c>
      <c r="AB43" s="44">
        <f t="shared" si="3"/>
        <v>6.5769230769230766</v>
      </c>
      <c r="AD43" s="44">
        <f t="shared" si="5"/>
        <v>6.4730769230769232</v>
      </c>
      <c r="AF43" s="44">
        <f t="shared" si="6"/>
        <v>53.276923076923076</v>
      </c>
      <c r="AH43" s="44">
        <f t="shared" si="7"/>
        <v>106.99702911467618</v>
      </c>
      <c r="AJ43" s="44">
        <v>264</v>
      </c>
      <c r="AK43" s="44">
        <f t="shared" si="4"/>
        <v>2.6136363636363638</v>
      </c>
    </row>
    <row r="44" spans="3:37" x14ac:dyDescent="0.25">
      <c r="C44" s="269"/>
      <c r="D44" s="81" t="s">
        <v>199</v>
      </c>
      <c r="E44" s="261"/>
      <c r="F44" s="261"/>
      <c r="G44" s="262"/>
      <c r="AA44" s="44">
        <v>14</v>
      </c>
      <c r="AB44" s="44">
        <f t="shared" si="3"/>
        <v>6.1071428571428568</v>
      </c>
      <c r="AD44" s="44">
        <f t="shared" si="5"/>
        <v>6.0107142857142861</v>
      </c>
      <c r="AF44" s="44">
        <f t="shared" si="6"/>
        <v>49.471428571428575</v>
      </c>
      <c r="AH44" s="44">
        <f t="shared" si="7"/>
        <v>115.22756981580511</v>
      </c>
      <c r="AJ44" s="44">
        <v>265</v>
      </c>
      <c r="AK44" s="44">
        <f t="shared" si="4"/>
        <v>2.6037735849056602</v>
      </c>
    </row>
    <row r="45" spans="3:37" x14ac:dyDescent="0.25">
      <c r="C45" s="263" t="s">
        <v>216</v>
      </c>
      <c r="D45" s="94" t="s">
        <v>186</v>
      </c>
      <c r="E45" s="48"/>
      <c r="F45" s="48"/>
      <c r="G45" s="95"/>
      <c r="AA45" s="44">
        <v>15</v>
      </c>
      <c r="AB45" s="44">
        <f t="shared" si="3"/>
        <v>5.7</v>
      </c>
      <c r="AD45" s="44">
        <f t="shared" si="5"/>
        <v>5.61</v>
      </c>
      <c r="AF45" s="44">
        <f t="shared" si="6"/>
        <v>46.173333333333332</v>
      </c>
      <c r="AH45" s="44">
        <f t="shared" si="7"/>
        <v>123.45811051693404</v>
      </c>
      <c r="AJ45" s="44">
        <v>266</v>
      </c>
      <c r="AK45" s="44">
        <f t="shared" si="4"/>
        <v>2.5939849624060152</v>
      </c>
    </row>
    <row r="46" spans="3:37" x14ac:dyDescent="0.25">
      <c r="C46" s="263"/>
      <c r="D46" s="89" t="s">
        <v>180</v>
      </c>
      <c r="E46" s="86" t="s">
        <v>209</v>
      </c>
      <c r="F46" s="86"/>
      <c r="G46" s="87"/>
      <c r="AA46" s="44">
        <v>16</v>
      </c>
      <c r="AB46" s="44">
        <f t="shared" si="3"/>
        <v>5.34375</v>
      </c>
      <c r="AD46" s="44">
        <f t="shared" si="5"/>
        <v>5.2593750000000004</v>
      </c>
      <c r="AF46" s="44">
        <f t="shared" si="6"/>
        <v>43.287500000000001</v>
      </c>
      <c r="AH46" s="44">
        <f t="shared" si="7"/>
        <v>131.68865121806297</v>
      </c>
      <c r="AJ46" s="44">
        <v>267</v>
      </c>
      <c r="AK46" s="44">
        <f t="shared" si="4"/>
        <v>2.5842696629213484</v>
      </c>
    </row>
    <row r="47" spans="3:37" x14ac:dyDescent="0.25">
      <c r="C47" s="263"/>
      <c r="D47" s="90" t="s">
        <v>181</v>
      </c>
      <c r="E47" s="44" t="s">
        <v>210</v>
      </c>
      <c r="G47" s="88"/>
      <c r="AA47" s="44">
        <v>17</v>
      </c>
      <c r="AB47" s="44">
        <f t="shared" si="3"/>
        <v>5.0294117647058822</v>
      </c>
      <c r="AD47" s="44">
        <f t="shared" si="5"/>
        <v>4.95</v>
      </c>
      <c r="AF47" s="44">
        <f t="shared" si="6"/>
        <v>40.741176470588236</v>
      </c>
      <c r="AH47" s="44">
        <f t="shared" si="7"/>
        <v>139.91919191919192</v>
      </c>
      <c r="AJ47" s="44">
        <v>268</v>
      </c>
      <c r="AK47" s="44">
        <f t="shared" si="4"/>
        <v>2.5746268656716418</v>
      </c>
    </row>
    <row r="48" spans="3:37" x14ac:dyDescent="0.25">
      <c r="C48" s="263"/>
      <c r="D48" s="90" t="s">
        <v>183</v>
      </c>
      <c r="F48" s="44">
        <v>2.3999999999999998E-3</v>
      </c>
      <c r="G48" s="88" t="s">
        <v>184</v>
      </c>
      <c r="AA48" s="44">
        <v>18</v>
      </c>
      <c r="AB48" s="44">
        <f t="shared" si="3"/>
        <v>4.75</v>
      </c>
      <c r="AD48" s="44">
        <f t="shared" si="5"/>
        <v>4.6750000000000007</v>
      </c>
      <c r="AF48" s="44">
        <f t="shared" si="6"/>
        <v>38.477777777777781</v>
      </c>
      <c r="AH48" s="44">
        <f t="shared" si="7"/>
        <v>148.14973262032083</v>
      </c>
      <c r="AJ48" s="44">
        <v>269</v>
      </c>
      <c r="AK48" s="44">
        <f t="shared" si="4"/>
        <v>2.5650557620817844</v>
      </c>
    </row>
    <row r="49" spans="3:37" x14ac:dyDescent="0.25">
      <c r="C49" s="263"/>
      <c r="D49" s="90" t="s">
        <v>185</v>
      </c>
      <c r="E49" s="44" t="s">
        <v>188</v>
      </c>
      <c r="F49" s="44">
        <v>237593.87</v>
      </c>
      <c r="G49" s="88" t="s">
        <v>9</v>
      </c>
      <c r="AA49" s="44">
        <v>19</v>
      </c>
      <c r="AB49" s="44">
        <f t="shared" si="3"/>
        <v>4.5</v>
      </c>
      <c r="AD49" s="44">
        <f t="shared" si="5"/>
        <v>4.4289473684210527</v>
      </c>
      <c r="AF49" s="44">
        <f t="shared" si="6"/>
        <v>36.452631578947368</v>
      </c>
      <c r="AH49" s="44">
        <f t="shared" si="7"/>
        <v>156.38027332144981</v>
      </c>
      <c r="AJ49" s="44">
        <v>270</v>
      </c>
      <c r="AK49" s="44">
        <f t="shared" si="4"/>
        <v>2.5555555555555554</v>
      </c>
    </row>
    <row r="50" spans="3:37" x14ac:dyDescent="0.25">
      <c r="C50" s="263"/>
      <c r="D50" s="93" t="s">
        <v>187</v>
      </c>
      <c r="G50" s="88"/>
      <c r="AA50" s="44">
        <v>20</v>
      </c>
      <c r="AB50" s="44">
        <f t="shared" si="3"/>
        <v>4.2750000000000004</v>
      </c>
      <c r="AD50" s="44">
        <f t="shared" si="5"/>
        <v>4.2075000000000005</v>
      </c>
      <c r="AF50" s="44">
        <f t="shared" si="6"/>
        <v>34.630000000000003</v>
      </c>
      <c r="AH50" s="44">
        <f t="shared" si="7"/>
        <v>164.61081402257872</v>
      </c>
      <c r="AJ50" s="44">
        <v>271</v>
      </c>
      <c r="AK50" s="44">
        <f t="shared" si="4"/>
        <v>2.5461254612546127</v>
      </c>
    </row>
    <row r="51" spans="3:37" x14ac:dyDescent="0.25">
      <c r="C51" s="263"/>
      <c r="D51" s="90" t="s">
        <v>212</v>
      </c>
      <c r="E51" s="44" t="s">
        <v>211</v>
      </c>
      <c r="F51" s="44">
        <v>254.93</v>
      </c>
      <c r="G51" s="88" t="s">
        <v>9</v>
      </c>
      <c r="AA51" s="44">
        <v>21</v>
      </c>
      <c r="AB51" s="44">
        <f t="shared" si="3"/>
        <v>4.0714285714285712</v>
      </c>
      <c r="AD51" s="44">
        <f t="shared" si="5"/>
        <v>4.0071428571428571</v>
      </c>
      <c r="AF51" s="44">
        <f t="shared" si="6"/>
        <v>32.980952380952381</v>
      </c>
      <c r="AH51" s="44">
        <f t="shared" si="7"/>
        <v>172.84135472370767</v>
      </c>
      <c r="AJ51" s="44">
        <v>272</v>
      </c>
      <c r="AK51" s="44">
        <f t="shared" si="4"/>
        <v>2.5367647058823528</v>
      </c>
    </row>
    <row r="52" spans="3:37" x14ac:dyDescent="0.25">
      <c r="C52" s="263"/>
      <c r="D52" s="93" t="s">
        <v>197</v>
      </c>
      <c r="G52" s="88"/>
      <c r="AA52" s="44">
        <v>22</v>
      </c>
      <c r="AB52" s="44">
        <f t="shared" si="3"/>
        <v>3.8863636363636362</v>
      </c>
      <c r="AD52" s="44">
        <f t="shared" si="5"/>
        <v>3.8250000000000002</v>
      </c>
      <c r="AF52" s="44">
        <f t="shared" si="6"/>
        <v>31.481818181818184</v>
      </c>
      <c r="AH52" s="44">
        <f t="shared" si="7"/>
        <v>181.07189542483661</v>
      </c>
      <c r="AJ52" s="44">
        <v>273</v>
      </c>
      <c r="AK52" s="44">
        <f t="shared" si="4"/>
        <v>2.5274725274725274</v>
      </c>
    </row>
    <row r="53" spans="3:37" x14ac:dyDescent="0.25">
      <c r="C53" s="263"/>
      <c r="D53" s="90" t="s">
        <v>198</v>
      </c>
      <c r="E53" s="259" t="s">
        <v>200</v>
      </c>
      <c r="F53" s="259"/>
      <c r="G53" s="260"/>
      <c r="AA53" s="44">
        <v>23</v>
      </c>
      <c r="AB53" s="44">
        <f t="shared" si="3"/>
        <v>3.7173913043478262</v>
      </c>
      <c r="AD53" s="44">
        <f t="shared" si="5"/>
        <v>3.6586956521739133</v>
      </c>
      <c r="AF53" s="44">
        <f t="shared" si="6"/>
        <v>30.11304347826087</v>
      </c>
      <c r="AH53" s="44">
        <f t="shared" si="7"/>
        <v>189.30243612596553</v>
      </c>
      <c r="AJ53" s="44">
        <v>274</v>
      </c>
      <c r="AK53" s="44">
        <f t="shared" si="4"/>
        <v>2.5182481751824817</v>
      </c>
    </row>
    <row r="54" spans="3:37" x14ac:dyDescent="0.25">
      <c r="C54" s="263"/>
      <c r="D54" s="91" t="s">
        <v>199</v>
      </c>
      <c r="E54" s="261"/>
      <c r="F54" s="261"/>
      <c r="G54" s="262"/>
      <c r="AA54" s="44">
        <v>24</v>
      </c>
      <c r="AB54" s="44">
        <f t="shared" si="3"/>
        <v>3.5625</v>
      </c>
      <c r="AD54" s="44">
        <f t="shared" si="5"/>
        <v>3.5062500000000001</v>
      </c>
      <c r="AF54" s="44">
        <f t="shared" si="6"/>
        <v>28.858333333333334</v>
      </c>
      <c r="AH54" s="44">
        <f t="shared" si="7"/>
        <v>197.53297682709447</v>
      </c>
      <c r="AJ54" s="44">
        <v>275</v>
      </c>
      <c r="AK54" s="44">
        <f t="shared" si="4"/>
        <v>2.5090909090909093</v>
      </c>
    </row>
    <row r="55" spans="3:37" x14ac:dyDescent="0.25">
      <c r="C55" s="263"/>
      <c r="D55" s="94" t="s">
        <v>186</v>
      </c>
      <c r="E55" s="48"/>
      <c r="F55" s="48"/>
      <c r="G55" s="95"/>
      <c r="AA55" s="44">
        <v>25</v>
      </c>
      <c r="AB55" s="44">
        <f t="shared" si="3"/>
        <v>3.42</v>
      </c>
      <c r="AD55" s="44">
        <f t="shared" si="5"/>
        <v>3.3660000000000001</v>
      </c>
      <c r="AF55" s="44">
        <f t="shared" si="6"/>
        <v>27.704000000000001</v>
      </c>
      <c r="AH55" s="44">
        <f t="shared" si="7"/>
        <v>205.76351752822342</v>
      </c>
      <c r="AJ55" s="44">
        <v>276</v>
      </c>
      <c r="AK55" s="44">
        <f t="shared" si="4"/>
        <v>2.5</v>
      </c>
    </row>
    <row r="56" spans="3:37" x14ac:dyDescent="0.25">
      <c r="C56" s="263"/>
      <c r="D56" s="89" t="s">
        <v>180</v>
      </c>
      <c r="E56" s="86" t="s">
        <v>213</v>
      </c>
      <c r="F56" s="86"/>
      <c r="G56" s="87"/>
      <c r="AA56" s="44">
        <v>26</v>
      </c>
      <c r="AB56" s="44">
        <f t="shared" si="3"/>
        <v>3.2884615384615383</v>
      </c>
      <c r="AD56" s="44">
        <f t="shared" si="5"/>
        <v>3.2365384615384616</v>
      </c>
      <c r="AF56" s="44">
        <f t="shared" si="6"/>
        <v>26.638461538461538</v>
      </c>
      <c r="AH56" s="44">
        <f t="shared" si="7"/>
        <v>213.99405822935236</v>
      </c>
      <c r="AJ56" s="44">
        <v>277</v>
      </c>
      <c r="AK56" s="44">
        <f t="shared" si="4"/>
        <v>2.4909747292418771</v>
      </c>
    </row>
    <row r="57" spans="3:37" x14ac:dyDescent="0.25">
      <c r="C57" s="263"/>
      <c r="D57" s="90" t="s">
        <v>181</v>
      </c>
      <c r="E57" s="44" t="s">
        <v>210</v>
      </c>
      <c r="G57" s="88"/>
      <c r="AA57" s="44">
        <v>27</v>
      </c>
      <c r="AB57" s="44">
        <f t="shared" si="3"/>
        <v>3.1666666666666665</v>
      </c>
      <c r="AD57" s="44">
        <f t="shared" si="5"/>
        <v>3.1166666666666667</v>
      </c>
      <c r="AF57" s="44">
        <f t="shared" si="6"/>
        <v>25.651851851851852</v>
      </c>
      <c r="AH57" s="44">
        <f t="shared" si="7"/>
        <v>222.22459893048128</v>
      </c>
      <c r="AJ57" s="44">
        <v>278</v>
      </c>
      <c r="AK57" s="44">
        <f t="shared" si="4"/>
        <v>2.4820143884892087</v>
      </c>
    </row>
    <row r="58" spans="3:37" x14ac:dyDescent="0.25">
      <c r="C58" s="263"/>
      <c r="D58" s="90" t="s">
        <v>183</v>
      </c>
      <c r="F58" s="44">
        <v>2.3999999999999998E-3</v>
      </c>
      <c r="G58" s="88" t="s">
        <v>184</v>
      </c>
      <c r="AA58" s="44">
        <v>28</v>
      </c>
      <c r="AB58" s="44">
        <f t="shared" si="3"/>
        <v>3.0535714285714284</v>
      </c>
      <c r="AD58" s="44">
        <f t="shared" si="5"/>
        <v>3.0053571428571431</v>
      </c>
      <c r="AF58" s="44">
        <f t="shared" si="6"/>
        <v>24.735714285714288</v>
      </c>
      <c r="AH58" s="44">
        <f t="shared" si="7"/>
        <v>230.45513963161022</v>
      </c>
      <c r="AJ58" s="44">
        <v>279</v>
      </c>
      <c r="AK58" s="44">
        <f t="shared" si="4"/>
        <v>2.4731182795698925</v>
      </c>
    </row>
    <row r="59" spans="3:37" x14ac:dyDescent="0.25">
      <c r="C59" s="263"/>
      <c r="D59" s="91" t="s">
        <v>185</v>
      </c>
      <c r="E59" s="81" t="s">
        <v>188</v>
      </c>
      <c r="F59" s="81">
        <v>229436.14</v>
      </c>
      <c r="G59" s="92" t="s">
        <v>9</v>
      </c>
      <c r="AA59" s="44">
        <v>29</v>
      </c>
      <c r="AB59" s="44">
        <f t="shared" si="3"/>
        <v>2.9482758620689653</v>
      </c>
      <c r="AD59" s="44">
        <f t="shared" si="5"/>
        <v>2.9017241379310348</v>
      </c>
      <c r="AF59" s="44">
        <f t="shared" si="6"/>
        <v>23.882758620689657</v>
      </c>
      <c r="AH59" s="44">
        <f t="shared" si="7"/>
        <v>238.68568033273914</v>
      </c>
      <c r="AJ59" s="44">
        <v>280</v>
      </c>
      <c r="AK59" s="44">
        <f t="shared" si="4"/>
        <v>2.4642857142857144</v>
      </c>
    </row>
    <row r="60" spans="3:37" x14ac:dyDescent="0.25">
      <c r="C60" s="263"/>
      <c r="D60" s="94" t="s">
        <v>187</v>
      </c>
      <c r="E60" s="48"/>
      <c r="F60" s="48"/>
      <c r="G60" s="95"/>
      <c r="AA60" s="44">
        <v>30</v>
      </c>
      <c r="AB60" s="44">
        <f t="shared" si="3"/>
        <v>2.85</v>
      </c>
      <c r="AD60" s="44">
        <f t="shared" si="5"/>
        <v>2.8050000000000002</v>
      </c>
      <c r="AF60" s="44">
        <f t="shared" si="6"/>
        <v>23.086666666666666</v>
      </c>
      <c r="AH60" s="44">
        <f t="shared" si="7"/>
        <v>246.91622103386808</v>
      </c>
      <c r="AJ60" s="44">
        <v>281</v>
      </c>
      <c r="AK60" s="44">
        <f t="shared" si="4"/>
        <v>2.4555160142348753</v>
      </c>
    </row>
    <row r="61" spans="3:37" x14ac:dyDescent="0.25">
      <c r="C61" s="263"/>
      <c r="D61" s="89" t="s">
        <v>212</v>
      </c>
      <c r="E61" s="86" t="s">
        <v>211</v>
      </c>
      <c r="F61" s="86">
        <v>302.95999999999998</v>
      </c>
      <c r="G61" s="87" t="s">
        <v>9</v>
      </c>
      <c r="AA61" s="44">
        <v>31</v>
      </c>
      <c r="AB61" s="44">
        <f t="shared" si="3"/>
        <v>2.7580645161290325</v>
      </c>
      <c r="AD61" s="44">
        <f t="shared" si="5"/>
        <v>2.7145161290322584</v>
      </c>
      <c r="AF61" s="44">
        <f t="shared" si="6"/>
        <v>22.341935483870969</v>
      </c>
      <c r="AH61" s="44">
        <f t="shared" si="7"/>
        <v>255.146761734997</v>
      </c>
      <c r="AJ61" s="44">
        <v>282</v>
      </c>
      <c r="AK61" s="44">
        <f t="shared" si="4"/>
        <v>2.4468085106382977</v>
      </c>
    </row>
    <row r="62" spans="3:37" x14ac:dyDescent="0.25">
      <c r="C62" s="263"/>
      <c r="D62" s="93" t="s">
        <v>197</v>
      </c>
      <c r="G62" s="88"/>
      <c r="AA62" s="44">
        <v>32</v>
      </c>
      <c r="AB62" s="44">
        <f t="shared" si="3"/>
        <v>2.671875</v>
      </c>
      <c r="AD62" s="44">
        <f t="shared" si="5"/>
        <v>2.6296875000000002</v>
      </c>
      <c r="AF62" s="44">
        <f t="shared" si="6"/>
        <v>21.643750000000001</v>
      </c>
      <c r="AH62" s="44">
        <f t="shared" si="7"/>
        <v>263.37730243612594</v>
      </c>
      <c r="AJ62" s="44">
        <v>283</v>
      </c>
      <c r="AK62" s="44">
        <f t="shared" si="4"/>
        <v>2.4381625441696113</v>
      </c>
    </row>
    <row r="63" spans="3:37" x14ac:dyDescent="0.25">
      <c r="C63" s="263"/>
      <c r="D63" s="90" t="s">
        <v>198</v>
      </c>
      <c r="E63" s="259" t="s">
        <v>200</v>
      </c>
      <c r="F63" s="259"/>
      <c r="G63" s="260"/>
      <c r="AA63" s="44">
        <v>33</v>
      </c>
      <c r="AB63" s="44">
        <f t="shared" si="3"/>
        <v>2.5909090909090908</v>
      </c>
      <c r="AD63" s="44">
        <f t="shared" si="5"/>
        <v>2.5500000000000003</v>
      </c>
      <c r="AF63" s="44">
        <f t="shared" si="6"/>
        <v>20.987878787878788</v>
      </c>
      <c r="AH63" s="44">
        <f t="shared" si="7"/>
        <v>271.60784313725486</v>
      </c>
      <c r="AJ63" s="44">
        <v>284</v>
      </c>
      <c r="AK63" s="44">
        <f t="shared" si="4"/>
        <v>2.4295774647887325</v>
      </c>
    </row>
    <row r="64" spans="3:37" x14ac:dyDescent="0.25">
      <c r="C64" s="263"/>
      <c r="D64" s="91" t="s">
        <v>199</v>
      </c>
      <c r="E64" s="261"/>
      <c r="F64" s="261"/>
      <c r="G64" s="262"/>
      <c r="AA64" s="44">
        <v>34</v>
      </c>
      <c r="AB64" s="44">
        <f t="shared" si="3"/>
        <v>2.5147058823529411</v>
      </c>
      <c r="AD64" s="44">
        <f t="shared" si="5"/>
        <v>2.4750000000000001</v>
      </c>
      <c r="AF64" s="44">
        <f t="shared" si="6"/>
        <v>20.370588235294118</v>
      </c>
      <c r="AH64" s="44">
        <f t="shared" si="7"/>
        <v>279.83838383838383</v>
      </c>
      <c r="AJ64" s="44">
        <v>285</v>
      </c>
      <c r="AK64" s="44">
        <f t="shared" si="4"/>
        <v>2.4210526315789473</v>
      </c>
    </row>
    <row r="65" spans="3:37" x14ac:dyDescent="0.25">
      <c r="AA65" s="44">
        <v>35</v>
      </c>
      <c r="AB65" s="44">
        <f t="shared" si="3"/>
        <v>2.4428571428571431</v>
      </c>
      <c r="AD65" s="44">
        <f t="shared" si="5"/>
        <v>2.4042857142857144</v>
      </c>
      <c r="AF65" s="44">
        <f t="shared" si="6"/>
        <v>19.78857142857143</v>
      </c>
      <c r="AH65" s="44">
        <f t="shared" si="7"/>
        <v>288.06892453951275</v>
      </c>
      <c r="AJ65" s="44">
        <v>286</v>
      </c>
      <c r="AK65" s="44">
        <f t="shared" si="4"/>
        <v>2.4125874125874125</v>
      </c>
    </row>
    <row r="66" spans="3:37" x14ac:dyDescent="0.25">
      <c r="AA66" s="44">
        <v>36</v>
      </c>
      <c r="AB66" s="44">
        <f t="shared" si="3"/>
        <v>2.375</v>
      </c>
      <c r="AD66" s="44">
        <f t="shared" si="5"/>
        <v>2.3375000000000004</v>
      </c>
      <c r="AF66" s="44">
        <f t="shared" si="6"/>
        <v>19.238888888888891</v>
      </c>
      <c r="AH66" s="44">
        <f t="shared" si="7"/>
        <v>296.29946524064167</v>
      </c>
      <c r="AJ66" s="44">
        <v>287</v>
      </c>
      <c r="AK66" s="44">
        <f t="shared" si="4"/>
        <v>2.4041811846689893</v>
      </c>
    </row>
    <row r="67" spans="3:37" x14ac:dyDescent="0.25">
      <c r="C67" s="96" t="s">
        <v>219</v>
      </c>
      <c r="D67" s="96"/>
      <c r="AA67" s="44">
        <v>37</v>
      </c>
      <c r="AB67" s="44">
        <f t="shared" si="3"/>
        <v>2.310810810810811</v>
      </c>
      <c r="AD67" s="44">
        <f t="shared" si="5"/>
        <v>2.2743243243243243</v>
      </c>
      <c r="AF67" s="44">
        <f t="shared" si="6"/>
        <v>18.71891891891892</v>
      </c>
      <c r="AH67" s="44">
        <f t="shared" si="7"/>
        <v>304.53000594177064</v>
      </c>
      <c r="AJ67" s="44">
        <v>288</v>
      </c>
      <c r="AK67" s="44">
        <f t="shared" si="4"/>
        <v>2.3958333333333335</v>
      </c>
    </row>
    <row r="68" spans="3:37" x14ac:dyDescent="0.25">
      <c r="C68" s="94" t="s">
        <v>179</v>
      </c>
      <c r="D68" s="48"/>
      <c r="E68" s="48"/>
      <c r="F68" s="48"/>
      <c r="G68" s="95"/>
      <c r="AA68" s="96">
        <v>38</v>
      </c>
      <c r="AB68" s="96">
        <f t="shared" si="3"/>
        <v>2.25</v>
      </c>
      <c r="AD68" s="44">
        <f t="shared" si="5"/>
        <v>2.2144736842105264</v>
      </c>
      <c r="AF68" s="44">
        <f t="shared" si="6"/>
        <v>18.226315789473684</v>
      </c>
      <c r="AH68" s="44">
        <f t="shared" si="7"/>
        <v>312.76054664289961</v>
      </c>
      <c r="AJ68" s="44">
        <v>289</v>
      </c>
      <c r="AK68" s="44">
        <f t="shared" si="4"/>
        <v>2.3875432525951559</v>
      </c>
    </row>
    <row r="69" spans="3:37" x14ac:dyDescent="0.25">
      <c r="C69" s="267" t="s">
        <v>160</v>
      </c>
      <c r="D69" s="273" t="s">
        <v>161</v>
      </c>
      <c r="E69" s="273"/>
      <c r="F69" s="273" t="s">
        <v>133</v>
      </c>
      <c r="G69" s="274"/>
      <c r="I69" s="270" t="s">
        <v>223</v>
      </c>
      <c r="J69" s="271"/>
      <c r="K69" s="272"/>
      <c r="AA69" s="44">
        <v>39</v>
      </c>
      <c r="AB69" s="44">
        <f t="shared" si="3"/>
        <v>2.1923076923076925</v>
      </c>
      <c r="AD69" s="44">
        <f t="shared" si="5"/>
        <v>2.157692307692308</v>
      </c>
      <c r="AF69" s="44">
        <f t="shared" si="6"/>
        <v>17.75897435897436</v>
      </c>
      <c r="AH69" s="44">
        <f t="shared" si="7"/>
        <v>320.99108734402847</v>
      </c>
      <c r="AJ69" s="44">
        <v>290</v>
      </c>
      <c r="AK69" s="44">
        <f t="shared" si="4"/>
        <v>2.3793103448275863</v>
      </c>
    </row>
    <row r="70" spans="3:37" x14ac:dyDescent="0.25">
      <c r="C70" s="268"/>
      <c r="D70" s="15" t="s">
        <v>162</v>
      </c>
      <c r="E70" s="15" t="s">
        <v>163</v>
      </c>
      <c r="F70" s="15" t="s">
        <v>164</v>
      </c>
      <c r="G70" s="101" t="s">
        <v>165</v>
      </c>
      <c r="I70" s="97"/>
      <c r="J70" s="98" t="s">
        <v>152</v>
      </c>
      <c r="K70" s="99" t="s">
        <v>153</v>
      </c>
      <c r="AA70" s="44">
        <v>40</v>
      </c>
      <c r="AB70" s="44">
        <f t="shared" si="3"/>
        <v>2.1375000000000002</v>
      </c>
      <c r="AD70" s="129">
        <f t="shared" si="5"/>
        <v>2.1037500000000002</v>
      </c>
      <c r="AF70" s="130">
        <f t="shared" si="6"/>
        <v>17.315000000000001</v>
      </c>
      <c r="AH70" s="44">
        <f t="shared" si="7"/>
        <v>329.22162804515744</v>
      </c>
      <c r="AJ70" s="44">
        <v>291</v>
      </c>
      <c r="AK70" s="44">
        <f t="shared" si="4"/>
        <v>2.3711340206185567</v>
      </c>
    </row>
    <row r="71" spans="3:37" x14ac:dyDescent="0.25">
      <c r="C71" s="100" t="s">
        <v>166</v>
      </c>
      <c r="D71" s="105">
        <f t="shared" ref="D71:D81" si="8">F71^2*PI()/4</f>
        <v>28.274333882308138</v>
      </c>
      <c r="E71" s="106">
        <f t="shared" ref="E71:E81" si="9">G71^2*PI()/4</f>
        <v>0.28274333882308139</v>
      </c>
      <c r="F71" s="15">
        <v>6</v>
      </c>
      <c r="G71" s="101">
        <f t="shared" ref="G71:G81" si="10">F71/10</f>
        <v>0.6</v>
      </c>
      <c r="I71" s="100" t="s">
        <v>146</v>
      </c>
      <c r="J71" s="15">
        <f>-$F$10/2+$F$12</f>
        <v>-430.5</v>
      </c>
      <c r="K71" s="101">
        <f>-$F$10/2+$F$12</f>
        <v>-430.5</v>
      </c>
      <c r="AA71" s="44">
        <v>41</v>
      </c>
      <c r="AB71" s="44">
        <f t="shared" ref="AB71:AB97" si="11">$AB$38/AA71</f>
        <v>2.0853658536585367</v>
      </c>
      <c r="AD71" s="129">
        <f t="shared" ref="AD71:AD83" si="12">$AD$38/AA71</f>
        <v>2.0524390243902442</v>
      </c>
      <c r="AF71" s="130">
        <f t="shared" ref="AF71:AF83" si="13">$AF$38/AA71</f>
        <v>16.89268292682927</v>
      </c>
      <c r="AH71" s="44">
        <f t="shared" si="7"/>
        <v>337.45216874628636</v>
      </c>
      <c r="AJ71" s="44">
        <v>292</v>
      </c>
      <c r="AK71" s="44">
        <f t="shared" si="4"/>
        <v>2.3630136986301369</v>
      </c>
    </row>
    <row r="72" spans="3:37" x14ac:dyDescent="0.25">
      <c r="C72" s="100" t="s">
        <v>167</v>
      </c>
      <c r="D72" s="105">
        <f t="shared" si="8"/>
        <v>50.26548245743669</v>
      </c>
      <c r="E72" s="106">
        <f t="shared" si="9"/>
        <v>0.50265482457436694</v>
      </c>
      <c r="F72" s="15">
        <v>8</v>
      </c>
      <c r="G72" s="101">
        <f t="shared" si="10"/>
        <v>0.8</v>
      </c>
      <c r="I72" s="100" t="s">
        <v>147</v>
      </c>
      <c r="J72" s="15">
        <f>$F$11/2-$F$12</f>
        <v>10</v>
      </c>
      <c r="K72" s="101">
        <f>$F$11/2-$F$12</f>
        <v>10</v>
      </c>
      <c r="AA72" s="44">
        <v>42</v>
      </c>
      <c r="AB72" s="44">
        <f t="shared" si="11"/>
        <v>2.0357142857142856</v>
      </c>
      <c r="AD72" s="129">
        <f t="shared" si="12"/>
        <v>2.0035714285714286</v>
      </c>
      <c r="AF72" s="130">
        <f t="shared" si="13"/>
        <v>16.490476190476191</v>
      </c>
      <c r="AH72" s="44">
        <f t="shared" si="7"/>
        <v>345.68270944741533</v>
      </c>
      <c r="AJ72" s="44">
        <v>293</v>
      </c>
      <c r="AK72" s="44">
        <f t="shared" si="4"/>
        <v>2.3549488054607508</v>
      </c>
    </row>
    <row r="73" spans="3:37" x14ac:dyDescent="0.25">
      <c r="C73" s="100" t="s">
        <v>168</v>
      </c>
      <c r="D73" s="105">
        <f t="shared" si="8"/>
        <v>78.539816339744831</v>
      </c>
      <c r="E73" s="106">
        <f t="shared" si="9"/>
        <v>0.78539816339744828</v>
      </c>
      <c r="F73" s="15">
        <v>10</v>
      </c>
      <c r="G73" s="101">
        <f t="shared" si="10"/>
        <v>1</v>
      </c>
      <c r="I73" s="100" t="s">
        <v>148</v>
      </c>
      <c r="J73" s="15">
        <f>-$F$10/2+$F$12</f>
        <v>-430.5</v>
      </c>
      <c r="K73" s="101">
        <f>-F10/2+88-0.1-1.25</f>
        <v>-346.35</v>
      </c>
      <c r="AA73" s="44">
        <v>43</v>
      </c>
      <c r="AB73" s="44">
        <f t="shared" si="11"/>
        <v>1.9883720930232558</v>
      </c>
      <c r="AD73" s="129">
        <f t="shared" si="12"/>
        <v>1.9569767441860466</v>
      </c>
      <c r="AF73" s="130">
        <f t="shared" si="13"/>
        <v>16.106976744186046</v>
      </c>
      <c r="AH73" s="44">
        <f t="shared" si="7"/>
        <v>353.91325014854425</v>
      </c>
      <c r="AJ73" s="44">
        <v>294</v>
      </c>
      <c r="AK73" s="44">
        <f t="shared" si="4"/>
        <v>2.3469387755102042</v>
      </c>
    </row>
    <row r="74" spans="3:37" x14ac:dyDescent="0.25">
      <c r="C74" s="100" t="s">
        <v>169</v>
      </c>
      <c r="D74" s="105">
        <f t="shared" si="8"/>
        <v>113.09733552923255</v>
      </c>
      <c r="E74" s="106">
        <f t="shared" si="9"/>
        <v>1.1309733552923256</v>
      </c>
      <c r="F74" s="15">
        <v>12</v>
      </c>
      <c r="G74" s="101">
        <f t="shared" si="10"/>
        <v>1.2</v>
      </c>
      <c r="I74" s="100" t="s">
        <v>149</v>
      </c>
      <c r="J74" s="15">
        <f>-F11/2+F12</f>
        <v>-10</v>
      </c>
      <c r="K74" s="101">
        <f>$F$11/2-$F$12</f>
        <v>10</v>
      </c>
      <c r="AA74" s="44">
        <v>44</v>
      </c>
      <c r="AB74" s="44">
        <f t="shared" si="11"/>
        <v>1.9431818181818181</v>
      </c>
      <c r="AD74" s="129">
        <f t="shared" si="12"/>
        <v>1.9125000000000001</v>
      </c>
      <c r="AF74" s="130">
        <f t="shared" si="13"/>
        <v>15.740909090909092</v>
      </c>
      <c r="AH74" s="44">
        <f t="shared" si="7"/>
        <v>362.14379084967322</v>
      </c>
      <c r="AJ74" s="44">
        <v>295</v>
      </c>
      <c r="AK74" s="44">
        <f t="shared" si="4"/>
        <v>2.3389830508474576</v>
      </c>
    </row>
    <row r="75" spans="3:37" x14ac:dyDescent="0.25">
      <c r="C75" s="100" t="s">
        <v>170</v>
      </c>
      <c r="D75" s="105">
        <f t="shared" si="8"/>
        <v>201.06192982974676</v>
      </c>
      <c r="E75" s="106">
        <f t="shared" si="9"/>
        <v>2.0106192982974678</v>
      </c>
      <c r="F75" s="15">
        <v>16</v>
      </c>
      <c r="G75" s="101">
        <f t="shared" si="10"/>
        <v>1.6</v>
      </c>
      <c r="I75" s="100" t="s">
        <v>150</v>
      </c>
      <c r="J75" s="15">
        <f>-$F$10/2+$F$12</f>
        <v>-430.5</v>
      </c>
      <c r="K75" s="101">
        <f>(K71+K73)/2</f>
        <v>-388.42500000000001</v>
      </c>
      <c r="AA75" s="44">
        <v>45</v>
      </c>
      <c r="AB75" s="44">
        <f t="shared" si="11"/>
        <v>1.9</v>
      </c>
      <c r="AD75" s="129">
        <f t="shared" si="12"/>
        <v>1.87</v>
      </c>
      <c r="AF75" s="130">
        <f t="shared" si="13"/>
        <v>15.391111111111112</v>
      </c>
      <c r="AH75" s="44">
        <f t="shared" si="7"/>
        <v>370.37433155080214</v>
      </c>
      <c r="AJ75" s="44">
        <v>296</v>
      </c>
      <c r="AK75" s="44">
        <f t="shared" si="4"/>
        <v>2.3310810810810811</v>
      </c>
    </row>
    <row r="76" spans="3:37" x14ac:dyDescent="0.25">
      <c r="C76" s="100" t="s">
        <v>171</v>
      </c>
      <c r="D76" s="105">
        <f t="shared" si="8"/>
        <v>254.46900494077323</v>
      </c>
      <c r="E76" s="106">
        <f t="shared" si="9"/>
        <v>2.5446900494077327</v>
      </c>
      <c r="F76" s="15">
        <v>18</v>
      </c>
      <c r="G76" s="101">
        <f t="shared" si="10"/>
        <v>1.8</v>
      </c>
      <c r="I76" s="102" t="s">
        <v>151</v>
      </c>
      <c r="J76" s="103">
        <f>0</f>
        <v>0</v>
      </c>
      <c r="K76" s="104">
        <f>$F$11/2-$F$12</f>
        <v>10</v>
      </c>
      <c r="AA76" s="44">
        <v>46</v>
      </c>
      <c r="AB76" s="44">
        <f t="shared" si="11"/>
        <v>1.8586956521739131</v>
      </c>
      <c r="AD76" s="129">
        <f t="shared" si="12"/>
        <v>1.8293478260869567</v>
      </c>
      <c r="AF76" s="130">
        <f t="shared" si="13"/>
        <v>15.056521739130435</v>
      </c>
      <c r="AH76" s="44">
        <f t="shared" si="7"/>
        <v>378.60487225193106</v>
      </c>
      <c r="AJ76" s="44">
        <v>297</v>
      </c>
      <c r="AK76" s="44">
        <f t="shared" si="4"/>
        <v>2.3232323232323231</v>
      </c>
    </row>
    <row r="77" spans="3:37" x14ac:dyDescent="0.25">
      <c r="C77" s="100" t="s">
        <v>172</v>
      </c>
      <c r="D77" s="105">
        <f t="shared" si="8"/>
        <v>380.13271108436498</v>
      </c>
      <c r="E77" s="106">
        <f t="shared" si="9"/>
        <v>3.8013271108436504</v>
      </c>
      <c r="F77" s="15">
        <v>22</v>
      </c>
      <c r="G77" s="101">
        <f t="shared" si="10"/>
        <v>2.2000000000000002</v>
      </c>
      <c r="I77" s="270" t="s">
        <v>222</v>
      </c>
      <c r="J77" s="271"/>
      <c r="K77" s="272"/>
      <c r="AA77" s="44">
        <v>47</v>
      </c>
      <c r="AB77" s="44">
        <f t="shared" si="11"/>
        <v>1.8191489361702127</v>
      </c>
      <c r="AD77" s="129">
        <f t="shared" si="12"/>
        <v>1.7904255319148938</v>
      </c>
      <c r="AF77" s="130">
        <f t="shared" si="13"/>
        <v>14.736170212765957</v>
      </c>
      <c r="AH77" s="44">
        <f t="shared" si="7"/>
        <v>386.83541295305997</v>
      </c>
      <c r="AJ77" s="44">
        <v>298</v>
      </c>
      <c r="AK77" s="44">
        <f t="shared" si="4"/>
        <v>2.3154362416107381</v>
      </c>
    </row>
    <row r="78" spans="3:37" x14ac:dyDescent="0.25">
      <c r="C78" s="124" t="s">
        <v>173</v>
      </c>
      <c r="D78" s="125">
        <f t="shared" si="8"/>
        <v>490.87385212340519</v>
      </c>
      <c r="E78" s="126">
        <f t="shared" si="9"/>
        <v>4.908738521234052</v>
      </c>
      <c r="F78" s="127">
        <v>25</v>
      </c>
      <c r="G78" s="128">
        <f t="shared" si="10"/>
        <v>2.5</v>
      </c>
      <c r="I78" s="97"/>
      <c r="J78" s="98" t="s">
        <v>214</v>
      </c>
      <c r="K78" s="99" t="s">
        <v>221</v>
      </c>
      <c r="AA78" s="44">
        <v>48</v>
      </c>
      <c r="AB78" s="44">
        <f t="shared" si="11"/>
        <v>1.78125</v>
      </c>
      <c r="AD78" s="129">
        <f t="shared" si="12"/>
        <v>1.753125</v>
      </c>
      <c r="AF78" s="130">
        <f t="shared" si="13"/>
        <v>14.429166666666667</v>
      </c>
      <c r="AH78" s="44">
        <f t="shared" si="7"/>
        <v>395.06595365418895</v>
      </c>
      <c r="AJ78" s="44">
        <v>299</v>
      </c>
      <c r="AK78" s="44">
        <f t="shared" si="4"/>
        <v>2.3076923076923075</v>
      </c>
    </row>
    <row r="79" spans="3:37" x14ac:dyDescent="0.25">
      <c r="C79" s="100" t="s">
        <v>174</v>
      </c>
      <c r="D79" s="105">
        <f t="shared" si="8"/>
        <v>615.75216010359941</v>
      </c>
      <c r="E79" s="106">
        <f t="shared" si="9"/>
        <v>6.1575216010359934</v>
      </c>
      <c r="F79" s="15">
        <v>28</v>
      </c>
      <c r="G79" s="101">
        <f t="shared" si="10"/>
        <v>2.8</v>
      </c>
      <c r="I79" s="100" t="s">
        <v>217</v>
      </c>
      <c r="J79" s="15">
        <f>-K73*2</f>
        <v>692.7</v>
      </c>
      <c r="K79" s="101">
        <f>F11</f>
        <v>25</v>
      </c>
      <c r="AA79" s="44">
        <v>49</v>
      </c>
      <c r="AB79" s="44">
        <f t="shared" si="11"/>
        <v>1.7448979591836735</v>
      </c>
      <c r="AD79" s="129">
        <f t="shared" si="12"/>
        <v>1.7173469387755103</v>
      </c>
      <c r="AF79" s="130">
        <f t="shared" si="13"/>
        <v>14.134693877551021</v>
      </c>
      <c r="AH79" s="44">
        <f t="shared" si="7"/>
        <v>403.29649435531786</v>
      </c>
      <c r="AJ79" s="96">
        <v>300</v>
      </c>
      <c r="AK79" s="96">
        <f t="shared" si="4"/>
        <v>2.2999999999999998</v>
      </c>
    </row>
    <row r="80" spans="3:37" x14ac:dyDescent="0.25">
      <c r="C80" s="100" t="s">
        <v>175</v>
      </c>
      <c r="D80" s="105">
        <f t="shared" si="8"/>
        <v>804.24771931898704</v>
      </c>
      <c r="E80" s="106">
        <f t="shared" si="9"/>
        <v>8.0424771931898711</v>
      </c>
      <c r="F80" s="15">
        <v>32</v>
      </c>
      <c r="G80" s="101">
        <f t="shared" si="10"/>
        <v>3.2</v>
      </c>
      <c r="I80" s="102" t="s">
        <v>218</v>
      </c>
      <c r="J80" s="103">
        <f>(-K71+K73)</f>
        <v>84.149999999999977</v>
      </c>
      <c r="K80" s="104">
        <f>F11</f>
        <v>25</v>
      </c>
      <c r="AA80" s="44">
        <v>50</v>
      </c>
      <c r="AB80" s="44">
        <f t="shared" si="11"/>
        <v>1.71</v>
      </c>
      <c r="AD80" s="129">
        <f t="shared" si="12"/>
        <v>1.6830000000000001</v>
      </c>
      <c r="AF80" s="130">
        <f t="shared" si="13"/>
        <v>13.852</v>
      </c>
      <c r="AH80" s="44">
        <f t="shared" si="7"/>
        <v>411.52703505644683</v>
      </c>
      <c r="AJ80" s="44">
        <v>301</v>
      </c>
      <c r="AK80" s="44">
        <f t="shared" si="4"/>
        <v>2.2923588039867111</v>
      </c>
    </row>
    <row r="81" spans="3:37" x14ac:dyDescent="0.25">
      <c r="C81" s="102" t="s">
        <v>176</v>
      </c>
      <c r="D81" s="107">
        <f t="shared" si="8"/>
        <v>1017.8760197630929</v>
      </c>
      <c r="E81" s="108">
        <f t="shared" si="9"/>
        <v>10.178760197630931</v>
      </c>
      <c r="F81" s="103">
        <v>36</v>
      </c>
      <c r="G81" s="104">
        <f t="shared" si="10"/>
        <v>3.6</v>
      </c>
      <c r="AA81" s="44">
        <v>51</v>
      </c>
      <c r="AB81" s="44">
        <f t="shared" si="11"/>
        <v>1.6764705882352942</v>
      </c>
      <c r="AD81" s="129">
        <f t="shared" si="12"/>
        <v>1.6500000000000001</v>
      </c>
      <c r="AF81" s="130">
        <f t="shared" si="13"/>
        <v>13.580392156862745</v>
      </c>
      <c r="AH81" s="44">
        <f t="shared" si="7"/>
        <v>419.75757575757575</v>
      </c>
      <c r="AJ81" s="44">
        <v>302</v>
      </c>
      <c r="AK81" s="44">
        <f t="shared" si="4"/>
        <v>2.2847682119205297</v>
      </c>
    </row>
    <row r="82" spans="3:37" x14ac:dyDescent="0.25">
      <c r="AA82" s="44">
        <v>52</v>
      </c>
      <c r="AB82" s="44">
        <f t="shared" si="11"/>
        <v>1.6442307692307692</v>
      </c>
      <c r="AD82" s="129">
        <f t="shared" si="12"/>
        <v>1.6182692307692308</v>
      </c>
      <c r="AF82" s="130">
        <f t="shared" si="13"/>
        <v>13.319230769230769</v>
      </c>
      <c r="AH82" s="44">
        <f t="shared" si="7"/>
        <v>427.98811645870472</v>
      </c>
      <c r="AJ82" s="44">
        <v>303</v>
      </c>
      <c r="AK82" s="44">
        <f t="shared" si="4"/>
        <v>2.277227722772277</v>
      </c>
    </row>
    <row r="83" spans="3:37" x14ac:dyDescent="0.25">
      <c r="AA83" s="44">
        <v>53</v>
      </c>
      <c r="AB83" s="44">
        <f t="shared" si="11"/>
        <v>1.6132075471698113</v>
      </c>
      <c r="AD83" s="129">
        <f t="shared" si="12"/>
        <v>1.5877358490566038</v>
      </c>
      <c r="AF83" s="130">
        <f t="shared" si="13"/>
        <v>13.067924528301887</v>
      </c>
      <c r="AH83" s="44">
        <f t="shared" si="7"/>
        <v>436.21865715983364</v>
      </c>
      <c r="AJ83" s="44">
        <v>304</v>
      </c>
      <c r="AK83" s="44">
        <f t="shared" si="4"/>
        <v>2.2697368421052633</v>
      </c>
    </row>
    <row r="84" spans="3:37" x14ac:dyDescent="0.25">
      <c r="C84" s="96" t="s">
        <v>224</v>
      </c>
      <c r="D84" s="96"/>
      <c r="AA84" s="44">
        <v>54</v>
      </c>
      <c r="AB84" s="44">
        <f t="shared" si="11"/>
        <v>1.5833333333333333</v>
      </c>
      <c r="AD84" s="129">
        <f>$AD$38/AA84</f>
        <v>1.5583333333333333</v>
      </c>
      <c r="AF84" s="130">
        <f>$AF$38/AA84</f>
        <v>12.825925925925926</v>
      </c>
      <c r="AH84" s="44">
        <f t="shared" si="7"/>
        <v>444.44919786096256</v>
      </c>
      <c r="AJ84" s="44">
        <v>305</v>
      </c>
      <c r="AK84" s="44">
        <f t="shared" si="4"/>
        <v>2.262295081967213</v>
      </c>
    </row>
    <row r="85" spans="3:37" x14ac:dyDescent="0.25">
      <c r="AA85" s="44">
        <v>55</v>
      </c>
      <c r="AB85" s="44">
        <f t="shared" si="11"/>
        <v>1.5545454545454545</v>
      </c>
      <c r="AD85" s="129">
        <f t="shared" ref="AD85:AD97" si="14">$AD$38/AA85</f>
        <v>1.53</v>
      </c>
      <c r="AF85" s="130">
        <f t="shared" ref="AF85:AF97" si="15">$AF$38/AA85</f>
        <v>12.592727272727274</v>
      </c>
      <c r="AH85" s="44">
        <f t="shared" si="7"/>
        <v>452.67973856209153</v>
      </c>
      <c r="AJ85" s="44">
        <v>306</v>
      </c>
      <c r="AK85" s="44">
        <f t="shared" si="4"/>
        <v>2.2549019607843137</v>
      </c>
    </row>
    <row r="86" spans="3:37" x14ac:dyDescent="0.25">
      <c r="AA86" s="44">
        <v>56</v>
      </c>
      <c r="AB86" s="44">
        <f t="shared" si="11"/>
        <v>1.5267857142857142</v>
      </c>
      <c r="AD86" s="129">
        <f t="shared" si="14"/>
        <v>1.5026785714285715</v>
      </c>
      <c r="AF86" s="130">
        <f t="shared" si="15"/>
        <v>12.367857142857144</v>
      </c>
      <c r="AH86" s="44">
        <f t="shared" si="7"/>
        <v>460.91027926322045</v>
      </c>
      <c r="AJ86" s="44">
        <v>307</v>
      </c>
      <c r="AK86" s="44">
        <f t="shared" si="4"/>
        <v>2.2475570032573291</v>
      </c>
    </row>
    <row r="87" spans="3:37" ht="14.4" x14ac:dyDescent="0.3">
      <c r="D87" s="94" t="s">
        <v>225</v>
      </c>
      <c r="E87" s="48"/>
      <c r="F87" s="48"/>
      <c r="G87" s="95"/>
      <c r="I87" s="110" t="s">
        <v>154</v>
      </c>
      <c r="J87" s="111"/>
      <c r="K87" s="111"/>
      <c r="AA87" s="44">
        <v>57</v>
      </c>
      <c r="AB87" s="44">
        <f t="shared" si="11"/>
        <v>1.5</v>
      </c>
      <c r="AD87" s="129">
        <f t="shared" si="14"/>
        <v>1.4763157894736842</v>
      </c>
      <c r="AF87" s="130">
        <f t="shared" si="15"/>
        <v>12.150877192982456</v>
      </c>
      <c r="AH87" s="44">
        <f t="shared" si="7"/>
        <v>469.14081996434936</v>
      </c>
      <c r="AJ87" s="44">
        <v>308</v>
      </c>
      <c r="AK87" s="44">
        <f t="shared" si="4"/>
        <v>2.2402597402597402</v>
      </c>
    </row>
    <row r="88" spans="3:37" ht="14.4" x14ac:dyDescent="0.3">
      <c r="D88" s="90" t="s">
        <v>226</v>
      </c>
      <c r="E88" s="44" t="s">
        <v>229</v>
      </c>
      <c r="F88" s="122">
        <f>-'Parámetros de Análisis'!E3</f>
        <v>218740.20768000005</v>
      </c>
      <c r="G88" s="119" t="s">
        <v>92</v>
      </c>
      <c r="I88" s="112" t="s">
        <v>155</v>
      </c>
      <c r="J88" s="112" t="s">
        <v>156</v>
      </c>
      <c r="K88" s="113" t="s">
        <v>157</v>
      </c>
      <c r="AA88" s="44">
        <v>58</v>
      </c>
      <c r="AB88" s="44">
        <f t="shared" si="11"/>
        <v>1.4741379310344827</v>
      </c>
      <c r="AD88" s="129">
        <f t="shared" si="14"/>
        <v>1.4508620689655174</v>
      </c>
      <c r="AF88" s="130">
        <f t="shared" si="15"/>
        <v>11.941379310344828</v>
      </c>
      <c r="AH88" s="44">
        <f t="shared" si="7"/>
        <v>477.37136066547828</v>
      </c>
      <c r="AJ88" s="44">
        <v>309</v>
      </c>
      <c r="AK88" s="44">
        <f t="shared" si="4"/>
        <v>2.233009708737864</v>
      </c>
    </row>
    <row r="89" spans="3:37" ht="14.4" x14ac:dyDescent="0.3">
      <c r="D89" s="91" t="s">
        <v>227</v>
      </c>
      <c r="E89" s="81"/>
      <c r="F89" s="123">
        <v>90</v>
      </c>
      <c r="G89" s="121" t="s">
        <v>228</v>
      </c>
      <c r="I89" s="114"/>
      <c r="J89" s="114" t="s">
        <v>158</v>
      </c>
      <c r="K89" s="115" t="s">
        <v>159</v>
      </c>
      <c r="AA89" s="44">
        <v>59</v>
      </c>
      <c r="AB89" s="44">
        <f t="shared" si="11"/>
        <v>1.4491525423728813</v>
      </c>
      <c r="AD89" s="129">
        <f t="shared" si="14"/>
        <v>1.4262711864406781</v>
      </c>
      <c r="AF89" s="130">
        <f t="shared" si="15"/>
        <v>11.738983050847459</v>
      </c>
      <c r="AH89" s="44">
        <f t="shared" si="7"/>
        <v>485.60190136660725</v>
      </c>
      <c r="AJ89" s="44">
        <v>310</v>
      </c>
      <c r="AK89" s="44">
        <f t="shared" si="4"/>
        <v>2.225806451612903</v>
      </c>
    </row>
    <row r="90" spans="3:37" ht="14.4" x14ac:dyDescent="0.3">
      <c r="C90" s="255" t="s">
        <v>230</v>
      </c>
      <c r="D90" s="86" t="s">
        <v>231</v>
      </c>
      <c r="E90" s="86" t="s">
        <v>298</v>
      </c>
      <c r="F90" s="116" t="str">
        <f>J91</f>
        <v>187825854,39</v>
      </c>
      <c r="G90" s="117" t="s">
        <v>158</v>
      </c>
      <c r="I90">
        <v>1</v>
      </c>
      <c r="J90">
        <v>0</v>
      </c>
      <c r="K90" s="140">
        <v>0</v>
      </c>
      <c r="AA90" s="44">
        <v>60</v>
      </c>
      <c r="AB90" s="44">
        <f t="shared" si="11"/>
        <v>1.425</v>
      </c>
      <c r="AD90" s="129">
        <f t="shared" si="14"/>
        <v>1.4025000000000001</v>
      </c>
      <c r="AF90" s="130">
        <f t="shared" si="15"/>
        <v>11.543333333333333</v>
      </c>
      <c r="AH90" s="44">
        <f t="shared" si="7"/>
        <v>493.83244206773617</v>
      </c>
      <c r="AJ90" s="44">
        <v>311</v>
      </c>
      <c r="AK90" s="44">
        <f t="shared" si="4"/>
        <v>2.2186495176848875</v>
      </c>
    </row>
    <row r="91" spans="3:37" ht="14.4" x14ac:dyDescent="0.3">
      <c r="C91" s="256"/>
      <c r="D91" s="44" t="s">
        <v>232</v>
      </c>
      <c r="E91" s="44" t="s">
        <v>299</v>
      </c>
      <c r="F91" s="118">
        <f>K91</f>
        <v>8.8909999999999999E-7</v>
      </c>
      <c r="G91" s="119" t="s">
        <v>159</v>
      </c>
      <c r="I91" s="109">
        <v>2</v>
      </c>
      <c r="J91" s="109" t="s">
        <v>239</v>
      </c>
      <c r="K91" s="142">
        <v>8.8909999999999999E-7</v>
      </c>
      <c r="AA91" s="44">
        <v>61</v>
      </c>
      <c r="AB91" s="44">
        <f t="shared" si="11"/>
        <v>1.401639344262295</v>
      </c>
      <c r="AD91" s="129">
        <f t="shared" si="14"/>
        <v>1.3795081967213116</v>
      </c>
      <c r="AF91" s="130">
        <f t="shared" si="15"/>
        <v>11.354098360655739</v>
      </c>
      <c r="AH91" s="44">
        <f t="shared" si="7"/>
        <v>502.06298276886508</v>
      </c>
      <c r="AJ91" s="44">
        <v>312</v>
      </c>
      <c r="AK91" s="44">
        <f t="shared" si="4"/>
        <v>2.2115384615384617</v>
      </c>
    </row>
    <row r="92" spans="3:37" ht="14.4" x14ac:dyDescent="0.3">
      <c r="C92" s="256" t="s">
        <v>233</v>
      </c>
      <c r="D92" s="44" t="s">
        <v>235</v>
      </c>
      <c r="E92" s="44" t="s">
        <v>300</v>
      </c>
      <c r="F92" s="28" t="str">
        <f>J93</f>
        <v>418061739,99</v>
      </c>
      <c r="G92" s="119" t="s">
        <v>158</v>
      </c>
      <c r="I92">
        <v>3</v>
      </c>
      <c r="J92" t="s">
        <v>240</v>
      </c>
      <c r="K92" s="141">
        <v>2.2230000000000001E-6</v>
      </c>
      <c r="AA92" s="44">
        <v>62</v>
      </c>
      <c r="AB92" s="44">
        <f t="shared" si="11"/>
        <v>1.3790322580645162</v>
      </c>
      <c r="AD92" s="129">
        <f t="shared" si="14"/>
        <v>1.3572580645161292</v>
      </c>
      <c r="AF92" s="130">
        <f t="shared" si="15"/>
        <v>11.170967741935485</v>
      </c>
      <c r="AH92" s="44">
        <f t="shared" si="7"/>
        <v>510.293523469994</v>
      </c>
      <c r="AJ92" s="44">
        <v>313</v>
      </c>
      <c r="AK92" s="44">
        <f t="shared" si="4"/>
        <v>2.2044728434504792</v>
      </c>
    </row>
    <row r="93" spans="3:37" ht="14.4" x14ac:dyDescent="0.3">
      <c r="C93" s="256"/>
      <c r="D93" s="44" t="s">
        <v>236</v>
      </c>
      <c r="E93" s="44" t="s">
        <v>301</v>
      </c>
      <c r="F93" s="118">
        <f>K93</f>
        <v>4.0010000000000003E-6</v>
      </c>
      <c r="G93" s="119" t="s">
        <v>159</v>
      </c>
      <c r="I93" s="109">
        <v>4</v>
      </c>
      <c r="J93" s="109" t="s">
        <v>241</v>
      </c>
      <c r="K93" s="142">
        <v>4.0010000000000003E-6</v>
      </c>
      <c r="AA93" s="44">
        <v>63</v>
      </c>
      <c r="AB93" s="44">
        <f t="shared" si="11"/>
        <v>1.3571428571428572</v>
      </c>
      <c r="AD93" s="129">
        <f t="shared" si="14"/>
        <v>1.3357142857142859</v>
      </c>
      <c r="AF93" s="130">
        <f t="shared" si="15"/>
        <v>10.993650793650794</v>
      </c>
      <c r="AH93" s="44">
        <f t="shared" si="7"/>
        <v>518.52406417112297</v>
      </c>
      <c r="AJ93" s="44">
        <v>314</v>
      </c>
      <c r="AK93" s="44">
        <f t="shared" si="4"/>
        <v>2.1974522292993632</v>
      </c>
    </row>
    <row r="94" spans="3:37" ht="14.4" x14ac:dyDescent="0.3">
      <c r="C94" s="257" t="s">
        <v>234</v>
      </c>
      <c r="D94" s="44" t="s">
        <v>237</v>
      </c>
      <c r="E94" s="44" t="s">
        <v>302</v>
      </c>
      <c r="F94" s="28" t="str">
        <f>J104</f>
        <v>635357296,65</v>
      </c>
      <c r="G94" s="119" t="s">
        <v>158</v>
      </c>
      <c r="I94">
        <v>5</v>
      </c>
      <c r="J94" t="s">
        <v>242</v>
      </c>
      <c r="K94" s="141">
        <v>6.224E-6</v>
      </c>
      <c r="AA94" s="44">
        <v>64</v>
      </c>
      <c r="AB94" s="44">
        <f t="shared" si="11"/>
        <v>1.3359375</v>
      </c>
      <c r="AD94" s="129">
        <f t="shared" si="14"/>
        <v>1.3148437500000001</v>
      </c>
      <c r="AF94" s="130">
        <f t="shared" si="15"/>
        <v>10.821875</v>
      </c>
      <c r="AH94" s="44">
        <f t="shared" si="7"/>
        <v>526.75460487225189</v>
      </c>
      <c r="AJ94" s="44">
        <v>315</v>
      </c>
      <c r="AK94" s="44">
        <f t="shared" si="4"/>
        <v>2.1904761904761907</v>
      </c>
    </row>
    <row r="95" spans="3:37" ht="14.4" x14ac:dyDescent="0.3">
      <c r="C95" s="258"/>
      <c r="D95" s="81" t="s">
        <v>238</v>
      </c>
      <c r="E95" s="81" t="s">
        <v>303</v>
      </c>
      <c r="F95" s="120">
        <f>K104</f>
        <v>1E-4</v>
      </c>
      <c r="G95" s="121" t="s">
        <v>159</v>
      </c>
      <c r="I95">
        <v>6</v>
      </c>
      <c r="J95" t="s">
        <v>243</v>
      </c>
      <c r="K95" s="141">
        <v>8.8910000000000001E-6</v>
      </c>
      <c r="AA95" s="44">
        <v>65</v>
      </c>
      <c r="AB95" s="44">
        <f t="shared" si="11"/>
        <v>1.3153846153846154</v>
      </c>
      <c r="AD95" s="129">
        <f t="shared" si="14"/>
        <v>1.2946153846153847</v>
      </c>
      <c r="AF95" s="130">
        <f t="shared" si="15"/>
        <v>10.655384615384616</v>
      </c>
      <c r="AH95" s="44">
        <f t="shared" si="7"/>
        <v>534.98514557338081</v>
      </c>
      <c r="AJ95" s="44">
        <v>316</v>
      </c>
      <c r="AK95" s="44">
        <f t="shared" si="4"/>
        <v>2.1835443037974684</v>
      </c>
    </row>
    <row r="96" spans="3:37" ht="14.4" x14ac:dyDescent="0.3">
      <c r="I96">
        <v>7</v>
      </c>
      <c r="J96" t="s">
        <v>244</v>
      </c>
      <c r="K96" s="141">
        <v>1.2E-5</v>
      </c>
      <c r="AA96" s="44">
        <v>66</v>
      </c>
      <c r="AB96" s="44">
        <f t="shared" si="11"/>
        <v>1.2954545454545454</v>
      </c>
      <c r="AD96" s="129">
        <f t="shared" si="14"/>
        <v>1.2750000000000001</v>
      </c>
      <c r="AF96" s="130">
        <f t="shared" si="15"/>
        <v>10.493939393939394</v>
      </c>
      <c r="AH96" s="44">
        <f t="shared" si="7"/>
        <v>543.21568627450972</v>
      </c>
      <c r="AJ96" s="44">
        <v>317</v>
      </c>
      <c r="AK96" s="44">
        <f t="shared" si="4"/>
        <v>2.1766561514195581</v>
      </c>
    </row>
    <row r="97" spans="9:37" ht="14.4" x14ac:dyDescent="0.3">
      <c r="I97">
        <v>8</v>
      </c>
      <c r="J97" t="s">
        <v>245</v>
      </c>
      <c r="K97" s="141">
        <v>1.556E-5</v>
      </c>
      <c r="AA97" s="44">
        <v>67</v>
      </c>
      <c r="AB97" s="44">
        <f t="shared" si="11"/>
        <v>1.2761194029850746</v>
      </c>
      <c r="AD97" s="129">
        <f t="shared" si="14"/>
        <v>1.2559701492537314</v>
      </c>
      <c r="AF97" s="130">
        <f t="shared" si="15"/>
        <v>10.33731343283582</v>
      </c>
      <c r="AH97" s="44">
        <f t="shared" si="7"/>
        <v>551.44622697563875</v>
      </c>
      <c r="AJ97" s="44">
        <v>318</v>
      </c>
      <c r="AK97" s="44">
        <f t="shared" si="4"/>
        <v>2.1698113207547172</v>
      </c>
    </row>
    <row r="98" spans="9:37" ht="14.4" x14ac:dyDescent="0.3">
      <c r="I98">
        <v>9</v>
      </c>
      <c r="J98" t="s">
        <v>246</v>
      </c>
      <c r="K98" s="141">
        <v>1.9559999999999999E-5</v>
      </c>
      <c r="AJ98" s="44">
        <v>319</v>
      </c>
      <c r="AK98" s="44">
        <f t="shared" si="4"/>
        <v>2.1630094043887147</v>
      </c>
    </row>
    <row r="99" spans="9:37" ht="14.4" x14ac:dyDescent="0.3">
      <c r="I99">
        <v>10</v>
      </c>
      <c r="J99" t="s">
        <v>247</v>
      </c>
      <c r="K99" s="141">
        <v>2.4009999999999999E-5</v>
      </c>
    </row>
    <row r="100" spans="9:37" ht="14.4" x14ac:dyDescent="0.3">
      <c r="I100">
        <v>11</v>
      </c>
      <c r="J100" t="s">
        <v>248</v>
      </c>
      <c r="K100" s="141">
        <v>2.8900000000000001E-5</v>
      </c>
    </row>
    <row r="101" spans="9:37" ht="14.4" x14ac:dyDescent="0.3">
      <c r="I101">
        <v>12</v>
      </c>
      <c r="J101" t="s">
        <v>249</v>
      </c>
      <c r="K101" s="141">
        <v>3.4230000000000003E-5</v>
      </c>
    </row>
    <row r="102" spans="9:37" ht="14.4" x14ac:dyDescent="0.3">
      <c r="I102">
        <v>13</v>
      </c>
      <c r="J102" t="s">
        <v>250</v>
      </c>
      <c r="K102" s="141">
        <v>4.0009999999999998E-5</v>
      </c>
    </row>
    <row r="103" spans="9:37" ht="14.4" x14ac:dyDescent="0.3">
      <c r="I103">
        <v>14</v>
      </c>
      <c r="J103" t="s">
        <v>251</v>
      </c>
      <c r="K103" s="141">
        <v>4.6239999999999998E-5</v>
      </c>
      <c r="X103" s="44" t="s">
        <v>205</v>
      </c>
    </row>
    <row r="104" spans="9:37" ht="14.4" x14ac:dyDescent="0.3">
      <c r="I104" s="109">
        <v>15</v>
      </c>
      <c r="J104" s="109" t="s">
        <v>252</v>
      </c>
      <c r="K104" s="143">
        <v>1E-4</v>
      </c>
    </row>
    <row r="105" spans="9:37" ht="14.4" x14ac:dyDescent="0.3">
      <c r="I105">
        <v>16</v>
      </c>
      <c r="J105" t="s">
        <v>253</v>
      </c>
      <c r="K105" s="140">
        <v>1E-4</v>
      </c>
      <c r="X105" s="44" t="s">
        <v>206</v>
      </c>
    </row>
    <row r="106" spans="9:37" ht="14.4" x14ac:dyDescent="0.3">
      <c r="I106">
        <v>17</v>
      </c>
      <c r="J106" t="s">
        <v>254</v>
      </c>
      <c r="K106" s="140">
        <v>1E-4</v>
      </c>
    </row>
    <row r="107" spans="9:37" ht="14.4" x14ac:dyDescent="0.3">
      <c r="I107">
        <v>18</v>
      </c>
      <c r="J107" t="s">
        <v>255</v>
      </c>
      <c r="K107" s="140">
        <v>1E-4</v>
      </c>
      <c r="X107" s="44">
        <f>'Prop Geom y de Materiales'!T72/2</f>
        <v>44</v>
      </c>
    </row>
    <row r="108" spans="9:37" ht="14.4" x14ac:dyDescent="0.3">
      <c r="I108">
        <v>19</v>
      </c>
      <c r="J108" t="s">
        <v>256</v>
      </c>
      <c r="K108" s="140">
        <v>1E-4</v>
      </c>
      <c r="X108" s="44">
        <f>X107*2+'Prop Geom y de Materiales'!T73/2</f>
        <v>110.63779527559055</v>
      </c>
    </row>
    <row r="109" spans="9:37" ht="14.4" x14ac:dyDescent="0.3">
      <c r="I109">
        <v>20</v>
      </c>
      <c r="J109" t="s">
        <v>257</v>
      </c>
      <c r="K109" s="140">
        <v>1E-4</v>
      </c>
      <c r="X109" s="44">
        <f>X108+'Prop Geom y de Materiales'!T73</f>
        <v>155.91338582677164</v>
      </c>
    </row>
    <row r="110" spans="9:37" x14ac:dyDescent="0.25">
      <c r="X110" s="44">
        <f>X109+'Prop Geom y de Materiales'!T73</f>
        <v>201.18897637795274</v>
      </c>
    </row>
    <row r="111" spans="9:37" x14ac:dyDescent="0.25">
      <c r="X111" s="44">
        <f>X110+'Prop Geom y de Materiales'!T73</f>
        <v>246.46456692913384</v>
      </c>
    </row>
    <row r="112" spans="9:37" x14ac:dyDescent="0.25">
      <c r="X112" s="44">
        <f>X111+'Prop Geom y de Materiales'!T73</f>
        <v>291.74015748031496</v>
      </c>
    </row>
    <row r="113" spans="3:24" x14ac:dyDescent="0.25">
      <c r="X113" s="44">
        <f>X112+'Prop Geom y de Materiales'!T73</f>
        <v>337.01574803149606</v>
      </c>
    </row>
    <row r="114" spans="3:24" x14ac:dyDescent="0.25">
      <c r="X114" s="44">
        <f>X113+'Prop Geom y de Materiales'!T73/2+'Prop Geom y de Materiales'!T72/2</f>
        <v>403.65354330708664</v>
      </c>
    </row>
    <row r="123" spans="3:24" ht="14.4" x14ac:dyDescent="0.3">
      <c r="D123" s="94" t="s">
        <v>225</v>
      </c>
      <c r="E123" s="48"/>
      <c r="F123" s="48"/>
      <c r="G123" s="95"/>
      <c r="I123" s="110" t="s">
        <v>154</v>
      </c>
      <c r="J123" s="111"/>
      <c r="K123" s="111"/>
    </row>
    <row r="124" spans="3:24" ht="14.4" x14ac:dyDescent="0.3">
      <c r="D124" s="90" t="s">
        <v>226</v>
      </c>
      <c r="E124" s="44" t="s">
        <v>229</v>
      </c>
      <c r="F124" s="122">
        <f>-'Parámetros de Análisis'!E41</f>
        <v>0</v>
      </c>
      <c r="G124" s="119" t="s">
        <v>92</v>
      </c>
      <c r="I124" s="112" t="s">
        <v>155</v>
      </c>
      <c r="J124" s="112" t="s">
        <v>156</v>
      </c>
      <c r="K124" s="113" t="s">
        <v>157</v>
      </c>
    </row>
    <row r="125" spans="3:24" ht="14.4" x14ac:dyDescent="0.3">
      <c r="D125" s="91" t="s">
        <v>227</v>
      </c>
      <c r="E125" s="81"/>
      <c r="F125" s="123">
        <v>90</v>
      </c>
      <c r="G125" s="121" t="s">
        <v>228</v>
      </c>
      <c r="I125" s="114"/>
      <c r="J125" s="114" t="s">
        <v>158</v>
      </c>
      <c r="K125" s="115" t="s">
        <v>159</v>
      </c>
    </row>
    <row r="126" spans="3:24" ht="14.4" x14ac:dyDescent="0.3">
      <c r="C126" s="255" t="s">
        <v>230</v>
      </c>
      <c r="D126" s="86" t="s">
        <v>231</v>
      </c>
      <c r="E126" s="86" t="s">
        <v>298</v>
      </c>
      <c r="F126" s="116" t="str">
        <f>J128</f>
        <v>181865134,65</v>
      </c>
      <c r="G126" s="117" t="s">
        <v>158</v>
      </c>
      <c r="I126">
        <v>1</v>
      </c>
      <c r="J126">
        <v>0</v>
      </c>
      <c r="K126" s="140">
        <v>0</v>
      </c>
    </row>
    <row r="127" spans="3:24" ht="14.4" x14ac:dyDescent="0.3">
      <c r="C127" s="256"/>
      <c r="D127" s="44" t="s">
        <v>232</v>
      </c>
      <c r="E127" s="44" t="s">
        <v>299</v>
      </c>
      <c r="F127" s="118">
        <f>K128</f>
        <v>2.2230000000000001E-6</v>
      </c>
      <c r="G127" s="119" t="s">
        <v>159</v>
      </c>
      <c r="I127">
        <v>2</v>
      </c>
      <c r="J127">
        <v>79779925.609999999</v>
      </c>
      <c r="K127" s="141">
        <v>8.8909999999999999E-7</v>
      </c>
    </row>
    <row r="128" spans="3:24" ht="14.4" x14ac:dyDescent="0.3">
      <c r="C128" s="256" t="s">
        <v>233</v>
      </c>
      <c r="D128" s="44" t="s">
        <v>235</v>
      </c>
      <c r="E128" s="44" t="s">
        <v>300</v>
      </c>
      <c r="F128" s="28" t="str">
        <f>J129</f>
        <v>251835112,4</v>
      </c>
      <c r="G128" s="119" t="s">
        <v>158</v>
      </c>
      <c r="I128" s="138">
        <v>3</v>
      </c>
      <c r="J128" s="138" t="s">
        <v>280</v>
      </c>
      <c r="K128" s="142">
        <v>2.2230000000000001E-6</v>
      </c>
    </row>
    <row r="129" spans="3:11" ht="14.4" x14ac:dyDescent="0.3">
      <c r="C129" s="256"/>
      <c r="D129" s="44" t="s">
        <v>236</v>
      </c>
      <c r="E129" s="44" t="s">
        <v>301</v>
      </c>
      <c r="F129" s="118">
        <f>K129</f>
        <v>4.0010000000000003E-6</v>
      </c>
      <c r="G129" s="119" t="s">
        <v>159</v>
      </c>
      <c r="I129" s="138">
        <v>4</v>
      </c>
      <c r="J129" s="138" t="s">
        <v>281</v>
      </c>
      <c r="K129" s="142">
        <v>4.0010000000000003E-6</v>
      </c>
    </row>
    <row r="130" spans="3:11" ht="14.4" x14ac:dyDescent="0.3">
      <c r="C130" s="257" t="s">
        <v>234</v>
      </c>
      <c r="D130" s="44" t="s">
        <v>237</v>
      </c>
      <c r="E130" s="44" t="s">
        <v>302</v>
      </c>
      <c r="F130" s="28" t="str">
        <f>J139</f>
        <v>431156837,82</v>
      </c>
      <c r="G130" s="119" t="s">
        <v>158</v>
      </c>
      <c r="I130">
        <v>5</v>
      </c>
      <c r="J130" t="s">
        <v>282</v>
      </c>
      <c r="K130" s="141">
        <v>6.224E-6</v>
      </c>
    </row>
    <row r="131" spans="3:11" ht="14.4" x14ac:dyDescent="0.3">
      <c r="C131" s="258"/>
      <c r="D131" s="81" t="s">
        <v>238</v>
      </c>
      <c r="E131" s="81" t="s">
        <v>303</v>
      </c>
      <c r="F131" s="139">
        <f>K139</f>
        <v>4.6239999999999998E-5</v>
      </c>
      <c r="G131" s="121" t="s">
        <v>159</v>
      </c>
      <c r="I131">
        <v>6</v>
      </c>
      <c r="J131" t="s">
        <v>283</v>
      </c>
      <c r="K131" s="141">
        <v>8.8910000000000001E-6</v>
      </c>
    </row>
    <row r="132" spans="3:11" ht="14.4" x14ac:dyDescent="0.3">
      <c r="I132">
        <v>7</v>
      </c>
      <c r="J132" t="s">
        <v>284</v>
      </c>
      <c r="K132" s="141">
        <v>1.2E-5</v>
      </c>
    </row>
    <row r="133" spans="3:11" ht="14.4" x14ac:dyDescent="0.3">
      <c r="I133">
        <v>8</v>
      </c>
      <c r="J133" t="s">
        <v>285</v>
      </c>
      <c r="K133" s="141">
        <v>1.556E-5</v>
      </c>
    </row>
    <row r="134" spans="3:11" ht="14.4" x14ac:dyDescent="0.3">
      <c r="I134">
        <v>9</v>
      </c>
      <c r="J134" t="s">
        <v>286</v>
      </c>
      <c r="K134" s="141">
        <v>1.9559999999999999E-5</v>
      </c>
    </row>
    <row r="135" spans="3:11" ht="14.4" x14ac:dyDescent="0.3">
      <c r="I135">
        <v>10</v>
      </c>
      <c r="J135" t="s">
        <v>287</v>
      </c>
      <c r="K135" s="141">
        <v>2.4009999999999999E-5</v>
      </c>
    </row>
    <row r="136" spans="3:11" ht="14.4" x14ac:dyDescent="0.3">
      <c r="I136">
        <v>11</v>
      </c>
      <c r="J136" t="s">
        <v>288</v>
      </c>
      <c r="K136" s="141">
        <v>2.8900000000000001E-5</v>
      </c>
    </row>
    <row r="137" spans="3:11" ht="14.4" x14ac:dyDescent="0.3">
      <c r="I137">
        <v>12</v>
      </c>
      <c r="J137" t="s">
        <v>289</v>
      </c>
      <c r="K137" s="141">
        <v>3.4230000000000003E-5</v>
      </c>
    </row>
    <row r="138" spans="3:11" ht="14.4" x14ac:dyDescent="0.3">
      <c r="I138">
        <v>13</v>
      </c>
      <c r="J138" t="s">
        <v>290</v>
      </c>
      <c r="K138" s="141">
        <v>4.0009999999999998E-5</v>
      </c>
    </row>
    <row r="139" spans="3:11" ht="14.4" x14ac:dyDescent="0.3">
      <c r="I139" s="138">
        <v>14</v>
      </c>
      <c r="J139" s="138" t="s">
        <v>291</v>
      </c>
      <c r="K139" s="142">
        <v>4.6239999999999998E-5</v>
      </c>
    </row>
    <row r="140" spans="3:11" ht="14.4" x14ac:dyDescent="0.3">
      <c r="I140">
        <v>15</v>
      </c>
      <c r="J140" t="s">
        <v>292</v>
      </c>
      <c r="K140" s="140">
        <v>1E-4</v>
      </c>
    </row>
    <row r="141" spans="3:11" ht="14.4" x14ac:dyDescent="0.3">
      <c r="I141">
        <v>16</v>
      </c>
      <c r="J141" t="s">
        <v>293</v>
      </c>
      <c r="K141" s="140">
        <v>1E-4</v>
      </c>
    </row>
    <row r="142" spans="3:11" ht="14.4" x14ac:dyDescent="0.3">
      <c r="I142">
        <v>17</v>
      </c>
      <c r="J142" t="s">
        <v>294</v>
      </c>
      <c r="K142" s="140">
        <v>1E-4</v>
      </c>
    </row>
    <row r="143" spans="3:11" ht="14.4" x14ac:dyDescent="0.3">
      <c r="I143">
        <v>18</v>
      </c>
      <c r="J143" t="s">
        <v>295</v>
      </c>
      <c r="K143" s="140">
        <v>1E-4</v>
      </c>
    </row>
    <row r="144" spans="3:11" ht="14.4" x14ac:dyDescent="0.3">
      <c r="I144">
        <v>19</v>
      </c>
      <c r="J144" t="s">
        <v>296</v>
      </c>
      <c r="K144" s="140">
        <v>1E-4</v>
      </c>
    </row>
    <row r="145" spans="4:11" ht="14.4" x14ac:dyDescent="0.3">
      <c r="I145">
        <v>20</v>
      </c>
      <c r="J145" t="s">
        <v>297</v>
      </c>
      <c r="K145" s="140">
        <v>1E-4</v>
      </c>
    </row>
    <row r="160" spans="4:11" ht="14.4" x14ac:dyDescent="0.3">
      <c r="D160" s="94" t="s">
        <v>225</v>
      </c>
      <c r="E160" s="48"/>
      <c r="F160" s="48"/>
      <c r="G160" s="95"/>
      <c r="I160" s="110" t="s">
        <v>154</v>
      </c>
      <c r="J160" s="111"/>
      <c r="K160" s="111"/>
    </row>
    <row r="161" spans="3:11" ht="14.4" x14ac:dyDescent="0.3">
      <c r="D161" s="90" t="s">
        <v>226</v>
      </c>
      <c r="E161" s="44" t="s">
        <v>229</v>
      </c>
      <c r="F161" s="122">
        <f>-'Parámetros de Análisis'!E66</f>
        <v>0</v>
      </c>
      <c r="G161" s="119" t="s">
        <v>92</v>
      </c>
      <c r="I161" s="112" t="s">
        <v>155</v>
      </c>
      <c r="J161" s="112" t="s">
        <v>156</v>
      </c>
      <c r="K161" s="113" t="s">
        <v>157</v>
      </c>
    </row>
    <row r="162" spans="3:11" ht="14.4" x14ac:dyDescent="0.3">
      <c r="D162" s="91" t="s">
        <v>227</v>
      </c>
      <c r="E162" s="81"/>
      <c r="F162" s="123">
        <v>0</v>
      </c>
      <c r="G162" s="121" t="s">
        <v>228</v>
      </c>
      <c r="I162" s="114"/>
      <c r="J162" s="114" t="s">
        <v>158</v>
      </c>
      <c r="K162" s="115" t="s">
        <v>159</v>
      </c>
    </row>
    <row r="163" spans="3:11" ht="14.4" customHeight="1" x14ac:dyDescent="0.3">
      <c r="C163" s="255" t="s">
        <v>230</v>
      </c>
      <c r="D163" s="86" t="s">
        <v>231</v>
      </c>
      <c r="E163" s="86" t="s">
        <v>298</v>
      </c>
      <c r="F163" s="116" t="str">
        <f>J165</f>
        <v>5731513,31</v>
      </c>
      <c r="G163" s="117" t="s">
        <v>158</v>
      </c>
      <c r="I163">
        <v>1</v>
      </c>
      <c r="J163">
        <v>0</v>
      </c>
      <c r="K163" s="140">
        <v>0</v>
      </c>
    </row>
    <row r="164" spans="3:11" ht="14.4" x14ac:dyDescent="0.3">
      <c r="C164" s="256"/>
      <c r="D164" s="44" t="s">
        <v>232</v>
      </c>
      <c r="E164" s="44" t="s">
        <v>299</v>
      </c>
      <c r="F164" s="118">
        <f>K165</f>
        <v>1E-4</v>
      </c>
      <c r="G164" s="119" t="s">
        <v>159</v>
      </c>
      <c r="I164">
        <v>2</v>
      </c>
      <c r="J164" t="s">
        <v>261</v>
      </c>
      <c r="K164" s="141">
        <v>3.8279999999999999E-5</v>
      </c>
    </row>
    <row r="165" spans="3:11" ht="14.4" customHeight="1" x14ac:dyDescent="0.3">
      <c r="C165" s="256" t="s">
        <v>233</v>
      </c>
      <c r="D165" s="44" t="s">
        <v>235</v>
      </c>
      <c r="E165" s="44" t="s">
        <v>300</v>
      </c>
      <c r="F165" s="28" t="str">
        <f>J166</f>
        <v>7193866,66</v>
      </c>
      <c r="G165" s="119" t="s">
        <v>158</v>
      </c>
      <c r="I165" s="138">
        <v>3</v>
      </c>
      <c r="J165" s="138" t="s">
        <v>262</v>
      </c>
      <c r="K165" s="143">
        <v>1E-4</v>
      </c>
    </row>
    <row r="166" spans="3:11" ht="14.4" x14ac:dyDescent="0.3">
      <c r="C166" s="256"/>
      <c r="D166" s="44" t="s">
        <v>236</v>
      </c>
      <c r="E166" s="44" t="s">
        <v>301</v>
      </c>
      <c r="F166" s="118">
        <f>K166</f>
        <v>2.0000000000000001E-4</v>
      </c>
      <c r="G166" s="119" t="s">
        <v>159</v>
      </c>
      <c r="I166" s="138">
        <v>4</v>
      </c>
      <c r="J166" s="138" t="s">
        <v>263</v>
      </c>
      <c r="K166" s="143">
        <v>2.0000000000000001E-4</v>
      </c>
    </row>
    <row r="167" spans="3:11" ht="14.4" x14ac:dyDescent="0.3">
      <c r="C167" s="257" t="s">
        <v>234</v>
      </c>
      <c r="D167" s="44" t="s">
        <v>237</v>
      </c>
      <c r="E167" s="44" t="s">
        <v>302</v>
      </c>
      <c r="F167" s="28" t="str">
        <f>J176</f>
        <v>12552377,29</v>
      </c>
      <c r="G167" s="119" t="s">
        <v>158</v>
      </c>
      <c r="I167">
        <v>5</v>
      </c>
      <c r="J167" t="s">
        <v>264</v>
      </c>
      <c r="K167" s="140">
        <v>2.9999999999999997E-4</v>
      </c>
    </row>
    <row r="168" spans="3:11" ht="14.4" x14ac:dyDescent="0.3">
      <c r="C168" s="258"/>
      <c r="D168" s="81" t="s">
        <v>238</v>
      </c>
      <c r="E168" s="81" t="s">
        <v>303</v>
      </c>
      <c r="F168" s="120">
        <f>K176</f>
        <v>2E-3</v>
      </c>
      <c r="G168" s="121" t="s">
        <v>159</v>
      </c>
      <c r="I168">
        <v>6</v>
      </c>
      <c r="J168" t="s">
        <v>265</v>
      </c>
      <c r="K168" s="140">
        <v>4.0000000000000002E-4</v>
      </c>
    </row>
    <row r="169" spans="3:11" ht="14.4" x14ac:dyDescent="0.3">
      <c r="I169">
        <v>7</v>
      </c>
      <c r="J169" t="s">
        <v>266</v>
      </c>
      <c r="K169" s="140">
        <v>5.0000000000000001E-4</v>
      </c>
    </row>
    <row r="170" spans="3:11" ht="14.4" x14ac:dyDescent="0.3">
      <c r="I170">
        <v>8</v>
      </c>
      <c r="J170" t="s">
        <v>267</v>
      </c>
      <c r="K170" s="140">
        <v>6.9999999999999999E-4</v>
      </c>
    </row>
    <row r="171" spans="3:11" ht="14.4" x14ac:dyDescent="0.3">
      <c r="I171">
        <v>9</v>
      </c>
      <c r="J171" t="s">
        <v>268</v>
      </c>
      <c r="K171" s="140">
        <v>8.0000000000000004E-4</v>
      </c>
    </row>
    <row r="172" spans="3:11" ht="14.4" x14ac:dyDescent="0.3">
      <c r="I172">
        <v>10</v>
      </c>
      <c r="J172" t="s">
        <v>269</v>
      </c>
      <c r="K172" s="140">
        <v>1E-3</v>
      </c>
    </row>
    <row r="173" spans="3:11" ht="14.4" x14ac:dyDescent="0.3">
      <c r="I173">
        <v>11</v>
      </c>
      <c r="J173" t="s">
        <v>270</v>
      </c>
      <c r="K173" s="140">
        <v>1.1999999999999999E-3</v>
      </c>
    </row>
    <row r="174" spans="3:11" ht="14.4" x14ac:dyDescent="0.3">
      <c r="I174">
        <v>12</v>
      </c>
      <c r="J174" t="s">
        <v>271</v>
      </c>
      <c r="K174" s="140">
        <v>1.5E-3</v>
      </c>
    </row>
    <row r="175" spans="3:11" ht="14.4" x14ac:dyDescent="0.3">
      <c r="I175">
        <v>13</v>
      </c>
      <c r="J175" t="s">
        <v>272</v>
      </c>
      <c r="K175" s="140">
        <v>1.6999999999999999E-3</v>
      </c>
    </row>
    <row r="176" spans="3:11" ht="14.4" x14ac:dyDescent="0.3">
      <c r="I176" s="138">
        <v>14</v>
      </c>
      <c r="J176" s="138" t="s">
        <v>273</v>
      </c>
      <c r="K176" s="143">
        <v>2E-3</v>
      </c>
    </row>
    <row r="177" spans="9:11" ht="14.4" x14ac:dyDescent="0.3">
      <c r="I177">
        <v>15</v>
      </c>
      <c r="J177" t="s">
        <v>274</v>
      </c>
      <c r="K177" s="140">
        <v>2.3E-3</v>
      </c>
    </row>
    <row r="178" spans="9:11" ht="14.4" x14ac:dyDescent="0.3">
      <c r="I178">
        <v>16</v>
      </c>
      <c r="J178" t="s">
        <v>275</v>
      </c>
      <c r="K178" s="140">
        <v>2.5999999999999999E-3</v>
      </c>
    </row>
    <row r="179" spans="9:11" ht="14.4" x14ac:dyDescent="0.3">
      <c r="I179">
        <v>17</v>
      </c>
      <c r="J179" t="s">
        <v>276</v>
      </c>
      <c r="K179" s="140">
        <v>2.8999999999999998E-3</v>
      </c>
    </row>
    <row r="180" spans="9:11" ht="14.4" x14ac:dyDescent="0.3">
      <c r="I180">
        <v>18</v>
      </c>
      <c r="J180" t="s">
        <v>277</v>
      </c>
      <c r="K180" s="140">
        <v>3.3E-3</v>
      </c>
    </row>
    <row r="181" spans="9:11" ht="14.4" x14ac:dyDescent="0.3">
      <c r="I181">
        <v>19</v>
      </c>
      <c r="J181" t="s">
        <v>278</v>
      </c>
      <c r="K181" s="140">
        <v>3.5999999999999999E-3</v>
      </c>
    </row>
    <row r="182" spans="9:11" ht="14.4" x14ac:dyDescent="0.3">
      <c r="I182">
        <v>20</v>
      </c>
      <c r="J182" t="s">
        <v>279</v>
      </c>
      <c r="K182" s="140">
        <v>4.0000000000000001E-3</v>
      </c>
    </row>
    <row r="323" spans="9:10" x14ac:dyDescent="0.25">
      <c r="I323" s="71"/>
      <c r="J323" s="71"/>
    </row>
  </sheetData>
  <mergeCells count="21">
    <mergeCell ref="C163:C164"/>
    <mergeCell ref="C165:C166"/>
    <mergeCell ref="C167:C168"/>
    <mergeCell ref="C126:C127"/>
    <mergeCell ref="C128:C129"/>
    <mergeCell ref="C130:C131"/>
    <mergeCell ref="D17:D19"/>
    <mergeCell ref="D9:G9"/>
    <mergeCell ref="E43:G44"/>
    <mergeCell ref="C32:C44"/>
    <mergeCell ref="I77:K77"/>
    <mergeCell ref="I69:K69"/>
    <mergeCell ref="C69:C70"/>
    <mergeCell ref="D69:E69"/>
    <mergeCell ref="F69:G69"/>
    <mergeCell ref="C90:C91"/>
    <mergeCell ref="C92:C93"/>
    <mergeCell ref="C94:C95"/>
    <mergeCell ref="E53:G54"/>
    <mergeCell ref="E63:G64"/>
    <mergeCell ref="C45:C64"/>
  </mergeCells>
  <phoneticPr fontId="16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O11"/>
  <sheetViews>
    <sheetView zoomScale="130" zoomScaleNormal="130" workbookViewId="0">
      <selection activeCell="J11" sqref="J11"/>
    </sheetView>
  </sheetViews>
  <sheetFormatPr defaultColWidth="11.5546875" defaultRowHeight="13.8" x14ac:dyDescent="0.25"/>
  <cols>
    <col min="1" max="1" width="11.5546875" style="15"/>
    <col min="2" max="2" width="7.6640625" style="15" bestFit="1" customWidth="1"/>
    <col min="3" max="3" width="4" style="15" bestFit="1" customWidth="1"/>
    <col min="4" max="4" width="6.33203125" style="15" bestFit="1" customWidth="1"/>
    <col min="5" max="5" width="5.5546875" style="15" bestFit="1" customWidth="1"/>
    <col min="6" max="6" width="9.6640625" style="15" bestFit="1" customWidth="1"/>
    <col min="7" max="7" width="7.33203125" style="15" bestFit="1" customWidth="1"/>
    <col min="8" max="8" width="8.44140625" style="15" bestFit="1" customWidth="1"/>
    <col min="9" max="9" width="21.6640625" style="15" bestFit="1" customWidth="1"/>
    <col min="10" max="10" width="24.6640625" style="15" bestFit="1" customWidth="1"/>
    <col min="11" max="11" width="15.6640625" style="15" bestFit="1" customWidth="1"/>
    <col min="12" max="12" width="12.5546875" style="15" bestFit="1" customWidth="1"/>
    <col min="13" max="13" width="11.5546875" style="15"/>
    <col min="14" max="14" width="15.109375" style="15" bestFit="1" customWidth="1"/>
    <col min="15" max="15" width="15.33203125" style="15" bestFit="1" customWidth="1"/>
    <col min="16" max="16384" width="11.5546875" style="15"/>
  </cols>
  <sheetData>
    <row r="4" spans="2:15" x14ac:dyDescent="0.25">
      <c r="C4" s="81"/>
      <c r="D4" s="81"/>
      <c r="E4" s="81"/>
      <c r="F4" s="81"/>
      <c r="G4" s="81"/>
      <c r="H4" s="81"/>
      <c r="I4" s="81"/>
      <c r="J4" s="81"/>
      <c r="K4" s="81"/>
      <c r="L4" s="81"/>
    </row>
    <row r="5" spans="2:15" x14ac:dyDescent="0.25">
      <c r="C5" s="270" t="s">
        <v>314</v>
      </c>
      <c r="D5" s="271"/>
      <c r="E5" s="271"/>
      <c r="F5" s="271"/>
      <c r="G5" s="271"/>
      <c r="H5" s="272"/>
      <c r="I5" s="171" t="s">
        <v>315</v>
      </c>
      <c r="J5" s="270" t="s">
        <v>316</v>
      </c>
      <c r="K5" s="271"/>
      <c r="L5" s="271"/>
      <c r="M5" s="275" t="s">
        <v>322</v>
      </c>
      <c r="N5" s="273"/>
      <c r="O5" s="274"/>
    </row>
    <row r="6" spans="2:15" x14ac:dyDescent="0.25">
      <c r="C6" s="168" t="s">
        <v>93</v>
      </c>
      <c r="D6" s="169" t="s">
        <v>100</v>
      </c>
      <c r="E6" s="169" t="s">
        <v>101</v>
      </c>
      <c r="F6" s="169" t="s">
        <v>104</v>
      </c>
      <c r="G6" s="169" t="s">
        <v>105</v>
      </c>
      <c r="H6" s="170" t="s">
        <v>106</v>
      </c>
      <c r="I6" s="171" t="s">
        <v>313</v>
      </c>
      <c r="J6" s="168" t="s">
        <v>317</v>
      </c>
      <c r="K6" s="169" t="s">
        <v>122</v>
      </c>
      <c r="L6" s="169" t="s">
        <v>123</v>
      </c>
      <c r="M6" s="168" t="s">
        <v>323</v>
      </c>
      <c r="N6" s="169" t="s">
        <v>324</v>
      </c>
      <c r="O6" s="170" t="s">
        <v>325</v>
      </c>
    </row>
    <row r="7" spans="2:15" x14ac:dyDescent="0.25">
      <c r="B7" s="171" t="s">
        <v>319</v>
      </c>
      <c r="C7" s="102">
        <v>149</v>
      </c>
      <c r="D7" s="103" t="s">
        <v>320</v>
      </c>
      <c r="E7" s="103">
        <v>1.4999999999999999E-2</v>
      </c>
      <c r="F7" s="103" t="s">
        <v>321</v>
      </c>
      <c r="G7" s="103">
        <v>2</v>
      </c>
      <c r="H7" s="173">
        <v>1.0000000000000001E-5</v>
      </c>
      <c r="I7" s="174">
        <v>2000</v>
      </c>
      <c r="J7" s="175">
        <v>1.0000000000000001E-5</v>
      </c>
      <c r="K7" s="103">
        <v>100</v>
      </c>
      <c r="L7" s="103" t="s">
        <v>120</v>
      </c>
      <c r="M7" s="168"/>
      <c r="N7" s="169"/>
      <c r="O7" s="170"/>
    </row>
    <row r="8" spans="2:15" x14ac:dyDescent="0.25">
      <c r="B8" s="171">
        <v>1</v>
      </c>
      <c r="C8" s="102">
        <v>0</v>
      </c>
      <c r="D8" s="103">
        <v>0.03</v>
      </c>
      <c r="E8" s="103">
        <v>0.1</v>
      </c>
      <c r="F8" s="103" t="s">
        <v>96</v>
      </c>
      <c r="G8" s="103">
        <v>1</v>
      </c>
      <c r="H8" s="173">
        <v>1E-10</v>
      </c>
      <c r="I8" s="174">
        <v>25000</v>
      </c>
      <c r="J8" s="175">
        <v>1.0000000000000001E-5</v>
      </c>
      <c r="K8" s="103">
        <v>20000</v>
      </c>
      <c r="L8" s="103" t="s">
        <v>318</v>
      </c>
      <c r="M8" s="168">
        <v>233</v>
      </c>
      <c r="N8" s="169">
        <v>23.1</v>
      </c>
      <c r="O8" s="170">
        <v>3</v>
      </c>
    </row>
    <row r="9" spans="2:15" x14ac:dyDescent="0.25">
      <c r="B9" s="15">
        <v>2</v>
      </c>
      <c r="C9" s="15">
        <v>0</v>
      </c>
      <c r="D9" s="15">
        <v>0.03</v>
      </c>
      <c r="E9" s="15">
        <v>0.1</v>
      </c>
      <c r="F9" s="15" t="s">
        <v>96</v>
      </c>
      <c r="G9" s="15">
        <v>1</v>
      </c>
      <c r="H9" s="176">
        <v>1.0000000000000001E-5</v>
      </c>
      <c r="I9" s="174">
        <v>25000</v>
      </c>
      <c r="J9" s="175">
        <v>1.0000000000000001E-5</v>
      </c>
      <c r="K9" s="103">
        <v>20000</v>
      </c>
      <c r="L9" s="103" t="s">
        <v>318</v>
      </c>
      <c r="M9" s="15">
        <v>309</v>
      </c>
      <c r="N9" s="15">
        <v>30.7</v>
      </c>
      <c r="O9" s="15" t="s">
        <v>326</v>
      </c>
    </row>
    <row r="11" spans="2:15" ht="16.5" customHeight="1" x14ac:dyDescent="0.25">
      <c r="E11" s="172"/>
    </row>
  </sheetData>
  <mergeCells count="3">
    <mergeCell ref="C5:H5"/>
    <mergeCell ref="J5:L5"/>
    <mergeCell ref="M5:O5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S21"/>
  <sheetViews>
    <sheetView workbookViewId="0">
      <selection activeCell="B16" sqref="B16"/>
    </sheetView>
  </sheetViews>
  <sheetFormatPr defaultColWidth="11.44140625" defaultRowHeight="14.4" x14ac:dyDescent="0.3"/>
  <cols>
    <col min="1" max="1" width="11.44140625" style="203"/>
    <col min="2" max="2" width="10.88671875" style="203" customWidth="1"/>
    <col min="3" max="3" width="12.109375" style="203" customWidth="1"/>
    <col min="4" max="6" width="12" style="203" bestFit="1" customWidth="1"/>
    <col min="7" max="7" width="11.5546875" style="203" bestFit="1" customWidth="1"/>
    <col min="8" max="11" width="12" style="203" bestFit="1" customWidth="1"/>
    <col min="12" max="16" width="11.5546875" style="203" bestFit="1" customWidth="1"/>
    <col min="17" max="18" width="12" style="203" bestFit="1" customWidth="1"/>
    <col min="19" max="19" width="11.5546875" style="203" bestFit="1" customWidth="1"/>
    <col min="20" max="16384" width="11.44140625" style="203"/>
  </cols>
  <sheetData>
    <row r="2" spans="2:19" x14ac:dyDescent="0.3">
      <c r="D2" s="276" t="s">
        <v>356</v>
      </c>
      <c r="E2" s="277"/>
      <c r="F2" s="277"/>
      <c r="G2" s="277"/>
      <c r="H2" s="277"/>
      <c r="I2" s="277"/>
      <c r="J2" s="277"/>
      <c r="K2" s="278"/>
      <c r="L2" s="276" t="s">
        <v>357</v>
      </c>
      <c r="M2" s="277"/>
      <c r="N2" s="277"/>
      <c r="O2" s="277"/>
      <c r="P2" s="277"/>
      <c r="Q2" s="277"/>
      <c r="R2" s="277"/>
      <c r="S2" s="278"/>
    </row>
    <row r="3" spans="2:19" x14ac:dyDescent="0.3">
      <c r="B3" s="204" t="s">
        <v>354</v>
      </c>
      <c r="C3" s="204" t="s">
        <v>355</v>
      </c>
      <c r="D3" s="205">
        <v>2.8E-3</v>
      </c>
      <c r="E3" s="206">
        <v>3.8E-3</v>
      </c>
      <c r="F3" s="206">
        <v>5.5999999999999999E-3</v>
      </c>
      <c r="G3" s="206">
        <v>7.4999999999999997E-3</v>
      </c>
      <c r="H3" s="206">
        <v>1.0999999999999999E-2</v>
      </c>
      <c r="I3" s="206">
        <v>1.4999999999999999E-2</v>
      </c>
      <c r="J3" s="206">
        <v>2.3E-2</v>
      </c>
      <c r="K3" s="207">
        <v>3.1E-2</v>
      </c>
      <c r="L3" s="206">
        <v>2.8E-3</v>
      </c>
      <c r="M3" s="206">
        <v>3.8E-3</v>
      </c>
      <c r="N3" s="206">
        <v>5.5999999999999999E-3</v>
      </c>
      <c r="O3" s="206">
        <v>7.4999999999999997E-3</v>
      </c>
      <c r="P3" s="206">
        <v>1.0999999999999999E-2</v>
      </c>
      <c r="Q3" s="206">
        <v>1.4999999999999999E-2</v>
      </c>
      <c r="R3" s="206">
        <v>2.3E-2</v>
      </c>
      <c r="S3" s="207">
        <v>3.1E-2</v>
      </c>
    </row>
    <row r="4" spans="2:19" x14ac:dyDescent="0.3">
      <c r="B4" s="208">
        <v>2</v>
      </c>
      <c r="C4" s="208">
        <v>51</v>
      </c>
      <c r="D4" s="209">
        <v>-5.2825603426972703E-6</v>
      </c>
      <c r="E4" s="210">
        <v>-5.2997226570011297E-6</v>
      </c>
      <c r="F4" s="210">
        <v>8.2639975835461203E-5</v>
      </c>
      <c r="G4" s="210">
        <v>1.3290839443117199E-4</v>
      </c>
      <c r="H4" s="210">
        <v>1.95705302468626E-4</v>
      </c>
      <c r="I4" s="210">
        <v>-1.1581129692177001E-5</v>
      </c>
      <c r="J4" s="210">
        <v>-1.8116195732762101E-4</v>
      </c>
      <c r="K4" s="211">
        <v>-5.2997226570011297E-6</v>
      </c>
      <c r="L4" s="210">
        <v>3.1055900621118102E-5</v>
      </c>
      <c r="M4" s="210">
        <v>3.1055900621118102E-5</v>
      </c>
      <c r="N4" s="210">
        <v>1.11801242236024E-4</v>
      </c>
      <c r="O4" s="210">
        <v>1.42857142857142E-4</v>
      </c>
      <c r="P4" s="210">
        <v>1.4906832298136599E-4</v>
      </c>
      <c r="Q4" s="210">
        <v>-1.61490683229813E-4</v>
      </c>
      <c r="R4" s="210">
        <v>-1.9254658385093099E-4</v>
      </c>
      <c r="S4" s="211">
        <v>5.1552795031055898E-4</v>
      </c>
    </row>
    <row r="5" spans="2:19" x14ac:dyDescent="0.3">
      <c r="B5" s="208">
        <v>8</v>
      </c>
      <c r="C5" s="208">
        <v>203</v>
      </c>
      <c r="D5" s="209">
        <v>1.9496732295356501E-4</v>
      </c>
      <c r="E5" s="210">
        <v>3.0175124255155502E-4</v>
      </c>
      <c r="F5" s="210">
        <v>3.0176840486585899E-4</v>
      </c>
      <c r="G5" s="210">
        <v>4.4622360436060002E-4</v>
      </c>
      <c r="H5" s="210">
        <v>4.52505011395776E-4</v>
      </c>
      <c r="I5" s="210">
        <v>7.6657536315457003E-4</v>
      </c>
      <c r="J5" s="210">
        <v>2.0605452124008001E-3</v>
      </c>
      <c r="K5" s="211">
        <v>4.6170778757173804E-3</v>
      </c>
      <c r="L5" s="210">
        <v>2.48447204968944E-4</v>
      </c>
      <c r="M5" s="210">
        <v>3.2298136645962698E-4</v>
      </c>
      <c r="N5" s="210">
        <v>3.2298136645962698E-4</v>
      </c>
      <c r="O5" s="210">
        <v>4.5962732919254599E-4</v>
      </c>
      <c r="P5" s="210">
        <v>4.6583850931677001E-4</v>
      </c>
      <c r="Q5" s="210">
        <v>1.0807453416148999E-3</v>
      </c>
      <c r="R5" s="210">
        <v>2.7018633540372601E-3</v>
      </c>
      <c r="S5" s="211">
        <v>5.8633540372670804E-3</v>
      </c>
    </row>
    <row r="6" spans="2:19" x14ac:dyDescent="0.3">
      <c r="B6" s="208">
        <v>24</v>
      </c>
      <c r="C6" s="208">
        <v>610</v>
      </c>
      <c r="D6" s="209">
        <v>4.6934124172776402E-4</v>
      </c>
      <c r="E6" s="210">
        <v>6.95471894994096E-4</v>
      </c>
      <c r="F6" s="210">
        <v>1.2482528764038701E-3</v>
      </c>
      <c r="G6" s="210">
        <v>1.50579056484608E-3</v>
      </c>
      <c r="H6" s="210">
        <v>1.8512507894664499E-3</v>
      </c>
      <c r="I6" s="210">
        <v>2.4793914929840399E-3</v>
      </c>
      <c r="J6" s="210">
        <v>4.3763764176071602E-3</v>
      </c>
      <c r="K6" s="211">
        <v>7.1716197105747299E-3</v>
      </c>
      <c r="L6" s="210">
        <v>4.7826086956521702E-4</v>
      </c>
      <c r="M6" s="210">
        <v>5.5900621118012397E-4</v>
      </c>
      <c r="N6" s="210">
        <v>1.1677018633540299E-3</v>
      </c>
      <c r="O6" s="210">
        <v>1.2546583850931599E-3</v>
      </c>
      <c r="P6" s="210">
        <v>1.4534161490683201E-3</v>
      </c>
      <c r="Q6" s="210">
        <v>1.9130434782608601E-3</v>
      </c>
      <c r="R6" s="210">
        <v>4.0931677018633504E-3</v>
      </c>
      <c r="S6" s="211">
        <v>6.9751552795030997E-3</v>
      </c>
    </row>
    <row r="7" spans="2:19" x14ac:dyDescent="0.3">
      <c r="B7" s="208">
        <v>40</v>
      </c>
      <c r="C7" s="208">
        <v>1016</v>
      </c>
      <c r="D7" s="209">
        <v>1.03011642914023E-4</v>
      </c>
      <c r="E7" s="210">
        <v>4.8617747205975198E-4</v>
      </c>
      <c r="F7" s="210">
        <v>1.24624488563033E-3</v>
      </c>
      <c r="G7" s="210">
        <v>1.6105664936705299E-3</v>
      </c>
      <c r="H7" s="210">
        <v>1.9309010901502001E-3</v>
      </c>
      <c r="I7" s="210">
        <v>2.30152126753988E-3</v>
      </c>
      <c r="J7" s="210">
        <v>3.1934639042205501E-3</v>
      </c>
      <c r="K7" s="211">
        <v>5.0464961419117403E-3</v>
      </c>
      <c r="L7" s="210">
        <v>2.48447204968944E-4</v>
      </c>
      <c r="M7" s="210">
        <v>5.0310559006211104E-4</v>
      </c>
      <c r="N7" s="210">
        <v>1.06211180124223E-3</v>
      </c>
      <c r="O7" s="210">
        <v>1.27329192546583E-3</v>
      </c>
      <c r="P7" s="210">
        <v>1.4285714285714199E-3</v>
      </c>
      <c r="Q7" s="210">
        <v>1.73291925465838E-3</v>
      </c>
      <c r="R7" s="210">
        <v>2.47204968944099E-3</v>
      </c>
      <c r="S7" s="211">
        <v>4.1739130434782596E-3</v>
      </c>
    </row>
    <row r="8" spans="2:19" x14ac:dyDescent="0.3">
      <c r="B8" s="208">
        <v>56</v>
      </c>
      <c r="C8" s="208">
        <v>1422</v>
      </c>
      <c r="D8" s="209">
        <v>5.0113957766970803E-7</v>
      </c>
      <c r="E8" s="210">
        <v>2.32913199879177E-4</v>
      </c>
      <c r="F8" s="210">
        <v>8.1708405415053295E-4</v>
      </c>
      <c r="G8" s="210">
        <v>1.1311544059093199E-3</v>
      </c>
      <c r="H8" s="210">
        <v>1.35100365214048E-3</v>
      </c>
      <c r="I8" s="210">
        <v>1.5394458631957601E-3</v>
      </c>
      <c r="J8" s="210">
        <v>1.91633028530631E-3</v>
      </c>
      <c r="K8" s="211">
        <v>2.60728505917566E-3</v>
      </c>
      <c r="L8" s="210">
        <v>1.8633540372670902E-5</v>
      </c>
      <c r="M8" s="210">
        <v>2.3602484472049699E-4</v>
      </c>
      <c r="N8" s="210">
        <v>8.1366459627329199E-4</v>
      </c>
      <c r="O8" s="210">
        <v>9.93788819875776E-4</v>
      </c>
      <c r="P8" s="210">
        <v>1.1304347826086899E-3</v>
      </c>
      <c r="Q8" s="210">
        <v>1.32298136645962E-3</v>
      </c>
      <c r="R8" s="210">
        <v>1.6894409937888201E-3</v>
      </c>
      <c r="S8" s="211">
        <v>2.6024844720496801E-3</v>
      </c>
    </row>
    <row r="9" spans="2:19" x14ac:dyDescent="0.3">
      <c r="B9" s="208">
        <v>72</v>
      </c>
      <c r="C9" s="208">
        <v>1829</v>
      </c>
      <c r="D9" s="209">
        <v>-1.4896888815662899E-6</v>
      </c>
      <c r="E9" s="210">
        <v>4.7917181536093601E-6</v>
      </c>
      <c r="F9" s="210">
        <v>1.17839882472471E-4</v>
      </c>
      <c r="G9" s="210">
        <v>2.81173627701348E-4</v>
      </c>
      <c r="H9" s="210">
        <v>4.1306601312573701E-4</v>
      </c>
      <c r="I9" s="210">
        <v>4.9470714226871996E-4</v>
      </c>
      <c r="J9" s="210">
        <v>6.2665101463602101E-4</v>
      </c>
      <c r="K9" s="211">
        <v>8.2137463272647304E-4</v>
      </c>
      <c r="L9" s="210">
        <v>2.4844720496894298E-5</v>
      </c>
      <c r="M9" s="210">
        <v>2.4844720496894298E-5</v>
      </c>
      <c r="N9" s="210">
        <v>1.4906832298136599E-4</v>
      </c>
      <c r="O9" s="210">
        <v>2.9813664596273302E-4</v>
      </c>
      <c r="P9" s="210">
        <v>3.8509316770186301E-4</v>
      </c>
      <c r="Q9" s="210">
        <v>3.9751552795031002E-4</v>
      </c>
      <c r="R9" s="210">
        <v>4.6583850931677001E-4</v>
      </c>
      <c r="S9" s="211">
        <v>6.1490683229813603E-4</v>
      </c>
    </row>
    <row r="10" spans="2:19" x14ac:dyDescent="0.3">
      <c r="B10" s="212">
        <v>96</v>
      </c>
      <c r="C10" s="212">
        <v>2438</v>
      </c>
      <c r="D10" s="213">
        <v>-4.4930938847241501E-6</v>
      </c>
      <c r="E10" s="214">
        <v>1.7883131504514901E-6</v>
      </c>
      <c r="F10" s="214">
        <v>-4.4930938847241501E-6</v>
      </c>
      <c r="G10" s="214">
        <v>1.7883131504514901E-6</v>
      </c>
      <c r="H10" s="214">
        <v>-4.4930938847241501E-6</v>
      </c>
      <c r="I10" s="214">
        <v>-1.07745009199E-5</v>
      </c>
      <c r="J10" s="214">
        <v>-4.5102561990280197E-6</v>
      </c>
      <c r="K10" s="215">
        <v>-4.5102561990280197E-6</v>
      </c>
      <c r="L10" s="214">
        <v>2.4844720496894298E-5</v>
      </c>
      <c r="M10" s="214">
        <v>2.4844720496894298E-5</v>
      </c>
      <c r="N10" s="214">
        <v>1.8633540372670902E-5</v>
      </c>
      <c r="O10" s="214">
        <v>2.4844720496894298E-5</v>
      </c>
      <c r="P10" s="214">
        <v>1.8633540372670902E-5</v>
      </c>
      <c r="Q10" s="214">
        <v>1.8633540372670902E-5</v>
      </c>
      <c r="R10" s="214">
        <v>2.4844720496894298E-5</v>
      </c>
      <c r="S10" s="215">
        <v>2.4844720496894298E-5</v>
      </c>
    </row>
    <row r="21" spans="5:5" x14ac:dyDescent="0.3">
      <c r="E21" s="216"/>
    </row>
  </sheetData>
  <mergeCells count="2">
    <mergeCell ref="D2:K2"/>
    <mergeCell ref="L2:S2"/>
  </mergeCells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29"/>
  <sheetViews>
    <sheetView topLeftCell="A10" zoomScale="130" zoomScaleNormal="130" workbookViewId="0">
      <selection activeCell="J26" sqref="J26"/>
    </sheetView>
  </sheetViews>
  <sheetFormatPr defaultColWidth="11.5546875" defaultRowHeight="14.4" x14ac:dyDescent="0.3"/>
  <cols>
    <col min="2" max="2" width="11.44140625" style="203"/>
    <col min="3" max="3" width="11.33203125" style="203" customWidth="1"/>
    <col min="4" max="4" width="11.44140625" style="203"/>
    <col min="5" max="5" width="26" style="203" customWidth="1"/>
    <col min="6" max="6" width="11.44140625" style="203"/>
  </cols>
  <sheetData>
    <row r="2" spans="2:7" x14ac:dyDescent="0.3">
      <c r="B2" s="204" t="s">
        <v>358</v>
      </c>
      <c r="C2" s="204">
        <v>2438.4</v>
      </c>
    </row>
    <row r="3" spans="2:7" x14ac:dyDescent="0.3">
      <c r="B3" s="204" t="s">
        <v>359</v>
      </c>
      <c r="C3" s="204">
        <v>0.1</v>
      </c>
    </row>
    <row r="5" spans="2:7" x14ac:dyDescent="0.3">
      <c r="B5" s="217" t="s">
        <v>360</v>
      </c>
      <c r="C5" s="218" t="s">
        <v>361</v>
      </c>
      <c r="D5" s="219" t="s">
        <v>362</v>
      </c>
      <c r="E5" s="219" t="s">
        <v>363</v>
      </c>
      <c r="F5" s="224" t="s">
        <v>364</v>
      </c>
    </row>
    <row r="6" spans="2:7" x14ac:dyDescent="0.3">
      <c r="B6" s="220">
        <v>0.1</v>
      </c>
      <c r="C6" s="203">
        <f>B6*$C$2/100</f>
        <v>2.4384000000000001</v>
      </c>
      <c r="D6" s="203">
        <f>C6/$C$3</f>
        <v>24.384</v>
      </c>
      <c r="E6" s="203">
        <f>INT(D6)</f>
        <v>24</v>
      </c>
      <c r="F6" s="221">
        <f>E6*$C$3</f>
        <v>2.4000000000000004</v>
      </c>
      <c r="G6">
        <f>E6*4*3</f>
        <v>288</v>
      </c>
    </row>
    <row r="7" spans="2:7" x14ac:dyDescent="0.3">
      <c r="B7" s="220">
        <v>0.3</v>
      </c>
      <c r="C7" s="203">
        <f t="shared" ref="C7:C13" si="0">B7*$C$2/100</f>
        <v>7.3151999999999999</v>
      </c>
      <c r="D7" s="203">
        <f t="shared" ref="D7:D13" si="1">C7/$C$3</f>
        <v>73.152000000000001</v>
      </c>
      <c r="E7" s="203">
        <f t="shared" ref="E7:E13" si="2">INT(D7)</f>
        <v>73</v>
      </c>
      <c r="F7" s="221">
        <f t="shared" ref="F7:F13" si="3">E7*$C$3</f>
        <v>7.3000000000000007</v>
      </c>
      <c r="G7">
        <f t="shared" ref="G7:G11" si="4">E7*4*3</f>
        <v>876</v>
      </c>
    </row>
    <row r="8" spans="2:7" x14ac:dyDescent="0.3">
      <c r="B8" s="220">
        <v>0.5</v>
      </c>
      <c r="C8" s="203">
        <f t="shared" si="0"/>
        <v>12.192</v>
      </c>
      <c r="D8" s="203">
        <f t="shared" si="1"/>
        <v>121.92</v>
      </c>
      <c r="E8" s="203">
        <f t="shared" si="2"/>
        <v>121</v>
      </c>
      <c r="F8" s="221">
        <f t="shared" si="3"/>
        <v>12.100000000000001</v>
      </c>
      <c r="G8">
        <f t="shared" si="4"/>
        <v>1452</v>
      </c>
    </row>
    <row r="9" spans="2:7" x14ac:dyDescent="0.3">
      <c r="B9" s="220">
        <v>0.7</v>
      </c>
      <c r="C9" s="203">
        <f t="shared" si="0"/>
        <v>17.0688</v>
      </c>
      <c r="D9" s="203">
        <f t="shared" si="1"/>
        <v>170.68799999999999</v>
      </c>
      <c r="E9" s="203">
        <f t="shared" si="2"/>
        <v>170</v>
      </c>
      <c r="F9" s="221">
        <f t="shared" si="3"/>
        <v>17</v>
      </c>
      <c r="G9">
        <f t="shared" si="4"/>
        <v>2040</v>
      </c>
    </row>
    <row r="10" spans="2:7" x14ac:dyDescent="0.3">
      <c r="B10" s="220">
        <v>1</v>
      </c>
      <c r="C10" s="203">
        <f t="shared" si="0"/>
        <v>24.384</v>
      </c>
      <c r="D10" s="203">
        <f t="shared" si="1"/>
        <v>243.84</v>
      </c>
      <c r="E10" s="203">
        <f t="shared" si="2"/>
        <v>243</v>
      </c>
      <c r="F10" s="221">
        <f t="shared" si="3"/>
        <v>24.3</v>
      </c>
      <c r="G10">
        <f t="shared" si="4"/>
        <v>2916</v>
      </c>
    </row>
    <row r="11" spans="2:7" x14ac:dyDescent="0.3">
      <c r="B11" s="220">
        <v>1.5</v>
      </c>
      <c r="C11" s="203">
        <f t="shared" si="0"/>
        <v>36.576000000000001</v>
      </c>
      <c r="D11" s="203">
        <f t="shared" si="1"/>
        <v>365.76</v>
      </c>
      <c r="E11" s="203">
        <f t="shared" si="2"/>
        <v>365</v>
      </c>
      <c r="F11" s="221">
        <f t="shared" si="3"/>
        <v>36.5</v>
      </c>
      <c r="G11">
        <f t="shared" si="4"/>
        <v>4380</v>
      </c>
    </row>
    <row r="12" spans="2:7" x14ac:dyDescent="0.3">
      <c r="B12" s="220">
        <v>2.2000000000000002</v>
      </c>
      <c r="C12" s="203">
        <f t="shared" si="0"/>
        <v>53.644800000000004</v>
      </c>
      <c r="D12" s="203">
        <f t="shared" si="1"/>
        <v>536.44799999999998</v>
      </c>
      <c r="E12" s="203">
        <f t="shared" si="2"/>
        <v>536</v>
      </c>
      <c r="F12" s="221">
        <f t="shared" si="3"/>
        <v>53.6</v>
      </c>
      <c r="G12">
        <f>E12*4*2</f>
        <v>4288</v>
      </c>
    </row>
    <row r="13" spans="2:7" x14ac:dyDescent="0.3">
      <c r="B13" s="222">
        <v>3.1</v>
      </c>
      <c r="C13" s="223">
        <f t="shared" si="0"/>
        <v>75.590400000000002</v>
      </c>
      <c r="D13" s="223">
        <f t="shared" si="1"/>
        <v>755.904</v>
      </c>
      <c r="E13" s="223">
        <f t="shared" si="2"/>
        <v>755</v>
      </c>
      <c r="F13" s="225">
        <f t="shared" si="3"/>
        <v>75.5</v>
      </c>
      <c r="G13">
        <f>E13*4*2</f>
        <v>6040</v>
      </c>
    </row>
    <row r="14" spans="2:7" x14ac:dyDescent="0.3">
      <c r="D14" s="203">
        <f>SUM(D6:D13)*4</f>
        <v>9168.384</v>
      </c>
      <c r="E14" s="203">
        <f>SUM(E6:E13)*4</f>
        <v>9148</v>
      </c>
      <c r="G14">
        <f>SUM(G6:G13)</f>
        <v>22280</v>
      </c>
    </row>
    <row r="16" spans="2:7" x14ac:dyDescent="0.3">
      <c r="C16" s="203" t="s">
        <v>365</v>
      </c>
      <c r="D16" s="203">
        <v>4580</v>
      </c>
    </row>
    <row r="18" spans="2:6" x14ac:dyDescent="0.3">
      <c r="B18" s="217" t="s">
        <v>360</v>
      </c>
      <c r="C18" s="218" t="s">
        <v>361</v>
      </c>
      <c r="D18" s="219" t="s">
        <v>362</v>
      </c>
      <c r="E18" s="219" t="s">
        <v>363</v>
      </c>
      <c r="F18" s="224" t="s">
        <v>364</v>
      </c>
    </row>
    <row r="19" spans="2:6" x14ac:dyDescent="0.3">
      <c r="B19" s="220">
        <v>0.28000000000000003</v>
      </c>
      <c r="C19" s="203">
        <f>B19*$C$2/100</f>
        <v>6.8275200000000007</v>
      </c>
      <c r="D19" s="203">
        <f>C19/$C$3</f>
        <v>68.275199999999998</v>
      </c>
      <c r="E19" s="203">
        <f>INT(D19)</f>
        <v>68</v>
      </c>
      <c r="F19" s="221">
        <f>E19*$C$3</f>
        <v>6.8000000000000007</v>
      </c>
    </row>
    <row r="20" spans="2:6" x14ac:dyDescent="0.3">
      <c r="B20" s="220">
        <v>0.38</v>
      </c>
      <c r="C20" s="203">
        <f t="shared" ref="C20:C26" si="5">B20*$C$2/100</f>
        <v>9.2659200000000013</v>
      </c>
      <c r="D20" s="203">
        <f t="shared" ref="D20:D26" si="6">C20/$C$3</f>
        <v>92.659200000000013</v>
      </c>
      <c r="E20" s="203">
        <f t="shared" ref="E20:E26" si="7">INT(D20)</f>
        <v>92</v>
      </c>
      <c r="F20" s="221">
        <f t="shared" ref="F20:F26" si="8">E20*$C$3</f>
        <v>9.2000000000000011</v>
      </c>
    </row>
    <row r="21" spans="2:6" x14ac:dyDescent="0.3">
      <c r="B21" s="220">
        <v>0.56000000000000005</v>
      </c>
      <c r="C21" s="203">
        <f t="shared" si="5"/>
        <v>13.655040000000001</v>
      </c>
      <c r="D21" s="203">
        <f t="shared" si="6"/>
        <v>136.5504</v>
      </c>
      <c r="E21" s="203">
        <f t="shared" si="7"/>
        <v>136</v>
      </c>
      <c r="F21" s="221">
        <f t="shared" si="8"/>
        <v>13.600000000000001</v>
      </c>
    </row>
    <row r="22" spans="2:6" x14ac:dyDescent="0.3">
      <c r="B22" s="220">
        <v>0.75</v>
      </c>
      <c r="C22" s="203">
        <f t="shared" si="5"/>
        <v>18.288</v>
      </c>
      <c r="D22" s="203">
        <f t="shared" si="6"/>
        <v>182.88</v>
      </c>
      <c r="E22" s="203">
        <f t="shared" si="7"/>
        <v>182</v>
      </c>
      <c r="F22" s="221">
        <f t="shared" si="8"/>
        <v>18.2</v>
      </c>
    </row>
    <row r="23" spans="2:6" x14ac:dyDescent="0.3">
      <c r="B23" s="220">
        <v>1.1000000000000001</v>
      </c>
      <c r="C23" s="203">
        <f t="shared" si="5"/>
        <v>26.822400000000002</v>
      </c>
      <c r="D23" s="203">
        <f t="shared" si="6"/>
        <v>268.22399999999999</v>
      </c>
      <c r="E23" s="203">
        <f t="shared" si="7"/>
        <v>268</v>
      </c>
      <c r="F23" s="221">
        <f t="shared" si="8"/>
        <v>26.8</v>
      </c>
    </row>
    <row r="24" spans="2:6" x14ac:dyDescent="0.3">
      <c r="B24" s="220">
        <v>1.5</v>
      </c>
      <c r="C24" s="203">
        <f t="shared" si="5"/>
        <v>36.576000000000001</v>
      </c>
      <c r="D24" s="203">
        <f t="shared" si="6"/>
        <v>365.76</v>
      </c>
      <c r="E24" s="203">
        <f t="shared" si="7"/>
        <v>365</v>
      </c>
      <c r="F24" s="221">
        <f t="shared" si="8"/>
        <v>36.5</v>
      </c>
    </row>
    <row r="25" spans="2:6" x14ac:dyDescent="0.3">
      <c r="B25" s="220">
        <v>2.2999999999999998</v>
      </c>
      <c r="C25" s="203">
        <f t="shared" si="5"/>
        <v>56.083199999999998</v>
      </c>
      <c r="D25" s="203">
        <f t="shared" si="6"/>
        <v>560.83199999999999</v>
      </c>
      <c r="E25" s="203">
        <f t="shared" si="7"/>
        <v>560</v>
      </c>
      <c r="F25" s="221">
        <f t="shared" si="8"/>
        <v>56</v>
      </c>
    </row>
    <row r="26" spans="2:6" x14ac:dyDescent="0.3">
      <c r="B26" s="222">
        <v>3.1</v>
      </c>
      <c r="C26" s="223">
        <f t="shared" si="5"/>
        <v>75.590400000000002</v>
      </c>
      <c r="D26" s="223">
        <f t="shared" si="6"/>
        <v>755.904</v>
      </c>
      <c r="E26" s="223">
        <f t="shared" si="7"/>
        <v>755</v>
      </c>
      <c r="F26" s="225">
        <f t="shared" si="8"/>
        <v>75.5</v>
      </c>
    </row>
    <row r="27" spans="2:6" x14ac:dyDescent="0.3">
      <c r="D27" s="203">
        <f>SUM(D19:D26)*4</f>
        <v>9724.3392000000003</v>
      </c>
      <c r="E27" s="203">
        <f>SUM(E19:E26)*4</f>
        <v>9704</v>
      </c>
    </row>
    <row r="29" spans="2:6" x14ac:dyDescent="0.3">
      <c r="C29" s="203" t="s">
        <v>365</v>
      </c>
      <c r="D29" s="203">
        <v>4864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5:H14"/>
  <sheetViews>
    <sheetView zoomScale="130" zoomScaleNormal="130" workbookViewId="0">
      <selection activeCell="L5" sqref="L5"/>
    </sheetView>
  </sheetViews>
  <sheetFormatPr defaultColWidth="11.5546875" defaultRowHeight="14.4" x14ac:dyDescent="0.3"/>
  <cols>
    <col min="5" max="5" width="19.33203125" bestFit="1" customWidth="1"/>
    <col min="6" max="6" width="16.88671875" bestFit="1" customWidth="1"/>
    <col min="7" max="7" width="19.33203125" bestFit="1" customWidth="1"/>
    <col min="8" max="8" width="16.88671875" bestFit="1" customWidth="1"/>
  </cols>
  <sheetData>
    <row r="5" spans="3:8" x14ac:dyDescent="0.3">
      <c r="E5" s="279" t="s">
        <v>366</v>
      </c>
      <c r="F5" s="280"/>
      <c r="G5" s="281" t="s">
        <v>367</v>
      </c>
      <c r="H5" s="282"/>
    </row>
    <row r="6" spans="3:8" x14ac:dyDescent="0.3">
      <c r="C6" s="217" t="s">
        <v>360</v>
      </c>
      <c r="D6" s="224" t="s">
        <v>361</v>
      </c>
      <c r="E6" s="228" t="s">
        <v>368</v>
      </c>
      <c r="F6" s="229" t="s">
        <v>369</v>
      </c>
      <c r="G6" s="228" t="s">
        <v>368</v>
      </c>
      <c r="H6" s="229" t="s">
        <v>369</v>
      </c>
    </row>
    <row r="7" spans="3:8" x14ac:dyDescent="0.3">
      <c r="C7" s="220">
        <v>0.28000000000000003</v>
      </c>
      <c r="D7" s="221">
        <v>6.8000000000000007</v>
      </c>
      <c r="E7" s="227">
        <v>1</v>
      </c>
      <c r="F7" s="57">
        <v>435</v>
      </c>
      <c r="G7" s="227">
        <v>4100</v>
      </c>
      <c r="H7" s="57">
        <v>5629</v>
      </c>
    </row>
    <row r="8" spans="3:8" x14ac:dyDescent="0.3">
      <c r="C8" s="220">
        <v>0.38</v>
      </c>
      <c r="D8" s="221">
        <v>9.2000000000000011</v>
      </c>
      <c r="E8" s="227">
        <v>435</v>
      </c>
      <c r="F8" s="57">
        <v>993</v>
      </c>
      <c r="G8" s="227">
        <v>5629</v>
      </c>
      <c r="H8" s="57">
        <v>6462</v>
      </c>
    </row>
    <row r="9" spans="3:8" x14ac:dyDescent="0.3">
      <c r="C9" s="220">
        <v>0.56000000000000005</v>
      </c>
      <c r="D9" s="221">
        <v>13.600000000000001</v>
      </c>
      <c r="E9" s="227">
        <v>993</v>
      </c>
      <c r="F9" s="57">
        <v>1815</v>
      </c>
      <c r="G9" s="227">
        <v>6462</v>
      </c>
      <c r="H9" s="57">
        <v>7456</v>
      </c>
    </row>
    <row r="10" spans="3:8" x14ac:dyDescent="0.3">
      <c r="C10" s="220">
        <v>0.75</v>
      </c>
      <c r="D10" s="221">
        <v>18.2</v>
      </c>
      <c r="E10" s="227">
        <v>1815</v>
      </c>
      <c r="F10" s="57">
        <v>2913</v>
      </c>
      <c r="G10" s="227">
        <v>7456</v>
      </c>
      <c r="H10" s="57">
        <v>8155</v>
      </c>
    </row>
    <row r="11" spans="3:8" x14ac:dyDescent="0.3">
      <c r="C11" s="220">
        <v>1.1000000000000001</v>
      </c>
      <c r="D11" s="221">
        <v>26.8</v>
      </c>
      <c r="E11" s="227">
        <v>2913</v>
      </c>
      <c r="F11" s="57">
        <v>4527</v>
      </c>
      <c r="G11" s="227">
        <v>8155</v>
      </c>
      <c r="H11" s="57">
        <v>9136</v>
      </c>
    </row>
    <row r="12" spans="3:8" x14ac:dyDescent="0.3">
      <c r="C12" s="220">
        <v>1.5</v>
      </c>
      <c r="D12" s="221">
        <v>36.5</v>
      </c>
      <c r="E12" s="227">
        <v>4527</v>
      </c>
      <c r="F12" s="57">
        <v>6717</v>
      </c>
      <c r="G12" s="227">
        <v>9136</v>
      </c>
      <c r="H12" s="57">
        <v>9890</v>
      </c>
    </row>
    <row r="13" spans="3:8" x14ac:dyDescent="0.3">
      <c r="C13" s="220">
        <v>2.2999999999999998</v>
      </c>
      <c r="D13" s="221">
        <v>56</v>
      </c>
      <c r="E13" s="227">
        <v>6717</v>
      </c>
      <c r="F13" s="57">
        <v>8961</v>
      </c>
      <c r="G13" s="227">
        <v>9890</v>
      </c>
      <c r="H13" s="57">
        <v>10903</v>
      </c>
    </row>
    <row r="14" spans="3:8" x14ac:dyDescent="0.3">
      <c r="C14" s="222">
        <v>3.1</v>
      </c>
      <c r="D14" s="225">
        <v>75.5</v>
      </c>
      <c r="E14" s="230">
        <v>8961</v>
      </c>
      <c r="F14" s="231">
        <v>11980</v>
      </c>
      <c r="G14" s="230">
        <v>10903</v>
      </c>
      <c r="H14" s="231">
        <v>11610</v>
      </c>
    </row>
  </sheetData>
  <mergeCells count="2">
    <mergeCell ref="E5:F5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Prop Geom y de Materiales</vt:lpstr>
      <vt:lpstr>Prop Geom y de Materiales (2)</vt:lpstr>
      <vt:lpstr>Nodos</vt:lpstr>
      <vt:lpstr>Parámetros de Análisis</vt:lpstr>
      <vt:lpstr>Analisis Seccional</vt:lpstr>
      <vt:lpstr>Hoja1</vt:lpstr>
      <vt:lpstr>Resp local exp y analitica</vt:lpstr>
      <vt:lpstr>Drifts</vt:lpstr>
      <vt:lpstr>Energia Disipada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José Núñez</dc:creator>
  <cp:lastModifiedBy>Maria Jose Nunez Gallardo (maria.nunez.g)</cp:lastModifiedBy>
  <dcterms:created xsi:type="dcterms:W3CDTF">2022-03-18T16:39:52Z</dcterms:created>
  <dcterms:modified xsi:type="dcterms:W3CDTF">2023-10-31T20:02:57Z</dcterms:modified>
</cp:coreProperties>
</file>