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j\Documents\GitHub\Ejemplos\Validacion\RW-A20-P10-S38\Documentation\"/>
    </mc:Choice>
  </mc:AlternateContent>
  <xr:revisionPtr revIDLastSave="0" documentId="13_ncr:1_{8572FE90-56F9-4517-87FD-C465B8F1239A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Prop Geom y de Materiales" sheetId="1" r:id="rId1"/>
    <sheet name="Prop Geom y de Materiales (2)" sheetId="7" r:id="rId2"/>
    <sheet name="Nodos" sheetId="11" r:id="rId3"/>
    <sheet name="Parámetros de Análisis" sheetId="2" r:id="rId4"/>
    <sheet name="Analisis Seccional" sheetId="3" r:id="rId5"/>
    <sheet name="Hoja1" sheetId="5" r:id="rId6"/>
    <sheet name="Resp local exp y analitica" sheetId="8" r:id="rId7"/>
    <sheet name="Drifts" sheetId="9" r:id="rId8"/>
    <sheet name="Energia Disipada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1" l="1"/>
  <c r="AH23" i="11"/>
  <c r="AH19" i="11"/>
  <c r="AH17" i="11"/>
  <c r="AH15" i="11"/>
  <c r="AH21" i="11"/>
  <c r="AH13" i="11"/>
  <c r="AH11" i="11"/>
  <c r="AA15" i="11"/>
  <c r="AA13" i="11"/>
  <c r="AA11" i="11"/>
  <c r="AH9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2" i="11"/>
  <c r="AF11" i="11"/>
  <c r="Y12" i="11"/>
  <c r="Y11" i="11"/>
  <c r="S31" i="11"/>
  <c r="AA21" i="11"/>
  <c r="AA19" i="11"/>
  <c r="AA17" i="11"/>
  <c r="AA9" i="11"/>
  <c r="O29" i="1"/>
  <c r="O27" i="1"/>
  <c r="O26" i="1"/>
  <c r="O25" i="1"/>
  <c r="O24" i="1"/>
  <c r="O23" i="1"/>
  <c r="O21" i="1"/>
  <c r="O18" i="1"/>
  <c r="O17" i="1"/>
  <c r="O16" i="1"/>
  <c r="O15" i="1"/>
  <c r="J66" i="11"/>
  <c r="J64" i="11"/>
  <c r="J63" i="11"/>
  <c r="J61" i="11"/>
  <c r="I66" i="11"/>
  <c r="I61" i="11"/>
  <c r="Y13" i="11" l="1"/>
  <c r="Y14" i="11"/>
  <c r="Y21" i="11"/>
  <c r="Y24" i="11"/>
  <c r="Y22" i="11"/>
  <c r="Y20" i="11"/>
  <c r="Y18" i="11"/>
  <c r="Y16" i="11"/>
  <c r="Y23" i="11"/>
  <c r="Y15" i="11"/>
  <c r="Y17" i="11" s="1"/>
  <c r="Y19" i="11" s="1"/>
  <c r="T26" i="11"/>
  <c r="R26" i="11"/>
  <c r="T25" i="11"/>
  <c r="R25" i="11"/>
  <c r="T24" i="11"/>
  <c r="R24" i="11"/>
  <c r="T23" i="11"/>
  <c r="R23" i="11"/>
  <c r="T22" i="11"/>
  <c r="R22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15" i="11"/>
  <c r="R15" i="11"/>
  <c r="T14" i="11"/>
  <c r="R14" i="11"/>
  <c r="T13" i="11"/>
  <c r="R13" i="11"/>
  <c r="T12" i="11"/>
  <c r="R12" i="11"/>
  <c r="T11" i="11"/>
  <c r="R11" i="11"/>
  <c r="T10" i="11"/>
  <c r="R10" i="11"/>
  <c r="T9" i="11"/>
  <c r="R9" i="11"/>
  <c r="T8" i="11"/>
  <c r="R8" i="11"/>
  <c r="T7" i="11"/>
  <c r="R7" i="11"/>
  <c r="L19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20" i="11"/>
  <c r="L21" i="11"/>
  <c r="L22" i="11"/>
  <c r="L23" i="11"/>
  <c r="L24" i="11"/>
  <c r="L25" i="11"/>
  <c r="L6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N4" i="1"/>
  <c r="M4" i="1"/>
  <c r="M9" i="1" s="1"/>
  <c r="C26" i="9" l="1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8" i="1"/>
  <c r="O19" i="1"/>
  <c r="O20" i="1"/>
  <c r="O22" i="1"/>
  <c r="D27" i="9" l="1"/>
  <c r="E19" i="9"/>
  <c r="F19" i="9" s="1"/>
  <c r="E27" i="9" l="1"/>
  <c r="C6" i="9"/>
  <c r="D6" i="9" s="1"/>
  <c r="E6" i="9" s="1"/>
  <c r="G6" i="9" s="1"/>
  <c r="C7" i="9"/>
  <c r="D7" i="9" s="1"/>
  <c r="E7" i="9" s="1"/>
  <c r="C8" i="9"/>
  <c r="D8" i="9" s="1"/>
  <c r="E8" i="9" s="1"/>
  <c r="C9" i="9"/>
  <c r="D9" i="9" s="1"/>
  <c r="E9" i="9" s="1"/>
  <c r="C10" i="9"/>
  <c r="D10" i="9" s="1"/>
  <c r="E10" i="9" s="1"/>
  <c r="C11" i="9"/>
  <c r="D11" i="9" s="1"/>
  <c r="E11" i="9" s="1"/>
  <c r="C12" i="9"/>
  <c r="D12" i="9" s="1"/>
  <c r="E12" i="9" s="1"/>
  <c r="C13" i="9"/>
  <c r="D13" i="9" s="1"/>
  <c r="E13" i="9" s="1"/>
  <c r="F10" i="9" l="1"/>
  <c r="G10" i="9"/>
  <c r="F11" i="9"/>
  <c r="G11" i="9"/>
  <c r="F8" i="9"/>
  <c r="G8" i="9"/>
  <c r="F7" i="9"/>
  <c r="G7" i="9"/>
  <c r="E14" i="9"/>
  <c r="F9" i="9"/>
  <c r="G9" i="9"/>
  <c r="F12" i="9"/>
  <c r="G12" i="9"/>
  <c r="F13" i="9"/>
  <c r="G13" i="9"/>
  <c r="D14" i="9"/>
  <c r="M32" i="7"/>
  <c r="M4" i="7"/>
  <c r="M9" i="7" s="1"/>
  <c r="G14" i="9" l="1"/>
  <c r="F6" i="9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Jose Nuñez</author>
    <author>María José Núñez</author>
  </authors>
  <commentList>
    <comment ref="M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T5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E3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María José Núñez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<sst xmlns="http://schemas.openxmlformats.org/spreadsheetml/2006/main" count="881" uniqueCount="383">
  <si>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</si>
  <si>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</si>
  <si>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</si>
  <si>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</si>
  <si>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</si>
  <si>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</si>
  <si>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</si>
  <si>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</si>
  <si>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</si>
  <si>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</si>
  <si>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</si>
  <si>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</si>
  <si>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</si>
  <si>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</si>
  <si>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</si>
  <si>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</si>
  <si>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</si>
  <si>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</si>
  <si>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</si>
  <si>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</si>
  <si>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</si>
  <si>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</si>
  <si>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</si>
  <si>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</si>
  <si>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</si>
  <si>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</si>
  <si>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</si>
  <si>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</si>
  <si>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</si>
  <si>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</si>
  <si>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</si>
  <si>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</si>
  <si>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</si>
  <si>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</si>
  <si>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</si>
  <si>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</si>
  <si>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</si>
  <si>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</si>
  <si>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</si>
  <si>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</si>
  <si>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</si>
  <si>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</si>
  <si>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</si>
  <si>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</si>
  <si>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</si>
  <si>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</si>
  <si>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</si>
  <si>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</si>
  <si>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</si>
  <si>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</si>
  <si>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</si>
  <si>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</si>
  <si>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</si>
  <si>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</si>
  <si>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</si>
  <si>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</si>
  <si>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</si>
  <si>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</si>
  <si>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</si>
  <si>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</si>
  <si>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</si>
  <si>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</si>
  <si>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</si>
  <si>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</si>
  <si>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</si>
  <si>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</si>
  <si>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</si>
  <si>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</si>
  <si>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</si>
  <si>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</si>
  <si>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</si>
  <si>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</si>
  <si>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</si>
  <si>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</si>
  <si>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</si>
  <si>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</si>
  <si>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</si>
  <si>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</si>
  <si>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</si>
  <si>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</si>
  <si>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</si>
  <si>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</si>
  <si>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</si>
  <si>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</si>
  <si>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</si>
  <si>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</si>
  <si>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</si>
  <si>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</si>
  <si>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</si>
  <si>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</si>
  <si>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</si>
  <si>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</si>
  <si>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</si>
  <si>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</si>
  <si>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</si>
  <si>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</si>
  <si>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</si>
  <si>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</si>
  <si>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</si>
  <si>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</si>
  <si>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</si>
  <si>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</si>
  <si>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</si>
  <si>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</si>
  <si>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</si>
  <si>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</si>
  <si>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</si>
  <si>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</si>
  <si>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</si>
  <si>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</si>
  <si>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</si>
  <si>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</si>
  <si>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</si>
  <si>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</si>
  <si>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</si>
  <si>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</si>
  <si>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</si>
  <si>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</si>
  <si>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</si>
  <si>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</si>
  <si>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</si>
  <si>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</si>
  <si>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</si>
  <si>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</si>
  <si>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</si>
  <si>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</si>
  <si>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</si>
  <si>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</si>
  <si>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</si>
  <si>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</si>
  <si>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</si>
  <si>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</si>
  <si>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</si>
  <si>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</si>
  <si>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</si>
  <si>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</si>
  <si>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</si>
  <si>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</si>
  <si>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</si>
  <si>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</si>
  <si>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</si>
  <si>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</si>
  <si>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</si>
  <si>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</si>
  <si>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</si>
  <si>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</si>
  <si>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</si>
  <si>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</si>
  <si>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</si>
  <si>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</si>
  <si>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</si>
  <si>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</si>
  <si>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</si>
  <si>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</si>
  <si>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</si>
  <si>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</si>
  <si>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</si>
  <si>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</si>
  <si>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</si>
  <si>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</si>
  <si>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</si>
  <si>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</si>
  <si>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</si>
  <si>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</si>
  <si>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</si>
  <si>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</si>
  <si>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</si>
  <si>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</si>
  <si>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</si>
  <si>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</si>
  <si>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</si>
  <si>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</si>
  <si>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</si>
  <si>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</si>
  <si>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</si>
  <si>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</si>
  <si>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</si>
  <si>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</si>
  <si>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</si>
  <si>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</si>
  <si>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</si>
  <si>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</si>
  <si>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</si>
  <si>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</si>
  <si>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</si>
  <si>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</si>
  <si>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</si>
  <si>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</si>
  <si>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</si>
  <si>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</si>
  <si>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</si>
  <si>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</si>
  <si>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</si>
  <si>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</si>
  <si>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</si>
  <si>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</si>
  <si>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</si>
  <si>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</si>
  <si>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</si>
  <si>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</si>
  <si>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</si>
  <si>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</si>
  <si>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</si>
  <si>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</si>
  <si>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</si>
  <si>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</si>
  <si>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</si>
  <si>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</si>
  <si>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</si>
  <si>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</si>
  <si>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</si>
  <si>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</si>
  <si>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</si>
  <si>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</si>
  <si>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</si>
  <si>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</si>
  <si>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</si>
  <si>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</si>
  <si>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</si>
  <si>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</si>
  <si>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</si>
  <si>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</si>
  <si>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</si>
  <si>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</si>
  <si>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</si>
  <si>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</si>
  <si>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</si>
  <si>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</si>
  <si>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</si>
  <si>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</si>
  <si>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</si>
  <si>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</si>
  <si>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</si>
  <si>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</si>
  <si>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</si>
  <si>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</si>
  <si>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</si>
  <si>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</si>
  <si>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</si>
  <si>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</si>
  <si>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</si>
  <si>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</si>
  <si>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</si>
  <si>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</si>
  <si>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</si>
  <si>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</si>
  <si>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</si>
  <si>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</si>
  <si>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</si>
  <si>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</si>
  <si>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</si>
  <si>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</si>
  <si>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</si>
  <si>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</si>
  <si>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</si>
  <si>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</si>
  <si>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</si>
  <si>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</si>
  <si>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</si>
  <si>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</si>
  <si>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</si>
  <si>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</si>
  <si>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</si>
  <si>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</si>
  <si>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</si>
  <si>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</si>
  <si>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</si>
  <si>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</si>
  <si>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</si>
  <si>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</si>
  <si>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</si>
  <si>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</si>
  <si>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</si>
  <si>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</si>
  <si>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</si>
  <si>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</si>
  <si>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</si>
  <si>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</si>
  <si>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</si>
  <si>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</si>
  <si>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</si>
  <si>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</si>
  <si>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</si>
  <si>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</si>
  <si>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</si>
  <si>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</si>
  <si>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</si>
  <si>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</si>
  <si>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</si>
  <si>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</si>
  <si>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</si>
  <si>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</si>
  <si>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</si>
  <si>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</si>
  <si>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</si>
  <si>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</si>
  <si>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</si>
  <si>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</si>
  <si>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</si>
  <si>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</si>
  <si>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</si>
  <si>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</si>
  <si>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</si>
  <si>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</si>
  <si>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</si>
  <si>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</si>
  <si>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</si>
  <si>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</si>
  <si>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</si>
  <si>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</si>
  <si>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</si>
  <si>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</si>
  <si>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</si>
  <si>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</si>
  <si>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</si>
  <si>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</si>
  <si>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</si>
  <si>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</si>
  <si>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</si>
  <si>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</si>
  <si>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</si>
  <si>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</si>
  <si>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</si>
  <si>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</si>
  <si>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</si>
  <si>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</si>
  <si>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</si>
  <si>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</si>
  <si>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</si>
  <si>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</si>
  <si>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</si>
  <si>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</si>
  <si>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</si>
  <si>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</si>
  <si>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</si>
  <si>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</si>
  <si>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</si>
  <si>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</si>
  <si>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</si>
  <si>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</si>
  <si>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</si>
  <si>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</si>
  <si>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</si>
  <si>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</si>
  <si>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</si>
  <si>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</si>
  <si>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</si>
  <si>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</si>
  <si>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</si>
  <si>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</si>
  <si>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</si>
  <si>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</si>
  <si>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</si>
  <si>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</si>
  <si>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</si>
  <si>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</si>
  <si>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</si>
  <si>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</si>
  <si>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</si>
  <si>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</si>
  <si>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</si>
  <si>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</si>
  <si>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</si>
  <si>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</si>
  <si>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</si>
  <si>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</si>
  <si>
    <t>Modelo</t>
  </si>
  <si>
    <t>Test</t>
  </si>
  <si>
    <t>Load Step inicio drift</t>
  </si>
  <si>
    <t>Load Step fin drift</t>
  </si>
  <si>
    <t>Gfc</t>
  </si>
  <si>
    <t>N/mm</t>
  </si>
  <si>
    <t>ec</t>
  </si>
  <si>
    <t>Lelem</t>
  </si>
  <si>
    <t>er</t>
  </si>
  <si>
    <t>Ec</t>
  </si>
  <si>
    <t>No confinado</t>
  </si>
  <si>
    <t>Confinado</t>
  </si>
  <si>
    <t>K</t>
  </si>
  <si>
    <t>-</t>
  </si>
  <si>
    <t>1 ELEMENTO PARA EL LARGO TOTAL DE ROTULA PLASTICA</t>
  </si>
  <si>
    <t>2 ELEMENTOS PARA EL LARGO TOTAL DE ROTULA PLASTICA</t>
  </si>
  <si>
    <t>ENERGIA DE FRACTURA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</si>
</sst>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95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2" fontId="5" fillId="0" borderId="0" xfId="0" applyNumberFormat="1" applyFont="1"/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22" xfId="0" applyBorder="1"/>
    <xf numFmtId="0" fontId="0" fillId="0" borderId="23" xfId="0" applyBorder="1"/>
    <xf numFmtId="0" fontId="5" fillId="3" borderId="9" xfId="0" applyFont="1" applyFill="1" applyBorder="1" applyAlignment="1">
      <alignment horizontal="center"/>
    </xf>
    <xf numFmtId="166" fontId="5" fillId="3" borderId="10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Border="1"/>
    <xf numFmtId="0" fontId="0" fillId="3" borderId="20" xfId="0" applyFill="1" applyBorder="1"/>
    <xf numFmtId="0" fontId="0" fillId="3" borderId="0" xfId="0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28" xfId="0" applyBorder="1"/>
    <xf numFmtId="0" fontId="0" fillId="3" borderId="2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174134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58617</xdr:colOff>
      <xdr:row>5</xdr:row>
      <xdr:rowOff>95250</xdr:rowOff>
    </xdr:from>
    <xdr:to>
      <xdr:col>7</xdr:col>
      <xdr:colOff>511127</xdr:colOff>
      <xdr:row>20</xdr:row>
      <xdr:rowOff>78985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E60C8-2E66-08ED-49E9-3D7DF8D52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155" y="1033096"/>
          <a:ext cx="2284534" cy="2731331"/>
        </a:xfrm>
        <a:prstGeom prst="rect">
          <a:avLst/>
        </a:prstGeom>
      </xdr:spPr>
    </xdr:pic>
    <xdr:clientData/>
  </xdr:twoCellAnchor>
  <xdr:twoCellAnchor editAs="oneCell">
    <xdr:from>
      <xdr:col>9</xdr:col>
      <xdr:colOff>183466</xdr:colOff>
      <xdr:row>30</xdr:row>
      <xdr:rowOff>9525</xdr:rowOff>
    </xdr:from>
    <xdr:to>
      <xdr:col>14</xdr:col>
      <xdr:colOff>560660</xdr:colOff>
      <xdr:row>55</xdr:row>
      <xdr:rowOff>95736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A00D7-A387-4DEB-9613-CB02F7138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9866" y="5486400"/>
          <a:ext cx="3968119" cy="4610586"/>
        </a:xfrm>
        <a:prstGeom prst="rect">
          <a:avLst/>
        </a:prstGeom>
      </xdr:spPr>
    </xdr:pic>
    <xdr:clientData/>
  </xdr:twoCellAnchor>
  <xdr:twoCellAnchor editAs="oneCell">
    <xdr:from>
      <xdr:col>22</xdr:col>
      <xdr:colOff>626193</xdr:colOff>
      <xdr:row>29</xdr:row>
      <xdr:rowOff>15240</xdr:rowOff>
    </xdr:from>
    <xdr:to>
      <xdr:col>29</xdr:col>
      <xdr:colOff>180115</xdr:colOff>
      <xdr:row>55</xdr:row>
      <xdr:rowOff>35283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B8AF20-348F-D69C-EB9B-29E42EE4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1768" y="5311140"/>
          <a:ext cx="4421197" cy="4725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V73"/>
  <sheetViews>
    <sheetView zoomScale="78" zoomScaleNormal="50" workbookViewId="0">
      <selection activeCell="O30" sqref="O30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21.4414062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9" t="s">
        <v>333</v>
      </c>
      <c r="K2" s="240"/>
      <c r="L2" s="240"/>
      <c r="M2" s="240"/>
      <c r="N2" s="241"/>
      <c r="Q2" s="239" t="s">
        <v>336</v>
      </c>
      <c r="R2" s="240"/>
      <c r="S2" s="240"/>
      <c r="T2" s="240"/>
      <c r="U2" s="241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5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M29</f>
        <v>2438.4</v>
      </c>
      <c r="N4" s="183">
        <f>M4/25.4</f>
        <v>96.000000000000014</v>
      </c>
      <c r="Q4" s="246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6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6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6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4.4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6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1.998688524590164</v>
      </c>
      <c r="N9" s="200" t="s">
        <v>353</v>
      </c>
      <c r="Q9" s="246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6"/>
      <c r="R10" s="6" t="s">
        <v>13</v>
      </c>
      <c r="S10" s="7"/>
      <c r="T10" s="7"/>
      <c r="U10" s="30"/>
    </row>
    <row r="11" spans="10:21" ht="14.4" thickBot="1" x14ac:dyDescent="0.3">
      <c r="J11" s="242" t="s">
        <v>80</v>
      </c>
      <c r="K11" s="243"/>
      <c r="L11" s="243"/>
      <c r="M11" s="243"/>
      <c r="N11" s="244"/>
      <c r="Q11" s="246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6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6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6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26">
        <f>M15-$M$15/2</f>
        <v>157.845</v>
      </c>
      <c r="Q15" s="246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26">
        <f>M16-$M$15/2</f>
        <v>157.845</v>
      </c>
      <c r="Q16" s="246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26">
        <f>M17-$M$15/2</f>
        <v>473.52499999999998</v>
      </c>
      <c r="Q17" s="246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26">
        <f>M18-$M$15/2</f>
        <v>473.52499999999998</v>
      </c>
      <c r="Q18" s="246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26">
        <f t="shared" ref="O19:O22" si="3">M19-$M$15/2</f>
        <v>789.21499999999992</v>
      </c>
      <c r="Q19" s="246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26">
        <f t="shared" si="3"/>
        <v>789.21499999999992</v>
      </c>
      <c r="Q20" s="246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26">
        <f>M21-$M$15/2</f>
        <v>1104.895</v>
      </c>
      <c r="Q21" s="246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26">
        <f t="shared" si="3"/>
        <v>1104.895</v>
      </c>
      <c r="Q22" s="246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26">
        <f t="shared" ref="O23:O28" si="4">M23-$M$15/2</f>
        <v>1420.585</v>
      </c>
      <c r="Q23" s="247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26">
        <f t="shared" si="4"/>
        <v>1420.585</v>
      </c>
      <c r="Q24" s="248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26">
        <f t="shared" si="4"/>
        <v>1736.2649999999999</v>
      </c>
      <c r="Q25" s="246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26">
        <f t="shared" si="4"/>
        <v>1736.2649999999999</v>
      </c>
      <c r="Q26" s="246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26">
        <f t="shared" si="4"/>
        <v>2051.9550000000004</v>
      </c>
      <c r="Q27" s="246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26">
        <f t="shared" si="4"/>
        <v>2051.9550000000004</v>
      </c>
      <c r="Q28" s="246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26">
        <f>M29-228.6/2</f>
        <v>2324.1</v>
      </c>
      <c r="Q29" s="246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6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6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6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6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6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6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6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6"/>
      <c r="R37" s="6" t="s">
        <v>44</v>
      </c>
      <c r="S37" s="7"/>
      <c r="T37" s="7"/>
      <c r="U37" s="30"/>
    </row>
    <row r="38" spans="17:21" x14ac:dyDescent="0.25">
      <c r="Q38" s="246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6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6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7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9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7"/>
      <c r="R43" s="6" t="s">
        <v>52</v>
      </c>
      <c r="S43" s="7"/>
      <c r="T43" s="7"/>
      <c r="U43" s="30"/>
    </row>
    <row r="44" spans="17:21" x14ac:dyDescent="0.25">
      <c r="Q44" s="237"/>
      <c r="R44" s="23" t="s">
        <v>53</v>
      </c>
      <c r="S44" s="24" t="s">
        <v>349</v>
      </c>
      <c r="T44" s="15"/>
      <c r="U44" s="25"/>
    </row>
    <row r="45" spans="17:21" x14ac:dyDescent="0.25">
      <c r="Q45" s="237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7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7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7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7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7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7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7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7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7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7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7"/>
      <c r="R56" s="6" t="s">
        <v>69</v>
      </c>
      <c r="S56" s="7"/>
      <c r="T56" s="7"/>
      <c r="U56" s="30"/>
    </row>
    <row r="57" spans="8:22" x14ac:dyDescent="0.25">
      <c r="Q57" s="237"/>
      <c r="R57" s="23" t="s">
        <v>70</v>
      </c>
      <c r="S57" s="24" t="s">
        <v>344</v>
      </c>
      <c r="T57" s="23"/>
      <c r="U57" s="25"/>
    </row>
    <row r="58" spans="8:22" x14ac:dyDescent="0.25">
      <c r="Q58" s="237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7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7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7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7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7"/>
      <c r="R63" s="6" t="s">
        <v>73</v>
      </c>
      <c r="S63" s="7"/>
      <c r="T63" s="7"/>
      <c r="U63" s="30"/>
    </row>
    <row r="64" spans="8:22" x14ac:dyDescent="0.25">
      <c r="Q64" s="237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8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6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7"/>
      <c r="R67" s="6" t="s">
        <v>83</v>
      </c>
      <c r="S67" s="48"/>
      <c r="T67" s="48"/>
      <c r="U67" s="30"/>
    </row>
    <row r="68" spans="17:21" x14ac:dyDescent="0.25">
      <c r="Q68" s="237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7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7"/>
      <c r="R70" s="6" t="s">
        <v>84</v>
      </c>
      <c r="S70" s="48"/>
      <c r="T70" s="48"/>
      <c r="U70" s="49"/>
    </row>
    <row r="71" spans="17:21" x14ac:dyDescent="0.25">
      <c r="Q71" s="237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7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8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V73"/>
  <sheetViews>
    <sheetView topLeftCell="H8" zoomScale="92" zoomScaleNormal="100" workbookViewId="0">
      <selection activeCell="J9" sqref="J9:N9"/>
    </sheetView>
  </sheetViews>
  <sheetFormatPr defaultColWidth="11.5546875" defaultRowHeight="13.8" x14ac:dyDescent="0.25"/>
  <cols>
    <col min="1" max="7" width="11.5546875" style="44"/>
    <col min="8" max="8" width="18.33203125" style="44" customWidth="1"/>
    <col min="9" max="9" width="11.5546875" style="44"/>
    <col min="10" max="10" width="28.5546875" style="44" bestFit="1" customWidth="1"/>
    <col min="11" max="11" width="11.88671875" style="44" bestFit="1" customWidth="1"/>
    <col min="12" max="13" width="12" style="44" bestFit="1" customWidth="1"/>
    <col min="14" max="14" width="17.109375" style="44" customWidth="1"/>
    <col min="15" max="16" width="11.5546875" style="44"/>
    <col min="17" max="17" width="15.6640625" style="44" bestFit="1" customWidth="1"/>
    <col min="18" max="18" width="34.33203125" style="44" customWidth="1"/>
    <col min="19" max="19" width="22.88671875" style="44" bestFit="1" customWidth="1"/>
    <col min="20" max="20" width="10.109375" style="44" bestFit="1" customWidth="1"/>
    <col min="21" max="21" width="17" style="44" customWidth="1"/>
    <col min="22" max="16384" width="11.5546875" style="44"/>
  </cols>
  <sheetData>
    <row r="1" spans="10:21" ht="14.4" thickBot="1" x14ac:dyDescent="0.3"/>
    <row r="2" spans="10:21" ht="14.4" thickBot="1" x14ac:dyDescent="0.3">
      <c r="J2" s="239" t="s">
        <v>333</v>
      </c>
      <c r="K2" s="240"/>
      <c r="L2" s="240"/>
      <c r="M2" s="240"/>
      <c r="N2" s="241"/>
      <c r="Q2" s="239" t="s">
        <v>336</v>
      </c>
      <c r="R2" s="240"/>
      <c r="S2" s="240"/>
      <c r="T2" s="240"/>
      <c r="U2" s="241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5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f>2667/2</f>
        <v>1333.5</v>
      </c>
      <c r="N4" s="183">
        <f>M4/25.4</f>
        <v>52.5</v>
      </c>
      <c r="Q4" s="246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6"/>
      <c r="R5" s="1" t="s">
        <v>5</v>
      </c>
      <c r="S5" s="2"/>
      <c r="T5" s="2"/>
      <c r="U5" s="22"/>
    </row>
    <row r="6" spans="10:21" ht="14.4" x14ac:dyDescent="0.3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6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6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L8" s="181" t="s">
        <v>340</v>
      </c>
      <c r="M8" s="177">
        <v>228.6</v>
      </c>
      <c r="N8" s="183">
        <f>M8/25.4</f>
        <v>9</v>
      </c>
      <c r="Q8" s="246"/>
      <c r="R8" s="23" t="s">
        <v>10</v>
      </c>
      <c r="S8" s="24" t="s">
        <v>347</v>
      </c>
      <c r="T8" s="28"/>
      <c r="U8" s="25"/>
    </row>
    <row r="9" spans="10:21" ht="14.4" thickBot="1" x14ac:dyDescent="0.3">
      <c r="J9" s="184" t="s">
        <v>350</v>
      </c>
      <c r="K9" s="185"/>
      <c r="L9" s="195" t="s">
        <v>351</v>
      </c>
      <c r="M9" s="199">
        <f>M4/M5</f>
        <v>1.0930327868852459</v>
      </c>
      <c r="N9" s="200" t="s">
        <v>352</v>
      </c>
      <c r="Q9" s="246"/>
      <c r="R9" s="3" t="s">
        <v>11</v>
      </c>
      <c r="S9" s="4" t="s">
        <v>12</v>
      </c>
      <c r="T9" s="5">
        <v>0.02</v>
      </c>
      <c r="U9" s="29"/>
    </row>
    <row r="10" spans="10:21" ht="14.4" thickBot="1" x14ac:dyDescent="0.3">
      <c r="Q10" s="246"/>
      <c r="R10" s="6" t="s">
        <v>13</v>
      </c>
      <c r="S10" s="7"/>
      <c r="T10" s="7"/>
      <c r="U10" s="30"/>
    </row>
    <row r="11" spans="10:21" ht="14.4" thickBot="1" x14ac:dyDescent="0.3">
      <c r="J11" s="242" t="s">
        <v>80</v>
      </c>
      <c r="K11" s="243"/>
      <c r="L11" s="243"/>
      <c r="M11" s="243"/>
      <c r="N11" s="244"/>
      <c r="Q11" s="246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6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6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6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1">
        <f>315.69/2</f>
        <v>157.845</v>
      </c>
      <c r="N15" s="179">
        <f t="shared" si="2"/>
        <v>6.2143700787401581</v>
      </c>
      <c r="O15" s="178"/>
      <c r="Q15" s="246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1">
        <f>315.69/2</f>
        <v>157.845</v>
      </c>
      <c r="N16" s="179">
        <f t="shared" si="2"/>
        <v>6.2143700787401581</v>
      </c>
      <c r="Q16" s="246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1">
        <f>631.37/2</f>
        <v>315.685</v>
      </c>
      <c r="N17" s="179">
        <f t="shared" si="2"/>
        <v>12.428543307086615</v>
      </c>
      <c r="O17" s="178"/>
      <c r="Q17" s="246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1">
        <f>631.37/2</f>
        <v>315.685</v>
      </c>
      <c r="N18" s="179">
        <f t="shared" si="2"/>
        <v>12.428543307086615</v>
      </c>
      <c r="Q18" s="246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6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6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6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6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1">
        <f>1578.43/2</f>
        <v>789.21500000000003</v>
      </c>
      <c r="N23" s="179">
        <f t="shared" si="2"/>
        <v>31.07145669291339</v>
      </c>
      <c r="O23" s="178"/>
      <c r="Q23" s="247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1">
        <f>1578.43/2</f>
        <v>789.21500000000003</v>
      </c>
      <c r="N24" s="179">
        <f t="shared" si="2"/>
        <v>31.07145669291339</v>
      </c>
      <c r="Q24" s="248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1">
        <f>1894.11/2</f>
        <v>947.05499999999995</v>
      </c>
      <c r="N25" s="179">
        <f t="shared" si="2"/>
        <v>37.28562992125984</v>
      </c>
      <c r="O25" s="178"/>
      <c r="Q25" s="246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1">
        <f>1894.11/2</f>
        <v>947.05499999999995</v>
      </c>
      <c r="N26" s="179">
        <f t="shared" si="2"/>
        <v>37.28562992125984</v>
      </c>
      <c r="Q26" s="246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6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6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6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6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6"/>
      <c r="R31" s="6" t="s">
        <v>37</v>
      </c>
      <c r="S31" s="7"/>
      <c r="T31" s="7"/>
      <c r="U31" s="30"/>
    </row>
    <row r="32" spans="10:22" ht="14.4" thickBot="1" x14ac:dyDescent="0.3">
      <c r="J32" s="16">
        <v>20</v>
      </c>
      <c r="K32" s="17">
        <v>1220</v>
      </c>
      <c r="L32" s="17">
        <f t="shared" si="1"/>
        <v>48.031496062992126</v>
      </c>
      <c r="M32" s="202">
        <f>2667/2</f>
        <v>1333.5</v>
      </c>
      <c r="N32" s="180">
        <f t="shared" si="2"/>
        <v>52.5</v>
      </c>
      <c r="Q32" s="246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6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6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6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6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6"/>
      <c r="R37" s="6" t="s">
        <v>44</v>
      </c>
      <c r="S37" s="7"/>
      <c r="T37" s="7"/>
      <c r="U37" s="30"/>
    </row>
    <row r="38" spans="17:21" x14ac:dyDescent="0.25">
      <c r="Q38" s="246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6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6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7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9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7"/>
      <c r="R43" s="6" t="s">
        <v>52</v>
      </c>
      <c r="S43" s="7"/>
      <c r="T43" s="7"/>
      <c r="U43" s="30"/>
    </row>
    <row r="44" spans="17:21" x14ac:dyDescent="0.25">
      <c r="Q44" s="237"/>
      <c r="R44" s="23" t="s">
        <v>53</v>
      </c>
      <c r="S44" s="24" t="s">
        <v>349</v>
      </c>
      <c r="T44" s="15"/>
      <c r="U44" s="25"/>
    </row>
    <row r="45" spans="17:21" x14ac:dyDescent="0.25">
      <c r="Q45" s="237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7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7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7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7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7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7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7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7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7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7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7"/>
      <c r="R56" s="6" t="s">
        <v>69</v>
      </c>
      <c r="S56" s="7"/>
      <c r="T56" s="7"/>
      <c r="U56" s="30"/>
    </row>
    <row r="57" spans="8:22" x14ac:dyDescent="0.25">
      <c r="Q57" s="237"/>
      <c r="R57" s="23" t="s">
        <v>70</v>
      </c>
      <c r="S57" s="24" t="s">
        <v>344</v>
      </c>
      <c r="T57" s="23"/>
      <c r="U57" s="25"/>
    </row>
    <row r="58" spans="8:22" x14ac:dyDescent="0.25">
      <c r="Q58" s="237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7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7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7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7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7"/>
      <c r="R63" s="6" t="s">
        <v>73</v>
      </c>
      <c r="S63" s="7"/>
      <c r="T63" s="7"/>
      <c r="U63" s="30"/>
    </row>
    <row r="64" spans="8:22" x14ac:dyDescent="0.25">
      <c r="Q64" s="237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4.4" thickBot="1" x14ac:dyDescent="0.3">
      <c r="Q65" s="238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6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7"/>
      <c r="R67" s="6" t="s">
        <v>83</v>
      </c>
      <c r="S67" s="48"/>
      <c r="T67" s="48"/>
      <c r="U67" s="30"/>
    </row>
    <row r="68" spans="17:21" x14ac:dyDescent="0.25">
      <c r="Q68" s="237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7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7"/>
      <c r="R70" s="6" t="s">
        <v>84</v>
      </c>
      <c r="S70" s="48"/>
      <c r="T70" s="48"/>
      <c r="U70" s="49"/>
    </row>
    <row r="71" spans="17:21" x14ac:dyDescent="0.25">
      <c r="Q71" s="237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7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4.4" thickBot="1" x14ac:dyDescent="0.3">
      <c r="Q73" s="238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495-0A64-4917-8E7B-BBB41A05E68F}">
  <dimension ref="H3:AH66"/>
  <sheetViews>
    <sheetView tabSelected="1" topLeftCell="G50" zoomScale="140" zoomScaleNormal="140" workbookViewId="0">
      <selection activeCell="P60" sqref="P60"/>
    </sheetView>
  </sheetViews>
  <sheetFormatPr defaultRowHeight="14.4" x14ac:dyDescent="0.3"/>
  <cols>
    <col min="9" max="9" width="14.77734375" customWidth="1"/>
    <col min="10" max="10" width="11" customWidth="1"/>
    <col min="11" max="11" width="10.33203125" customWidth="1"/>
    <col min="12" max="12" width="11.33203125" customWidth="1"/>
    <col min="13" max="13" width="10.77734375" customWidth="1"/>
    <col min="16" max="16" width="5.5546875" bestFit="1" customWidth="1"/>
    <col min="17" max="17" width="11.5546875" bestFit="1" customWidth="1"/>
    <col min="18" max="18" width="12" bestFit="1" customWidth="1"/>
    <col min="19" max="19" width="11.5546875" bestFit="1" customWidth="1"/>
    <col min="20" max="20" width="9.88671875" bestFit="1" customWidth="1"/>
    <col min="22" max="22" width="5.44140625" bestFit="1" customWidth="1"/>
    <col min="23" max="23" width="11.5546875" bestFit="1" customWidth="1"/>
    <col min="24" max="24" width="9.88671875" bestFit="1" customWidth="1"/>
    <col min="25" max="25" width="11.6640625" bestFit="1" customWidth="1"/>
    <col min="26" max="26" width="11.77734375" customWidth="1"/>
    <col min="29" max="29" width="8.44140625" customWidth="1"/>
    <col min="30" max="30" width="11.5546875" bestFit="1" customWidth="1"/>
    <col min="31" max="31" width="9.88671875" bestFit="1" customWidth="1"/>
    <col min="32" max="32" width="11.6640625" bestFit="1" customWidth="1"/>
    <col min="33" max="33" width="10" bestFit="1" customWidth="1"/>
  </cols>
  <sheetData>
    <row r="3" spans="9:34" ht="15" thickBot="1" x14ac:dyDescent="0.35"/>
    <row r="4" spans="9:34" ht="15" thickBot="1" x14ac:dyDescent="0.35">
      <c r="I4" s="242" t="s">
        <v>80</v>
      </c>
      <c r="J4" s="243"/>
      <c r="K4" s="243"/>
      <c r="L4" s="243"/>
      <c r="M4" s="244"/>
    </row>
    <row r="5" spans="9:34" ht="15" thickBot="1" x14ac:dyDescent="0.35">
      <c r="I5" s="11" t="s">
        <v>90</v>
      </c>
      <c r="J5" s="12" t="s">
        <v>327</v>
      </c>
      <c r="K5" s="12" t="s">
        <v>311</v>
      </c>
      <c r="L5" s="12" t="s">
        <v>328</v>
      </c>
      <c r="M5" s="13" t="s">
        <v>312</v>
      </c>
      <c r="P5" s="242" t="s">
        <v>80</v>
      </c>
      <c r="Q5" s="243"/>
      <c r="R5" s="243"/>
      <c r="S5" s="243"/>
      <c r="T5" s="244"/>
      <c r="V5" s="289" t="s">
        <v>380</v>
      </c>
      <c r="W5" s="290"/>
      <c r="X5" s="290"/>
      <c r="Y5" s="290"/>
      <c r="Z5" s="291"/>
      <c r="AC5" s="278" t="s">
        <v>381</v>
      </c>
      <c r="AD5" s="279"/>
      <c r="AE5" s="279"/>
      <c r="AF5" s="279"/>
      <c r="AG5" s="280"/>
    </row>
    <row r="6" spans="9:34" x14ac:dyDescent="0.3">
      <c r="I6" s="14">
        <v>1</v>
      </c>
      <c r="J6" s="15">
        <v>0</v>
      </c>
      <c r="K6" s="15">
        <f>J6/25.4</f>
        <v>0</v>
      </c>
      <c r="L6" s="15">
        <f>M6*25.4</f>
        <v>0</v>
      </c>
      <c r="M6" s="179">
        <v>0</v>
      </c>
      <c r="P6" s="11" t="s">
        <v>90</v>
      </c>
      <c r="Q6" s="12" t="s">
        <v>327</v>
      </c>
      <c r="R6" s="12" t="s">
        <v>311</v>
      </c>
      <c r="S6" s="12" t="s">
        <v>328</v>
      </c>
      <c r="T6" s="13" t="s">
        <v>312</v>
      </c>
      <c r="V6" s="97" t="s">
        <v>90</v>
      </c>
      <c r="W6" s="98" t="s">
        <v>327</v>
      </c>
      <c r="X6" s="98" t="s">
        <v>311</v>
      </c>
      <c r="Y6" s="98" t="s">
        <v>328</v>
      </c>
      <c r="Z6" s="99" t="s">
        <v>312</v>
      </c>
      <c r="AC6" s="97" t="s">
        <v>90</v>
      </c>
      <c r="AD6" s="98" t="s">
        <v>327</v>
      </c>
      <c r="AE6" s="98" t="s">
        <v>311</v>
      </c>
      <c r="AF6" s="98" t="s">
        <v>328</v>
      </c>
      <c r="AG6" s="99" t="s">
        <v>312</v>
      </c>
    </row>
    <row r="7" spans="9:34" x14ac:dyDescent="0.3">
      <c r="I7" s="14">
        <v>2</v>
      </c>
      <c r="J7" s="15">
        <v>1220</v>
      </c>
      <c r="K7" s="15">
        <f t="shared" ref="K7:K25" si="0">J7/25.4</f>
        <v>48.031496062992126</v>
      </c>
      <c r="L7" s="15">
        <f t="shared" ref="L7:L25" si="1">M7*25.4</f>
        <v>0</v>
      </c>
      <c r="M7" s="179">
        <v>0</v>
      </c>
      <c r="P7" s="14">
        <v>1</v>
      </c>
      <c r="Q7" s="15">
        <v>0</v>
      </c>
      <c r="R7" s="15">
        <f>Q7/25.4</f>
        <v>0</v>
      </c>
      <c r="S7" s="15">
        <v>0</v>
      </c>
      <c r="T7" s="179">
        <f>S7/25.4</f>
        <v>0</v>
      </c>
      <c r="V7" s="227">
        <v>1</v>
      </c>
      <c r="W7" s="285"/>
      <c r="X7" s="285"/>
      <c r="Y7" s="285">
        <v>0</v>
      </c>
      <c r="Z7" s="57"/>
      <c r="AC7" s="227">
        <v>1</v>
      </c>
      <c r="AD7" s="285"/>
      <c r="AE7" s="285"/>
      <c r="AF7" s="285">
        <v>0</v>
      </c>
      <c r="AG7" s="57"/>
    </row>
    <row r="8" spans="9:34" x14ac:dyDescent="0.3">
      <c r="I8" s="14">
        <v>3</v>
      </c>
      <c r="J8" s="15">
        <v>0</v>
      </c>
      <c r="K8" s="15">
        <f t="shared" si="0"/>
        <v>0</v>
      </c>
      <c r="L8" s="15">
        <f t="shared" si="1"/>
        <v>304.79999999999995</v>
      </c>
      <c r="M8" s="179">
        <f>M7+N8</f>
        <v>12</v>
      </c>
      <c r="N8" s="15">
        <v>12</v>
      </c>
      <c r="P8" s="14">
        <v>2</v>
      </c>
      <c r="Q8" s="15">
        <v>1220</v>
      </c>
      <c r="R8" s="15">
        <f t="shared" ref="R8:R26" si="2">Q8/25.4</f>
        <v>48.031496062992126</v>
      </c>
      <c r="S8" s="15">
        <v>0</v>
      </c>
      <c r="T8" s="179">
        <f t="shared" ref="T8:T26" si="3">S8/25.4</f>
        <v>0</v>
      </c>
      <c r="V8" s="227">
        <v>2</v>
      </c>
      <c r="W8" s="285"/>
      <c r="X8" s="285"/>
      <c r="Y8" s="285">
        <v>0</v>
      </c>
      <c r="Z8" s="57"/>
      <c r="AC8" s="227">
        <v>2</v>
      </c>
      <c r="AD8" s="285"/>
      <c r="AE8" s="285"/>
      <c r="AF8" s="285">
        <v>0</v>
      </c>
      <c r="AG8" s="57"/>
    </row>
    <row r="9" spans="9:34" x14ac:dyDescent="0.3">
      <c r="I9" s="14">
        <v>4</v>
      </c>
      <c r="J9" s="15">
        <v>1220</v>
      </c>
      <c r="K9" s="15">
        <f t="shared" si="0"/>
        <v>48.031496062992126</v>
      </c>
      <c r="L9" s="15">
        <f t="shared" si="1"/>
        <v>304.79999999999995</v>
      </c>
      <c r="M9" s="179">
        <f>M8</f>
        <v>12</v>
      </c>
      <c r="P9" s="14">
        <v>3</v>
      </c>
      <c r="Q9" s="15">
        <v>0</v>
      </c>
      <c r="R9" s="15">
        <f t="shared" si="2"/>
        <v>0</v>
      </c>
      <c r="S9" s="15">
        <v>315.69</v>
      </c>
      <c r="T9" s="179">
        <f t="shared" si="3"/>
        <v>12.428740157480316</v>
      </c>
      <c r="V9" s="227">
        <v>3</v>
      </c>
      <c r="W9" s="285"/>
      <c r="X9" s="285"/>
      <c r="Y9" s="285">
        <v>610</v>
      </c>
      <c r="Z9" s="57"/>
      <c r="AA9">
        <f>Y9-Y9/2</f>
        <v>305</v>
      </c>
      <c r="AC9" s="227">
        <v>3</v>
      </c>
      <c r="AD9" s="285"/>
      <c r="AE9" s="285"/>
      <c r="AF9" s="285">
        <v>305</v>
      </c>
      <c r="AG9" s="57"/>
      <c r="AH9">
        <f>AF9-AF9/2</f>
        <v>152.5</v>
      </c>
    </row>
    <row r="10" spans="9:34" x14ac:dyDescent="0.3">
      <c r="I10" s="14">
        <v>5</v>
      </c>
      <c r="J10" s="15">
        <v>0</v>
      </c>
      <c r="K10" s="15">
        <f t="shared" si="0"/>
        <v>0</v>
      </c>
      <c r="L10" s="15">
        <f t="shared" si="1"/>
        <v>609.59999999999991</v>
      </c>
      <c r="M10" s="179">
        <f>M9+N10</f>
        <v>24</v>
      </c>
      <c r="N10">
        <v>12</v>
      </c>
      <c r="P10" s="14">
        <v>4</v>
      </c>
      <c r="Q10" s="15">
        <v>1220</v>
      </c>
      <c r="R10" s="15">
        <f t="shared" si="2"/>
        <v>48.031496062992126</v>
      </c>
      <c r="S10" s="15">
        <v>315.69</v>
      </c>
      <c r="T10" s="179">
        <f t="shared" si="3"/>
        <v>12.428740157480316</v>
      </c>
      <c r="V10" s="227">
        <v>4</v>
      </c>
      <c r="W10" s="285"/>
      <c r="X10" s="285"/>
      <c r="Y10" s="285">
        <v>610</v>
      </c>
      <c r="Z10" s="57"/>
      <c r="AC10" s="227">
        <v>4</v>
      </c>
      <c r="AD10" s="285"/>
      <c r="AE10" s="285"/>
      <c r="AF10" s="285">
        <v>305</v>
      </c>
      <c r="AG10" s="57"/>
    </row>
    <row r="11" spans="9:34" x14ac:dyDescent="0.3">
      <c r="I11" s="14">
        <v>6</v>
      </c>
      <c r="J11" s="15">
        <v>1220</v>
      </c>
      <c r="K11" s="15">
        <f t="shared" si="0"/>
        <v>48.031496062992126</v>
      </c>
      <c r="L11" s="15">
        <f t="shared" si="1"/>
        <v>609.59999999999991</v>
      </c>
      <c r="M11" s="179">
        <f>M10</f>
        <v>24</v>
      </c>
      <c r="P11" s="14">
        <v>5</v>
      </c>
      <c r="Q11" s="15">
        <v>0</v>
      </c>
      <c r="R11" s="15">
        <f t="shared" si="2"/>
        <v>0</v>
      </c>
      <c r="S11" s="15">
        <v>631.37</v>
      </c>
      <c r="T11" s="179">
        <f t="shared" si="3"/>
        <v>24.85708661417323</v>
      </c>
      <c r="V11" s="227">
        <v>5</v>
      </c>
      <c r="W11" s="285"/>
      <c r="X11" s="285"/>
      <c r="Y11" s="285">
        <f>Y9+S31</f>
        <v>929.96</v>
      </c>
      <c r="Z11" s="57"/>
      <c r="AA11">
        <f>Y11-319.96/2</f>
        <v>769.98</v>
      </c>
      <c r="AC11" s="227">
        <v>5</v>
      </c>
      <c r="AD11" s="285"/>
      <c r="AE11" s="285"/>
      <c r="AF11" s="285">
        <f>AF9*2</f>
        <v>610</v>
      </c>
      <c r="AG11" s="57"/>
      <c r="AH11">
        <f>AF11-AF9/2</f>
        <v>457.5</v>
      </c>
    </row>
    <row r="12" spans="9:34" x14ac:dyDescent="0.3">
      <c r="I12" s="14">
        <v>7</v>
      </c>
      <c r="J12" s="15">
        <v>0</v>
      </c>
      <c r="K12" s="15">
        <f t="shared" si="0"/>
        <v>0</v>
      </c>
      <c r="L12" s="15">
        <f t="shared" si="1"/>
        <v>1016</v>
      </c>
      <c r="M12" s="179">
        <f>M11+N12</f>
        <v>40</v>
      </c>
      <c r="N12">
        <v>16</v>
      </c>
      <c r="P12" s="14">
        <v>6</v>
      </c>
      <c r="Q12" s="15">
        <v>1220</v>
      </c>
      <c r="R12" s="15">
        <f t="shared" si="2"/>
        <v>48.031496062992126</v>
      </c>
      <c r="S12" s="15">
        <v>631.37</v>
      </c>
      <c r="T12" s="179">
        <f t="shared" si="3"/>
        <v>24.85708661417323</v>
      </c>
      <c r="V12" s="227">
        <v>6</v>
      </c>
      <c r="W12" s="285"/>
      <c r="X12" s="285"/>
      <c r="Y12" s="285">
        <f>Y11</f>
        <v>929.96</v>
      </c>
      <c r="Z12" s="57"/>
      <c r="AC12" s="227">
        <v>6</v>
      </c>
      <c r="AD12" s="285"/>
      <c r="AE12" s="285"/>
      <c r="AF12" s="285">
        <f>AF11</f>
        <v>610</v>
      </c>
      <c r="AG12" s="57"/>
    </row>
    <row r="13" spans="9:34" x14ac:dyDescent="0.3">
      <c r="I13" s="14">
        <v>8</v>
      </c>
      <c r="J13" s="15">
        <v>1220</v>
      </c>
      <c r="K13" s="15">
        <f t="shared" si="0"/>
        <v>48.031496062992126</v>
      </c>
      <c r="L13" s="15">
        <f t="shared" si="1"/>
        <v>1016</v>
      </c>
      <c r="M13" s="179">
        <f>M12</f>
        <v>40</v>
      </c>
      <c r="P13" s="14">
        <v>7</v>
      </c>
      <c r="Q13" s="15">
        <v>0</v>
      </c>
      <c r="R13" s="15">
        <f t="shared" si="2"/>
        <v>0</v>
      </c>
      <c r="S13" s="15">
        <v>947.06</v>
      </c>
      <c r="T13" s="179">
        <f t="shared" si="3"/>
        <v>37.285826771653547</v>
      </c>
      <c r="V13" s="227">
        <v>7</v>
      </c>
      <c r="W13" s="285"/>
      <c r="X13" s="285"/>
      <c r="Y13" s="285">
        <f>Y11+S31</f>
        <v>1249.92</v>
      </c>
      <c r="Z13" s="57"/>
      <c r="AA13">
        <f>Y13-319.96/2</f>
        <v>1089.94</v>
      </c>
      <c r="AC13" s="227">
        <v>7</v>
      </c>
      <c r="AD13" s="285"/>
      <c r="AE13" s="285"/>
      <c r="AF13" s="285">
        <f>AF11+S31</f>
        <v>929.96</v>
      </c>
      <c r="AG13" s="57"/>
      <c r="AH13">
        <f>AF13-319.96/2</f>
        <v>769.98</v>
      </c>
    </row>
    <row r="14" spans="9:34" x14ac:dyDescent="0.3">
      <c r="I14" s="14">
        <v>9</v>
      </c>
      <c r="J14" s="15">
        <v>0</v>
      </c>
      <c r="K14" s="15">
        <f t="shared" si="0"/>
        <v>0</v>
      </c>
      <c r="L14" s="15">
        <f t="shared" si="1"/>
        <v>1422.3999999999999</v>
      </c>
      <c r="M14" s="179">
        <f>M13+N14</f>
        <v>56</v>
      </c>
      <c r="N14">
        <v>16</v>
      </c>
      <c r="P14" s="14">
        <v>8</v>
      </c>
      <c r="Q14" s="15">
        <v>1220</v>
      </c>
      <c r="R14" s="15">
        <f t="shared" si="2"/>
        <v>48.031496062992126</v>
      </c>
      <c r="S14" s="15">
        <v>947.06</v>
      </c>
      <c r="T14" s="179">
        <f t="shared" si="3"/>
        <v>37.285826771653547</v>
      </c>
      <c r="V14" s="227">
        <v>8</v>
      </c>
      <c r="W14" s="285"/>
      <c r="X14" s="285"/>
      <c r="Y14" s="285">
        <f>Y13</f>
        <v>1249.92</v>
      </c>
      <c r="Z14" s="57"/>
      <c r="AC14" s="227">
        <v>8</v>
      </c>
      <c r="AD14" s="285"/>
      <c r="AE14" s="285"/>
      <c r="AF14" s="285">
        <f>AF13</f>
        <v>929.96</v>
      </c>
      <c r="AG14" s="57"/>
    </row>
    <row r="15" spans="9:34" x14ac:dyDescent="0.3">
      <c r="I15" s="14">
        <v>10</v>
      </c>
      <c r="J15" s="15">
        <v>1220</v>
      </c>
      <c r="K15" s="15">
        <f t="shared" si="0"/>
        <v>48.031496062992126</v>
      </c>
      <c r="L15" s="15">
        <f t="shared" si="1"/>
        <v>1422.3999999999999</v>
      </c>
      <c r="M15" s="179">
        <f>M14</f>
        <v>56</v>
      </c>
      <c r="P15" s="14">
        <v>9</v>
      </c>
      <c r="Q15" s="15">
        <v>0</v>
      </c>
      <c r="R15" s="15">
        <f t="shared" si="2"/>
        <v>0</v>
      </c>
      <c r="S15" s="15">
        <v>1262.74</v>
      </c>
      <c r="T15" s="179">
        <f t="shared" si="3"/>
        <v>49.714173228346461</v>
      </c>
      <c r="V15" s="227">
        <v>9</v>
      </c>
      <c r="W15" s="285"/>
      <c r="X15" s="285"/>
      <c r="Y15" s="285">
        <f>Y13+S31</f>
        <v>1569.88</v>
      </c>
      <c r="Z15" s="57"/>
      <c r="AA15">
        <f>Y15-319.96/2</f>
        <v>1409.9</v>
      </c>
      <c r="AC15" s="227">
        <v>9</v>
      </c>
      <c r="AD15" s="285"/>
      <c r="AE15" s="285"/>
      <c r="AF15" s="285">
        <f>AF13+S31</f>
        <v>1249.92</v>
      </c>
      <c r="AG15" s="57"/>
      <c r="AH15">
        <f>AF15-319.96/2</f>
        <v>1089.94</v>
      </c>
    </row>
    <row r="16" spans="9:34" x14ac:dyDescent="0.3">
      <c r="I16" s="14">
        <v>11</v>
      </c>
      <c r="J16" s="15">
        <v>0</v>
      </c>
      <c r="K16" s="15">
        <f t="shared" si="0"/>
        <v>0</v>
      </c>
      <c r="L16" s="15">
        <f t="shared" si="1"/>
        <v>1828.8</v>
      </c>
      <c r="M16" s="179">
        <f>M15+N16</f>
        <v>72</v>
      </c>
      <c r="N16">
        <v>16</v>
      </c>
      <c r="P16" s="14">
        <v>10</v>
      </c>
      <c r="Q16" s="15">
        <v>1220</v>
      </c>
      <c r="R16" s="15">
        <f t="shared" si="2"/>
        <v>48.031496062992126</v>
      </c>
      <c r="S16" s="15">
        <v>1262.74</v>
      </c>
      <c r="T16" s="179">
        <f t="shared" si="3"/>
        <v>49.714173228346461</v>
      </c>
      <c r="V16" s="227">
        <v>10</v>
      </c>
      <c r="W16" s="285"/>
      <c r="X16" s="285"/>
      <c r="Y16" s="285">
        <f>Y15</f>
        <v>1569.88</v>
      </c>
      <c r="Z16" s="57"/>
      <c r="AC16" s="227">
        <v>10</v>
      </c>
      <c r="AD16" s="285"/>
      <c r="AE16" s="285"/>
      <c r="AF16" s="285">
        <f>AF15</f>
        <v>1249.92</v>
      </c>
      <c r="AG16" s="57"/>
    </row>
    <row r="17" spans="9:34" x14ac:dyDescent="0.3">
      <c r="I17" s="14">
        <v>12</v>
      </c>
      <c r="J17" s="15">
        <v>1220</v>
      </c>
      <c r="K17" s="15">
        <f t="shared" si="0"/>
        <v>48.031496062992126</v>
      </c>
      <c r="L17" s="15">
        <f t="shared" si="1"/>
        <v>1828.8</v>
      </c>
      <c r="M17" s="179">
        <f>M16</f>
        <v>72</v>
      </c>
      <c r="P17" s="14">
        <v>11</v>
      </c>
      <c r="Q17" s="15">
        <v>0</v>
      </c>
      <c r="R17" s="15">
        <f t="shared" si="2"/>
        <v>0</v>
      </c>
      <c r="S17" s="15">
        <v>1578.43</v>
      </c>
      <c r="T17" s="179">
        <f t="shared" si="3"/>
        <v>62.14291338582678</v>
      </c>
      <c r="V17" s="227">
        <v>11</v>
      </c>
      <c r="W17" s="285"/>
      <c r="X17" s="285"/>
      <c r="Y17" s="285">
        <f>Y15+S31</f>
        <v>1889.8400000000001</v>
      </c>
      <c r="Z17" s="57"/>
      <c r="AA17">
        <f>Y17-319.96/2</f>
        <v>1729.8600000000001</v>
      </c>
      <c r="AC17" s="227">
        <v>11</v>
      </c>
      <c r="AD17" s="285"/>
      <c r="AE17" s="285"/>
      <c r="AF17" s="285">
        <f>AF15+S31</f>
        <v>1569.88</v>
      </c>
      <c r="AG17" s="57"/>
      <c r="AH17">
        <f>AF17-319.96/2</f>
        <v>1409.9</v>
      </c>
    </row>
    <row r="18" spans="9:34" x14ac:dyDescent="0.3">
      <c r="I18" s="232">
        <v>13</v>
      </c>
      <c r="J18" s="198">
        <v>0</v>
      </c>
      <c r="K18" s="198">
        <f t="shared" si="0"/>
        <v>0</v>
      </c>
      <c r="L18" s="198">
        <f t="shared" si="1"/>
        <v>2438.3999999999996</v>
      </c>
      <c r="M18" s="233">
        <f>M17+N18</f>
        <v>96</v>
      </c>
      <c r="N18">
        <v>24</v>
      </c>
      <c r="P18" s="14">
        <v>12</v>
      </c>
      <c r="Q18" s="15">
        <v>1220</v>
      </c>
      <c r="R18" s="15">
        <f t="shared" si="2"/>
        <v>48.031496062992126</v>
      </c>
      <c r="S18" s="15">
        <v>1578.43</v>
      </c>
      <c r="T18" s="179">
        <f t="shared" si="3"/>
        <v>62.14291338582678</v>
      </c>
      <c r="V18" s="227">
        <v>12</v>
      </c>
      <c r="W18" s="285"/>
      <c r="X18" s="285"/>
      <c r="Y18" s="285">
        <f>Y17</f>
        <v>1889.8400000000001</v>
      </c>
      <c r="Z18" s="57"/>
      <c r="AC18" s="227">
        <v>12</v>
      </c>
      <c r="AD18" s="285"/>
      <c r="AE18" s="285"/>
      <c r="AF18" s="285">
        <f>AF17</f>
        <v>1569.88</v>
      </c>
      <c r="AG18" s="57"/>
    </row>
    <row r="19" spans="9:34" x14ac:dyDescent="0.3">
      <c r="I19" s="232">
        <v>14</v>
      </c>
      <c r="J19" s="198">
        <v>1220</v>
      </c>
      <c r="K19" s="198">
        <f t="shared" si="0"/>
        <v>48.031496062992126</v>
      </c>
      <c r="L19" s="198">
        <f>M19*25.4</f>
        <v>2438.3999999999996</v>
      </c>
      <c r="M19" s="233">
        <f>M18</f>
        <v>96</v>
      </c>
      <c r="P19" s="14">
        <v>13</v>
      </c>
      <c r="Q19" s="15">
        <v>0</v>
      </c>
      <c r="R19" s="15">
        <f t="shared" si="2"/>
        <v>0</v>
      </c>
      <c r="S19" s="15">
        <v>1894.11</v>
      </c>
      <c r="T19" s="179">
        <f t="shared" si="3"/>
        <v>74.57125984251968</v>
      </c>
      <c r="V19" s="227">
        <v>13</v>
      </c>
      <c r="W19" s="285"/>
      <c r="X19" s="285"/>
      <c r="Y19" s="285">
        <f>Y17+S31</f>
        <v>2209.8000000000002</v>
      </c>
      <c r="Z19" s="57"/>
      <c r="AA19">
        <f>Y19-319.96/2</f>
        <v>2049.8200000000002</v>
      </c>
      <c r="AC19" s="227">
        <v>13</v>
      </c>
      <c r="AD19" s="285"/>
      <c r="AE19" s="285"/>
      <c r="AF19" s="285">
        <f>AF17+S31</f>
        <v>1889.8400000000001</v>
      </c>
      <c r="AG19" s="57"/>
      <c r="AH19">
        <f>AF19-319.96/2</f>
        <v>1729.8600000000001</v>
      </c>
    </row>
    <row r="20" spans="9:34" x14ac:dyDescent="0.3">
      <c r="I20" s="14">
        <v>15</v>
      </c>
      <c r="J20" s="15">
        <v>0</v>
      </c>
      <c r="K20" s="15">
        <f t="shared" si="0"/>
        <v>0</v>
      </c>
      <c r="L20" s="15">
        <f t="shared" si="1"/>
        <v>0</v>
      </c>
      <c r="M20" s="179"/>
      <c r="P20" s="14">
        <v>14</v>
      </c>
      <c r="Q20" s="15">
        <v>1220</v>
      </c>
      <c r="R20" s="15">
        <f t="shared" si="2"/>
        <v>48.031496062992126</v>
      </c>
      <c r="S20" s="15">
        <v>1894.11</v>
      </c>
      <c r="T20" s="179">
        <f t="shared" si="3"/>
        <v>74.57125984251968</v>
      </c>
      <c r="V20" s="227">
        <v>14</v>
      </c>
      <c r="W20" s="285"/>
      <c r="X20" s="285"/>
      <c r="Y20" s="285">
        <f>Y19</f>
        <v>2209.8000000000002</v>
      </c>
      <c r="Z20" s="57"/>
      <c r="AC20" s="227">
        <v>14</v>
      </c>
      <c r="AD20" s="285"/>
      <c r="AE20" s="285"/>
      <c r="AF20" s="285">
        <f>AF19</f>
        <v>1889.8400000000001</v>
      </c>
      <c r="AG20" s="57"/>
    </row>
    <row r="21" spans="9:34" x14ac:dyDescent="0.3">
      <c r="I21" s="14">
        <v>16</v>
      </c>
      <c r="J21" s="15">
        <v>1220</v>
      </c>
      <c r="K21" s="15">
        <f t="shared" si="0"/>
        <v>48.031496062992126</v>
      </c>
      <c r="L21" s="15">
        <f t="shared" si="1"/>
        <v>0</v>
      </c>
      <c r="M21" s="179"/>
      <c r="P21" s="14">
        <v>15</v>
      </c>
      <c r="Q21" s="15">
        <v>0</v>
      </c>
      <c r="R21" s="15">
        <f t="shared" si="2"/>
        <v>0</v>
      </c>
      <c r="S21" s="15">
        <v>2209.8000000000002</v>
      </c>
      <c r="T21" s="179">
        <f t="shared" si="3"/>
        <v>87.000000000000014</v>
      </c>
      <c r="V21" s="286">
        <v>15</v>
      </c>
      <c r="W21" s="287"/>
      <c r="X21" s="287"/>
      <c r="Y21" s="287">
        <f>Y19+S33</f>
        <v>2438.4</v>
      </c>
      <c r="Z21" s="57"/>
      <c r="AA21">
        <f>Y21-228.6/2</f>
        <v>2324.1</v>
      </c>
      <c r="AC21" s="227">
        <v>15</v>
      </c>
      <c r="AD21" s="285"/>
      <c r="AE21" s="285"/>
      <c r="AF21" s="285">
        <f>AF19+S31</f>
        <v>2209.8000000000002</v>
      </c>
      <c r="AG21" s="57"/>
      <c r="AH21">
        <f t="shared" ref="AH21" si="4">AF21-319.96/2</f>
        <v>2049.8200000000002</v>
      </c>
    </row>
    <row r="22" spans="9:34" x14ac:dyDescent="0.3">
      <c r="I22" s="14">
        <v>17</v>
      </c>
      <c r="J22" s="15">
        <v>0</v>
      </c>
      <c r="K22" s="15">
        <f t="shared" si="0"/>
        <v>0</v>
      </c>
      <c r="L22" s="15">
        <f t="shared" si="1"/>
        <v>0</v>
      </c>
      <c r="M22" s="179"/>
      <c r="P22" s="14">
        <v>16</v>
      </c>
      <c r="Q22" s="15">
        <v>1220</v>
      </c>
      <c r="R22" s="15">
        <f t="shared" si="2"/>
        <v>48.031496062992126</v>
      </c>
      <c r="S22" s="15">
        <v>2209.8000000000002</v>
      </c>
      <c r="T22" s="179">
        <f t="shared" si="3"/>
        <v>87.000000000000014</v>
      </c>
      <c r="V22" s="286">
        <v>16</v>
      </c>
      <c r="W22" s="287"/>
      <c r="X22" s="287"/>
      <c r="Y22" s="287">
        <f>Y21</f>
        <v>2438.4</v>
      </c>
      <c r="Z22" s="57"/>
      <c r="AC22" s="227">
        <v>16</v>
      </c>
      <c r="AD22" s="285"/>
      <c r="AE22" s="285"/>
      <c r="AF22" s="285">
        <f>AF21</f>
        <v>2209.8000000000002</v>
      </c>
      <c r="AG22" s="57"/>
    </row>
    <row r="23" spans="9:34" x14ac:dyDescent="0.3">
      <c r="I23" s="14">
        <v>18</v>
      </c>
      <c r="J23" s="15">
        <v>1220</v>
      </c>
      <c r="K23" s="15">
        <f t="shared" si="0"/>
        <v>48.031496062992126</v>
      </c>
      <c r="L23" s="15">
        <f t="shared" si="1"/>
        <v>0</v>
      </c>
      <c r="M23" s="179"/>
      <c r="P23" s="232">
        <v>17</v>
      </c>
      <c r="Q23" s="198">
        <v>0</v>
      </c>
      <c r="R23" s="198">
        <f t="shared" si="2"/>
        <v>0</v>
      </c>
      <c r="S23" s="198">
        <v>2438.4</v>
      </c>
      <c r="T23" s="233">
        <f t="shared" si="3"/>
        <v>96.000000000000014</v>
      </c>
      <c r="V23" s="227">
        <v>17</v>
      </c>
      <c r="W23" s="285"/>
      <c r="X23" s="285"/>
      <c r="Y23" s="285">
        <f>Y21+S33</f>
        <v>2667</v>
      </c>
      <c r="Z23" s="57"/>
      <c r="AC23" s="286">
        <v>17</v>
      </c>
      <c r="AD23" s="287"/>
      <c r="AE23" s="287"/>
      <c r="AF23" s="287">
        <f>AF21+S33</f>
        <v>2438.4</v>
      </c>
      <c r="AG23" s="57"/>
      <c r="AH23">
        <f>AF23-228.6/2</f>
        <v>2324.1</v>
      </c>
    </row>
    <row r="24" spans="9:34" x14ac:dyDescent="0.3">
      <c r="I24" s="14">
        <v>19</v>
      </c>
      <c r="J24" s="15">
        <v>0</v>
      </c>
      <c r="K24" s="15">
        <f t="shared" si="0"/>
        <v>0</v>
      </c>
      <c r="L24" s="15">
        <f t="shared" si="1"/>
        <v>0</v>
      </c>
      <c r="M24" s="179"/>
      <c r="P24" s="232">
        <v>18</v>
      </c>
      <c r="Q24" s="198">
        <v>1220</v>
      </c>
      <c r="R24" s="198">
        <f t="shared" si="2"/>
        <v>48.031496062992126</v>
      </c>
      <c r="S24" s="198">
        <v>2438.4</v>
      </c>
      <c r="T24" s="233">
        <f t="shared" si="3"/>
        <v>96.000000000000014</v>
      </c>
      <c r="V24" s="230">
        <v>18</v>
      </c>
      <c r="W24" s="288"/>
      <c r="X24" s="288"/>
      <c r="Y24" s="288">
        <f>Y23</f>
        <v>2667</v>
      </c>
      <c r="Z24" s="231"/>
      <c r="AC24" s="286">
        <v>18</v>
      </c>
      <c r="AD24" s="287"/>
      <c r="AE24" s="287"/>
      <c r="AF24" s="287">
        <f>AF23</f>
        <v>2438.4</v>
      </c>
      <c r="AG24" s="57"/>
    </row>
    <row r="25" spans="9:34" ht="15" thickBot="1" x14ac:dyDescent="0.35">
      <c r="I25" s="16">
        <v>20</v>
      </c>
      <c r="J25" s="17">
        <v>1220</v>
      </c>
      <c r="K25" s="17">
        <f t="shared" si="0"/>
        <v>48.031496062992126</v>
      </c>
      <c r="L25" s="15">
        <f t="shared" si="1"/>
        <v>0</v>
      </c>
      <c r="M25" s="180"/>
      <c r="P25" s="14">
        <v>19</v>
      </c>
      <c r="Q25" s="15">
        <v>0</v>
      </c>
      <c r="R25" s="15">
        <f t="shared" si="2"/>
        <v>0</v>
      </c>
      <c r="S25" s="15">
        <v>2667</v>
      </c>
      <c r="T25" s="179">
        <f t="shared" si="3"/>
        <v>105</v>
      </c>
      <c r="AC25" s="227">
        <v>19</v>
      </c>
      <c r="AD25" s="285"/>
      <c r="AE25" s="285"/>
      <c r="AF25" s="285">
        <f>AF23+S33</f>
        <v>2667</v>
      </c>
      <c r="AG25" s="57"/>
    </row>
    <row r="26" spans="9:34" ht="15" thickBot="1" x14ac:dyDescent="0.35">
      <c r="P26" s="16">
        <v>20</v>
      </c>
      <c r="Q26" s="17">
        <v>1220</v>
      </c>
      <c r="R26" s="17">
        <f t="shared" si="2"/>
        <v>48.031496062992126</v>
      </c>
      <c r="S26" s="17">
        <v>2667</v>
      </c>
      <c r="T26" s="180">
        <f t="shared" si="3"/>
        <v>105</v>
      </c>
      <c r="AC26" s="230">
        <v>20</v>
      </c>
      <c r="AD26" s="288"/>
      <c r="AE26" s="288"/>
      <c r="AF26" s="288">
        <f>AF25</f>
        <v>2667</v>
      </c>
      <c r="AG26" s="231"/>
    </row>
    <row r="31" spans="9:34" x14ac:dyDescent="0.3">
      <c r="S31">
        <f>(2667-610-228.6*2)/5</f>
        <v>319.95999999999998</v>
      </c>
    </row>
    <row r="33" spans="19:19" x14ac:dyDescent="0.3">
      <c r="S33">
        <v>228.6</v>
      </c>
    </row>
    <row r="57" spans="8:11" x14ac:dyDescent="0.3">
      <c r="H57" s="292" t="s">
        <v>382</v>
      </c>
      <c r="I57" s="293"/>
      <c r="J57" s="293"/>
      <c r="K57" s="294"/>
    </row>
    <row r="58" spans="8:11" x14ac:dyDescent="0.3">
      <c r="H58" s="234"/>
      <c r="I58" s="204" t="s">
        <v>376</v>
      </c>
      <c r="J58" s="204" t="s">
        <v>377</v>
      </c>
      <c r="K58" s="235"/>
    </row>
    <row r="59" spans="8:11" x14ac:dyDescent="0.3">
      <c r="H59" s="220" t="s">
        <v>211</v>
      </c>
      <c r="I59" s="208">
        <v>47.09</v>
      </c>
      <c r="J59" s="208">
        <v>53.78</v>
      </c>
      <c r="K59" s="221" t="s">
        <v>338</v>
      </c>
    </row>
    <row r="60" spans="8:11" x14ac:dyDescent="0.3">
      <c r="H60" s="220" t="s">
        <v>372</v>
      </c>
      <c r="I60" s="208">
        <v>2.32E-3</v>
      </c>
      <c r="J60" s="208">
        <v>3.9699999999999996E-3</v>
      </c>
      <c r="K60" s="221"/>
    </row>
    <row r="61" spans="8:11" x14ac:dyDescent="0.3">
      <c r="H61" s="220" t="s">
        <v>375</v>
      </c>
      <c r="I61" s="208">
        <f>4700*I59^0.5</f>
        <v>32252.412312879791</v>
      </c>
      <c r="J61" s="208">
        <f>4700*J59^0.5</f>
        <v>34467.378780522318</v>
      </c>
      <c r="K61" s="221" t="s">
        <v>338</v>
      </c>
    </row>
    <row r="62" spans="8:11" x14ac:dyDescent="0.3">
      <c r="H62" s="220" t="s">
        <v>373</v>
      </c>
      <c r="I62" s="208">
        <v>610</v>
      </c>
      <c r="J62" s="208">
        <v>610</v>
      </c>
      <c r="K62" s="221" t="s">
        <v>56</v>
      </c>
    </row>
    <row r="63" spans="8:11" x14ac:dyDescent="0.3">
      <c r="H63" s="220" t="s">
        <v>378</v>
      </c>
      <c r="I63" s="208" t="s">
        <v>379</v>
      </c>
      <c r="J63" s="208">
        <f>5*(J59/I59-0.85)</f>
        <v>1.4603418984922483</v>
      </c>
      <c r="K63" s="221"/>
    </row>
    <row r="64" spans="8:11" x14ac:dyDescent="0.3">
      <c r="H64" s="220" t="s">
        <v>370</v>
      </c>
      <c r="I64" s="208">
        <v>87.563000000000002</v>
      </c>
      <c r="J64" s="208">
        <f>J63*I64</f>
        <v>127.87191765767673</v>
      </c>
      <c r="K64" s="221" t="s">
        <v>371</v>
      </c>
    </row>
    <row r="65" spans="8:11" x14ac:dyDescent="0.3">
      <c r="H65" s="220"/>
      <c r="I65" s="208"/>
      <c r="J65" s="208"/>
      <c r="K65" s="221"/>
    </row>
    <row r="66" spans="8:11" x14ac:dyDescent="0.3">
      <c r="H66" s="234" t="s">
        <v>374</v>
      </c>
      <c r="I66" s="204">
        <f>I60-I59/I61+2*(I64/I62)/I59</f>
        <v>6.9566159544933127E-3</v>
      </c>
      <c r="J66" s="204">
        <f>J60-0.8*J59/J61+((5/3)*J64/J62)/I59</f>
        <v>1.0141089460168916E-2</v>
      </c>
      <c r="K66" s="235"/>
    </row>
  </sheetData>
  <mergeCells count="4">
    <mergeCell ref="I4:M4"/>
    <mergeCell ref="P5:T5"/>
    <mergeCell ref="AC5:AG5"/>
    <mergeCell ref="H57:K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83"/>
  <sheetViews>
    <sheetView zoomScale="130" zoomScaleNormal="130" workbookViewId="0">
      <selection activeCell="J6" sqref="J6"/>
    </sheetView>
  </sheetViews>
  <sheetFormatPr defaultColWidth="11.5546875" defaultRowHeight="13.2" x14ac:dyDescent="0.25"/>
  <cols>
    <col min="1" max="2" width="11.5546875" style="50"/>
    <col min="3" max="3" width="18.109375" style="50" customWidth="1"/>
    <col min="4" max="4" width="31.109375" style="50" customWidth="1"/>
    <col min="5" max="5" width="34.33203125" style="50" customWidth="1"/>
    <col min="6" max="9" width="11.5546875" style="50"/>
    <col min="10" max="10" width="18.109375" style="50" customWidth="1"/>
    <col min="11" max="16384" width="11.5546875" style="50"/>
  </cols>
  <sheetData>
    <row r="3" spans="3:10" x14ac:dyDescent="0.25">
      <c r="C3" s="253" t="s">
        <v>215</v>
      </c>
      <c r="D3" s="253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5">
      <c r="C4" s="253"/>
      <c r="D4" s="253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" customHeight="1" x14ac:dyDescent="0.25">
      <c r="C8" s="254">
        <v>1</v>
      </c>
      <c r="D8" s="147" t="s">
        <v>116</v>
      </c>
      <c r="E8" s="148" t="s">
        <v>115</v>
      </c>
      <c r="F8" s="149"/>
      <c r="G8" s="150"/>
    </row>
    <row r="9" spans="3:10" x14ac:dyDescent="0.25">
      <c r="C9" s="255"/>
      <c r="D9" s="151" t="s">
        <v>111</v>
      </c>
      <c r="E9" s="152"/>
      <c r="F9" s="152"/>
      <c r="G9" s="153"/>
    </row>
    <row r="10" spans="3:10" ht="14.4" x14ac:dyDescent="0.3">
      <c r="C10" s="255"/>
      <c r="D10" s="154" t="s">
        <v>34</v>
      </c>
      <c r="E10" s="155" t="s">
        <v>35</v>
      </c>
      <c r="F10" s="156">
        <v>1.52</v>
      </c>
      <c r="G10" s="157"/>
    </row>
    <row r="11" spans="3:10" ht="14.4" x14ac:dyDescent="0.3">
      <c r="C11" s="255"/>
      <c r="D11" s="151" t="s">
        <v>113</v>
      </c>
      <c r="E11" s="155"/>
      <c r="F11" s="156"/>
      <c r="G11" s="157"/>
    </row>
    <row r="12" spans="3:10" x14ac:dyDescent="0.25">
      <c r="C12" s="255"/>
      <c r="D12" s="154" t="s">
        <v>114</v>
      </c>
      <c r="E12" s="158" t="s">
        <v>91</v>
      </c>
      <c r="F12" s="159">
        <v>0</v>
      </c>
      <c r="G12" s="153"/>
    </row>
    <row r="13" spans="3:10" x14ac:dyDescent="0.25">
      <c r="C13" s="255"/>
      <c r="D13" s="151" t="s">
        <v>112</v>
      </c>
      <c r="E13" s="152"/>
      <c r="F13" s="152"/>
      <c r="G13" s="153"/>
      <c r="I13" s="50" t="s">
        <v>107</v>
      </c>
    </row>
    <row r="14" spans="3:10" x14ac:dyDescent="0.25">
      <c r="C14" s="255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5">
      <c r="C15" s="255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5.996065573770492E-2</v>
      </c>
    </row>
    <row r="16" spans="3:10" x14ac:dyDescent="0.25">
      <c r="C16" s="255"/>
      <c r="D16" s="154" t="s">
        <v>102</v>
      </c>
      <c r="E16" s="152" t="s">
        <v>101</v>
      </c>
      <c r="F16" s="152">
        <v>0.1</v>
      </c>
      <c r="G16" s="153"/>
    </row>
    <row r="17" spans="3:7" x14ac:dyDescent="0.25">
      <c r="C17" s="255"/>
      <c r="D17" s="154" t="s">
        <v>103</v>
      </c>
      <c r="E17" s="152" t="s">
        <v>104</v>
      </c>
      <c r="F17" s="155" t="s">
        <v>96</v>
      </c>
      <c r="G17" s="153"/>
    </row>
    <row r="18" spans="3:7" x14ac:dyDescent="0.25">
      <c r="C18" s="255"/>
      <c r="D18" s="154" t="s">
        <v>94</v>
      </c>
      <c r="E18" s="152" t="s">
        <v>105</v>
      </c>
      <c r="F18" s="152">
        <v>1</v>
      </c>
      <c r="G18" s="153"/>
    </row>
    <row r="19" spans="3:7" x14ac:dyDescent="0.25">
      <c r="C19" s="255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5">
      <c r="C20" s="255"/>
      <c r="D20" s="147" t="s">
        <v>116</v>
      </c>
      <c r="E20" s="148" t="s">
        <v>117</v>
      </c>
      <c r="F20" s="149"/>
      <c r="G20" s="150"/>
    </row>
    <row r="21" spans="3:7" x14ac:dyDescent="0.25">
      <c r="C21" s="255"/>
      <c r="D21" s="154" t="s">
        <v>119</v>
      </c>
      <c r="E21" s="158" t="s">
        <v>120</v>
      </c>
      <c r="F21" s="152"/>
      <c r="G21" s="153"/>
    </row>
    <row r="22" spans="3:7" x14ac:dyDescent="0.25">
      <c r="C22" s="255"/>
      <c r="D22" s="161" t="s">
        <v>121</v>
      </c>
      <c r="E22" s="162"/>
      <c r="F22" s="165">
        <v>10000</v>
      </c>
      <c r="G22" s="164"/>
    </row>
    <row r="23" spans="3:7" x14ac:dyDescent="0.25">
      <c r="C23" s="255"/>
      <c r="D23" s="147" t="s">
        <v>116</v>
      </c>
      <c r="E23" s="148" t="s">
        <v>118</v>
      </c>
      <c r="F23" s="149"/>
      <c r="G23" s="150"/>
    </row>
    <row r="24" spans="3:7" x14ac:dyDescent="0.25">
      <c r="C24" s="255"/>
      <c r="D24" s="154" t="s">
        <v>126</v>
      </c>
      <c r="E24" s="152" t="s">
        <v>122</v>
      </c>
      <c r="F24" s="152">
        <v>40000</v>
      </c>
      <c r="G24" s="153"/>
    </row>
    <row r="25" spans="3:7" x14ac:dyDescent="0.25">
      <c r="C25" s="255"/>
      <c r="D25" s="154" t="s">
        <v>119</v>
      </c>
      <c r="E25" s="152" t="s">
        <v>123</v>
      </c>
      <c r="F25" s="152" t="s">
        <v>124</v>
      </c>
      <c r="G25" s="153"/>
    </row>
    <row r="26" spans="3:7" x14ac:dyDescent="0.25">
      <c r="C26" s="256"/>
      <c r="D26" s="161" t="s">
        <v>110</v>
      </c>
      <c r="E26" s="162" t="s">
        <v>125</v>
      </c>
      <c r="F26" s="162">
        <v>40000</v>
      </c>
      <c r="G26" s="164"/>
    </row>
    <row r="27" spans="3:7" x14ac:dyDescent="0.25">
      <c r="C27" s="250" t="s">
        <v>307</v>
      </c>
      <c r="D27" s="65" t="s">
        <v>116</v>
      </c>
      <c r="E27" s="66" t="s">
        <v>115</v>
      </c>
      <c r="F27" s="67"/>
      <c r="G27" s="68"/>
    </row>
    <row r="28" spans="3:7" x14ac:dyDescent="0.25">
      <c r="C28" s="251"/>
      <c r="D28" s="54" t="s">
        <v>111</v>
      </c>
      <c r="G28" s="55"/>
    </row>
    <row r="29" spans="3:7" ht="14.4" x14ac:dyDescent="0.3">
      <c r="C29" s="251"/>
      <c r="D29" s="56" t="s">
        <v>34</v>
      </c>
      <c r="E29" s="51" t="s">
        <v>35</v>
      </c>
      <c r="F29" s="53">
        <v>1.52</v>
      </c>
      <c r="G29" s="57"/>
    </row>
    <row r="30" spans="3:7" ht="14.4" x14ac:dyDescent="0.3">
      <c r="C30" s="251"/>
      <c r="D30" s="54" t="s">
        <v>113</v>
      </c>
      <c r="E30" s="51"/>
      <c r="F30" s="53"/>
      <c r="G30" s="57"/>
    </row>
    <row r="31" spans="3:7" x14ac:dyDescent="0.25">
      <c r="C31" s="251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5">
      <c r="C32" s="251"/>
      <c r="D32" s="54" t="s">
        <v>112</v>
      </c>
      <c r="G32" s="55"/>
    </row>
    <row r="33" spans="3:7" x14ac:dyDescent="0.25">
      <c r="C33" s="251"/>
      <c r="D33" s="56" t="s">
        <v>98</v>
      </c>
      <c r="E33" s="59" t="s">
        <v>99</v>
      </c>
      <c r="F33" s="59"/>
      <c r="G33" s="55"/>
    </row>
    <row r="34" spans="3:7" x14ac:dyDescent="0.25">
      <c r="C34" s="251"/>
      <c r="D34" s="56" t="s">
        <v>97</v>
      </c>
      <c r="E34" s="50" t="s">
        <v>100</v>
      </c>
      <c r="F34" s="50">
        <v>0.03</v>
      </c>
      <c r="G34" s="55"/>
    </row>
    <row r="35" spans="3:7" x14ac:dyDescent="0.25">
      <c r="C35" s="251"/>
      <c r="D35" s="56" t="s">
        <v>102</v>
      </c>
      <c r="E35" s="50" t="s">
        <v>101</v>
      </c>
      <c r="F35" s="50">
        <v>0.1</v>
      </c>
      <c r="G35" s="55"/>
    </row>
    <row r="36" spans="3:7" x14ac:dyDescent="0.25">
      <c r="C36" s="251"/>
      <c r="D36" s="56" t="s">
        <v>103</v>
      </c>
      <c r="E36" s="50" t="s">
        <v>104</v>
      </c>
      <c r="F36" s="51" t="s">
        <v>96</v>
      </c>
      <c r="G36" s="55"/>
    </row>
    <row r="37" spans="3:7" x14ac:dyDescent="0.25">
      <c r="C37" s="251"/>
      <c r="D37" s="56" t="s">
        <v>94</v>
      </c>
      <c r="E37" s="50" t="s">
        <v>105</v>
      </c>
      <c r="F37" s="50">
        <v>1</v>
      </c>
      <c r="G37" s="55"/>
    </row>
    <row r="38" spans="3:7" x14ac:dyDescent="0.25">
      <c r="C38" s="251"/>
      <c r="D38" s="60" t="s">
        <v>95</v>
      </c>
      <c r="E38" s="61" t="s">
        <v>106</v>
      </c>
      <c r="F38" s="62">
        <v>1E-3</v>
      </c>
      <c r="G38" s="63"/>
    </row>
    <row r="39" spans="3:7" x14ac:dyDescent="0.25">
      <c r="C39" s="251"/>
      <c r="D39" s="65" t="s">
        <v>116</v>
      </c>
      <c r="E39" s="66" t="s">
        <v>117</v>
      </c>
      <c r="F39" s="67"/>
      <c r="G39" s="68"/>
    </row>
    <row r="40" spans="3:7" x14ac:dyDescent="0.25">
      <c r="C40" s="251"/>
      <c r="D40" s="56" t="s">
        <v>119</v>
      </c>
      <c r="E40" s="52" t="s">
        <v>120</v>
      </c>
      <c r="G40" s="55"/>
    </row>
    <row r="41" spans="3:7" x14ac:dyDescent="0.25">
      <c r="C41" s="251"/>
      <c r="D41" s="60" t="s">
        <v>121</v>
      </c>
      <c r="E41" s="61"/>
      <c r="F41" s="64">
        <v>2000</v>
      </c>
      <c r="G41" s="63"/>
    </row>
    <row r="42" spans="3:7" x14ac:dyDescent="0.25">
      <c r="C42" s="251"/>
      <c r="D42" s="65" t="s">
        <v>116</v>
      </c>
      <c r="E42" s="66" t="s">
        <v>118</v>
      </c>
      <c r="F42" s="67"/>
      <c r="G42" s="68"/>
    </row>
    <row r="43" spans="3:7" x14ac:dyDescent="0.25">
      <c r="C43" s="251"/>
      <c r="D43" s="56" t="s">
        <v>126</v>
      </c>
      <c r="E43" s="50" t="s">
        <v>122</v>
      </c>
      <c r="F43" s="50">
        <v>100</v>
      </c>
      <c r="G43" s="55"/>
    </row>
    <row r="44" spans="3:7" x14ac:dyDescent="0.25">
      <c r="C44" s="251"/>
      <c r="D44" s="56" t="s">
        <v>119</v>
      </c>
      <c r="E44" s="50" t="s">
        <v>123</v>
      </c>
      <c r="F44" s="50" t="s">
        <v>124</v>
      </c>
      <c r="G44" s="55"/>
    </row>
    <row r="45" spans="3:7" x14ac:dyDescent="0.25">
      <c r="C45" s="252"/>
      <c r="D45" s="60" t="s">
        <v>110</v>
      </c>
      <c r="E45" s="61" t="s">
        <v>125</v>
      </c>
      <c r="F45" s="61">
        <v>2000</v>
      </c>
      <c r="G45" s="63"/>
    </row>
    <row r="46" spans="3:7" x14ac:dyDescent="0.25">
      <c r="C46" s="250" t="s">
        <v>308</v>
      </c>
      <c r="D46" s="65" t="s">
        <v>116</v>
      </c>
      <c r="E46" s="66" t="s">
        <v>115</v>
      </c>
      <c r="F46" s="67"/>
      <c r="G46" s="68"/>
    </row>
    <row r="47" spans="3:7" x14ac:dyDescent="0.25">
      <c r="C47" s="251"/>
      <c r="D47" s="54" t="s">
        <v>111</v>
      </c>
      <c r="G47" s="55"/>
    </row>
    <row r="48" spans="3:7" ht="14.4" x14ac:dyDescent="0.3">
      <c r="C48" s="251"/>
      <c r="D48" s="56" t="s">
        <v>34</v>
      </c>
      <c r="E48" s="51" t="s">
        <v>35</v>
      </c>
      <c r="F48" s="53">
        <v>1.52</v>
      </c>
      <c r="G48" s="57"/>
    </row>
    <row r="49" spans="3:7" ht="14.4" x14ac:dyDescent="0.3">
      <c r="C49" s="251"/>
      <c r="D49" s="54" t="s">
        <v>113</v>
      </c>
      <c r="E49" s="51"/>
      <c r="F49" s="53"/>
      <c r="G49" s="57"/>
    </row>
    <row r="50" spans="3:7" x14ac:dyDescent="0.25">
      <c r="C50" s="251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5">
      <c r="C51" s="251"/>
      <c r="D51" s="54" t="s">
        <v>112</v>
      </c>
      <c r="G51" s="55"/>
    </row>
    <row r="52" spans="3:7" x14ac:dyDescent="0.25">
      <c r="C52" s="251"/>
      <c r="D52" s="56" t="s">
        <v>98</v>
      </c>
      <c r="E52" s="59" t="s">
        <v>99</v>
      </c>
      <c r="F52" s="59"/>
      <c r="G52" s="55"/>
    </row>
    <row r="53" spans="3:7" x14ac:dyDescent="0.25">
      <c r="C53" s="251"/>
      <c r="D53" s="56" t="s">
        <v>97</v>
      </c>
      <c r="E53" s="50" t="s">
        <v>100</v>
      </c>
      <c r="F53" s="50">
        <v>0.03</v>
      </c>
      <c r="G53" s="55"/>
    </row>
    <row r="54" spans="3:7" x14ac:dyDescent="0.25">
      <c r="C54" s="251"/>
      <c r="D54" s="56" t="s">
        <v>102</v>
      </c>
      <c r="E54" s="50" t="s">
        <v>101</v>
      </c>
      <c r="F54" s="50">
        <v>0.1</v>
      </c>
      <c r="G54" s="55"/>
    </row>
    <row r="55" spans="3:7" x14ac:dyDescent="0.25">
      <c r="C55" s="251"/>
      <c r="D55" s="56" t="s">
        <v>103</v>
      </c>
      <c r="E55" s="50" t="s">
        <v>104</v>
      </c>
      <c r="F55" s="51" t="s">
        <v>96</v>
      </c>
      <c r="G55" s="55"/>
    </row>
    <row r="56" spans="3:7" x14ac:dyDescent="0.25">
      <c r="C56" s="251"/>
      <c r="D56" s="56" t="s">
        <v>94</v>
      </c>
      <c r="E56" s="50" t="s">
        <v>105</v>
      </c>
      <c r="F56" s="50">
        <v>1</v>
      </c>
      <c r="G56" s="55"/>
    </row>
    <row r="57" spans="3:7" x14ac:dyDescent="0.25">
      <c r="C57" s="251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5">
      <c r="C58" s="251"/>
      <c r="D58" s="65" t="s">
        <v>116</v>
      </c>
      <c r="E58" s="66" t="s">
        <v>117</v>
      </c>
      <c r="F58" s="67"/>
      <c r="G58" s="68"/>
    </row>
    <row r="59" spans="3:7" x14ac:dyDescent="0.25">
      <c r="C59" s="251"/>
      <c r="D59" s="56" t="s">
        <v>119</v>
      </c>
      <c r="E59" s="52" t="s">
        <v>120</v>
      </c>
      <c r="G59" s="55"/>
    </row>
    <row r="60" spans="3:7" x14ac:dyDescent="0.25">
      <c r="C60" s="251"/>
      <c r="D60" s="60" t="s">
        <v>121</v>
      </c>
      <c r="E60" s="61"/>
      <c r="F60" s="64">
        <v>2000</v>
      </c>
      <c r="G60" s="63"/>
    </row>
    <row r="61" spans="3:7" x14ac:dyDescent="0.25">
      <c r="C61" s="251"/>
      <c r="D61" s="65" t="s">
        <v>116</v>
      </c>
      <c r="E61" s="66" t="s">
        <v>118</v>
      </c>
      <c r="F61" s="67"/>
      <c r="G61" s="68"/>
    </row>
    <row r="62" spans="3:7" x14ac:dyDescent="0.25">
      <c r="C62" s="251"/>
      <c r="D62" s="56" t="s">
        <v>126</v>
      </c>
      <c r="E62" s="50" t="s">
        <v>122</v>
      </c>
      <c r="F62" s="50">
        <v>100</v>
      </c>
      <c r="G62" s="55"/>
    </row>
    <row r="63" spans="3:7" x14ac:dyDescent="0.25">
      <c r="C63" s="251"/>
      <c r="D63" s="56" t="s">
        <v>119</v>
      </c>
      <c r="E63" s="50" t="s">
        <v>123</v>
      </c>
      <c r="F63" s="50" t="s">
        <v>124</v>
      </c>
      <c r="G63" s="55"/>
    </row>
    <row r="64" spans="3:7" x14ac:dyDescent="0.25">
      <c r="C64" s="252"/>
      <c r="D64" s="60" t="s">
        <v>110</v>
      </c>
      <c r="E64" s="61" t="s">
        <v>125</v>
      </c>
      <c r="F64" s="61">
        <v>2000</v>
      </c>
      <c r="G64" s="63"/>
    </row>
    <row r="65" spans="3:7" x14ac:dyDescent="0.25">
      <c r="C65" s="250" t="s">
        <v>309</v>
      </c>
      <c r="D65" s="65" t="s">
        <v>116</v>
      </c>
      <c r="E65" s="66" t="s">
        <v>115</v>
      </c>
      <c r="F65" s="67"/>
      <c r="G65" s="68"/>
    </row>
    <row r="66" spans="3:7" x14ac:dyDescent="0.25">
      <c r="C66" s="251"/>
      <c r="D66" s="54" t="s">
        <v>111</v>
      </c>
      <c r="G66" s="55"/>
    </row>
    <row r="67" spans="3:7" ht="14.4" x14ac:dyDescent="0.3">
      <c r="C67" s="251"/>
      <c r="D67" s="56" t="s">
        <v>34</v>
      </c>
      <c r="E67" s="51" t="s">
        <v>35</v>
      </c>
      <c r="F67" s="53">
        <v>1.52</v>
      </c>
      <c r="G67" s="57"/>
    </row>
    <row r="68" spans="3:7" ht="14.4" x14ac:dyDescent="0.3">
      <c r="C68" s="251"/>
      <c r="D68" s="54" t="s">
        <v>113</v>
      </c>
      <c r="E68" s="51"/>
      <c r="F68" s="53"/>
      <c r="G68" s="57"/>
    </row>
    <row r="69" spans="3:7" x14ac:dyDescent="0.25">
      <c r="C69" s="251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5">
      <c r="C70" s="251"/>
      <c r="D70" s="54" t="s">
        <v>112</v>
      </c>
      <c r="G70" s="55"/>
    </row>
    <row r="71" spans="3:7" x14ac:dyDescent="0.25">
      <c r="C71" s="251"/>
      <c r="D71" s="56" t="s">
        <v>98</v>
      </c>
      <c r="E71" s="59" t="s">
        <v>99</v>
      </c>
      <c r="F71" s="59"/>
      <c r="G71" s="55"/>
    </row>
    <row r="72" spans="3:7" x14ac:dyDescent="0.25">
      <c r="C72" s="251"/>
      <c r="D72" s="56" t="s">
        <v>97</v>
      </c>
      <c r="E72" s="50" t="s">
        <v>100</v>
      </c>
      <c r="F72" s="50">
        <v>0.03</v>
      </c>
      <c r="G72" s="55"/>
    </row>
    <row r="73" spans="3:7" x14ac:dyDescent="0.25">
      <c r="C73" s="251"/>
      <c r="D73" s="56" t="s">
        <v>102</v>
      </c>
      <c r="E73" s="50" t="s">
        <v>101</v>
      </c>
      <c r="F73" s="50">
        <v>0.1</v>
      </c>
      <c r="G73" s="55"/>
    </row>
    <row r="74" spans="3:7" x14ac:dyDescent="0.25">
      <c r="C74" s="251"/>
      <c r="D74" s="56" t="s">
        <v>103</v>
      </c>
      <c r="E74" s="50" t="s">
        <v>104</v>
      </c>
      <c r="F74" s="51" t="s">
        <v>96</v>
      </c>
      <c r="G74" s="55"/>
    </row>
    <row r="75" spans="3:7" x14ac:dyDescent="0.25">
      <c r="C75" s="251"/>
      <c r="D75" s="56" t="s">
        <v>94</v>
      </c>
      <c r="E75" s="50" t="s">
        <v>105</v>
      </c>
      <c r="F75" s="50">
        <v>1</v>
      </c>
      <c r="G75" s="55"/>
    </row>
    <row r="76" spans="3:7" x14ac:dyDescent="0.25">
      <c r="C76" s="251"/>
      <c r="D76" s="60" t="s">
        <v>95</v>
      </c>
      <c r="E76" s="61" t="s">
        <v>106</v>
      </c>
      <c r="F76" s="62">
        <v>1E-3</v>
      </c>
      <c r="G76" s="63"/>
    </row>
    <row r="77" spans="3:7" x14ac:dyDescent="0.25">
      <c r="C77" s="251"/>
      <c r="D77" s="65" t="s">
        <v>116</v>
      </c>
      <c r="E77" s="66" t="s">
        <v>117</v>
      </c>
      <c r="F77" s="67"/>
      <c r="G77" s="68"/>
    </row>
    <row r="78" spans="3:7" x14ac:dyDescent="0.25">
      <c r="C78" s="251"/>
      <c r="D78" s="56" t="s">
        <v>119</v>
      </c>
      <c r="E78" s="52" t="s">
        <v>120</v>
      </c>
      <c r="G78" s="55"/>
    </row>
    <row r="79" spans="3:7" x14ac:dyDescent="0.25">
      <c r="C79" s="251"/>
      <c r="D79" s="60" t="s">
        <v>121</v>
      </c>
      <c r="E79" s="61"/>
      <c r="F79" s="64">
        <v>2000</v>
      </c>
      <c r="G79" s="63"/>
    </row>
    <row r="80" spans="3:7" x14ac:dyDescent="0.25">
      <c r="C80" s="251"/>
      <c r="D80" s="65" t="s">
        <v>116</v>
      </c>
      <c r="E80" s="66" t="s">
        <v>118</v>
      </c>
      <c r="F80" s="67"/>
      <c r="G80" s="68"/>
    </row>
    <row r="81" spans="3:7" x14ac:dyDescent="0.25">
      <c r="C81" s="251"/>
      <c r="D81" s="56" t="s">
        <v>126</v>
      </c>
      <c r="E81" s="50" t="s">
        <v>122</v>
      </c>
      <c r="F81" s="50">
        <v>100</v>
      </c>
      <c r="G81" s="55"/>
    </row>
    <row r="82" spans="3:7" x14ac:dyDescent="0.25">
      <c r="C82" s="251"/>
      <c r="D82" s="56" t="s">
        <v>119</v>
      </c>
      <c r="E82" s="50" t="s">
        <v>123</v>
      </c>
      <c r="F82" s="50" t="s">
        <v>124</v>
      </c>
      <c r="G82" s="55"/>
    </row>
    <row r="83" spans="3:7" x14ac:dyDescent="0.25">
      <c r="C83" s="252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K323"/>
  <sheetViews>
    <sheetView topLeftCell="D163" zoomScale="60" zoomScaleNormal="60" workbookViewId="0">
      <selection activeCell="G131" sqref="G131"/>
    </sheetView>
  </sheetViews>
  <sheetFormatPr defaultColWidth="11.5546875" defaultRowHeight="13.8" x14ac:dyDescent="0.25"/>
  <cols>
    <col min="1" max="2" width="11.5546875" style="44"/>
    <col min="3" max="3" width="18.109375" style="44" customWidth="1"/>
    <col min="4" max="4" width="37.109375" style="44" customWidth="1"/>
    <col min="5" max="5" width="16.5546875" style="44" customWidth="1"/>
    <col min="6" max="6" width="15.44140625" style="44" customWidth="1"/>
    <col min="7" max="7" width="11.5546875" style="44"/>
    <col min="8" max="8" width="15.6640625" style="44" customWidth="1"/>
    <col min="9" max="9" width="13" style="44" customWidth="1"/>
    <col min="10" max="10" width="14.88671875" style="44" customWidth="1"/>
    <col min="11" max="16" width="11.5546875" style="44"/>
    <col min="17" max="17" width="15.88671875" style="44" customWidth="1"/>
    <col min="18" max="16384" width="11.554687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4.4" thickBot="1" x14ac:dyDescent="0.3">
      <c r="Q8" s="44">
        <v>12.021000000000001</v>
      </c>
      <c r="V8" s="75"/>
    </row>
    <row r="9" spans="4:23" x14ac:dyDescent="0.25">
      <c r="D9" s="266" t="s">
        <v>177</v>
      </c>
      <c r="E9" s="267"/>
      <c r="F9" s="267"/>
      <c r="G9" s="268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7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7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7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4.4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" customHeight="1" x14ac:dyDescent="0.25">
      <c r="C32" s="269" t="s">
        <v>207</v>
      </c>
      <c r="D32" s="85" t="s">
        <v>186</v>
      </c>
      <c r="E32" s="86"/>
      <c r="F32" s="86"/>
      <c r="G32" s="87"/>
    </row>
    <row r="33" spans="3:37" x14ac:dyDescent="0.25">
      <c r="C33" s="270"/>
      <c r="D33" s="89" t="s">
        <v>180</v>
      </c>
      <c r="E33" s="86" t="s">
        <v>208</v>
      </c>
      <c r="F33" s="86"/>
      <c r="G33" s="87"/>
    </row>
    <row r="34" spans="3:37" x14ac:dyDescent="0.25">
      <c r="C34" s="270"/>
      <c r="D34" s="90" t="s">
        <v>181</v>
      </c>
      <c r="E34" s="44" t="s">
        <v>182</v>
      </c>
      <c r="G34" s="88"/>
    </row>
    <row r="35" spans="3:37" x14ac:dyDescent="0.25">
      <c r="C35" s="270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70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70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70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70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70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70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70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70"/>
      <c r="D43" s="44" t="s">
        <v>198</v>
      </c>
      <c r="E43" s="261" t="s">
        <v>200</v>
      </c>
      <c r="F43" s="261"/>
      <c r="G43" s="262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71"/>
      <c r="D44" s="81" t="s">
        <v>199</v>
      </c>
      <c r="E44" s="263"/>
      <c r="F44" s="263"/>
      <c r="G44" s="264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65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65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65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65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65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65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65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65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65"/>
      <c r="D53" s="90" t="s">
        <v>198</v>
      </c>
      <c r="E53" s="261" t="s">
        <v>200</v>
      </c>
      <c r="F53" s="261"/>
      <c r="G53" s="262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65"/>
      <c r="D54" s="91" t="s">
        <v>199</v>
      </c>
      <c r="E54" s="263"/>
      <c r="F54" s="263"/>
      <c r="G54" s="264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65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65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65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65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65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65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65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65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65"/>
      <c r="D63" s="90" t="s">
        <v>198</v>
      </c>
      <c r="E63" s="261" t="s">
        <v>200</v>
      </c>
      <c r="F63" s="261"/>
      <c r="G63" s="262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65"/>
      <c r="D64" s="91" t="s">
        <v>199</v>
      </c>
      <c r="E64" s="263"/>
      <c r="F64" s="263"/>
      <c r="G64" s="264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9" t="s">
        <v>160</v>
      </c>
      <c r="D69" s="275" t="s">
        <v>161</v>
      </c>
      <c r="E69" s="275"/>
      <c r="F69" s="275" t="s">
        <v>133</v>
      </c>
      <c r="G69" s="276"/>
      <c r="I69" s="272" t="s">
        <v>223</v>
      </c>
      <c r="J69" s="273"/>
      <c r="K69" s="274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70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72" t="s">
        <v>222</v>
      </c>
      <c r="J77" s="273"/>
      <c r="K77" s="274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ht="14.4" x14ac:dyDescent="0.3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ht="14.4" x14ac:dyDescent="0.3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ht="14.4" x14ac:dyDescent="0.3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ht="14.4" x14ac:dyDescent="0.3">
      <c r="C90" s="257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ht="14.4" x14ac:dyDescent="0.3">
      <c r="C91" s="258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ht="14.4" x14ac:dyDescent="0.3">
      <c r="C92" s="258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ht="14.4" x14ac:dyDescent="0.3">
      <c r="C93" s="258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ht="14.4" x14ac:dyDescent="0.3">
      <c r="C94" s="259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ht="14.4" x14ac:dyDescent="0.3">
      <c r="C95" s="260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ht="14.4" x14ac:dyDescent="0.3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ht="14.4" x14ac:dyDescent="0.3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ht="14.4" x14ac:dyDescent="0.3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ht="14.4" x14ac:dyDescent="0.3">
      <c r="I99">
        <v>10</v>
      </c>
      <c r="J99" t="s">
        <v>247</v>
      </c>
      <c r="K99" s="141">
        <v>2.4009999999999999E-5</v>
      </c>
    </row>
    <row r="100" spans="9:37" ht="14.4" x14ac:dyDescent="0.3">
      <c r="I100">
        <v>11</v>
      </c>
      <c r="J100" t="s">
        <v>248</v>
      </c>
      <c r="K100" s="141">
        <v>2.8900000000000001E-5</v>
      </c>
    </row>
    <row r="101" spans="9:37" ht="14.4" x14ac:dyDescent="0.3">
      <c r="I101">
        <v>12</v>
      </c>
      <c r="J101" t="s">
        <v>249</v>
      </c>
      <c r="K101" s="141">
        <v>3.4230000000000003E-5</v>
      </c>
    </row>
    <row r="102" spans="9:37" ht="14.4" x14ac:dyDescent="0.3">
      <c r="I102">
        <v>13</v>
      </c>
      <c r="J102" t="s">
        <v>250</v>
      </c>
      <c r="K102" s="141">
        <v>4.0009999999999998E-5</v>
      </c>
    </row>
    <row r="103" spans="9:37" ht="14.4" x14ac:dyDescent="0.3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ht="14.4" x14ac:dyDescent="0.3">
      <c r="I104" s="109">
        <v>15</v>
      </c>
      <c r="J104" s="109" t="s">
        <v>252</v>
      </c>
      <c r="K104" s="143">
        <v>1E-4</v>
      </c>
    </row>
    <row r="105" spans="9:37" ht="14.4" x14ac:dyDescent="0.3">
      <c r="I105">
        <v>16</v>
      </c>
      <c r="J105" t="s">
        <v>253</v>
      </c>
      <c r="K105" s="140">
        <v>1E-4</v>
      </c>
      <c r="X105" s="44" t="s">
        <v>206</v>
      </c>
    </row>
    <row r="106" spans="9:37" ht="14.4" x14ac:dyDescent="0.3">
      <c r="I106">
        <v>17</v>
      </c>
      <c r="J106" t="s">
        <v>254</v>
      </c>
      <c r="K106" s="140">
        <v>1E-4</v>
      </c>
    </row>
    <row r="107" spans="9:37" ht="14.4" x14ac:dyDescent="0.3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ht="14.4" x14ac:dyDescent="0.3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ht="14.4" x14ac:dyDescent="0.3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ht="14.4" x14ac:dyDescent="0.3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ht="14.4" x14ac:dyDescent="0.3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ht="14.4" x14ac:dyDescent="0.3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ht="14.4" x14ac:dyDescent="0.3">
      <c r="C126" s="257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ht="14.4" x14ac:dyDescent="0.3">
      <c r="C127" s="258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ht="14.4" x14ac:dyDescent="0.3">
      <c r="C128" s="258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ht="14.4" x14ac:dyDescent="0.3">
      <c r="C129" s="258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ht="14.4" x14ac:dyDescent="0.3">
      <c r="C130" s="259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ht="14.4" x14ac:dyDescent="0.3">
      <c r="C131" s="260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ht="14.4" x14ac:dyDescent="0.3">
      <c r="I132">
        <v>7</v>
      </c>
      <c r="J132" t="s">
        <v>284</v>
      </c>
      <c r="K132" s="141">
        <v>1.2E-5</v>
      </c>
    </row>
    <row r="133" spans="3:11" ht="14.4" x14ac:dyDescent="0.3">
      <c r="I133">
        <v>8</v>
      </c>
      <c r="J133" t="s">
        <v>285</v>
      </c>
      <c r="K133" s="141">
        <v>1.556E-5</v>
      </c>
    </row>
    <row r="134" spans="3:11" ht="14.4" x14ac:dyDescent="0.3">
      <c r="I134">
        <v>9</v>
      </c>
      <c r="J134" t="s">
        <v>286</v>
      </c>
      <c r="K134" s="141">
        <v>1.9559999999999999E-5</v>
      </c>
    </row>
    <row r="135" spans="3:11" ht="14.4" x14ac:dyDescent="0.3">
      <c r="I135">
        <v>10</v>
      </c>
      <c r="J135" t="s">
        <v>287</v>
      </c>
      <c r="K135" s="141">
        <v>2.4009999999999999E-5</v>
      </c>
    </row>
    <row r="136" spans="3:11" ht="14.4" x14ac:dyDescent="0.3">
      <c r="I136">
        <v>11</v>
      </c>
      <c r="J136" t="s">
        <v>288</v>
      </c>
      <c r="K136" s="141">
        <v>2.8900000000000001E-5</v>
      </c>
    </row>
    <row r="137" spans="3:11" ht="14.4" x14ac:dyDescent="0.3">
      <c r="I137">
        <v>12</v>
      </c>
      <c r="J137" t="s">
        <v>289</v>
      </c>
      <c r="K137" s="141">
        <v>3.4230000000000003E-5</v>
      </c>
    </row>
    <row r="138" spans="3:11" ht="14.4" x14ac:dyDescent="0.3">
      <c r="I138">
        <v>13</v>
      </c>
      <c r="J138" t="s">
        <v>290</v>
      </c>
      <c r="K138" s="141">
        <v>4.0009999999999998E-5</v>
      </c>
    </row>
    <row r="139" spans="3:11" ht="14.4" x14ac:dyDescent="0.3">
      <c r="I139" s="138">
        <v>14</v>
      </c>
      <c r="J139" s="138" t="s">
        <v>291</v>
      </c>
      <c r="K139" s="142">
        <v>4.6239999999999998E-5</v>
      </c>
    </row>
    <row r="140" spans="3:11" ht="14.4" x14ac:dyDescent="0.3">
      <c r="I140">
        <v>15</v>
      </c>
      <c r="J140" t="s">
        <v>292</v>
      </c>
      <c r="K140" s="140">
        <v>1E-4</v>
      </c>
    </row>
    <row r="141" spans="3:11" ht="14.4" x14ac:dyDescent="0.3">
      <c r="I141">
        <v>16</v>
      </c>
      <c r="J141" t="s">
        <v>293</v>
      </c>
      <c r="K141" s="140">
        <v>1E-4</v>
      </c>
    </row>
    <row r="142" spans="3:11" ht="14.4" x14ac:dyDescent="0.3">
      <c r="I142">
        <v>17</v>
      </c>
      <c r="J142" t="s">
        <v>294</v>
      </c>
      <c r="K142" s="140">
        <v>1E-4</v>
      </c>
    </row>
    <row r="143" spans="3:11" ht="14.4" x14ac:dyDescent="0.3">
      <c r="I143">
        <v>18</v>
      </c>
      <c r="J143" t="s">
        <v>295</v>
      </c>
      <c r="K143" s="140">
        <v>1E-4</v>
      </c>
    </row>
    <row r="144" spans="3:11" ht="14.4" x14ac:dyDescent="0.3">
      <c r="I144">
        <v>19</v>
      </c>
      <c r="J144" t="s">
        <v>296</v>
      </c>
      <c r="K144" s="140">
        <v>1E-4</v>
      </c>
    </row>
    <row r="145" spans="4:11" ht="14.4" x14ac:dyDescent="0.3">
      <c r="I145">
        <v>20</v>
      </c>
      <c r="J145" t="s">
        <v>297</v>
      </c>
      <c r="K145" s="140">
        <v>1E-4</v>
      </c>
    </row>
    <row r="160" spans="4:11" ht="14.4" x14ac:dyDescent="0.3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ht="14.4" x14ac:dyDescent="0.3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ht="14.4" x14ac:dyDescent="0.3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" customHeight="1" x14ac:dyDescent="0.3">
      <c r="C163" s="257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ht="14.4" x14ac:dyDescent="0.3">
      <c r="C164" s="258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" customHeight="1" x14ac:dyDescent="0.3">
      <c r="C165" s="258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ht="14.4" x14ac:dyDescent="0.3">
      <c r="C166" s="258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ht="14.4" x14ac:dyDescent="0.3">
      <c r="C167" s="259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ht="14.4" x14ac:dyDescent="0.3">
      <c r="C168" s="260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ht="14.4" x14ac:dyDescent="0.3">
      <c r="I169">
        <v>7</v>
      </c>
      <c r="J169" t="s">
        <v>266</v>
      </c>
      <c r="K169" s="140">
        <v>5.0000000000000001E-4</v>
      </c>
    </row>
    <row r="170" spans="3:11" ht="14.4" x14ac:dyDescent="0.3">
      <c r="I170">
        <v>8</v>
      </c>
      <c r="J170" t="s">
        <v>267</v>
      </c>
      <c r="K170" s="140">
        <v>6.9999999999999999E-4</v>
      </c>
    </row>
    <row r="171" spans="3:11" ht="14.4" x14ac:dyDescent="0.3">
      <c r="I171">
        <v>9</v>
      </c>
      <c r="J171" t="s">
        <v>268</v>
      </c>
      <c r="K171" s="140">
        <v>8.0000000000000004E-4</v>
      </c>
    </row>
    <row r="172" spans="3:11" ht="14.4" x14ac:dyDescent="0.3">
      <c r="I172">
        <v>10</v>
      </c>
      <c r="J172" t="s">
        <v>269</v>
      </c>
      <c r="K172" s="140">
        <v>1E-3</v>
      </c>
    </row>
    <row r="173" spans="3:11" ht="14.4" x14ac:dyDescent="0.3">
      <c r="I173">
        <v>11</v>
      </c>
      <c r="J173" t="s">
        <v>270</v>
      </c>
      <c r="K173" s="140">
        <v>1.1999999999999999E-3</v>
      </c>
    </row>
    <row r="174" spans="3:11" ht="14.4" x14ac:dyDescent="0.3">
      <c r="I174">
        <v>12</v>
      </c>
      <c r="J174" t="s">
        <v>271</v>
      </c>
      <c r="K174" s="140">
        <v>1.5E-3</v>
      </c>
    </row>
    <row r="175" spans="3:11" ht="14.4" x14ac:dyDescent="0.3">
      <c r="I175">
        <v>13</v>
      </c>
      <c r="J175" t="s">
        <v>272</v>
      </c>
      <c r="K175" s="140">
        <v>1.6999999999999999E-3</v>
      </c>
    </row>
    <row r="176" spans="3:11" ht="14.4" x14ac:dyDescent="0.3">
      <c r="I176" s="138">
        <v>14</v>
      </c>
      <c r="J176" s="138" t="s">
        <v>273</v>
      </c>
      <c r="K176" s="143">
        <v>2E-3</v>
      </c>
    </row>
    <row r="177" spans="9:11" ht="14.4" x14ac:dyDescent="0.3">
      <c r="I177">
        <v>15</v>
      </c>
      <c r="J177" t="s">
        <v>274</v>
      </c>
      <c r="K177" s="140">
        <v>2.3E-3</v>
      </c>
    </row>
    <row r="178" spans="9:11" ht="14.4" x14ac:dyDescent="0.3">
      <c r="I178">
        <v>16</v>
      </c>
      <c r="J178" t="s">
        <v>275</v>
      </c>
      <c r="K178" s="140">
        <v>2.5999999999999999E-3</v>
      </c>
    </row>
    <row r="179" spans="9:11" ht="14.4" x14ac:dyDescent="0.3">
      <c r="I179">
        <v>17</v>
      </c>
      <c r="J179" t="s">
        <v>276</v>
      </c>
      <c r="K179" s="140">
        <v>2.8999999999999998E-3</v>
      </c>
    </row>
    <row r="180" spans="9:11" ht="14.4" x14ac:dyDescent="0.3">
      <c r="I180">
        <v>18</v>
      </c>
      <c r="J180" t="s">
        <v>277</v>
      </c>
      <c r="K180" s="140">
        <v>3.3E-3</v>
      </c>
    </row>
    <row r="181" spans="9:11" ht="14.4" x14ac:dyDescent="0.3">
      <c r="I181">
        <v>19</v>
      </c>
      <c r="J181" t="s">
        <v>278</v>
      </c>
      <c r="K181" s="140">
        <v>3.5999999999999999E-3</v>
      </c>
    </row>
    <row r="182" spans="9:11" ht="14.4" x14ac:dyDescent="0.3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163:C164"/>
    <mergeCell ref="C165:C166"/>
    <mergeCell ref="C167:C168"/>
    <mergeCell ref="C126:C127"/>
    <mergeCell ref="C128:C129"/>
    <mergeCell ref="C130:C131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90:C91"/>
    <mergeCell ref="C92:C93"/>
    <mergeCell ref="C94:C95"/>
    <mergeCell ref="E53:G54"/>
    <mergeCell ref="E63:G64"/>
    <mergeCell ref="C45:C64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O11"/>
  <sheetViews>
    <sheetView zoomScale="130" zoomScaleNormal="130" workbookViewId="0">
      <selection activeCell="J11" sqref="J11"/>
    </sheetView>
  </sheetViews>
  <sheetFormatPr defaultColWidth="11.5546875" defaultRowHeight="13.8" x14ac:dyDescent="0.25"/>
  <cols>
    <col min="1" max="1" width="11.5546875" style="15"/>
    <col min="2" max="2" width="7.6640625" style="15" bestFit="1" customWidth="1"/>
    <col min="3" max="3" width="4" style="15" bestFit="1" customWidth="1"/>
    <col min="4" max="4" width="6.33203125" style="15" bestFit="1" customWidth="1"/>
    <col min="5" max="5" width="5.5546875" style="15" bestFit="1" customWidth="1"/>
    <col min="6" max="6" width="9.6640625" style="15" bestFit="1" customWidth="1"/>
    <col min="7" max="7" width="7.33203125" style="15" bestFit="1" customWidth="1"/>
    <col min="8" max="8" width="8.44140625" style="15" bestFit="1" customWidth="1"/>
    <col min="9" max="9" width="21.6640625" style="15" bestFit="1" customWidth="1"/>
    <col min="10" max="10" width="24.6640625" style="15" bestFit="1" customWidth="1"/>
    <col min="11" max="11" width="15.6640625" style="15" bestFit="1" customWidth="1"/>
    <col min="12" max="12" width="12.5546875" style="15" bestFit="1" customWidth="1"/>
    <col min="13" max="13" width="11.5546875" style="15"/>
    <col min="14" max="14" width="15.109375" style="15" bestFit="1" customWidth="1"/>
    <col min="15" max="15" width="15.33203125" style="15" bestFit="1" customWidth="1"/>
    <col min="16" max="16384" width="11.554687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72" t="s">
        <v>314</v>
      </c>
      <c r="D5" s="273"/>
      <c r="E5" s="273"/>
      <c r="F5" s="273"/>
      <c r="G5" s="273"/>
      <c r="H5" s="274"/>
      <c r="I5" s="171" t="s">
        <v>315</v>
      </c>
      <c r="J5" s="272" t="s">
        <v>316</v>
      </c>
      <c r="K5" s="273"/>
      <c r="L5" s="273"/>
      <c r="M5" s="277" t="s">
        <v>322</v>
      </c>
      <c r="N5" s="275"/>
      <c r="O5" s="276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21"/>
  <sheetViews>
    <sheetView workbookViewId="0">
      <selection activeCell="B16" sqref="B16"/>
    </sheetView>
  </sheetViews>
  <sheetFormatPr defaultColWidth="11.44140625" defaultRowHeight="14.4" x14ac:dyDescent="0.3"/>
  <cols>
    <col min="1" max="1" width="11.44140625" style="203"/>
    <col min="2" max="2" width="10.88671875" style="203" customWidth="1"/>
    <col min="3" max="3" width="12.109375" style="203" customWidth="1"/>
    <col min="4" max="6" width="12" style="203" bestFit="1" customWidth="1"/>
    <col min="7" max="7" width="11.5546875" style="203" bestFit="1" customWidth="1"/>
    <col min="8" max="11" width="12" style="203" bestFit="1" customWidth="1"/>
    <col min="12" max="16" width="11.5546875" style="203" bestFit="1" customWidth="1"/>
    <col min="17" max="18" width="12" style="203" bestFit="1" customWidth="1"/>
    <col min="19" max="19" width="11.5546875" style="203" bestFit="1" customWidth="1"/>
    <col min="20" max="16384" width="11.44140625" style="203"/>
  </cols>
  <sheetData>
    <row r="2" spans="2:19" x14ac:dyDescent="0.3">
      <c r="D2" s="278" t="s">
        <v>356</v>
      </c>
      <c r="E2" s="279"/>
      <c r="F2" s="279"/>
      <c r="G2" s="279"/>
      <c r="H2" s="279"/>
      <c r="I2" s="279"/>
      <c r="J2" s="279"/>
      <c r="K2" s="280"/>
      <c r="L2" s="278" t="s">
        <v>357</v>
      </c>
      <c r="M2" s="279"/>
      <c r="N2" s="279"/>
      <c r="O2" s="279"/>
      <c r="P2" s="279"/>
      <c r="Q2" s="279"/>
      <c r="R2" s="279"/>
      <c r="S2" s="280"/>
    </row>
    <row r="3" spans="2:19" x14ac:dyDescent="0.3">
      <c r="B3" s="204" t="s">
        <v>354</v>
      </c>
      <c r="C3" s="204" t="s">
        <v>355</v>
      </c>
      <c r="D3" s="205">
        <v>2.8E-3</v>
      </c>
      <c r="E3" s="206">
        <v>3.8E-3</v>
      </c>
      <c r="F3" s="206">
        <v>5.5999999999999999E-3</v>
      </c>
      <c r="G3" s="206">
        <v>7.4999999999999997E-3</v>
      </c>
      <c r="H3" s="206">
        <v>1.0999999999999999E-2</v>
      </c>
      <c r="I3" s="206">
        <v>1.4999999999999999E-2</v>
      </c>
      <c r="J3" s="206">
        <v>2.3E-2</v>
      </c>
      <c r="K3" s="207">
        <v>3.1E-2</v>
      </c>
      <c r="L3" s="206">
        <v>2.8E-3</v>
      </c>
      <c r="M3" s="206">
        <v>3.8E-3</v>
      </c>
      <c r="N3" s="206">
        <v>5.5999999999999999E-3</v>
      </c>
      <c r="O3" s="206">
        <v>7.4999999999999997E-3</v>
      </c>
      <c r="P3" s="206">
        <v>1.0999999999999999E-2</v>
      </c>
      <c r="Q3" s="206">
        <v>1.4999999999999999E-2</v>
      </c>
      <c r="R3" s="206">
        <v>2.3E-2</v>
      </c>
      <c r="S3" s="207">
        <v>3.1E-2</v>
      </c>
    </row>
    <row r="4" spans="2:19" x14ac:dyDescent="0.3">
      <c r="B4" s="208">
        <v>2</v>
      </c>
      <c r="C4" s="208">
        <v>51</v>
      </c>
      <c r="D4" s="209">
        <v>-5.2825603426972703E-6</v>
      </c>
      <c r="E4" s="210">
        <v>-5.2997226570011297E-6</v>
      </c>
      <c r="F4" s="210">
        <v>8.2639975835461203E-5</v>
      </c>
      <c r="G4" s="210">
        <v>1.3290839443117199E-4</v>
      </c>
      <c r="H4" s="210">
        <v>1.95705302468626E-4</v>
      </c>
      <c r="I4" s="210">
        <v>-1.1581129692177001E-5</v>
      </c>
      <c r="J4" s="210">
        <v>-1.8116195732762101E-4</v>
      </c>
      <c r="K4" s="211">
        <v>-5.2997226570011297E-6</v>
      </c>
      <c r="L4" s="210">
        <v>3.1055900621118102E-5</v>
      </c>
      <c r="M4" s="210">
        <v>3.1055900621118102E-5</v>
      </c>
      <c r="N4" s="210">
        <v>1.11801242236024E-4</v>
      </c>
      <c r="O4" s="210">
        <v>1.42857142857142E-4</v>
      </c>
      <c r="P4" s="210">
        <v>1.4906832298136599E-4</v>
      </c>
      <c r="Q4" s="210">
        <v>-1.61490683229813E-4</v>
      </c>
      <c r="R4" s="210">
        <v>-1.9254658385093099E-4</v>
      </c>
      <c r="S4" s="211">
        <v>5.1552795031055898E-4</v>
      </c>
    </row>
    <row r="5" spans="2:19" x14ac:dyDescent="0.3">
      <c r="B5" s="208">
        <v>8</v>
      </c>
      <c r="C5" s="208">
        <v>203</v>
      </c>
      <c r="D5" s="209">
        <v>1.9496732295356501E-4</v>
      </c>
      <c r="E5" s="210">
        <v>3.0175124255155502E-4</v>
      </c>
      <c r="F5" s="210">
        <v>3.0176840486585899E-4</v>
      </c>
      <c r="G5" s="210">
        <v>4.4622360436060002E-4</v>
      </c>
      <c r="H5" s="210">
        <v>4.52505011395776E-4</v>
      </c>
      <c r="I5" s="210">
        <v>7.6657536315457003E-4</v>
      </c>
      <c r="J5" s="210">
        <v>2.0605452124008001E-3</v>
      </c>
      <c r="K5" s="211">
        <v>4.6170778757173804E-3</v>
      </c>
      <c r="L5" s="210">
        <v>2.48447204968944E-4</v>
      </c>
      <c r="M5" s="210">
        <v>3.2298136645962698E-4</v>
      </c>
      <c r="N5" s="210">
        <v>3.2298136645962698E-4</v>
      </c>
      <c r="O5" s="210">
        <v>4.5962732919254599E-4</v>
      </c>
      <c r="P5" s="210">
        <v>4.6583850931677001E-4</v>
      </c>
      <c r="Q5" s="210">
        <v>1.0807453416148999E-3</v>
      </c>
      <c r="R5" s="210">
        <v>2.7018633540372601E-3</v>
      </c>
      <c r="S5" s="211">
        <v>5.8633540372670804E-3</v>
      </c>
    </row>
    <row r="6" spans="2:19" x14ac:dyDescent="0.3">
      <c r="B6" s="208">
        <v>24</v>
      </c>
      <c r="C6" s="208">
        <v>610</v>
      </c>
      <c r="D6" s="209">
        <v>4.6934124172776402E-4</v>
      </c>
      <c r="E6" s="210">
        <v>6.95471894994096E-4</v>
      </c>
      <c r="F6" s="210">
        <v>1.2482528764038701E-3</v>
      </c>
      <c r="G6" s="210">
        <v>1.50579056484608E-3</v>
      </c>
      <c r="H6" s="210">
        <v>1.8512507894664499E-3</v>
      </c>
      <c r="I6" s="210">
        <v>2.4793914929840399E-3</v>
      </c>
      <c r="J6" s="210">
        <v>4.3763764176071602E-3</v>
      </c>
      <c r="K6" s="211">
        <v>7.1716197105747299E-3</v>
      </c>
      <c r="L6" s="210">
        <v>4.7826086956521702E-4</v>
      </c>
      <c r="M6" s="210">
        <v>5.5900621118012397E-4</v>
      </c>
      <c r="N6" s="210">
        <v>1.1677018633540299E-3</v>
      </c>
      <c r="O6" s="210">
        <v>1.2546583850931599E-3</v>
      </c>
      <c r="P6" s="210">
        <v>1.4534161490683201E-3</v>
      </c>
      <c r="Q6" s="210">
        <v>1.9130434782608601E-3</v>
      </c>
      <c r="R6" s="210">
        <v>4.0931677018633504E-3</v>
      </c>
      <c r="S6" s="211">
        <v>6.9751552795030997E-3</v>
      </c>
    </row>
    <row r="7" spans="2:19" x14ac:dyDescent="0.3">
      <c r="B7" s="208">
        <v>40</v>
      </c>
      <c r="C7" s="208">
        <v>1016</v>
      </c>
      <c r="D7" s="209">
        <v>1.03011642914023E-4</v>
      </c>
      <c r="E7" s="210">
        <v>4.8617747205975198E-4</v>
      </c>
      <c r="F7" s="210">
        <v>1.24624488563033E-3</v>
      </c>
      <c r="G7" s="210">
        <v>1.6105664936705299E-3</v>
      </c>
      <c r="H7" s="210">
        <v>1.9309010901502001E-3</v>
      </c>
      <c r="I7" s="210">
        <v>2.30152126753988E-3</v>
      </c>
      <c r="J7" s="210">
        <v>3.1934639042205501E-3</v>
      </c>
      <c r="K7" s="211">
        <v>5.0464961419117403E-3</v>
      </c>
      <c r="L7" s="210">
        <v>2.48447204968944E-4</v>
      </c>
      <c r="M7" s="210">
        <v>5.0310559006211104E-4</v>
      </c>
      <c r="N7" s="210">
        <v>1.06211180124223E-3</v>
      </c>
      <c r="O7" s="210">
        <v>1.27329192546583E-3</v>
      </c>
      <c r="P7" s="210">
        <v>1.4285714285714199E-3</v>
      </c>
      <c r="Q7" s="210">
        <v>1.73291925465838E-3</v>
      </c>
      <c r="R7" s="210">
        <v>2.47204968944099E-3</v>
      </c>
      <c r="S7" s="211">
        <v>4.1739130434782596E-3</v>
      </c>
    </row>
    <row r="8" spans="2:19" x14ac:dyDescent="0.3">
      <c r="B8" s="208">
        <v>56</v>
      </c>
      <c r="C8" s="208">
        <v>1422</v>
      </c>
      <c r="D8" s="209">
        <v>5.0113957766970803E-7</v>
      </c>
      <c r="E8" s="210">
        <v>2.32913199879177E-4</v>
      </c>
      <c r="F8" s="210">
        <v>8.1708405415053295E-4</v>
      </c>
      <c r="G8" s="210">
        <v>1.1311544059093199E-3</v>
      </c>
      <c r="H8" s="210">
        <v>1.35100365214048E-3</v>
      </c>
      <c r="I8" s="210">
        <v>1.5394458631957601E-3</v>
      </c>
      <c r="J8" s="210">
        <v>1.91633028530631E-3</v>
      </c>
      <c r="K8" s="211">
        <v>2.60728505917566E-3</v>
      </c>
      <c r="L8" s="210">
        <v>1.8633540372670902E-5</v>
      </c>
      <c r="M8" s="210">
        <v>2.3602484472049699E-4</v>
      </c>
      <c r="N8" s="210">
        <v>8.1366459627329199E-4</v>
      </c>
      <c r="O8" s="210">
        <v>9.93788819875776E-4</v>
      </c>
      <c r="P8" s="210">
        <v>1.1304347826086899E-3</v>
      </c>
      <c r="Q8" s="210">
        <v>1.32298136645962E-3</v>
      </c>
      <c r="R8" s="210">
        <v>1.6894409937888201E-3</v>
      </c>
      <c r="S8" s="211">
        <v>2.6024844720496801E-3</v>
      </c>
    </row>
    <row r="9" spans="2:19" x14ac:dyDescent="0.3">
      <c r="B9" s="208">
        <v>72</v>
      </c>
      <c r="C9" s="208">
        <v>1829</v>
      </c>
      <c r="D9" s="209">
        <v>-1.4896888815662899E-6</v>
      </c>
      <c r="E9" s="210">
        <v>4.7917181536093601E-6</v>
      </c>
      <c r="F9" s="210">
        <v>1.17839882472471E-4</v>
      </c>
      <c r="G9" s="210">
        <v>2.81173627701348E-4</v>
      </c>
      <c r="H9" s="210">
        <v>4.1306601312573701E-4</v>
      </c>
      <c r="I9" s="210">
        <v>4.9470714226871996E-4</v>
      </c>
      <c r="J9" s="210">
        <v>6.2665101463602101E-4</v>
      </c>
      <c r="K9" s="211">
        <v>8.2137463272647304E-4</v>
      </c>
      <c r="L9" s="210">
        <v>2.4844720496894298E-5</v>
      </c>
      <c r="M9" s="210">
        <v>2.4844720496894298E-5</v>
      </c>
      <c r="N9" s="210">
        <v>1.4906832298136599E-4</v>
      </c>
      <c r="O9" s="210">
        <v>2.9813664596273302E-4</v>
      </c>
      <c r="P9" s="210">
        <v>3.8509316770186301E-4</v>
      </c>
      <c r="Q9" s="210">
        <v>3.9751552795031002E-4</v>
      </c>
      <c r="R9" s="210">
        <v>4.6583850931677001E-4</v>
      </c>
      <c r="S9" s="211">
        <v>6.1490683229813603E-4</v>
      </c>
    </row>
    <row r="10" spans="2:19" x14ac:dyDescent="0.3">
      <c r="B10" s="212">
        <v>96</v>
      </c>
      <c r="C10" s="212">
        <v>2438</v>
      </c>
      <c r="D10" s="213">
        <v>-4.4930938847241501E-6</v>
      </c>
      <c r="E10" s="214">
        <v>1.7883131504514901E-6</v>
      </c>
      <c r="F10" s="214">
        <v>-4.4930938847241501E-6</v>
      </c>
      <c r="G10" s="214">
        <v>1.7883131504514901E-6</v>
      </c>
      <c r="H10" s="214">
        <v>-4.4930938847241501E-6</v>
      </c>
      <c r="I10" s="214">
        <v>-1.07745009199E-5</v>
      </c>
      <c r="J10" s="214">
        <v>-4.5102561990280197E-6</v>
      </c>
      <c r="K10" s="215">
        <v>-4.5102561990280197E-6</v>
      </c>
      <c r="L10" s="214">
        <v>2.4844720496894298E-5</v>
      </c>
      <c r="M10" s="214">
        <v>2.4844720496894298E-5</v>
      </c>
      <c r="N10" s="214">
        <v>1.8633540372670902E-5</v>
      </c>
      <c r="O10" s="214">
        <v>2.4844720496894298E-5</v>
      </c>
      <c r="P10" s="214">
        <v>1.8633540372670902E-5</v>
      </c>
      <c r="Q10" s="214">
        <v>1.8633540372670902E-5</v>
      </c>
      <c r="R10" s="214">
        <v>2.4844720496894298E-5</v>
      </c>
      <c r="S10" s="215">
        <v>2.4844720496894298E-5</v>
      </c>
    </row>
    <row r="21" spans="5:5" x14ac:dyDescent="0.3">
      <c r="E21" s="216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29"/>
  <sheetViews>
    <sheetView topLeftCell="A10" zoomScale="130" zoomScaleNormal="130" workbookViewId="0">
      <selection activeCell="J26" sqref="J26"/>
    </sheetView>
  </sheetViews>
  <sheetFormatPr defaultColWidth="11.5546875" defaultRowHeight="14.4" x14ac:dyDescent="0.3"/>
  <cols>
    <col min="2" max="2" width="11.44140625" style="203"/>
    <col min="3" max="3" width="11.33203125" style="203" customWidth="1"/>
    <col min="4" max="4" width="11.44140625" style="203"/>
    <col min="5" max="5" width="26" style="203" customWidth="1"/>
    <col min="6" max="6" width="11.44140625" style="203"/>
  </cols>
  <sheetData>
    <row r="2" spans="2:7" x14ac:dyDescent="0.3">
      <c r="B2" s="204" t="s">
        <v>358</v>
      </c>
      <c r="C2" s="204">
        <v>2438.4</v>
      </c>
    </row>
    <row r="3" spans="2:7" x14ac:dyDescent="0.3">
      <c r="B3" s="204" t="s">
        <v>359</v>
      </c>
      <c r="C3" s="204">
        <v>0.1</v>
      </c>
    </row>
    <row r="5" spans="2:7" x14ac:dyDescent="0.3">
      <c r="B5" s="217" t="s">
        <v>360</v>
      </c>
      <c r="C5" s="218" t="s">
        <v>361</v>
      </c>
      <c r="D5" s="219" t="s">
        <v>362</v>
      </c>
      <c r="E5" s="219" t="s">
        <v>363</v>
      </c>
      <c r="F5" s="224" t="s">
        <v>364</v>
      </c>
    </row>
    <row r="6" spans="2:7" x14ac:dyDescent="0.3">
      <c r="B6" s="220">
        <v>0.1</v>
      </c>
      <c r="C6" s="203">
        <f>B6*$C$2/100</f>
        <v>2.4384000000000001</v>
      </c>
      <c r="D6" s="203">
        <f>C6/$C$3</f>
        <v>24.384</v>
      </c>
      <c r="E6" s="203">
        <f>INT(D6)</f>
        <v>24</v>
      </c>
      <c r="F6" s="221">
        <f>E6*$C$3</f>
        <v>2.4000000000000004</v>
      </c>
      <c r="G6">
        <f>E6*4*3</f>
        <v>288</v>
      </c>
    </row>
    <row r="7" spans="2:7" x14ac:dyDescent="0.3">
      <c r="B7" s="220">
        <v>0.3</v>
      </c>
      <c r="C7" s="203">
        <f t="shared" ref="C7:C13" si="0">B7*$C$2/100</f>
        <v>7.3151999999999999</v>
      </c>
      <c r="D7" s="203">
        <f t="shared" ref="D7:D13" si="1">C7/$C$3</f>
        <v>73.152000000000001</v>
      </c>
      <c r="E7" s="203">
        <f t="shared" ref="E7:E13" si="2">INT(D7)</f>
        <v>73</v>
      </c>
      <c r="F7" s="221">
        <f t="shared" ref="F7:F13" si="3">E7*$C$3</f>
        <v>7.3000000000000007</v>
      </c>
      <c r="G7">
        <f t="shared" ref="G7:G11" si="4">E7*4*3</f>
        <v>876</v>
      </c>
    </row>
    <row r="8" spans="2:7" x14ac:dyDescent="0.3">
      <c r="B8" s="220">
        <v>0.5</v>
      </c>
      <c r="C8" s="203">
        <f t="shared" si="0"/>
        <v>12.192</v>
      </c>
      <c r="D8" s="203">
        <f t="shared" si="1"/>
        <v>121.92</v>
      </c>
      <c r="E8" s="203">
        <f t="shared" si="2"/>
        <v>121</v>
      </c>
      <c r="F8" s="221">
        <f t="shared" si="3"/>
        <v>12.100000000000001</v>
      </c>
      <c r="G8">
        <f t="shared" si="4"/>
        <v>1452</v>
      </c>
    </row>
    <row r="9" spans="2:7" x14ac:dyDescent="0.3">
      <c r="B9" s="220">
        <v>0.7</v>
      </c>
      <c r="C9" s="203">
        <f t="shared" si="0"/>
        <v>17.0688</v>
      </c>
      <c r="D9" s="203">
        <f t="shared" si="1"/>
        <v>170.68799999999999</v>
      </c>
      <c r="E9" s="203">
        <f t="shared" si="2"/>
        <v>170</v>
      </c>
      <c r="F9" s="221">
        <f t="shared" si="3"/>
        <v>17</v>
      </c>
      <c r="G9">
        <f t="shared" si="4"/>
        <v>2040</v>
      </c>
    </row>
    <row r="10" spans="2:7" x14ac:dyDescent="0.3">
      <c r="B10" s="220">
        <v>1</v>
      </c>
      <c r="C10" s="203">
        <f t="shared" si="0"/>
        <v>24.384</v>
      </c>
      <c r="D10" s="203">
        <f t="shared" si="1"/>
        <v>243.84</v>
      </c>
      <c r="E10" s="203">
        <f t="shared" si="2"/>
        <v>243</v>
      </c>
      <c r="F10" s="221">
        <f t="shared" si="3"/>
        <v>24.3</v>
      </c>
      <c r="G10">
        <f t="shared" si="4"/>
        <v>2916</v>
      </c>
    </row>
    <row r="11" spans="2:7" x14ac:dyDescent="0.3">
      <c r="B11" s="220">
        <v>1.5</v>
      </c>
      <c r="C11" s="203">
        <f t="shared" si="0"/>
        <v>36.576000000000001</v>
      </c>
      <c r="D11" s="203">
        <f t="shared" si="1"/>
        <v>365.76</v>
      </c>
      <c r="E11" s="203">
        <f t="shared" si="2"/>
        <v>365</v>
      </c>
      <c r="F11" s="221">
        <f t="shared" si="3"/>
        <v>36.5</v>
      </c>
      <c r="G11">
        <f t="shared" si="4"/>
        <v>4380</v>
      </c>
    </row>
    <row r="12" spans="2:7" x14ac:dyDescent="0.3">
      <c r="B12" s="220">
        <v>2.2000000000000002</v>
      </c>
      <c r="C12" s="203">
        <f t="shared" si="0"/>
        <v>53.644800000000004</v>
      </c>
      <c r="D12" s="203">
        <f t="shared" si="1"/>
        <v>536.44799999999998</v>
      </c>
      <c r="E12" s="203">
        <f t="shared" si="2"/>
        <v>536</v>
      </c>
      <c r="F12" s="221">
        <f t="shared" si="3"/>
        <v>53.6</v>
      </c>
      <c r="G12">
        <f>E12*4*2</f>
        <v>4288</v>
      </c>
    </row>
    <row r="13" spans="2:7" x14ac:dyDescent="0.3">
      <c r="B13" s="222">
        <v>3.1</v>
      </c>
      <c r="C13" s="223">
        <f t="shared" si="0"/>
        <v>75.590400000000002</v>
      </c>
      <c r="D13" s="223">
        <f t="shared" si="1"/>
        <v>755.904</v>
      </c>
      <c r="E13" s="223">
        <f t="shared" si="2"/>
        <v>755</v>
      </c>
      <c r="F13" s="225">
        <f t="shared" si="3"/>
        <v>75.5</v>
      </c>
      <c r="G13">
        <f>E13*4*2</f>
        <v>6040</v>
      </c>
    </row>
    <row r="14" spans="2:7" x14ac:dyDescent="0.3">
      <c r="D14" s="203">
        <f>SUM(D6:D13)*4</f>
        <v>9168.384</v>
      </c>
      <c r="E14" s="203">
        <f>SUM(E6:E13)*4</f>
        <v>9148</v>
      </c>
      <c r="G14">
        <f>SUM(G6:G13)</f>
        <v>22280</v>
      </c>
    </row>
    <row r="16" spans="2:7" x14ac:dyDescent="0.3">
      <c r="C16" s="203" t="s">
        <v>365</v>
      </c>
      <c r="D16" s="203">
        <v>4580</v>
      </c>
    </row>
    <row r="18" spans="2:6" x14ac:dyDescent="0.3">
      <c r="B18" s="217" t="s">
        <v>360</v>
      </c>
      <c r="C18" s="218" t="s">
        <v>361</v>
      </c>
      <c r="D18" s="219" t="s">
        <v>362</v>
      </c>
      <c r="E18" s="219" t="s">
        <v>363</v>
      </c>
      <c r="F18" s="224" t="s">
        <v>364</v>
      </c>
    </row>
    <row r="19" spans="2:6" x14ac:dyDescent="0.3">
      <c r="B19" s="220">
        <v>0.28000000000000003</v>
      </c>
      <c r="C19" s="203">
        <f>B19*$C$2/100</f>
        <v>6.8275200000000007</v>
      </c>
      <c r="D19" s="203">
        <f>C19/$C$3</f>
        <v>68.275199999999998</v>
      </c>
      <c r="E19" s="203">
        <f>INT(D19)</f>
        <v>68</v>
      </c>
      <c r="F19" s="221">
        <f>E19*$C$3</f>
        <v>6.8000000000000007</v>
      </c>
    </row>
    <row r="20" spans="2:6" x14ac:dyDescent="0.3">
      <c r="B20" s="220">
        <v>0.38</v>
      </c>
      <c r="C20" s="203">
        <f t="shared" ref="C20:C26" si="5">B20*$C$2/100</f>
        <v>9.2659200000000013</v>
      </c>
      <c r="D20" s="203">
        <f t="shared" ref="D20:D26" si="6">C20/$C$3</f>
        <v>92.659200000000013</v>
      </c>
      <c r="E20" s="203">
        <f t="shared" ref="E20:E26" si="7">INT(D20)</f>
        <v>92</v>
      </c>
      <c r="F20" s="221">
        <f t="shared" ref="F20:F26" si="8">E20*$C$3</f>
        <v>9.2000000000000011</v>
      </c>
    </row>
    <row r="21" spans="2:6" x14ac:dyDescent="0.3">
      <c r="B21" s="220">
        <v>0.56000000000000005</v>
      </c>
      <c r="C21" s="203">
        <f t="shared" si="5"/>
        <v>13.655040000000001</v>
      </c>
      <c r="D21" s="203">
        <f t="shared" si="6"/>
        <v>136.5504</v>
      </c>
      <c r="E21" s="203">
        <f t="shared" si="7"/>
        <v>136</v>
      </c>
      <c r="F21" s="221">
        <f t="shared" si="8"/>
        <v>13.600000000000001</v>
      </c>
    </row>
    <row r="22" spans="2:6" x14ac:dyDescent="0.3">
      <c r="B22" s="220">
        <v>0.75</v>
      </c>
      <c r="C22" s="203">
        <f t="shared" si="5"/>
        <v>18.288</v>
      </c>
      <c r="D22" s="203">
        <f t="shared" si="6"/>
        <v>182.88</v>
      </c>
      <c r="E22" s="203">
        <f t="shared" si="7"/>
        <v>182</v>
      </c>
      <c r="F22" s="221">
        <f t="shared" si="8"/>
        <v>18.2</v>
      </c>
    </row>
    <row r="23" spans="2:6" x14ac:dyDescent="0.3">
      <c r="B23" s="220">
        <v>1.1000000000000001</v>
      </c>
      <c r="C23" s="203">
        <f t="shared" si="5"/>
        <v>26.822400000000002</v>
      </c>
      <c r="D23" s="203">
        <f t="shared" si="6"/>
        <v>268.22399999999999</v>
      </c>
      <c r="E23" s="203">
        <f t="shared" si="7"/>
        <v>268</v>
      </c>
      <c r="F23" s="221">
        <f t="shared" si="8"/>
        <v>26.8</v>
      </c>
    </row>
    <row r="24" spans="2:6" x14ac:dyDescent="0.3">
      <c r="B24" s="220">
        <v>1.5</v>
      </c>
      <c r="C24" s="203">
        <f t="shared" si="5"/>
        <v>36.576000000000001</v>
      </c>
      <c r="D24" s="203">
        <f t="shared" si="6"/>
        <v>365.76</v>
      </c>
      <c r="E24" s="203">
        <f t="shared" si="7"/>
        <v>365</v>
      </c>
      <c r="F24" s="221">
        <f t="shared" si="8"/>
        <v>36.5</v>
      </c>
    </row>
    <row r="25" spans="2:6" x14ac:dyDescent="0.3">
      <c r="B25" s="220">
        <v>2.2999999999999998</v>
      </c>
      <c r="C25" s="203">
        <f t="shared" si="5"/>
        <v>56.083199999999998</v>
      </c>
      <c r="D25" s="203">
        <f t="shared" si="6"/>
        <v>560.83199999999999</v>
      </c>
      <c r="E25" s="203">
        <f t="shared" si="7"/>
        <v>560</v>
      </c>
      <c r="F25" s="221">
        <f t="shared" si="8"/>
        <v>56</v>
      </c>
    </row>
    <row r="26" spans="2:6" x14ac:dyDescent="0.3">
      <c r="B26" s="222">
        <v>3.1</v>
      </c>
      <c r="C26" s="223">
        <f t="shared" si="5"/>
        <v>75.590400000000002</v>
      </c>
      <c r="D26" s="223">
        <f t="shared" si="6"/>
        <v>755.904</v>
      </c>
      <c r="E26" s="223">
        <f t="shared" si="7"/>
        <v>755</v>
      </c>
      <c r="F26" s="225">
        <f t="shared" si="8"/>
        <v>75.5</v>
      </c>
    </row>
    <row r="27" spans="2:6" x14ac:dyDescent="0.3">
      <c r="D27" s="203">
        <f>SUM(D19:D26)*4</f>
        <v>9724.3392000000003</v>
      </c>
      <c r="E27" s="203">
        <f>SUM(E19:E26)*4</f>
        <v>9704</v>
      </c>
    </row>
    <row r="29" spans="2:6" x14ac:dyDescent="0.3">
      <c r="C29" s="203" t="s">
        <v>365</v>
      </c>
      <c r="D29" s="203">
        <v>4864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H14"/>
  <sheetViews>
    <sheetView zoomScale="130" zoomScaleNormal="130" workbookViewId="0">
      <selection activeCell="L5" sqref="L5"/>
    </sheetView>
  </sheetViews>
  <sheetFormatPr defaultColWidth="11.5546875" defaultRowHeight="14.4" x14ac:dyDescent="0.3"/>
  <cols>
    <col min="5" max="5" width="19.33203125" bestFit="1" customWidth="1"/>
    <col min="6" max="6" width="16.88671875" bestFit="1" customWidth="1"/>
    <col min="7" max="7" width="19.33203125" bestFit="1" customWidth="1"/>
    <col min="8" max="8" width="16.88671875" bestFit="1" customWidth="1"/>
  </cols>
  <sheetData>
    <row r="5" spans="3:8" x14ac:dyDescent="0.3">
      <c r="E5" s="281" t="s">
        <v>366</v>
      </c>
      <c r="F5" s="282"/>
      <c r="G5" s="283" t="s">
        <v>367</v>
      </c>
      <c r="H5" s="284"/>
    </row>
    <row r="6" spans="3:8" x14ac:dyDescent="0.3">
      <c r="C6" s="217" t="s">
        <v>360</v>
      </c>
      <c r="D6" s="224" t="s">
        <v>361</v>
      </c>
      <c r="E6" s="228" t="s">
        <v>368</v>
      </c>
      <c r="F6" s="229" t="s">
        <v>369</v>
      </c>
      <c r="G6" s="228" t="s">
        <v>368</v>
      </c>
      <c r="H6" s="229" t="s">
        <v>369</v>
      </c>
    </row>
    <row r="7" spans="3:8" x14ac:dyDescent="0.3">
      <c r="C7" s="220">
        <v>0.28000000000000003</v>
      </c>
      <c r="D7" s="221">
        <v>6.8000000000000007</v>
      </c>
      <c r="E7" s="227">
        <v>1</v>
      </c>
      <c r="F7" s="57">
        <v>435</v>
      </c>
      <c r="G7" s="227">
        <v>4100</v>
      </c>
      <c r="H7" s="57">
        <v>5629</v>
      </c>
    </row>
    <row r="8" spans="3:8" x14ac:dyDescent="0.3">
      <c r="C8" s="220">
        <v>0.38</v>
      </c>
      <c r="D8" s="221">
        <v>9.2000000000000011</v>
      </c>
      <c r="E8" s="227">
        <v>435</v>
      </c>
      <c r="F8" s="57">
        <v>993</v>
      </c>
      <c r="G8" s="227">
        <v>5629</v>
      </c>
      <c r="H8" s="57">
        <v>6462</v>
      </c>
    </row>
    <row r="9" spans="3:8" x14ac:dyDescent="0.3">
      <c r="C9" s="220">
        <v>0.56000000000000005</v>
      </c>
      <c r="D9" s="221">
        <v>13.600000000000001</v>
      </c>
      <c r="E9" s="227">
        <v>993</v>
      </c>
      <c r="F9" s="57">
        <v>1815</v>
      </c>
      <c r="G9" s="227">
        <v>6462</v>
      </c>
      <c r="H9" s="57">
        <v>7456</v>
      </c>
    </row>
    <row r="10" spans="3:8" x14ac:dyDescent="0.3">
      <c r="C10" s="220">
        <v>0.75</v>
      </c>
      <c r="D10" s="221">
        <v>18.2</v>
      </c>
      <c r="E10" s="227">
        <v>1815</v>
      </c>
      <c r="F10" s="57">
        <v>2913</v>
      </c>
      <c r="G10" s="227">
        <v>7456</v>
      </c>
      <c r="H10" s="57">
        <v>8155</v>
      </c>
    </row>
    <row r="11" spans="3:8" x14ac:dyDescent="0.3">
      <c r="C11" s="220">
        <v>1.1000000000000001</v>
      </c>
      <c r="D11" s="221">
        <v>26.8</v>
      </c>
      <c r="E11" s="227">
        <v>2913</v>
      </c>
      <c r="F11" s="57">
        <v>4527</v>
      </c>
      <c r="G11" s="227">
        <v>8155</v>
      </c>
      <c r="H11" s="57">
        <v>9136</v>
      </c>
    </row>
    <row r="12" spans="3:8" x14ac:dyDescent="0.3">
      <c r="C12" s="220">
        <v>1.5</v>
      </c>
      <c r="D12" s="221">
        <v>36.5</v>
      </c>
      <c r="E12" s="227">
        <v>4527</v>
      </c>
      <c r="F12" s="57">
        <v>6717</v>
      </c>
      <c r="G12" s="227">
        <v>9136</v>
      </c>
      <c r="H12" s="57">
        <v>9890</v>
      </c>
    </row>
    <row r="13" spans="3:8" x14ac:dyDescent="0.3">
      <c r="C13" s="220">
        <v>2.2999999999999998</v>
      </c>
      <c r="D13" s="221">
        <v>56</v>
      </c>
      <c r="E13" s="227">
        <v>6717</v>
      </c>
      <c r="F13" s="57">
        <v>8961</v>
      </c>
      <c r="G13" s="227">
        <v>9890</v>
      </c>
      <c r="H13" s="57">
        <v>10903</v>
      </c>
    </row>
    <row r="14" spans="3:8" x14ac:dyDescent="0.3">
      <c r="C14" s="222">
        <v>3.1</v>
      </c>
      <c r="D14" s="225">
        <v>75.5</v>
      </c>
      <c r="E14" s="230">
        <v>8961</v>
      </c>
      <c r="F14" s="231">
        <v>11980</v>
      </c>
      <c r="G14" s="230">
        <v>10903</v>
      </c>
      <c r="H14" s="231">
        <v>11610</v>
      </c>
    </row>
  </sheetData>
  <mergeCells count="2"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Prop Geom y de Materiales</vt:lpstr>
      <vt:lpstr>Prop Geom y de Materiales (2)</vt:lpstr>
      <vt:lpstr>Nodos</vt:lpstr>
      <vt:lpstr>Parámetros de Análisis</vt:lpstr>
      <vt:lpstr>Analisis Seccional</vt:lpstr>
      <vt:lpstr>Hoja1</vt:lpstr>
      <vt:lpstr>Resp local exp y analitica</vt:lpstr>
      <vt:lpstr>Drifts</vt:lpstr>
      <vt:lpstr>Energia Disipada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Nunez Gallardo (maria.nunez.g)</cp:lastModifiedBy>
  <dcterms:created xsi:type="dcterms:W3CDTF">2022-03-18T16:39:52Z</dcterms:created>
  <dcterms:modified xsi:type="dcterms:W3CDTF">2023-11-01T14:45:31Z</dcterms:modified>
</cp:coreProperties>
</file>