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https://uccireland-my.sharepoint.com/personal/f_rogan_ucc_ie/Documents/Energy Modelling/"/>
    </mc:Choice>
  </mc:AlternateContent>
  <xr:revisionPtr revIDLastSave="0" documentId="8_{74CFED4C-1DDC-CA4A-AA13-0DAA1344DAC1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Nomenclature etc" sheetId="18" r:id="rId1"/>
    <sheet name="From R Inputs_HERMES" sheetId="17" r:id="rId2"/>
    <sheet name="TKm to VKm" sheetId="19" r:id="rId3"/>
    <sheet name="Share by weight band" sheetId="20" r:id="rId4"/>
    <sheet name="Tkm, Vkm, &amp; Stock Projections" sheetId="1" r:id="rId5"/>
    <sheet name="Graphs" sheetId="21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___RESULTS____" localSheetId="1">#REF!</definedName>
    <definedName name="_____RESULTS____">#REF!</definedName>
    <definedName name="___INPUT_DATA___" localSheetId="1">#REF!</definedName>
    <definedName name="___INPUT_DATA___">#REF!</definedName>
    <definedName name="Mileage_km_per_year" localSheetId="1">#REF!</definedName>
    <definedName name="Mileage_km_per_year">#REF!</definedName>
    <definedName name="Population">'[1]Fleet numbers - Table 3.1.12'!$B$3:$H$115</definedName>
    <definedName name="solver_cvg" localSheetId="5" hidden="1">0.0001</definedName>
    <definedName name="solver_cvg" localSheetId="4" hidden="1">0.0001</definedName>
    <definedName name="solver_drv" localSheetId="5" hidden="1">2</definedName>
    <definedName name="solver_drv" localSheetId="4" hidden="1">2</definedName>
    <definedName name="solver_eng" localSheetId="5" hidden="1">1</definedName>
    <definedName name="solver_eng" localSheetId="4" hidden="1">1</definedName>
    <definedName name="solver_est" localSheetId="5" hidden="1">1</definedName>
    <definedName name="solver_est" localSheetId="4" hidden="1">1</definedName>
    <definedName name="solver_itr" localSheetId="5" hidden="1">2147483647</definedName>
    <definedName name="solver_itr" localSheetId="4" hidden="1">2147483647</definedName>
    <definedName name="solver_mip" localSheetId="5" hidden="1">2147483647</definedName>
    <definedName name="solver_mip" localSheetId="4" hidden="1">2147483647</definedName>
    <definedName name="solver_mni" localSheetId="5" hidden="1">30</definedName>
    <definedName name="solver_mni" localSheetId="4" hidden="1">30</definedName>
    <definedName name="solver_mrt" localSheetId="5" hidden="1">0.075</definedName>
    <definedName name="solver_mrt" localSheetId="4" hidden="1">0.075</definedName>
    <definedName name="solver_msl" localSheetId="5" hidden="1">2</definedName>
    <definedName name="solver_msl" localSheetId="4" hidden="1">2</definedName>
    <definedName name="solver_neg" localSheetId="5" hidden="1">1</definedName>
    <definedName name="solver_neg" localSheetId="4" hidden="1">1</definedName>
    <definedName name="solver_nod" localSheetId="5" hidden="1">2147483647</definedName>
    <definedName name="solver_nod" localSheetId="4" hidden="1">2147483647</definedName>
    <definedName name="solver_num" localSheetId="5" hidden="1">0</definedName>
    <definedName name="solver_num" localSheetId="4" hidden="1">0</definedName>
    <definedName name="solver_nwt" localSheetId="5" hidden="1">1</definedName>
    <definedName name="solver_nwt" localSheetId="4" hidden="1">1</definedName>
    <definedName name="solver_opt" localSheetId="5" hidden="1">Graphs!$V$4</definedName>
    <definedName name="solver_opt" localSheetId="4" hidden="1">'Tkm, Vkm, &amp; Stock Projections'!$AA$99</definedName>
    <definedName name="solver_pre" localSheetId="5" hidden="1">0.000001</definedName>
    <definedName name="solver_pre" localSheetId="4" hidden="1">0.000001</definedName>
    <definedName name="solver_rbv" localSheetId="5" hidden="1">2</definedName>
    <definedName name="solver_rbv" localSheetId="4" hidden="1">2</definedName>
    <definedName name="solver_rlx" localSheetId="5" hidden="1">2</definedName>
    <definedName name="solver_rlx" localSheetId="4" hidden="1">2</definedName>
    <definedName name="solver_rsd" localSheetId="5" hidden="1">0</definedName>
    <definedName name="solver_rsd" localSheetId="4" hidden="1">0</definedName>
    <definedName name="solver_scl" localSheetId="5" hidden="1">2</definedName>
    <definedName name="solver_scl" localSheetId="4" hidden="1">2</definedName>
    <definedName name="solver_sho" localSheetId="5" hidden="1">2</definedName>
    <definedName name="solver_sho" localSheetId="4" hidden="1">2</definedName>
    <definedName name="solver_ssz" localSheetId="5" hidden="1">100</definedName>
    <definedName name="solver_ssz" localSheetId="4" hidden="1">100</definedName>
    <definedName name="solver_tim" localSheetId="5" hidden="1">2147483647</definedName>
    <definedName name="solver_tim" localSheetId="4" hidden="1">2147483647</definedName>
    <definedName name="solver_tol" localSheetId="5" hidden="1">0.01</definedName>
    <definedName name="solver_tol" localSheetId="4" hidden="1">0.01</definedName>
    <definedName name="solver_typ" localSheetId="5" hidden="1">3</definedName>
    <definedName name="solver_typ" localSheetId="4" hidden="1">3</definedName>
    <definedName name="solver_val" localSheetId="5" hidden="1">5044</definedName>
    <definedName name="solver_val" localSheetId="4" hidden="1">15325</definedName>
    <definedName name="solver_ver" localSheetId="5" hidden="1">3</definedName>
    <definedName name="solver_ver" localSheetId="4" hidden="1">3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14" i="21" l="1"/>
  <c r="C92" i="21" l="1"/>
  <c r="D92" i="21"/>
  <c r="E92" i="21"/>
  <c r="F92" i="21"/>
  <c r="G92" i="21"/>
  <c r="H92" i="21"/>
  <c r="I92" i="21"/>
  <c r="J92" i="21"/>
  <c r="K92" i="21"/>
  <c r="L92" i="21"/>
  <c r="M92" i="21"/>
  <c r="N92" i="21"/>
  <c r="O92" i="21"/>
  <c r="P92" i="21"/>
  <c r="B92" i="21"/>
  <c r="K5" i="1"/>
  <c r="C45" i="1" l="1"/>
  <c r="D45" i="1"/>
  <c r="E45" i="1"/>
  <c r="F45" i="1"/>
  <c r="G45" i="1"/>
  <c r="H45" i="1"/>
  <c r="I45" i="1"/>
  <c r="J45" i="1"/>
  <c r="K45" i="1"/>
  <c r="L45" i="1"/>
  <c r="M45" i="1"/>
  <c r="N45" i="1"/>
  <c r="C46" i="1"/>
  <c r="D46" i="1"/>
  <c r="E46" i="1"/>
  <c r="F46" i="1"/>
  <c r="G46" i="1"/>
  <c r="H46" i="1"/>
  <c r="I46" i="1"/>
  <c r="J46" i="1"/>
  <c r="K46" i="1"/>
  <c r="L46" i="1"/>
  <c r="M46" i="1"/>
  <c r="N46" i="1"/>
  <c r="C47" i="1"/>
  <c r="D47" i="1"/>
  <c r="E47" i="1"/>
  <c r="F47" i="1"/>
  <c r="G47" i="1"/>
  <c r="H47" i="1"/>
  <c r="I47" i="1"/>
  <c r="J47" i="1"/>
  <c r="K47" i="1"/>
  <c r="L47" i="1"/>
  <c r="M47" i="1"/>
  <c r="N47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49" i="1"/>
  <c r="E49" i="1"/>
  <c r="F49" i="1"/>
  <c r="G49" i="1"/>
  <c r="H49" i="1"/>
  <c r="I49" i="1"/>
  <c r="J49" i="1"/>
  <c r="K49" i="1"/>
  <c r="L49" i="1"/>
  <c r="M49" i="1"/>
  <c r="N49" i="1"/>
  <c r="B46" i="1"/>
  <c r="B47" i="1"/>
  <c r="B48" i="1"/>
  <c r="B49" i="1"/>
  <c r="B45" i="1"/>
  <c r="F50" i="1" l="1"/>
  <c r="I50" i="1"/>
  <c r="E50" i="1"/>
  <c r="L50" i="1"/>
  <c r="H50" i="1"/>
  <c r="D50" i="1"/>
  <c r="N50" i="1"/>
  <c r="J50" i="1"/>
  <c r="M50" i="1"/>
  <c r="B50" i="1"/>
  <c r="K50" i="1"/>
  <c r="G50" i="1"/>
  <c r="C50" i="1"/>
  <c r="R102" i="1"/>
  <c r="S102" i="1"/>
  <c r="T102" i="1"/>
  <c r="U102" i="1"/>
  <c r="V102" i="1"/>
  <c r="W102" i="1"/>
  <c r="X102" i="1"/>
  <c r="Y102" i="1"/>
  <c r="Z102" i="1"/>
  <c r="R103" i="1"/>
  <c r="S103" i="1"/>
  <c r="T103" i="1"/>
  <c r="U103" i="1"/>
  <c r="V103" i="1"/>
  <c r="W103" i="1"/>
  <c r="X103" i="1"/>
  <c r="Y103" i="1"/>
  <c r="Z103" i="1"/>
  <c r="R104" i="1"/>
  <c r="S104" i="1"/>
  <c r="T104" i="1"/>
  <c r="U104" i="1"/>
  <c r="V104" i="1"/>
  <c r="W104" i="1"/>
  <c r="X104" i="1"/>
  <c r="Y104" i="1"/>
  <c r="Z104" i="1"/>
  <c r="R105" i="1"/>
  <c r="S105" i="1"/>
  <c r="T105" i="1"/>
  <c r="U105" i="1"/>
  <c r="V105" i="1"/>
  <c r="W105" i="1"/>
  <c r="X105" i="1"/>
  <c r="Y105" i="1"/>
  <c r="Z105" i="1"/>
  <c r="R106" i="1"/>
  <c r="S106" i="1"/>
  <c r="T106" i="1"/>
  <c r="U106" i="1"/>
  <c r="V106" i="1"/>
  <c r="W106" i="1"/>
  <c r="X106" i="1"/>
  <c r="Y106" i="1"/>
  <c r="Z106" i="1"/>
  <c r="R107" i="1"/>
  <c r="S107" i="1"/>
  <c r="T107" i="1"/>
  <c r="U107" i="1"/>
  <c r="V107" i="1"/>
  <c r="W107" i="1"/>
  <c r="X107" i="1"/>
  <c r="Y107" i="1"/>
  <c r="Z107" i="1"/>
  <c r="R108" i="1"/>
  <c r="S108" i="1"/>
  <c r="T108" i="1"/>
  <c r="U108" i="1"/>
  <c r="V108" i="1"/>
  <c r="W108" i="1"/>
  <c r="X108" i="1"/>
  <c r="Y108" i="1"/>
  <c r="Z108" i="1"/>
  <c r="Q103" i="1"/>
  <c r="Q104" i="1"/>
  <c r="Q105" i="1"/>
  <c r="Q106" i="1"/>
  <c r="Q107" i="1"/>
  <c r="Q108" i="1"/>
  <c r="Q102" i="1"/>
  <c r="O22" i="1"/>
  <c r="P22" i="1"/>
  <c r="Q22" i="1"/>
  <c r="S22" i="1"/>
  <c r="T22" i="1"/>
  <c r="U22" i="1"/>
  <c r="V22" i="1"/>
  <c r="W22" i="1"/>
  <c r="X22" i="1"/>
  <c r="Y22" i="1"/>
  <c r="Z22" i="1"/>
  <c r="R22" i="1"/>
  <c r="P31" i="1"/>
  <c r="Q31" i="1"/>
  <c r="R31" i="1"/>
  <c r="S31" i="1"/>
  <c r="T31" i="1"/>
  <c r="U31" i="1"/>
  <c r="V31" i="1"/>
  <c r="W31" i="1"/>
  <c r="X31" i="1"/>
  <c r="Y31" i="1"/>
  <c r="Z31" i="1"/>
  <c r="P32" i="1"/>
  <c r="Q32" i="1"/>
  <c r="R32" i="1"/>
  <c r="S32" i="1"/>
  <c r="T32" i="1"/>
  <c r="U32" i="1"/>
  <c r="V32" i="1"/>
  <c r="W32" i="1"/>
  <c r="X32" i="1"/>
  <c r="Y32" i="1"/>
  <c r="Z32" i="1"/>
  <c r="P33" i="1"/>
  <c r="Q33" i="1"/>
  <c r="R33" i="1"/>
  <c r="S33" i="1"/>
  <c r="T33" i="1"/>
  <c r="U33" i="1"/>
  <c r="V33" i="1"/>
  <c r="W33" i="1"/>
  <c r="X33" i="1"/>
  <c r="Y33" i="1"/>
  <c r="Z33" i="1"/>
  <c r="P34" i="1"/>
  <c r="Q34" i="1"/>
  <c r="R34" i="1"/>
  <c r="S34" i="1"/>
  <c r="T34" i="1"/>
  <c r="U34" i="1"/>
  <c r="V34" i="1"/>
  <c r="W34" i="1"/>
  <c r="X34" i="1"/>
  <c r="Y34" i="1"/>
  <c r="Z34" i="1"/>
  <c r="P35" i="1"/>
  <c r="Q35" i="1"/>
  <c r="R35" i="1"/>
  <c r="S35" i="1"/>
  <c r="T35" i="1"/>
  <c r="U35" i="1"/>
  <c r="V35" i="1"/>
  <c r="W35" i="1"/>
  <c r="X35" i="1"/>
  <c r="Y35" i="1"/>
  <c r="Z35" i="1"/>
  <c r="P36" i="1"/>
  <c r="Q36" i="1"/>
  <c r="R36" i="1"/>
  <c r="S36" i="1"/>
  <c r="T36" i="1"/>
  <c r="U36" i="1"/>
  <c r="V36" i="1"/>
  <c r="W36" i="1"/>
  <c r="X36" i="1"/>
  <c r="Y36" i="1"/>
  <c r="Z36" i="1"/>
  <c r="O32" i="1"/>
  <c r="O33" i="1"/>
  <c r="O34" i="1"/>
  <c r="O35" i="1"/>
  <c r="O36" i="1"/>
  <c r="O31" i="1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D11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AJ3" i="17"/>
  <c r="AK3" i="17"/>
  <c r="AL3" i="17"/>
  <c r="AM3" i="17"/>
  <c r="AN3" i="17"/>
  <c r="AO3" i="17"/>
  <c r="AP3" i="17"/>
  <c r="AQ3" i="17"/>
  <c r="AR3" i="17"/>
  <c r="AS3" i="17"/>
  <c r="AT3" i="17"/>
  <c r="AU3" i="17"/>
  <c r="AV3" i="17"/>
  <c r="AW3" i="17"/>
  <c r="AX3" i="17"/>
  <c r="AY3" i="17"/>
  <c r="AZ3" i="17"/>
  <c r="BA3" i="17"/>
  <c r="BB3" i="17"/>
  <c r="BC3" i="17"/>
  <c r="BD3" i="17"/>
  <c r="BE3" i="17"/>
  <c r="BF3" i="17"/>
  <c r="D3" i="17"/>
  <c r="AA116" i="1" l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A21" i="20"/>
  <c r="C12" i="20"/>
  <c r="C20" i="20" s="1"/>
  <c r="D12" i="20"/>
  <c r="D20" i="20" s="1"/>
  <c r="E12" i="20"/>
  <c r="E20" i="20" s="1"/>
  <c r="F12" i="20"/>
  <c r="C13" i="20"/>
  <c r="D13" i="20"/>
  <c r="E13" i="20"/>
  <c r="F13" i="20"/>
  <c r="C14" i="20"/>
  <c r="D14" i="20"/>
  <c r="E14" i="20"/>
  <c r="F14" i="20"/>
  <c r="C15" i="20"/>
  <c r="D15" i="20"/>
  <c r="E15" i="20"/>
  <c r="F15" i="20"/>
  <c r="C16" i="20"/>
  <c r="D16" i="20"/>
  <c r="E16" i="20"/>
  <c r="F16" i="20"/>
  <c r="C17" i="20"/>
  <c r="D17" i="20"/>
  <c r="E17" i="20"/>
  <c r="F17" i="20"/>
  <c r="C18" i="20"/>
  <c r="D18" i="20"/>
  <c r="F18" i="20"/>
  <c r="F20" i="20"/>
  <c r="E18" i="20"/>
  <c r="E25" i="20" l="1"/>
  <c r="E24" i="20"/>
  <c r="E23" i="20"/>
  <c r="E22" i="20"/>
  <c r="E21" i="20"/>
  <c r="D25" i="20"/>
  <c r="D23" i="20"/>
  <c r="D22" i="20"/>
  <c r="D24" i="20"/>
  <c r="F25" i="20"/>
  <c r="F24" i="20"/>
  <c r="F23" i="20"/>
  <c r="F22" i="20"/>
  <c r="F21" i="20"/>
  <c r="H7" i="20"/>
  <c r="G9" i="20"/>
  <c r="C25" i="20"/>
  <c r="G8" i="20"/>
  <c r="C24" i="20"/>
  <c r="C23" i="20"/>
  <c r="C22" i="20"/>
  <c r="G5" i="20"/>
  <c r="C21" i="20"/>
  <c r="I9" i="20"/>
  <c r="I5" i="20"/>
  <c r="H5" i="20"/>
  <c r="H6" i="20"/>
  <c r="D21" i="20"/>
  <c r="G7" i="20"/>
  <c r="I7" i="20"/>
  <c r="H8" i="20"/>
  <c r="I6" i="20"/>
  <c r="G6" i="20"/>
  <c r="I8" i="20"/>
  <c r="H9" i="20"/>
  <c r="E26" i="20" l="1"/>
  <c r="F26" i="20"/>
  <c r="C26" i="20"/>
  <c r="D26" i="20"/>
  <c r="G14" i="20"/>
  <c r="J6" i="20" l="1"/>
  <c r="AW38" i="19" l="1"/>
  <c r="A48" i="20"/>
  <c r="A47" i="20"/>
  <c r="A46" i="20"/>
  <c r="A45" i="20"/>
  <c r="A44" i="20"/>
  <c r="A43" i="20"/>
  <c r="C43" i="20"/>
  <c r="C51" i="20" s="1"/>
  <c r="D43" i="20"/>
  <c r="D51" i="20" s="1"/>
  <c r="C44" i="20"/>
  <c r="C52" i="20" s="1"/>
  <c r="D44" i="20"/>
  <c r="C45" i="20"/>
  <c r="C53" i="20" s="1"/>
  <c r="D45" i="20"/>
  <c r="D53" i="20" s="1"/>
  <c r="C46" i="20"/>
  <c r="C54" i="20" s="1"/>
  <c r="D46" i="20"/>
  <c r="C47" i="20"/>
  <c r="C55" i="20" s="1"/>
  <c r="D47" i="20"/>
  <c r="D55" i="20" s="1"/>
  <c r="C48" i="20"/>
  <c r="C56" i="20" s="1"/>
  <c r="D48" i="20"/>
  <c r="D56" i="20" s="1"/>
  <c r="H43" i="20"/>
  <c r="H51" i="20" s="1"/>
  <c r="I43" i="20"/>
  <c r="J43" i="20"/>
  <c r="J51" i="20" s="1"/>
  <c r="K43" i="20"/>
  <c r="L43" i="20"/>
  <c r="M43" i="20" s="1"/>
  <c r="N43" i="20" s="1"/>
  <c r="F43" i="20"/>
  <c r="F51" i="20" s="1"/>
  <c r="E43" i="20"/>
  <c r="E51" i="20" s="1"/>
  <c r="E44" i="20"/>
  <c r="E52" i="20" s="1"/>
  <c r="F44" i="20"/>
  <c r="F52" i="20" s="1"/>
  <c r="E45" i="20"/>
  <c r="E53" i="20" s="1"/>
  <c r="F45" i="20"/>
  <c r="F53" i="20" s="1"/>
  <c r="E46" i="20"/>
  <c r="E54" i="20" s="1"/>
  <c r="F46" i="20"/>
  <c r="F54" i="20" s="1"/>
  <c r="E47" i="20"/>
  <c r="E55" i="20" s="1"/>
  <c r="F47" i="20"/>
  <c r="F55" i="20" s="1"/>
  <c r="E48" i="20"/>
  <c r="E56" i="20" s="1"/>
  <c r="F48" i="20"/>
  <c r="F56" i="20" s="1"/>
  <c r="G43" i="20"/>
  <c r="K35" i="20" l="1"/>
  <c r="H37" i="20"/>
  <c r="I39" i="20"/>
  <c r="I36" i="20"/>
  <c r="H39" i="20"/>
  <c r="I35" i="20"/>
  <c r="O35" i="20"/>
  <c r="I37" i="20"/>
  <c r="D54" i="20"/>
  <c r="H38" i="20"/>
  <c r="D52" i="20"/>
  <c r="H36" i="20"/>
  <c r="I38" i="20"/>
  <c r="M35" i="20"/>
  <c r="G39" i="20"/>
  <c r="G38" i="20"/>
  <c r="G37" i="20"/>
  <c r="G36" i="20"/>
  <c r="G35" i="20"/>
  <c r="H35" i="20"/>
  <c r="J35" i="20"/>
  <c r="O43" i="20"/>
  <c r="I51" i="20"/>
  <c r="L51" i="20"/>
  <c r="N35" i="20"/>
  <c r="K51" i="20"/>
  <c r="G51" i="20"/>
  <c r="L35" i="20"/>
  <c r="P35" i="20" l="1"/>
  <c r="P43" i="20"/>
  <c r="Q43" i="20" l="1"/>
  <c r="R43" i="20" l="1"/>
  <c r="S43" i="20" l="1"/>
  <c r="T43" i="20" l="1"/>
  <c r="U43" i="20" l="1"/>
  <c r="V43" i="20" l="1"/>
  <c r="W43" i="20" l="1"/>
  <c r="X43" i="20" l="1"/>
  <c r="Y43" i="20" l="1"/>
  <c r="Z43" i="20" l="1"/>
  <c r="AA43" i="20" l="1"/>
  <c r="R36" i="21"/>
  <c r="Z8" i="21"/>
  <c r="Z9" i="21" s="1"/>
  <c r="Z6" i="21"/>
  <c r="Z7" i="21" s="1"/>
  <c r="Z130" i="21"/>
  <c r="Y130" i="21"/>
  <c r="X130" i="21"/>
  <c r="W130" i="21"/>
  <c r="V130" i="21"/>
  <c r="U130" i="21"/>
  <c r="T130" i="21"/>
  <c r="S130" i="21"/>
  <c r="R130" i="21"/>
  <c r="Q130" i="21"/>
  <c r="P130" i="21"/>
  <c r="O130" i="21"/>
  <c r="Z129" i="21"/>
  <c r="Y129" i="21"/>
  <c r="X129" i="21"/>
  <c r="W129" i="21"/>
  <c r="V129" i="21"/>
  <c r="U129" i="21"/>
  <c r="T129" i="21"/>
  <c r="S129" i="21"/>
  <c r="R129" i="21"/>
  <c r="Q129" i="21"/>
  <c r="P129" i="21"/>
  <c r="O129" i="21"/>
  <c r="Z128" i="21"/>
  <c r="Y128" i="21"/>
  <c r="X128" i="21"/>
  <c r="W128" i="21"/>
  <c r="V128" i="21"/>
  <c r="U128" i="21"/>
  <c r="T128" i="21"/>
  <c r="S128" i="21"/>
  <c r="R128" i="21"/>
  <c r="Q128" i="21"/>
  <c r="P128" i="21"/>
  <c r="O128" i="21"/>
  <c r="Z127" i="21"/>
  <c r="Y127" i="21"/>
  <c r="X127" i="21"/>
  <c r="W127" i="21"/>
  <c r="V127" i="21"/>
  <c r="V131" i="21" s="1"/>
  <c r="U127" i="21"/>
  <c r="U131" i="21" s="1"/>
  <c r="T127" i="21"/>
  <c r="S127" i="21"/>
  <c r="R127" i="21"/>
  <c r="Q127" i="21"/>
  <c r="P127" i="21"/>
  <c r="O127" i="21"/>
  <c r="Z126" i="21"/>
  <c r="Y126" i="21"/>
  <c r="X126" i="21"/>
  <c r="W126" i="21"/>
  <c r="V126" i="21"/>
  <c r="U126" i="21"/>
  <c r="T126" i="21"/>
  <c r="S126" i="21"/>
  <c r="R126" i="21"/>
  <c r="Q126" i="21"/>
  <c r="P126" i="21"/>
  <c r="O126" i="21"/>
  <c r="Z122" i="21"/>
  <c r="Y122" i="21"/>
  <c r="X122" i="21"/>
  <c r="W122" i="21"/>
  <c r="V122" i="21"/>
  <c r="U122" i="21"/>
  <c r="T122" i="21"/>
  <c r="S122" i="21"/>
  <c r="R122" i="21"/>
  <c r="Q122" i="21"/>
  <c r="P122" i="21"/>
  <c r="O122" i="21"/>
  <c r="N122" i="21"/>
  <c r="M122" i="21"/>
  <c r="L122" i="21"/>
  <c r="K122" i="21"/>
  <c r="J122" i="21"/>
  <c r="I122" i="21"/>
  <c r="H122" i="21"/>
  <c r="G122" i="21"/>
  <c r="F122" i="21"/>
  <c r="E122" i="21"/>
  <c r="D122" i="21"/>
  <c r="C122" i="21"/>
  <c r="B122" i="21"/>
  <c r="Z121" i="21"/>
  <c r="Y121" i="21"/>
  <c r="X121" i="21"/>
  <c r="W121" i="21"/>
  <c r="V121" i="21"/>
  <c r="U121" i="21"/>
  <c r="T121" i="21"/>
  <c r="S121" i="21"/>
  <c r="R121" i="21"/>
  <c r="Q121" i="21"/>
  <c r="P121" i="21"/>
  <c r="O121" i="21"/>
  <c r="N121" i="21"/>
  <c r="M121" i="21"/>
  <c r="L121" i="21"/>
  <c r="K121" i="21"/>
  <c r="J121" i="21"/>
  <c r="I121" i="21"/>
  <c r="H121" i="21"/>
  <c r="G121" i="21"/>
  <c r="F121" i="21"/>
  <c r="E121" i="21"/>
  <c r="D121" i="21"/>
  <c r="C121" i="21"/>
  <c r="B121" i="21"/>
  <c r="Z120" i="21"/>
  <c r="Y120" i="21"/>
  <c r="X120" i="21"/>
  <c r="W120" i="21"/>
  <c r="V120" i="21"/>
  <c r="U120" i="21"/>
  <c r="T120" i="21"/>
  <c r="S120" i="21"/>
  <c r="R120" i="21"/>
  <c r="Q120" i="21"/>
  <c r="P120" i="21"/>
  <c r="O120" i="21"/>
  <c r="N120" i="21"/>
  <c r="M120" i="21"/>
  <c r="L120" i="21"/>
  <c r="K120" i="21"/>
  <c r="J120" i="21"/>
  <c r="I120" i="21"/>
  <c r="H120" i="21"/>
  <c r="G120" i="21"/>
  <c r="F120" i="21"/>
  <c r="E120" i="21"/>
  <c r="D120" i="21"/>
  <c r="C120" i="21"/>
  <c r="B120" i="21"/>
  <c r="Z119" i="21"/>
  <c r="Y119" i="21"/>
  <c r="X119" i="21"/>
  <c r="W119" i="21"/>
  <c r="V119" i="21"/>
  <c r="U119" i="21"/>
  <c r="T119" i="21"/>
  <c r="S119" i="21"/>
  <c r="R119" i="21"/>
  <c r="Q119" i="21"/>
  <c r="P119" i="21"/>
  <c r="O119" i="21"/>
  <c r="N119" i="21"/>
  <c r="M119" i="21"/>
  <c r="L119" i="21"/>
  <c r="K119" i="21"/>
  <c r="J119" i="21"/>
  <c r="I119" i="21"/>
  <c r="H119" i="21"/>
  <c r="G119" i="21"/>
  <c r="F119" i="21"/>
  <c r="E119" i="21"/>
  <c r="D119" i="21"/>
  <c r="C119" i="21"/>
  <c r="B119" i="21"/>
  <c r="Z118" i="21"/>
  <c r="Y118" i="21"/>
  <c r="X118" i="21"/>
  <c r="W118" i="21"/>
  <c r="V118" i="21"/>
  <c r="U118" i="21"/>
  <c r="T118" i="21"/>
  <c r="S118" i="21"/>
  <c r="R118" i="21"/>
  <c r="Q118" i="21"/>
  <c r="P118" i="21"/>
  <c r="O118" i="21"/>
  <c r="N118" i="21"/>
  <c r="M118" i="21"/>
  <c r="L118" i="21"/>
  <c r="K118" i="21"/>
  <c r="J118" i="21"/>
  <c r="I118" i="21"/>
  <c r="H118" i="21"/>
  <c r="G118" i="21"/>
  <c r="F118" i="21"/>
  <c r="E118" i="21"/>
  <c r="D118" i="21"/>
  <c r="C118" i="21"/>
  <c r="B118" i="21"/>
  <c r="O86" i="21"/>
  <c r="I86" i="21"/>
  <c r="O85" i="21"/>
  <c r="I85" i="21"/>
  <c r="O84" i="21"/>
  <c r="I84" i="21"/>
  <c r="O83" i="21"/>
  <c r="I83" i="21"/>
  <c r="O82" i="21"/>
  <c r="I82" i="21"/>
  <c r="Z77" i="21"/>
  <c r="Y77" i="21"/>
  <c r="X77" i="21"/>
  <c r="W77" i="21"/>
  <c r="V77" i="21"/>
  <c r="V48" i="21" s="1"/>
  <c r="U77" i="21"/>
  <c r="T77" i="21"/>
  <c r="S77" i="21"/>
  <c r="R77" i="21"/>
  <c r="Q77" i="21"/>
  <c r="P77" i="21"/>
  <c r="O77" i="21"/>
  <c r="Z76" i="21"/>
  <c r="Z47" i="21" s="1"/>
  <c r="Y76" i="21"/>
  <c r="X76" i="21"/>
  <c r="W76" i="21"/>
  <c r="V76" i="21"/>
  <c r="U76" i="21"/>
  <c r="T76" i="21"/>
  <c r="S76" i="21"/>
  <c r="R76" i="21"/>
  <c r="R47" i="21" s="1"/>
  <c r="Q76" i="21"/>
  <c r="P76" i="21"/>
  <c r="O76" i="21"/>
  <c r="Z75" i="21"/>
  <c r="Y75" i="21"/>
  <c r="X75" i="21"/>
  <c r="W75" i="21"/>
  <c r="V75" i="21"/>
  <c r="V46" i="21" s="1"/>
  <c r="U75" i="21"/>
  <c r="T75" i="21"/>
  <c r="S75" i="21"/>
  <c r="R75" i="21"/>
  <c r="Q75" i="21"/>
  <c r="P75" i="21"/>
  <c r="O75" i="21"/>
  <c r="Z74" i="21"/>
  <c r="Z45" i="21" s="1"/>
  <c r="Y74" i="21"/>
  <c r="X74" i="21"/>
  <c r="W74" i="21"/>
  <c r="V74" i="21"/>
  <c r="U74" i="21"/>
  <c r="T74" i="21"/>
  <c r="S74" i="21"/>
  <c r="R74" i="21"/>
  <c r="R45" i="21" s="1"/>
  <c r="Q74" i="21"/>
  <c r="P74" i="21"/>
  <c r="O74" i="21"/>
  <c r="Z73" i="21"/>
  <c r="Y73" i="21"/>
  <c r="X73" i="21"/>
  <c r="W73" i="21"/>
  <c r="V73" i="21"/>
  <c r="V44" i="21" s="1"/>
  <c r="U73" i="21"/>
  <c r="T73" i="21"/>
  <c r="S73" i="21"/>
  <c r="R73" i="21"/>
  <c r="Q73" i="21"/>
  <c r="P73" i="21"/>
  <c r="O73" i="21"/>
  <c r="BE54" i="21"/>
  <c r="BE110" i="21" s="1"/>
  <c r="BD54" i="21"/>
  <c r="BD110" i="21" s="1"/>
  <c r="BC54" i="21"/>
  <c r="BC110" i="21" s="1"/>
  <c r="BB54" i="21"/>
  <c r="BB110" i="21" s="1"/>
  <c r="BA54" i="21"/>
  <c r="BA110" i="21" s="1"/>
  <c r="AZ54" i="21"/>
  <c r="AZ110" i="21" s="1"/>
  <c r="AY54" i="21"/>
  <c r="AY110" i="21" s="1"/>
  <c r="AX54" i="21"/>
  <c r="AX110" i="21" s="1"/>
  <c r="AW54" i="21"/>
  <c r="AW110" i="21" s="1"/>
  <c r="AV54" i="21"/>
  <c r="AV110" i="21" s="1"/>
  <c r="AU54" i="21"/>
  <c r="AU110" i="21" s="1"/>
  <c r="AT54" i="21"/>
  <c r="AT110" i="21" s="1"/>
  <c r="AS54" i="21"/>
  <c r="AS110" i="21" s="1"/>
  <c r="AR54" i="21"/>
  <c r="AR110" i="21" s="1"/>
  <c r="AQ54" i="21"/>
  <c r="AQ110" i="21" s="1"/>
  <c r="AP54" i="21"/>
  <c r="AP110" i="21" s="1"/>
  <c r="AO54" i="21"/>
  <c r="AO110" i="21" s="1"/>
  <c r="AN54" i="21"/>
  <c r="AN110" i="21" s="1"/>
  <c r="AM54" i="21"/>
  <c r="AM110" i="21" s="1"/>
  <c r="AL54" i="21"/>
  <c r="AL110" i="21" s="1"/>
  <c r="AK54" i="21"/>
  <c r="AJ54" i="21"/>
  <c r="AJ110" i="21" s="1"/>
  <c r="AI54" i="21"/>
  <c r="AI110" i="21" s="1"/>
  <c r="AH54" i="21"/>
  <c r="AH110" i="21" s="1"/>
  <c r="AG54" i="21"/>
  <c r="AG110" i="21" s="1"/>
  <c r="AF54" i="21"/>
  <c r="AF110" i="21" s="1"/>
  <c r="AE54" i="21"/>
  <c r="AE110" i="21" s="1"/>
  <c r="AD54" i="21"/>
  <c r="AD110" i="21" s="1"/>
  <c r="AC54" i="21"/>
  <c r="AC110" i="21" s="1"/>
  <c r="AB54" i="21"/>
  <c r="AB110" i="21" s="1"/>
  <c r="Z38" i="21"/>
  <c r="Z39" i="21" s="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Z36" i="21"/>
  <c r="Z37" i="21" s="1"/>
  <c r="Y36" i="21"/>
  <c r="X36" i="21"/>
  <c r="W36" i="21"/>
  <c r="V36" i="21"/>
  <c r="U36" i="21"/>
  <c r="T36" i="21"/>
  <c r="S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Z32" i="21"/>
  <c r="Z33" i="21" s="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BI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BI29" i="21"/>
  <c r="Z23" i="21"/>
  <c r="Z24" i="21" s="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Z21" i="21"/>
  <c r="Z22" i="21" s="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Z19" i="21"/>
  <c r="Z20" i="21" s="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Z17" i="21"/>
  <c r="Z18" i="21" s="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P131" i="21" l="1"/>
  <c r="X131" i="21"/>
  <c r="R44" i="21"/>
  <c r="Z44" i="21"/>
  <c r="V45" i="21"/>
  <c r="R46" i="21"/>
  <c r="Z46" i="21"/>
  <c r="Z49" i="21" s="1"/>
  <c r="V47" i="21"/>
  <c r="R48" i="21"/>
  <c r="Z48" i="21"/>
  <c r="Q131" i="21"/>
  <c r="Y131" i="21"/>
  <c r="R131" i="21"/>
  <c r="Z131" i="21"/>
  <c r="E40" i="21"/>
  <c r="I40" i="21"/>
  <c r="M40" i="21"/>
  <c r="Q40" i="21"/>
  <c r="U40" i="21"/>
  <c r="Y40" i="21"/>
  <c r="O131" i="21"/>
  <c r="Z25" i="21"/>
  <c r="Z16" i="21"/>
  <c r="B40" i="21"/>
  <c r="F40" i="21"/>
  <c r="J40" i="21"/>
  <c r="N40" i="21"/>
  <c r="R40" i="21"/>
  <c r="V40" i="21"/>
  <c r="V41" i="21" s="1"/>
  <c r="Z31" i="21"/>
  <c r="Z40" i="21"/>
  <c r="C40" i="21"/>
  <c r="G40" i="21"/>
  <c r="K40" i="21"/>
  <c r="O40" i="21"/>
  <c r="S40" i="21"/>
  <c r="W40" i="21"/>
  <c r="D40" i="21"/>
  <c r="H40" i="21"/>
  <c r="L40" i="21"/>
  <c r="P40" i="21"/>
  <c r="T40" i="21"/>
  <c r="X40" i="21"/>
  <c r="AB43" i="20"/>
  <c r="Z10" i="21"/>
  <c r="Z35" i="21"/>
  <c r="W131" i="21"/>
  <c r="S44" i="21"/>
  <c r="W44" i="21"/>
  <c r="O45" i="21"/>
  <c r="S45" i="21"/>
  <c r="W45" i="21"/>
  <c r="S46" i="21"/>
  <c r="W46" i="21"/>
  <c r="S47" i="21"/>
  <c r="W47" i="21"/>
  <c r="O48" i="21"/>
  <c r="S48" i="21"/>
  <c r="W48" i="21"/>
  <c r="S131" i="21"/>
  <c r="Q44" i="21"/>
  <c r="Y46" i="21"/>
  <c r="Q48" i="21"/>
  <c r="U45" i="21"/>
  <c r="U44" i="21"/>
  <c r="Y44" i="21"/>
  <c r="Q46" i="21"/>
  <c r="U46" i="21"/>
  <c r="Q47" i="21"/>
  <c r="U47" i="21"/>
  <c r="Y47" i="21"/>
  <c r="U48" i="21"/>
  <c r="Y48" i="21"/>
  <c r="E10" i="21"/>
  <c r="M10" i="21"/>
  <c r="U10" i="21"/>
  <c r="Y45" i="21"/>
  <c r="W67" i="21"/>
  <c r="W112" i="21" s="1"/>
  <c r="R68" i="21"/>
  <c r="R113" i="21" s="1"/>
  <c r="E69" i="21"/>
  <c r="E114" i="21" s="1"/>
  <c r="Y69" i="21"/>
  <c r="Y114" i="21" s="1"/>
  <c r="I10" i="21"/>
  <c r="Q10" i="21"/>
  <c r="Y10" i="21"/>
  <c r="Q45" i="21"/>
  <c r="B10" i="21"/>
  <c r="N10" i="21"/>
  <c r="F65" i="21"/>
  <c r="F110" i="21" s="1"/>
  <c r="F85" i="21"/>
  <c r="J10" i="21"/>
  <c r="V10" i="21"/>
  <c r="N65" i="21"/>
  <c r="N110" i="21" s="1"/>
  <c r="G10" i="21"/>
  <c r="O10" i="21"/>
  <c r="W10" i="21"/>
  <c r="E66" i="21"/>
  <c r="E111" i="21" s="1"/>
  <c r="I66" i="21"/>
  <c r="I111" i="21" s="1"/>
  <c r="M66" i="21"/>
  <c r="M111" i="21" s="1"/>
  <c r="Q66" i="21"/>
  <c r="Q111" i="21" s="1"/>
  <c r="U66" i="21"/>
  <c r="U111" i="21" s="1"/>
  <c r="Y66" i="21"/>
  <c r="Y111" i="21" s="1"/>
  <c r="D67" i="21"/>
  <c r="D112" i="21" s="1"/>
  <c r="H67" i="21"/>
  <c r="H112" i="21" s="1"/>
  <c r="L67" i="21"/>
  <c r="L112" i="21" s="1"/>
  <c r="F10" i="21"/>
  <c r="R10" i="21"/>
  <c r="V65" i="21"/>
  <c r="V110" i="21" s="1"/>
  <c r="C10" i="21"/>
  <c r="K10" i="21"/>
  <c r="S10" i="21"/>
  <c r="Z5" i="21"/>
  <c r="G123" i="21"/>
  <c r="P44" i="21"/>
  <c r="X44" i="21"/>
  <c r="T46" i="21"/>
  <c r="P47" i="21"/>
  <c r="T47" i="21"/>
  <c r="X47" i="21"/>
  <c r="P48" i="21"/>
  <c r="X48" i="21"/>
  <c r="C25" i="21"/>
  <c r="D25" i="21"/>
  <c r="H25" i="21"/>
  <c r="L25" i="21"/>
  <c r="P25" i="21"/>
  <c r="T25" i="21"/>
  <c r="X25" i="21"/>
  <c r="K25" i="21"/>
  <c r="S25" i="21"/>
  <c r="G65" i="21"/>
  <c r="G110" i="21" s="1"/>
  <c r="K65" i="21"/>
  <c r="K110" i="21" s="1"/>
  <c r="O65" i="21"/>
  <c r="O110" i="21" s="1"/>
  <c r="W65" i="21"/>
  <c r="W110" i="21" s="1"/>
  <c r="P123" i="21"/>
  <c r="O123" i="21"/>
  <c r="T44" i="21"/>
  <c r="P46" i="21"/>
  <c r="X46" i="21"/>
  <c r="T48" i="21"/>
  <c r="E123" i="21"/>
  <c r="Q123" i="21"/>
  <c r="T131" i="21"/>
  <c r="D10" i="21"/>
  <c r="L10" i="21"/>
  <c r="T10" i="21"/>
  <c r="F25" i="21"/>
  <c r="J25" i="21"/>
  <c r="N25" i="21"/>
  <c r="R25" i="21"/>
  <c r="V25" i="21"/>
  <c r="F82" i="21"/>
  <c r="F84" i="21"/>
  <c r="D123" i="21"/>
  <c r="H123" i="21"/>
  <c r="T123" i="21"/>
  <c r="C123" i="21"/>
  <c r="S123" i="21"/>
  <c r="G25" i="21"/>
  <c r="O25" i="21"/>
  <c r="W25" i="21"/>
  <c r="O44" i="21"/>
  <c r="O46" i="21"/>
  <c r="O47" i="21"/>
  <c r="I123" i="21"/>
  <c r="M123" i="21"/>
  <c r="U123" i="21"/>
  <c r="Y123" i="21"/>
  <c r="H10" i="21"/>
  <c r="P10" i="21"/>
  <c r="X10" i="21"/>
  <c r="B25" i="21"/>
  <c r="F83" i="21"/>
  <c r="L123" i="21"/>
  <c r="X123" i="21"/>
  <c r="K123" i="21"/>
  <c r="W123" i="21"/>
  <c r="B68" i="21"/>
  <c r="B113" i="21" s="1"/>
  <c r="P45" i="21"/>
  <c r="T45" i="21"/>
  <c r="X45" i="21"/>
  <c r="H65" i="21"/>
  <c r="H110" i="21" s="1"/>
  <c r="P65" i="21"/>
  <c r="P110" i="21" s="1"/>
  <c r="X65" i="21"/>
  <c r="X110" i="21" s="1"/>
  <c r="F66" i="21"/>
  <c r="N66" i="21"/>
  <c r="N111" i="21" s="1"/>
  <c r="V66" i="21"/>
  <c r="E67" i="21"/>
  <c r="E112" i="21" s="1"/>
  <c r="M67" i="21"/>
  <c r="M112" i="21" s="1"/>
  <c r="U67" i="21"/>
  <c r="U112" i="21" s="1"/>
  <c r="H68" i="21"/>
  <c r="H113" i="21" s="1"/>
  <c r="P68" i="21"/>
  <c r="P113" i="21" s="1"/>
  <c r="G69" i="21"/>
  <c r="G114" i="21" s="1"/>
  <c r="O69" i="21"/>
  <c r="W69" i="21"/>
  <c r="W114" i="21" s="1"/>
  <c r="D65" i="21"/>
  <c r="D110" i="21" s="1"/>
  <c r="L65" i="21"/>
  <c r="L110" i="21" s="1"/>
  <c r="T65" i="21"/>
  <c r="T110" i="21" s="1"/>
  <c r="B66" i="21"/>
  <c r="B111" i="21" s="1"/>
  <c r="J66" i="21"/>
  <c r="J111" i="21" s="1"/>
  <c r="R66" i="21"/>
  <c r="R111" i="21" s="1"/>
  <c r="Z66" i="21"/>
  <c r="Z111" i="21" s="1"/>
  <c r="I67" i="21"/>
  <c r="I112" i="21" s="1"/>
  <c r="Q67" i="21"/>
  <c r="Q112" i="21" s="1"/>
  <c r="Y67" i="21"/>
  <c r="Y112" i="21" s="1"/>
  <c r="D68" i="21"/>
  <c r="D113" i="21" s="1"/>
  <c r="L68" i="21"/>
  <c r="L113" i="21" s="1"/>
  <c r="T68" i="21"/>
  <c r="T113" i="21" s="1"/>
  <c r="X68" i="21"/>
  <c r="X113" i="21" s="1"/>
  <c r="C69" i="21"/>
  <c r="C114" i="21" s="1"/>
  <c r="K69" i="21"/>
  <c r="K114" i="21" s="1"/>
  <c r="S69" i="21"/>
  <c r="S114" i="21" s="1"/>
  <c r="E65" i="21"/>
  <c r="E110" i="21" s="1"/>
  <c r="I65" i="21"/>
  <c r="I110" i="21" s="1"/>
  <c r="M65" i="21"/>
  <c r="M110" i="21" s="1"/>
  <c r="Q65" i="21"/>
  <c r="U65" i="21"/>
  <c r="U110" i="21" s="1"/>
  <c r="Y65" i="21"/>
  <c r="Y110" i="21" s="1"/>
  <c r="C66" i="21"/>
  <c r="G66" i="21"/>
  <c r="K66" i="21"/>
  <c r="K111" i="21" s="1"/>
  <c r="O66" i="21"/>
  <c r="O111" i="21" s="1"/>
  <c r="S66" i="21"/>
  <c r="S111" i="21" s="1"/>
  <c r="W66" i="21"/>
  <c r="W111" i="21" s="1"/>
  <c r="B67" i="21"/>
  <c r="F67" i="21"/>
  <c r="F112" i="21" s="1"/>
  <c r="J67" i="21"/>
  <c r="J112" i="21" s="1"/>
  <c r="N67" i="21"/>
  <c r="N112" i="21" s="1"/>
  <c r="R67" i="21"/>
  <c r="R112" i="21" s="1"/>
  <c r="Z67" i="21"/>
  <c r="Z112" i="21" s="1"/>
  <c r="E68" i="21"/>
  <c r="E113" i="21" s="1"/>
  <c r="I68" i="21"/>
  <c r="M68" i="21"/>
  <c r="M113" i="21" s="1"/>
  <c r="Q68" i="21"/>
  <c r="Q113" i="21" s="1"/>
  <c r="U68" i="21"/>
  <c r="U113" i="21" s="1"/>
  <c r="Y68" i="21"/>
  <c r="Y113" i="21" s="1"/>
  <c r="H69" i="21"/>
  <c r="H114" i="21" s="1"/>
  <c r="L69" i="21"/>
  <c r="L114" i="21" s="1"/>
  <c r="P69" i="21"/>
  <c r="P114" i="21" s="1"/>
  <c r="T69" i="21"/>
  <c r="T114" i="21" s="1"/>
  <c r="X69" i="21"/>
  <c r="X114" i="21" s="1"/>
  <c r="E25" i="21"/>
  <c r="I25" i="21"/>
  <c r="M25" i="21"/>
  <c r="Q25" i="21"/>
  <c r="U25" i="21"/>
  <c r="Y25" i="21"/>
  <c r="V67" i="21"/>
  <c r="V112" i="21" s="1"/>
  <c r="D69" i="21"/>
  <c r="D114" i="21" s="1"/>
  <c r="D66" i="21"/>
  <c r="L66" i="21"/>
  <c r="X66" i="21"/>
  <c r="G67" i="21"/>
  <c r="G112" i="21" s="1"/>
  <c r="O67" i="21"/>
  <c r="S67" i="21"/>
  <c r="S112" i="21" s="1"/>
  <c r="F68" i="21"/>
  <c r="F113" i="21" s="1"/>
  <c r="J68" i="21"/>
  <c r="J113" i="21" s="1"/>
  <c r="Z68" i="21"/>
  <c r="Z113" i="21" s="1"/>
  <c r="M69" i="21"/>
  <c r="M114" i="21" s="1"/>
  <c r="B65" i="21"/>
  <c r="I69" i="21"/>
  <c r="I114" i="21" s="1"/>
  <c r="F86" i="21"/>
  <c r="H66" i="21"/>
  <c r="H111" i="21" s="1"/>
  <c r="P66" i="21"/>
  <c r="P111" i="21" s="1"/>
  <c r="T66" i="21"/>
  <c r="T111" i="21" s="1"/>
  <c r="C67" i="21"/>
  <c r="C112" i="21" s="1"/>
  <c r="K67" i="21"/>
  <c r="K112" i="21" s="1"/>
  <c r="V68" i="21"/>
  <c r="V113" i="21" s="1"/>
  <c r="Q69" i="21"/>
  <c r="Q114" i="21" s="1"/>
  <c r="J65" i="21"/>
  <c r="J110" i="21" s="1"/>
  <c r="R65" i="21"/>
  <c r="R110" i="21" s="1"/>
  <c r="Z65" i="21"/>
  <c r="Z110" i="21" s="1"/>
  <c r="P67" i="21"/>
  <c r="P112" i="21" s="1"/>
  <c r="T67" i="21"/>
  <c r="T112" i="21" s="1"/>
  <c r="X67" i="21"/>
  <c r="X112" i="21" s="1"/>
  <c r="C68" i="21"/>
  <c r="G68" i="21"/>
  <c r="G113" i="21" s="1"/>
  <c r="K68" i="21"/>
  <c r="K113" i="21" s="1"/>
  <c r="O68" i="21"/>
  <c r="S68" i="21"/>
  <c r="S113" i="21" s="1"/>
  <c r="W68" i="21"/>
  <c r="W113" i="21" s="1"/>
  <c r="B69" i="21"/>
  <c r="B114" i="21" s="1"/>
  <c r="F69" i="21"/>
  <c r="F114" i="21" s="1"/>
  <c r="J69" i="21"/>
  <c r="J114" i="21" s="1"/>
  <c r="N69" i="21"/>
  <c r="N114" i="21" s="1"/>
  <c r="R69" i="21"/>
  <c r="R114" i="21" s="1"/>
  <c r="V69" i="21"/>
  <c r="V114" i="21" s="1"/>
  <c r="Z69" i="21"/>
  <c r="Z114" i="21" s="1"/>
  <c r="C65" i="21"/>
  <c r="C110" i="21" s="1"/>
  <c r="S65" i="21"/>
  <c r="S110" i="21" s="1"/>
  <c r="N68" i="21"/>
  <c r="N113" i="21" s="1"/>
  <c r="U69" i="21"/>
  <c r="U114" i="21" s="1"/>
  <c r="B123" i="21"/>
  <c r="F123" i="21"/>
  <c r="J123" i="21"/>
  <c r="N123" i="21"/>
  <c r="R123" i="21"/>
  <c r="V123" i="21"/>
  <c r="Z123" i="21"/>
  <c r="AG35" i="17"/>
  <c r="R49" i="21" l="1"/>
  <c r="V49" i="21"/>
  <c r="AC43" i="20"/>
  <c r="U49" i="21"/>
  <c r="W49" i="21"/>
  <c r="S49" i="21"/>
  <c r="Q49" i="21"/>
  <c r="Y49" i="21"/>
  <c r="P49" i="21"/>
  <c r="X49" i="21"/>
  <c r="O49" i="21"/>
  <c r="X70" i="21"/>
  <c r="T49" i="21"/>
  <c r="D70" i="21"/>
  <c r="Q70" i="21"/>
  <c r="M70" i="21"/>
  <c r="Y70" i="21"/>
  <c r="D84" i="21"/>
  <c r="H84" i="21" s="1"/>
  <c r="U70" i="21"/>
  <c r="I70" i="21"/>
  <c r="B85" i="21"/>
  <c r="T115" i="21"/>
  <c r="I113" i="21"/>
  <c r="I115" i="21" s="1"/>
  <c r="D82" i="21"/>
  <c r="H82" i="21" s="1"/>
  <c r="U115" i="21"/>
  <c r="K115" i="21"/>
  <c r="Z115" i="21"/>
  <c r="V70" i="21"/>
  <c r="F70" i="21"/>
  <c r="B86" i="21"/>
  <c r="C113" i="21"/>
  <c r="Y115" i="21"/>
  <c r="H70" i="21"/>
  <c r="O112" i="21"/>
  <c r="X111" i="21"/>
  <c r="X115" i="21" s="1"/>
  <c r="D111" i="21"/>
  <c r="D115" i="21" s="1"/>
  <c r="E70" i="21"/>
  <c r="B84" i="21"/>
  <c r="W70" i="21"/>
  <c r="S70" i="21"/>
  <c r="Q110" i="21"/>
  <c r="J115" i="21"/>
  <c r="D86" i="21"/>
  <c r="H86" i="21" s="1"/>
  <c r="P115" i="21"/>
  <c r="R115" i="21"/>
  <c r="M115" i="21"/>
  <c r="T70" i="21"/>
  <c r="B82" i="21"/>
  <c r="W115" i="21"/>
  <c r="C70" i="21"/>
  <c r="Z70" i="21"/>
  <c r="R70" i="21"/>
  <c r="B83" i="21"/>
  <c r="B70" i="21"/>
  <c r="V111" i="21"/>
  <c r="V115" i="21" s="1"/>
  <c r="N115" i="21"/>
  <c r="F111" i="21"/>
  <c r="F115" i="21" s="1"/>
  <c r="O70" i="21"/>
  <c r="D83" i="21"/>
  <c r="H83" i="21" s="1"/>
  <c r="D85" i="21"/>
  <c r="H85" i="21" s="1"/>
  <c r="E115" i="21"/>
  <c r="H115" i="21"/>
  <c r="L70" i="21"/>
  <c r="S115" i="21"/>
  <c r="G70" i="21"/>
  <c r="O113" i="21"/>
  <c r="Q115" i="21"/>
  <c r="P70" i="21"/>
  <c r="L111" i="21"/>
  <c r="L115" i="21" s="1"/>
  <c r="B110" i="21"/>
  <c r="B112" i="21"/>
  <c r="B115" i="21" s="1"/>
  <c r="K70" i="21"/>
  <c r="G111" i="21"/>
  <c r="G115" i="21" s="1"/>
  <c r="C111" i="21"/>
  <c r="J70" i="21"/>
  <c r="O114" i="21"/>
  <c r="N70" i="21"/>
  <c r="AD43" i="20" l="1"/>
  <c r="O115" i="21"/>
  <c r="C115" i="21"/>
  <c r="AE43" i="20" l="1"/>
  <c r="AF43" i="20" l="1"/>
  <c r="BI21" i="1"/>
  <c r="AG43" i="20" l="1"/>
  <c r="L46" i="20"/>
  <c r="M46" i="20" s="1"/>
  <c r="N46" i="20" s="1"/>
  <c r="O46" i="20" s="1"/>
  <c r="P46" i="20" s="1"/>
  <c r="Q46" i="20" s="1"/>
  <c r="R46" i="20" s="1"/>
  <c r="S46" i="20" s="1"/>
  <c r="T46" i="20" s="1"/>
  <c r="U46" i="20" s="1"/>
  <c r="V46" i="20" s="1"/>
  <c r="W46" i="20" s="1"/>
  <c r="X46" i="20" s="1"/>
  <c r="Y46" i="20" s="1"/>
  <c r="Z46" i="20" s="1"/>
  <c r="AA46" i="20" s="1"/>
  <c r="AB46" i="20" s="1"/>
  <c r="AC46" i="20" s="1"/>
  <c r="AD46" i="20" s="1"/>
  <c r="AE46" i="20" s="1"/>
  <c r="AF46" i="20" s="1"/>
  <c r="AG46" i="20" s="1"/>
  <c r="AH46" i="20" s="1"/>
  <c r="AI46" i="20" s="1"/>
  <c r="AJ46" i="20" s="1"/>
  <c r="AK46" i="20" s="1"/>
  <c r="AL46" i="20" s="1"/>
  <c r="AM46" i="20" s="1"/>
  <c r="AN46" i="20" s="1"/>
  <c r="AO46" i="20" s="1"/>
  <c r="AP46" i="20" s="1"/>
  <c r="AQ46" i="20" s="1"/>
  <c r="L45" i="20"/>
  <c r="M45" i="20" s="1"/>
  <c r="N45" i="20" s="1"/>
  <c r="O45" i="20" s="1"/>
  <c r="P45" i="20" s="1"/>
  <c r="Q45" i="20" s="1"/>
  <c r="R45" i="20" s="1"/>
  <c r="S45" i="20" s="1"/>
  <c r="T45" i="20" s="1"/>
  <c r="U45" i="20" s="1"/>
  <c r="V45" i="20" s="1"/>
  <c r="W45" i="20" s="1"/>
  <c r="X45" i="20" s="1"/>
  <c r="Y45" i="20" s="1"/>
  <c r="B22" i="20"/>
  <c r="B23" i="20"/>
  <c r="B24" i="20"/>
  <c r="B25" i="20"/>
  <c r="Z45" i="20" l="1"/>
  <c r="AA45" i="20" s="1"/>
  <c r="AB45" i="20" s="1"/>
  <c r="AC45" i="20" s="1"/>
  <c r="AD45" i="20" s="1"/>
  <c r="AE45" i="20" s="1"/>
  <c r="AF45" i="20" s="1"/>
  <c r="AG45" i="20" s="1"/>
  <c r="AH45" i="20" s="1"/>
  <c r="AI45" i="20" s="1"/>
  <c r="AJ45" i="20" s="1"/>
  <c r="AK45" i="20" s="1"/>
  <c r="AL45" i="20" s="1"/>
  <c r="AM45" i="20" s="1"/>
  <c r="AN45" i="20" s="1"/>
  <c r="AO45" i="20" s="1"/>
  <c r="AP45" i="20" s="1"/>
  <c r="AQ45" i="20" s="1"/>
  <c r="AH43" i="20"/>
  <c r="G48" i="20"/>
  <c r="G56" i="20" s="1"/>
  <c r="H48" i="20"/>
  <c r="H56" i="20" s="1"/>
  <c r="I48" i="20"/>
  <c r="I56" i="20" s="1"/>
  <c r="J48" i="20"/>
  <c r="J56" i="20" s="1"/>
  <c r="K48" i="20"/>
  <c r="K56" i="20" s="1"/>
  <c r="G44" i="20"/>
  <c r="J36" i="20" s="1"/>
  <c r="H44" i="20"/>
  <c r="I44" i="20"/>
  <c r="J44" i="20"/>
  <c r="K44" i="20"/>
  <c r="G45" i="20"/>
  <c r="J37" i="20" s="1"/>
  <c r="H45" i="20"/>
  <c r="I45" i="20"/>
  <c r="J45" i="20"/>
  <c r="K45" i="20"/>
  <c r="G46" i="20"/>
  <c r="J38" i="20" s="1"/>
  <c r="H46" i="20"/>
  <c r="I46" i="20"/>
  <c r="J46" i="20"/>
  <c r="K46" i="20"/>
  <c r="G47" i="20"/>
  <c r="J39" i="20" s="1"/>
  <c r="H47" i="20"/>
  <c r="I47" i="20"/>
  <c r="J47" i="20"/>
  <c r="K47" i="20"/>
  <c r="K36" i="20" l="1"/>
  <c r="AI43" i="20"/>
  <c r="H55" i="20"/>
  <c r="L39" i="20"/>
  <c r="J53" i="20"/>
  <c r="N37" i="20"/>
  <c r="K55" i="20"/>
  <c r="H54" i="20"/>
  <c r="L38" i="20"/>
  <c r="J52" i="20"/>
  <c r="N36" i="20"/>
  <c r="I54" i="20"/>
  <c r="M38" i="20"/>
  <c r="K52" i="20"/>
  <c r="G52" i="20"/>
  <c r="G55" i="20"/>
  <c r="K39" i="20"/>
  <c r="I53" i="20"/>
  <c r="M37" i="20"/>
  <c r="J55" i="20"/>
  <c r="N39" i="20"/>
  <c r="K54" i="20"/>
  <c r="O38" i="20"/>
  <c r="G54" i="20"/>
  <c r="K38" i="20"/>
  <c r="H53" i="20"/>
  <c r="L37" i="20"/>
  <c r="I52" i="20"/>
  <c r="M36" i="20"/>
  <c r="I55" i="20"/>
  <c r="M39" i="20"/>
  <c r="J54" i="20"/>
  <c r="N38" i="20"/>
  <c r="K53" i="20"/>
  <c r="O37" i="20"/>
  <c r="G53" i="20"/>
  <c r="K37" i="20"/>
  <c r="H52" i="20"/>
  <c r="L36" i="20"/>
  <c r="P36" i="20" s="1"/>
  <c r="A51" i="20"/>
  <c r="A52" i="20"/>
  <c r="L44" i="20"/>
  <c r="O36" i="20" s="1"/>
  <c r="A53" i="20"/>
  <c r="L53" i="20"/>
  <c r="A54" i="20"/>
  <c r="L54" i="20"/>
  <c r="A55" i="20"/>
  <c r="L47" i="20"/>
  <c r="O39" i="20" s="1"/>
  <c r="A56" i="20"/>
  <c r="L48" i="20"/>
  <c r="L56" i="20" s="1"/>
  <c r="P39" i="20" l="1"/>
  <c r="P37" i="20"/>
  <c r="P38" i="20"/>
  <c r="AJ43" i="20"/>
  <c r="L55" i="20"/>
  <c r="M47" i="20"/>
  <c r="N47" i="20" s="1"/>
  <c r="O47" i="20" s="1"/>
  <c r="P47" i="20" s="1"/>
  <c r="Q47" i="20" s="1"/>
  <c r="R47" i="20" s="1"/>
  <c r="S47" i="20" s="1"/>
  <c r="T47" i="20" s="1"/>
  <c r="U47" i="20" s="1"/>
  <c r="V47" i="20" s="1"/>
  <c r="W47" i="20" s="1"/>
  <c r="X47" i="20" s="1"/>
  <c r="Y47" i="20" s="1"/>
  <c r="Z47" i="20" s="1"/>
  <c r="AA47" i="20" s="1"/>
  <c r="AB47" i="20" s="1"/>
  <c r="AC47" i="20" s="1"/>
  <c r="AD47" i="20" s="1"/>
  <c r="AE47" i="20" s="1"/>
  <c r="AF47" i="20" s="1"/>
  <c r="AG47" i="20" s="1"/>
  <c r="AH47" i="20" s="1"/>
  <c r="AI47" i="20" s="1"/>
  <c r="AJ47" i="20" s="1"/>
  <c r="AK47" i="20" s="1"/>
  <c r="AL47" i="20" s="1"/>
  <c r="AM47" i="20" s="1"/>
  <c r="AN47" i="20" s="1"/>
  <c r="AO47" i="20" s="1"/>
  <c r="AP47" i="20" s="1"/>
  <c r="AQ47" i="20" s="1"/>
  <c r="M44" i="20"/>
  <c r="L52" i="20"/>
  <c r="L18" i="20"/>
  <c r="K18" i="20"/>
  <c r="J18" i="20"/>
  <c r="I18" i="20"/>
  <c r="H18" i="20"/>
  <c r="G18" i="20"/>
  <c r="G22" i="20" s="1"/>
  <c r="A18" i="20"/>
  <c r="L17" i="20"/>
  <c r="K17" i="20"/>
  <c r="J17" i="20"/>
  <c r="I17" i="20"/>
  <c r="H17" i="20"/>
  <c r="G17" i="20"/>
  <c r="A17" i="20"/>
  <c r="A25" i="20" s="1"/>
  <c r="L16" i="20"/>
  <c r="K16" i="20"/>
  <c r="J16" i="20"/>
  <c r="I16" i="20"/>
  <c r="H16" i="20"/>
  <c r="G16" i="20"/>
  <c r="A16" i="20"/>
  <c r="A24" i="20" s="1"/>
  <c r="L15" i="20"/>
  <c r="K15" i="20"/>
  <c r="J15" i="20"/>
  <c r="J23" i="20" s="1"/>
  <c r="I15" i="20"/>
  <c r="H15" i="20"/>
  <c r="H23" i="20" s="1"/>
  <c r="G15" i="20"/>
  <c r="A15" i="20"/>
  <c r="A23" i="20" s="1"/>
  <c r="L14" i="20"/>
  <c r="K14" i="20"/>
  <c r="K22" i="20" s="1"/>
  <c r="J14" i="20"/>
  <c r="J22" i="20" s="1"/>
  <c r="I14" i="20"/>
  <c r="I22" i="20" s="1"/>
  <c r="H14" i="20"/>
  <c r="A14" i="20"/>
  <c r="A22" i="20" s="1"/>
  <c r="L13" i="20"/>
  <c r="K13" i="20"/>
  <c r="J13" i="20"/>
  <c r="I13" i="20"/>
  <c r="H13" i="20"/>
  <c r="G13" i="20"/>
  <c r="A13" i="20"/>
  <c r="L12" i="20"/>
  <c r="L20" i="20" s="1"/>
  <c r="K12" i="20"/>
  <c r="K20" i="20" s="1"/>
  <c r="J12" i="20"/>
  <c r="J20" i="20" s="1"/>
  <c r="I12" i="20"/>
  <c r="I20" i="20" s="1"/>
  <c r="H12" i="20"/>
  <c r="H20" i="20" s="1"/>
  <c r="G12" i="20"/>
  <c r="G20" i="20" s="1"/>
  <c r="H22" i="20" l="1"/>
  <c r="G21" i="20"/>
  <c r="H25" i="20"/>
  <c r="H21" i="20"/>
  <c r="H24" i="20"/>
  <c r="G24" i="20"/>
  <c r="G23" i="20"/>
  <c r="K23" i="20"/>
  <c r="O8" i="20"/>
  <c r="K24" i="20"/>
  <c r="M17" i="20"/>
  <c r="N17" i="20" s="1"/>
  <c r="L25" i="20"/>
  <c r="I25" i="20"/>
  <c r="I24" i="20"/>
  <c r="O5" i="20"/>
  <c r="K21" i="20"/>
  <c r="M13" i="20"/>
  <c r="L21" i="20"/>
  <c r="M16" i="20"/>
  <c r="N16" i="20" s="1"/>
  <c r="L24" i="20"/>
  <c r="I21" i="20"/>
  <c r="M15" i="20"/>
  <c r="N15" i="20" s="1"/>
  <c r="L23" i="20"/>
  <c r="J25" i="20"/>
  <c r="J21" i="20"/>
  <c r="M14" i="20"/>
  <c r="L22" i="20"/>
  <c r="I23" i="20"/>
  <c r="J24" i="20"/>
  <c r="G25" i="20"/>
  <c r="K25" i="20"/>
  <c r="N7" i="20"/>
  <c r="L5" i="20"/>
  <c r="N6" i="20"/>
  <c r="K7" i="20"/>
  <c r="J7" i="20"/>
  <c r="O7" i="20"/>
  <c r="L8" i="20"/>
  <c r="M9" i="20"/>
  <c r="K8" i="20"/>
  <c r="J8" i="20"/>
  <c r="L9" i="20"/>
  <c r="M5" i="20"/>
  <c r="O6" i="20"/>
  <c r="L7" i="20"/>
  <c r="M8" i="20"/>
  <c r="N9" i="20"/>
  <c r="K5" i="20"/>
  <c r="J5" i="20"/>
  <c r="M6" i="20"/>
  <c r="N5" i="20"/>
  <c r="L6" i="20"/>
  <c r="K6" i="20"/>
  <c r="M7" i="20"/>
  <c r="N8" i="20"/>
  <c r="K9" i="20"/>
  <c r="J9" i="20"/>
  <c r="O9" i="20"/>
  <c r="N44" i="20"/>
  <c r="M48" i="20"/>
  <c r="M51" i="20" s="1"/>
  <c r="AK43" i="20"/>
  <c r="H26" i="20" l="1"/>
  <c r="G26" i="20"/>
  <c r="L26" i="20"/>
  <c r="J26" i="20"/>
  <c r="I26" i="20"/>
  <c r="K26" i="20"/>
  <c r="M18" i="20"/>
  <c r="M22" i="20" s="1"/>
  <c r="M25" i="20"/>
  <c r="N14" i="20"/>
  <c r="O14" i="20" s="1"/>
  <c r="N13" i="20"/>
  <c r="P5" i="20"/>
  <c r="P7" i="20"/>
  <c r="O17" i="20"/>
  <c r="P9" i="20"/>
  <c r="O13" i="20"/>
  <c r="O16" i="20"/>
  <c r="P6" i="20"/>
  <c r="O15" i="20"/>
  <c r="P8" i="20"/>
  <c r="AL43" i="20"/>
  <c r="M52" i="20"/>
  <c r="O44" i="20"/>
  <c r="N48" i="20"/>
  <c r="N51" i="20" s="1"/>
  <c r="M54" i="20"/>
  <c r="M56" i="20"/>
  <c r="M53" i="20"/>
  <c r="M55" i="20"/>
  <c r="N18" i="20" l="1"/>
  <c r="N24" i="20" s="1"/>
  <c r="M24" i="20"/>
  <c r="M23" i="20"/>
  <c r="M21" i="20"/>
  <c r="P13" i="20"/>
  <c r="O18" i="20"/>
  <c r="O22" i="20" s="1"/>
  <c r="P17" i="20"/>
  <c r="P16" i="20"/>
  <c r="P14" i="20"/>
  <c r="P15" i="20"/>
  <c r="N52" i="20"/>
  <c r="P44" i="20"/>
  <c r="O48" i="20"/>
  <c r="O51" i="20" s="1"/>
  <c r="AM43" i="20"/>
  <c r="N54" i="20"/>
  <c r="N56" i="20"/>
  <c r="N53" i="20"/>
  <c r="N55" i="20"/>
  <c r="N22" i="20" l="1"/>
  <c r="N23" i="20"/>
  <c r="N25" i="20"/>
  <c r="N21" i="20"/>
  <c r="N26" i="20" s="1"/>
  <c r="M26" i="20"/>
  <c r="O24" i="20"/>
  <c r="O23" i="20"/>
  <c r="O25" i="20"/>
  <c r="O21" i="20"/>
  <c r="Q14" i="20"/>
  <c r="Q17" i="20"/>
  <c r="Q15" i="20"/>
  <c r="Q16" i="20"/>
  <c r="Q13" i="20"/>
  <c r="P18" i="20"/>
  <c r="P23" i="20" s="1"/>
  <c r="AN43" i="20"/>
  <c r="Q44" i="20"/>
  <c r="P48" i="20"/>
  <c r="P51" i="20" s="1"/>
  <c r="O54" i="20"/>
  <c r="O56" i="20"/>
  <c r="O53" i="20"/>
  <c r="O55" i="20"/>
  <c r="O52" i="20"/>
  <c r="O77" i="1"/>
  <c r="O73" i="1"/>
  <c r="P25" i="20" l="1"/>
  <c r="P21" i="20"/>
  <c r="P22" i="20"/>
  <c r="P24" i="20"/>
  <c r="O26" i="20"/>
  <c r="R16" i="20"/>
  <c r="R17" i="20"/>
  <c r="R13" i="20"/>
  <c r="Q18" i="20"/>
  <c r="Q25" i="20" s="1"/>
  <c r="R15" i="20"/>
  <c r="R14" i="20"/>
  <c r="P52" i="20"/>
  <c r="R44" i="20"/>
  <c r="Q48" i="20"/>
  <c r="Q51" i="20" s="1"/>
  <c r="AO43" i="20"/>
  <c r="P53" i="20"/>
  <c r="P54" i="20"/>
  <c r="P56" i="20"/>
  <c r="P55" i="20"/>
  <c r="K114" i="1"/>
  <c r="Q24" i="20" l="1"/>
  <c r="Q21" i="20"/>
  <c r="Q22" i="20"/>
  <c r="Q23" i="20"/>
  <c r="P26" i="20"/>
  <c r="S13" i="20"/>
  <c r="R18" i="20"/>
  <c r="R22" i="20" s="1"/>
  <c r="S16" i="20"/>
  <c r="S15" i="20"/>
  <c r="S14" i="20"/>
  <c r="S17" i="20"/>
  <c r="AP43" i="20"/>
  <c r="S44" i="20"/>
  <c r="R48" i="20"/>
  <c r="R51" i="20" s="1"/>
  <c r="Q53" i="20"/>
  <c r="Q54" i="20"/>
  <c r="Q56" i="20"/>
  <c r="Q55" i="20"/>
  <c r="Q52" i="20"/>
  <c r="O76" i="1"/>
  <c r="O75" i="1"/>
  <c r="O74" i="1"/>
  <c r="R25" i="20" l="1"/>
  <c r="Q26" i="20"/>
  <c r="R24" i="20"/>
  <c r="R21" i="20"/>
  <c r="R23" i="20"/>
  <c r="T14" i="20"/>
  <c r="T16" i="20"/>
  <c r="T17" i="20"/>
  <c r="T15" i="20"/>
  <c r="T13" i="20"/>
  <c r="S18" i="20"/>
  <c r="S22" i="20" s="1"/>
  <c r="T44" i="20"/>
  <c r="S48" i="20"/>
  <c r="S51" i="20" s="1"/>
  <c r="AQ43" i="20"/>
  <c r="R54" i="20"/>
  <c r="R56" i="20"/>
  <c r="R53" i="20"/>
  <c r="R55" i="20"/>
  <c r="R52" i="20"/>
  <c r="C22" i="1"/>
  <c r="C95" i="1" s="1"/>
  <c r="D22" i="1"/>
  <c r="D95" i="1" s="1"/>
  <c r="E22" i="1"/>
  <c r="E95" i="1" s="1"/>
  <c r="F22" i="1"/>
  <c r="F95" i="1" s="1"/>
  <c r="G22" i="1"/>
  <c r="G95" i="1" s="1"/>
  <c r="H22" i="1"/>
  <c r="H95" i="1" s="1"/>
  <c r="I22" i="1"/>
  <c r="I95" i="1" s="1"/>
  <c r="J22" i="1"/>
  <c r="J95" i="1" s="1"/>
  <c r="K22" i="1"/>
  <c r="K95" i="1" s="1"/>
  <c r="L22" i="1"/>
  <c r="L95" i="1" s="1"/>
  <c r="M22" i="1"/>
  <c r="M95" i="1" s="1"/>
  <c r="N22" i="1"/>
  <c r="N95" i="1" s="1"/>
  <c r="S23" i="20" l="1"/>
  <c r="S24" i="20"/>
  <c r="R26" i="20"/>
  <c r="S21" i="20"/>
  <c r="S25" i="20"/>
  <c r="U15" i="20"/>
  <c r="U16" i="20"/>
  <c r="U13" i="20"/>
  <c r="T18" i="20"/>
  <c r="T24" i="20" s="1"/>
  <c r="U17" i="20"/>
  <c r="U14" i="20"/>
  <c r="S52" i="20"/>
  <c r="U44" i="20"/>
  <c r="T48" i="20"/>
  <c r="T51" i="20" s="1"/>
  <c r="S53" i="20"/>
  <c r="S54" i="20"/>
  <c r="S56" i="20"/>
  <c r="S55" i="20"/>
  <c r="B22" i="1"/>
  <c r="B95" i="1" s="1"/>
  <c r="B23" i="1"/>
  <c r="B96" i="1" s="1"/>
  <c r="T23" i="20" l="1"/>
  <c r="T21" i="20"/>
  <c r="T22" i="20"/>
  <c r="S26" i="20"/>
  <c r="T25" i="20"/>
  <c r="V17" i="20"/>
  <c r="V16" i="20"/>
  <c r="V13" i="20"/>
  <c r="U18" i="20"/>
  <c r="U23" i="20" s="1"/>
  <c r="V14" i="20"/>
  <c r="V15" i="20"/>
  <c r="V44" i="20"/>
  <c r="U48" i="20"/>
  <c r="U51" i="20" s="1"/>
  <c r="T53" i="20"/>
  <c r="T54" i="20"/>
  <c r="T56" i="20"/>
  <c r="T55" i="20"/>
  <c r="T52" i="20"/>
  <c r="O23" i="1"/>
  <c r="U25" i="20" l="1"/>
  <c r="T26" i="20"/>
  <c r="U22" i="20"/>
  <c r="U24" i="20"/>
  <c r="U21" i="20"/>
  <c r="W14" i="20"/>
  <c r="W16" i="20"/>
  <c r="W15" i="20"/>
  <c r="W13" i="20"/>
  <c r="V18" i="20"/>
  <c r="V23" i="20" s="1"/>
  <c r="W17" i="20"/>
  <c r="W44" i="20"/>
  <c r="V48" i="20"/>
  <c r="V51" i="20" s="1"/>
  <c r="U53" i="20"/>
  <c r="U54" i="20"/>
  <c r="U56" i="20"/>
  <c r="U55" i="20"/>
  <c r="U52" i="20"/>
  <c r="D54" i="17"/>
  <c r="C21" i="17" s="1"/>
  <c r="N54" i="17"/>
  <c r="X54" i="17"/>
  <c r="V52" i="20" l="1"/>
  <c r="V24" i="20"/>
  <c r="U26" i="20"/>
  <c r="V21" i="20"/>
  <c r="V25" i="20"/>
  <c r="V22" i="20"/>
  <c r="X16" i="20"/>
  <c r="X17" i="20"/>
  <c r="X15" i="20"/>
  <c r="X13" i="20"/>
  <c r="W18" i="20"/>
  <c r="W25" i="20" s="1"/>
  <c r="X14" i="20"/>
  <c r="X44" i="20"/>
  <c r="W48" i="20"/>
  <c r="W51" i="20" s="1"/>
  <c r="V54" i="20"/>
  <c r="V56" i="20"/>
  <c r="V53" i="20"/>
  <c r="V55" i="20"/>
  <c r="B4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N56" i="1" s="1"/>
  <c r="O111" i="1"/>
  <c r="P111" i="1"/>
  <c r="Q111" i="1"/>
  <c r="R111" i="1"/>
  <c r="S111" i="1"/>
  <c r="T111" i="1"/>
  <c r="U111" i="1"/>
  <c r="V111" i="1"/>
  <c r="W111" i="1"/>
  <c r="X111" i="1"/>
  <c r="Y111" i="1"/>
  <c r="Z111" i="1"/>
  <c r="Z56" i="1" s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C114" i="1"/>
  <c r="D114" i="1"/>
  <c r="E114" i="1"/>
  <c r="F114" i="1"/>
  <c r="G114" i="1"/>
  <c r="H114" i="1"/>
  <c r="I114" i="1"/>
  <c r="J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B112" i="1"/>
  <c r="B113" i="1"/>
  <c r="B114" i="1"/>
  <c r="B115" i="1"/>
  <c r="B111" i="1"/>
  <c r="W21" i="20" l="1"/>
  <c r="W116" i="1"/>
  <c r="O116" i="1"/>
  <c r="O56" i="1"/>
  <c r="G56" i="1"/>
  <c r="G116" i="1"/>
  <c r="B56" i="1"/>
  <c r="B116" i="1"/>
  <c r="Z116" i="1"/>
  <c r="Y116" i="1"/>
  <c r="U116" i="1"/>
  <c r="Q56" i="1"/>
  <c r="Q116" i="1"/>
  <c r="M56" i="1"/>
  <c r="M116" i="1"/>
  <c r="I56" i="1"/>
  <c r="I116" i="1"/>
  <c r="E56" i="1"/>
  <c r="E116" i="1"/>
  <c r="S116" i="1"/>
  <c r="K56" i="1"/>
  <c r="K116" i="1"/>
  <c r="C56" i="1"/>
  <c r="C116" i="1"/>
  <c r="V116" i="1"/>
  <c r="R116" i="1"/>
  <c r="N116" i="1"/>
  <c r="J56" i="1"/>
  <c r="J116" i="1"/>
  <c r="F56" i="1"/>
  <c r="F116" i="1"/>
  <c r="X116" i="1"/>
  <c r="T116" i="1"/>
  <c r="P56" i="1"/>
  <c r="P116" i="1"/>
  <c r="L56" i="1"/>
  <c r="L116" i="1"/>
  <c r="H56" i="1"/>
  <c r="H116" i="1"/>
  <c r="D56" i="1"/>
  <c r="D116" i="1"/>
  <c r="W23" i="20"/>
  <c r="W22" i="20"/>
  <c r="W24" i="20"/>
  <c r="V26" i="20"/>
  <c r="Y14" i="20"/>
  <c r="Y17" i="20"/>
  <c r="Y15" i="20"/>
  <c r="Y13" i="20"/>
  <c r="X18" i="20"/>
  <c r="X22" i="20" s="1"/>
  <c r="Y16" i="20"/>
  <c r="Y44" i="20"/>
  <c r="X48" i="20"/>
  <c r="X51" i="20" s="1"/>
  <c r="W54" i="20"/>
  <c r="W56" i="20"/>
  <c r="W53" i="20"/>
  <c r="W55" i="20"/>
  <c r="W52" i="20"/>
  <c r="W26" i="20" l="1"/>
  <c r="X21" i="20"/>
  <c r="X25" i="20"/>
  <c r="X23" i="20"/>
  <c r="X24" i="20"/>
  <c r="Z13" i="20"/>
  <c r="Y18" i="20"/>
  <c r="Y24" i="20" s="1"/>
  <c r="Z17" i="20"/>
  <c r="Z16" i="20"/>
  <c r="Z15" i="20"/>
  <c r="Z14" i="20"/>
  <c r="Z44" i="20"/>
  <c r="Y48" i="20"/>
  <c r="Y51" i="20" s="1"/>
  <c r="X53" i="20"/>
  <c r="X54" i="20"/>
  <c r="X56" i="20"/>
  <c r="X55" i="20"/>
  <c r="X52" i="20"/>
  <c r="B57" i="1"/>
  <c r="C23" i="1"/>
  <c r="C96" i="1" s="1"/>
  <c r="D23" i="1"/>
  <c r="D96" i="1" s="1"/>
  <c r="E23" i="1"/>
  <c r="E96" i="1" s="1"/>
  <c r="F23" i="1"/>
  <c r="F96" i="1" s="1"/>
  <c r="G23" i="1"/>
  <c r="G96" i="1" s="1"/>
  <c r="H23" i="1"/>
  <c r="H96" i="1" s="1"/>
  <c r="I23" i="1"/>
  <c r="I96" i="1" s="1"/>
  <c r="J23" i="1"/>
  <c r="J96" i="1" s="1"/>
  <c r="K23" i="1"/>
  <c r="K96" i="1" s="1"/>
  <c r="L23" i="1"/>
  <c r="L96" i="1" s="1"/>
  <c r="M23" i="1"/>
  <c r="M96" i="1" s="1"/>
  <c r="N23" i="1"/>
  <c r="N96" i="1" s="1"/>
  <c r="O57" i="1"/>
  <c r="P23" i="1"/>
  <c r="Q23" i="1"/>
  <c r="B24" i="1"/>
  <c r="B97" i="1" s="1"/>
  <c r="C24" i="1"/>
  <c r="C97" i="1" s="1"/>
  <c r="D24" i="1"/>
  <c r="D97" i="1" s="1"/>
  <c r="E24" i="1"/>
  <c r="E97" i="1" s="1"/>
  <c r="F24" i="1"/>
  <c r="F97" i="1" s="1"/>
  <c r="G24" i="1"/>
  <c r="G97" i="1" s="1"/>
  <c r="H24" i="1"/>
  <c r="H97" i="1" s="1"/>
  <c r="I24" i="1"/>
  <c r="I97" i="1" s="1"/>
  <c r="J24" i="1"/>
  <c r="J97" i="1" s="1"/>
  <c r="K24" i="1"/>
  <c r="K97" i="1" s="1"/>
  <c r="L24" i="1"/>
  <c r="L97" i="1" s="1"/>
  <c r="M24" i="1"/>
  <c r="M97" i="1" s="1"/>
  <c r="N24" i="1"/>
  <c r="N97" i="1" s="1"/>
  <c r="O24" i="1"/>
  <c r="P24" i="1"/>
  <c r="Q24" i="1"/>
  <c r="B25" i="1"/>
  <c r="B98" i="1" s="1"/>
  <c r="C25" i="1"/>
  <c r="C98" i="1" s="1"/>
  <c r="D25" i="1"/>
  <c r="D98" i="1" s="1"/>
  <c r="E25" i="1"/>
  <c r="E98" i="1" s="1"/>
  <c r="F25" i="1"/>
  <c r="F98" i="1" s="1"/>
  <c r="G25" i="1"/>
  <c r="G98" i="1" s="1"/>
  <c r="H25" i="1"/>
  <c r="H98" i="1" s="1"/>
  <c r="I25" i="1"/>
  <c r="I98" i="1" s="1"/>
  <c r="J25" i="1"/>
  <c r="J98" i="1" s="1"/>
  <c r="K25" i="1"/>
  <c r="K98" i="1" s="1"/>
  <c r="L25" i="1"/>
  <c r="L98" i="1" s="1"/>
  <c r="M25" i="1"/>
  <c r="M98" i="1" s="1"/>
  <c r="N25" i="1"/>
  <c r="N98" i="1" s="1"/>
  <c r="O25" i="1"/>
  <c r="P25" i="1"/>
  <c r="Q25" i="1"/>
  <c r="B26" i="1"/>
  <c r="B99" i="1" s="1"/>
  <c r="C26" i="1"/>
  <c r="C99" i="1" s="1"/>
  <c r="D26" i="1"/>
  <c r="D99" i="1" s="1"/>
  <c r="E26" i="1"/>
  <c r="E99" i="1" s="1"/>
  <c r="F26" i="1"/>
  <c r="F99" i="1" s="1"/>
  <c r="G26" i="1"/>
  <c r="G99" i="1" s="1"/>
  <c r="H26" i="1"/>
  <c r="H99" i="1" s="1"/>
  <c r="I26" i="1"/>
  <c r="I99" i="1" s="1"/>
  <c r="J26" i="1"/>
  <c r="J99" i="1" s="1"/>
  <c r="K26" i="1"/>
  <c r="K99" i="1" s="1"/>
  <c r="L26" i="1"/>
  <c r="L99" i="1" s="1"/>
  <c r="M26" i="1"/>
  <c r="M99" i="1" s="1"/>
  <c r="N26" i="1"/>
  <c r="N99" i="1" s="1"/>
  <c r="O26" i="1"/>
  <c r="P26" i="1"/>
  <c r="Q26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B12" i="1"/>
  <c r="Y23" i="20" l="1"/>
  <c r="Y21" i="20"/>
  <c r="X26" i="20"/>
  <c r="P57" i="1"/>
  <c r="F31" i="19"/>
  <c r="X39" i="1" s="1"/>
  <c r="Y25" i="20"/>
  <c r="Y22" i="20"/>
  <c r="AA15" i="20"/>
  <c r="AA17" i="20"/>
  <c r="AA14" i="20"/>
  <c r="AA16" i="20"/>
  <c r="AA13" i="20"/>
  <c r="Z18" i="20"/>
  <c r="Z25" i="20" s="1"/>
  <c r="Y52" i="20"/>
  <c r="AA44" i="20"/>
  <c r="Z48" i="20"/>
  <c r="Z51" i="20" s="1"/>
  <c r="H27" i="1"/>
  <c r="O27" i="1"/>
  <c r="K27" i="1"/>
  <c r="G27" i="1"/>
  <c r="C27" i="1"/>
  <c r="L27" i="1"/>
  <c r="B27" i="1"/>
  <c r="N27" i="1"/>
  <c r="J27" i="1"/>
  <c r="F27" i="1"/>
  <c r="P27" i="1"/>
  <c r="D27" i="1"/>
  <c r="Q27" i="1"/>
  <c r="M27" i="1"/>
  <c r="I27" i="1"/>
  <c r="E27" i="1"/>
  <c r="Y54" i="20"/>
  <c r="Y56" i="20"/>
  <c r="Y53" i="20"/>
  <c r="Y55" i="20"/>
  <c r="I57" i="1"/>
  <c r="L60" i="1"/>
  <c r="D60" i="1"/>
  <c r="P59" i="1"/>
  <c r="H59" i="1"/>
  <c r="P58" i="1"/>
  <c r="H58" i="1"/>
  <c r="L57" i="1"/>
  <c r="D57" i="1"/>
  <c r="O60" i="1"/>
  <c r="G60" i="1"/>
  <c r="K59" i="1"/>
  <c r="K57" i="1"/>
  <c r="C57" i="1"/>
  <c r="N60" i="1"/>
  <c r="J60" i="1"/>
  <c r="B60" i="1"/>
  <c r="N59" i="1"/>
  <c r="J59" i="1"/>
  <c r="F59" i="1"/>
  <c r="N58" i="1"/>
  <c r="J58" i="1"/>
  <c r="F58" i="1"/>
  <c r="B58" i="1"/>
  <c r="N57" i="1"/>
  <c r="J57" i="1"/>
  <c r="F57" i="1"/>
  <c r="Q60" i="1"/>
  <c r="M60" i="1"/>
  <c r="I60" i="1"/>
  <c r="E60" i="1"/>
  <c r="Q59" i="1"/>
  <c r="M59" i="1"/>
  <c r="I59" i="1"/>
  <c r="E59" i="1"/>
  <c r="Q58" i="1"/>
  <c r="M58" i="1"/>
  <c r="I58" i="1"/>
  <c r="E58" i="1"/>
  <c r="Q57" i="1"/>
  <c r="M57" i="1"/>
  <c r="E57" i="1"/>
  <c r="P60" i="1"/>
  <c r="H60" i="1"/>
  <c r="L59" i="1"/>
  <c r="D59" i="1"/>
  <c r="L58" i="1"/>
  <c r="D58" i="1"/>
  <c r="H57" i="1"/>
  <c r="K60" i="1"/>
  <c r="C60" i="1"/>
  <c r="O59" i="1"/>
  <c r="G59" i="1"/>
  <c r="C59" i="1"/>
  <c r="O58" i="1"/>
  <c r="K58" i="1"/>
  <c r="G58" i="1"/>
  <c r="C58" i="1"/>
  <c r="G57" i="1"/>
  <c r="F60" i="1"/>
  <c r="B59" i="1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X40" i="1" l="1"/>
  <c r="X38" i="1"/>
  <c r="Z24" i="20"/>
  <c r="Y26" i="20"/>
  <c r="V39" i="1"/>
  <c r="W39" i="1"/>
  <c r="Z39" i="1"/>
  <c r="Y39" i="1"/>
  <c r="U39" i="1"/>
  <c r="T39" i="1"/>
  <c r="R39" i="1"/>
  <c r="S39" i="1"/>
  <c r="B100" i="1"/>
  <c r="Z21" i="20"/>
  <c r="Z22" i="20"/>
  <c r="Z23" i="20"/>
  <c r="AB16" i="20"/>
  <c r="AB17" i="20"/>
  <c r="AB13" i="20"/>
  <c r="AA18" i="20"/>
  <c r="AA22" i="20" s="1"/>
  <c r="AB14" i="20"/>
  <c r="AB15" i="20"/>
  <c r="AB44" i="20"/>
  <c r="AA48" i="20"/>
  <c r="AA51" i="20" s="1"/>
  <c r="Z54" i="20"/>
  <c r="Z56" i="20"/>
  <c r="Z53" i="20"/>
  <c r="Z55" i="20"/>
  <c r="Z52" i="20"/>
  <c r="H61" i="1"/>
  <c r="K61" i="1"/>
  <c r="D61" i="1"/>
  <c r="L61" i="1"/>
  <c r="I61" i="1"/>
  <c r="G61" i="1"/>
  <c r="F61" i="1"/>
  <c r="P61" i="1"/>
  <c r="B61" i="1"/>
  <c r="E61" i="1"/>
  <c r="J61" i="1"/>
  <c r="C61" i="1"/>
  <c r="M61" i="1"/>
  <c r="N61" i="1"/>
  <c r="O61" i="1"/>
  <c r="Q61" i="1"/>
  <c r="F18" i="17"/>
  <c r="J18" i="17"/>
  <c r="N18" i="17"/>
  <c r="R18" i="17"/>
  <c r="V18" i="17"/>
  <c r="Z18" i="17"/>
  <c r="U18" i="17"/>
  <c r="D18" i="17"/>
  <c r="H18" i="17"/>
  <c r="L18" i="17"/>
  <c r="P18" i="17"/>
  <c r="T18" i="17"/>
  <c r="X18" i="17"/>
  <c r="C18" i="17"/>
  <c r="G18" i="17"/>
  <c r="K18" i="17"/>
  <c r="O18" i="17"/>
  <c r="S18" i="17"/>
  <c r="W18" i="17"/>
  <c r="AA18" i="17"/>
  <c r="E18" i="17"/>
  <c r="I18" i="17"/>
  <c r="M18" i="17"/>
  <c r="Q18" i="17"/>
  <c r="Y18" i="17"/>
  <c r="R40" i="1" l="1"/>
  <c r="R38" i="1"/>
  <c r="Z40" i="1"/>
  <c r="Z38" i="1"/>
  <c r="S40" i="1"/>
  <c r="S38" i="1"/>
  <c r="T40" i="1"/>
  <c r="T38" i="1"/>
  <c r="W40" i="1"/>
  <c r="W38" i="1"/>
  <c r="Y40" i="1"/>
  <c r="Y38" i="1"/>
  <c r="U40" i="1"/>
  <c r="U38" i="1"/>
  <c r="V40" i="1"/>
  <c r="V38" i="1"/>
  <c r="Z26" i="20"/>
  <c r="N100" i="1"/>
  <c r="C100" i="1"/>
  <c r="E100" i="1"/>
  <c r="F100" i="1"/>
  <c r="I100" i="1"/>
  <c r="D100" i="1"/>
  <c r="H100" i="1"/>
  <c r="M100" i="1"/>
  <c r="J100" i="1"/>
  <c r="G100" i="1"/>
  <c r="L100" i="1"/>
  <c r="K100" i="1"/>
  <c r="AA25" i="20"/>
  <c r="AA21" i="20"/>
  <c r="AA24" i="20"/>
  <c r="AA23" i="20"/>
  <c r="AC14" i="20"/>
  <c r="AC17" i="20"/>
  <c r="AC15" i="20"/>
  <c r="AC13" i="20"/>
  <c r="AB18" i="20"/>
  <c r="AB25" i="20" s="1"/>
  <c r="AC16" i="20"/>
  <c r="AC44" i="20"/>
  <c r="AB48" i="20"/>
  <c r="AB51" i="20" s="1"/>
  <c r="M96" i="21"/>
  <c r="M56" i="21" s="1"/>
  <c r="AA53" i="20"/>
  <c r="AA54" i="20"/>
  <c r="AA56" i="20"/>
  <c r="AA55" i="20"/>
  <c r="AA52" i="20"/>
  <c r="D23" i="17"/>
  <c r="H23" i="17"/>
  <c r="L23" i="17"/>
  <c r="P23" i="17"/>
  <c r="T23" i="17"/>
  <c r="X23" i="17"/>
  <c r="AB23" i="17"/>
  <c r="AA6" i="1" s="1"/>
  <c r="AA9" i="21" s="1"/>
  <c r="AF23" i="17"/>
  <c r="AE6" i="1" s="1"/>
  <c r="AE9" i="21" s="1"/>
  <c r="AJ23" i="17"/>
  <c r="AI6" i="1" s="1"/>
  <c r="AI9" i="21" s="1"/>
  <c r="AN23" i="17"/>
  <c r="AM6" i="1" s="1"/>
  <c r="AM9" i="21" s="1"/>
  <c r="AR23" i="17"/>
  <c r="AQ6" i="1" s="1"/>
  <c r="AQ9" i="21" s="1"/>
  <c r="AV23" i="17"/>
  <c r="AU6" i="1" s="1"/>
  <c r="AU9" i="21" s="1"/>
  <c r="AZ23" i="17"/>
  <c r="AY6" i="1" s="1"/>
  <c r="AY9" i="21" s="1"/>
  <c r="BD23" i="17"/>
  <c r="BC6" i="1" s="1"/>
  <c r="BC9" i="21" s="1"/>
  <c r="AU23" i="17"/>
  <c r="AT6" i="1" s="1"/>
  <c r="AT9" i="21" s="1"/>
  <c r="E23" i="17"/>
  <c r="I23" i="17"/>
  <c r="M23" i="17"/>
  <c r="Q23" i="17"/>
  <c r="U23" i="17"/>
  <c r="Y23" i="17"/>
  <c r="AC23" i="17"/>
  <c r="AB6" i="1" s="1"/>
  <c r="AB9" i="21" s="1"/>
  <c r="AG23" i="17"/>
  <c r="AF6" i="1" s="1"/>
  <c r="AF9" i="21" s="1"/>
  <c r="AK23" i="17"/>
  <c r="AJ6" i="1" s="1"/>
  <c r="AJ9" i="21" s="1"/>
  <c r="AO23" i="17"/>
  <c r="AN6" i="1" s="1"/>
  <c r="AN9" i="21" s="1"/>
  <c r="AS23" i="17"/>
  <c r="AR6" i="1" s="1"/>
  <c r="AR9" i="21" s="1"/>
  <c r="AW23" i="17"/>
  <c r="AV6" i="1" s="1"/>
  <c r="AV9" i="21" s="1"/>
  <c r="BA23" i="17"/>
  <c r="AZ6" i="1" s="1"/>
  <c r="AZ9" i="21" s="1"/>
  <c r="BE23" i="17"/>
  <c r="BD6" i="1" s="1"/>
  <c r="BD9" i="21" s="1"/>
  <c r="G23" i="17"/>
  <c r="S23" i="17"/>
  <c r="AA23" i="17"/>
  <c r="AE23" i="17"/>
  <c r="AD6" i="1" s="1"/>
  <c r="AD9" i="21" s="1"/>
  <c r="AM23" i="17"/>
  <c r="AL6" i="1" s="1"/>
  <c r="AL9" i="21" s="1"/>
  <c r="AY23" i="17"/>
  <c r="AX6" i="1" s="1"/>
  <c r="AX9" i="21" s="1"/>
  <c r="C23" i="17"/>
  <c r="F23" i="17"/>
  <c r="J23" i="17"/>
  <c r="N23" i="17"/>
  <c r="R23" i="17"/>
  <c r="V23" i="17"/>
  <c r="Z23" i="17"/>
  <c r="AD23" i="17"/>
  <c r="AC6" i="1" s="1"/>
  <c r="AC9" i="21" s="1"/>
  <c r="AH23" i="17"/>
  <c r="AG6" i="1" s="1"/>
  <c r="AG9" i="21" s="1"/>
  <c r="AL23" i="17"/>
  <c r="AK6" i="1" s="1"/>
  <c r="AK9" i="21" s="1"/>
  <c r="AP23" i="17"/>
  <c r="AO6" i="1" s="1"/>
  <c r="AO9" i="21" s="1"/>
  <c r="AT23" i="17"/>
  <c r="AS6" i="1" s="1"/>
  <c r="AS9" i="21" s="1"/>
  <c r="AX23" i="17"/>
  <c r="AW6" i="1" s="1"/>
  <c r="AW9" i="21" s="1"/>
  <c r="BB23" i="17"/>
  <c r="BA6" i="1" s="1"/>
  <c r="BA9" i="21" s="1"/>
  <c r="BF23" i="17"/>
  <c r="BE6" i="1" s="1"/>
  <c r="BE9" i="21" s="1"/>
  <c r="K23" i="17"/>
  <c r="O23" i="17"/>
  <c r="W23" i="17"/>
  <c r="AI23" i="17"/>
  <c r="AH6" i="1" s="1"/>
  <c r="AH9" i="21" s="1"/>
  <c r="AQ23" i="17"/>
  <c r="AP6" i="1" s="1"/>
  <c r="AP9" i="21" s="1"/>
  <c r="BC23" i="17"/>
  <c r="BB6" i="1" s="1"/>
  <c r="BB9" i="21" s="1"/>
  <c r="D22" i="17"/>
  <c r="H22" i="17"/>
  <c r="L22" i="17"/>
  <c r="P22" i="17"/>
  <c r="T22" i="17"/>
  <c r="X22" i="17"/>
  <c r="AB22" i="17"/>
  <c r="AA5" i="1" s="1"/>
  <c r="AA7" i="21" s="1"/>
  <c r="AF22" i="17"/>
  <c r="AE5" i="1" s="1"/>
  <c r="AE7" i="21" s="1"/>
  <c r="AJ22" i="17"/>
  <c r="AI5" i="1" s="1"/>
  <c r="AI7" i="21" s="1"/>
  <c r="AN22" i="17"/>
  <c r="AM5" i="1" s="1"/>
  <c r="AM7" i="21" s="1"/>
  <c r="AR22" i="17"/>
  <c r="AQ5" i="1" s="1"/>
  <c r="AQ7" i="21" s="1"/>
  <c r="AV22" i="17"/>
  <c r="AU5" i="1" s="1"/>
  <c r="AU7" i="21" s="1"/>
  <c r="AZ22" i="17"/>
  <c r="AY5" i="1" s="1"/>
  <c r="AY7" i="21" s="1"/>
  <c r="BD22" i="17"/>
  <c r="BC5" i="1" s="1"/>
  <c r="BC7" i="21" s="1"/>
  <c r="S22" i="17"/>
  <c r="AM22" i="17"/>
  <c r="AL5" i="1" s="1"/>
  <c r="AL7" i="21" s="1"/>
  <c r="AY22" i="17"/>
  <c r="AX5" i="1" s="1"/>
  <c r="AX7" i="21" s="1"/>
  <c r="E22" i="17"/>
  <c r="I22" i="17"/>
  <c r="M22" i="17"/>
  <c r="Q22" i="17"/>
  <c r="U22" i="17"/>
  <c r="Y22" i="17"/>
  <c r="AC22" i="17"/>
  <c r="AB5" i="1" s="1"/>
  <c r="AB7" i="21" s="1"/>
  <c r="AG22" i="17"/>
  <c r="AF5" i="1" s="1"/>
  <c r="AF7" i="21" s="1"/>
  <c r="AK22" i="17"/>
  <c r="AJ5" i="1" s="1"/>
  <c r="AJ7" i="21" s="1"/>
  <c r="AO22" i="17"/>
  <c r="AN5" i="1" s="1"/>
  <c r="AN7" i="21" s="1"/>
  <c r="AS22" i="17"/>
  <c r="AR5" i="1" s="1"/>
  <c r="AR7" i="21" s="1"/>
  <c r="AW22" i="17"/>
  <c r="AV5" i="1" s="1"/>
  <c r="AV7" i="21" s="1"/>
  <c r="BA22" i="17"/>
  <c r="AZ5" i="1" s="1"/>
  <c r="AZ7" i="21" s="1"/>
  <c r="BE22" i="17"/>
  <c r="BD5" i="1" s="1"/>
  <c r="BD7" i="21" s="1"/>
  <c r="K22" i="17"/>
  <c r="AA22" i="17"/>
  <c r="AI22" i="17"/>
  <c r="AH5" i="1" s="1"/>
  <c r="AH7" i="21" s="1"/>
  <c r="AU22" i="17"/>
  <c r="AT5" i="1" s="1"/>
  <c r="AT7" i="21" s="1"/>
  <c r="C22" i="17"/>
  <c r="F22" i="17"/>
  <c r="J22" i="17"/>
  <c r="N22" i="17"/>
  <c r="R22" i="17"/>
  <c r="V22" i="17"/>
  <c r="Z22" i="17"/>
  <c r="AD22" i="17"/>
  <c r="AC5" i="1" s="1"/>
  <c r="AC7" i="21" s="1"/>
  <c r="AH22" i="17"/>
  <c r="AG5" i="1" s="1"/>
  <c r="AG7" i="21" s="1"/>
  <c r="AL22" i="17"/>
  <c r="AK5" i="1" s="1"/>
  <c r="AK7" i="21" s="1"/>
  <c r="AP22" i="17"/>
  <c r="AO5" i="1" s="1"/>
  <c r="AO7" i="21" s="1"/>
  <c r="AT22" i="17"/>
  <c r="AS5" i="1" s="1"/>
  <c r="AS7" i="21" s="1"/>
  <c r="AX22" i="17"/>
  <c r="AW5" i="1" s="1"/>
  <c r="AW7" i="21" s="1"/>
  <c r="BB22" i="17"/>
  <c r="BA5" i="1" s="1"/>
  <c r="BA7" i="21" s="1"/>
  <c r="BF22" i="17"/>
  <c r="BE5" i="1" s="1"/>
  <c r="BE7" i="21" s="1"/>
  <c r="G22" i="17"/>
  <c r="O22" i="17"/>
  <c r="W22" i="17"/>
  <c r="AE22" i="17"/>
  <c r="AD5" i="1" s="1"/>
  <c r="AD7" i="21" s="1"/>
  <c r="AQ22" i="17"/>
  <c r="AP5" i="1" s="1"/>
  <c r="AP7" i="21" s="1"/>
  <c r="BC22" i="17"/>
  <c r="BB5" i="1" s="1"/>
  <c r="BB7" i="21" s="1"/>
  <c r="D21" i="17"/>
  <c r="H21" i="17"/>
  <c r="L21" i="17"/>
  <c r="P21" i="17"/>
  <c r="T21" i="17"/>
  <c r="X21" i="17"/>
  <c r="AB21" i="17"/>
  <c r="AF21" i="17"/>
  <c r="AJ21" i="17"/>
  <c r="AN21" i="17"/>
  <c r="AR21" i="17"/>
  <c r="AV21" i="17"/>
  <c r="AZ21" i="17"/>
  <c r="BD21" i="17"/>
  <c r="G21" i="17"/>
  <c r="S21" i="17"/>
  <c r="AE21" i="17"/>
  <c r="AQ21" i="17"/>
  <c r="BC21" i="17"/>
  <c r="E21" i="17"/>
  <c r="I21" i="17"/>
  <c r="M21" i="17"/>
  <c r="Q21" i="17"/>
  <c r="U21" i="17"/>
  <c r="Y21" i="17"/>
  <c r="AC21" i="17"/>
  <c r="AG21" i="17"/>
  <c r="AK21" i="17"/>
  <c r="AO21" i="17"/>
  <c r="AS21" i="17"/>
  <c r="AW21" i="17"/>
  <c r="BA21" i="17"/>
  <c r="BE21" i="17"/>
  <c r="K21" i="17"/>
  <c r="AA21" i="17"/>
  <c r="AI21" i="17"/>
  <c r="AY21" i="17"/>
  <c r="F21" i="17"/>
  <c r="J21" i="17"/>
  <c r="N21" i="17"/>
  <c r="R21" i="17"/>
  <c r="V21" i="17"/>
  <c r="Z21" i="17"/>
  <c r="AD21" i="17"/>
  <c r="AH21" i="17"/>
  <c r="AL21" i="17"/>
  <c r="AP21" i="17"/>
  <c r="AT21" i="17"/>
  <c r="AX21" i="17"/>
  <c r="BB21" i="17"/>
  <c r="BF21" i="17"/>
  <c r="O21" i="17"/>
  <c r="W21" i="17"/>
  <c r="AM21" i="17"/>
  <c r="AU21" i="17"/>
  <c r="AB52" i="20" l="1"/>
  <c r="AB22" i="20"/>
  <c r="AB23" i="20"/>
  <c r="AA26" i="20"/>
  <c r="AB21" i="20"/>
  <c r="AB24" i="20"/>
  <c r="AD13" i="20"/>
  <c r="AC18" i="20"/>
  <c r="AC23" i="20" s="1"/>
  <c r="AD17" i="20"/>
  <c r="AD16" i="20"/>
  <c r="AD15" i="20"/>
  <c r="AD14" i="20"/>
  <c r="AD44" i="20"/>
  <c r="AC48" i="20"/>
  <c r="AC51" i="20" s="1"/>
  <c r="J96" i="21"/>
  <c r="J56" i="21" s="1"/>
  <c r="L98" i="21"/>
  <c r="L57" i="21" s="1"/>
  <c r="H96" i="21"/>
  <c r="H56" i="21" s="1"/>
  <c r="G98" i="21"/>
  <c r="G57" i="21" s="1"/>
  <c r="K98" i="21"/>
  <c r="K57" i="21" s="1"/>
  <c r="F98" i="21"/>
  <c r="F57" i="21" s="1"/>
  <c r="J94" i="21"/>
  <c r="L96" i="21"/>
  <c r="L56" i="21" s="1"/>
  <c r="C98" i="21"/>
  <c r="C57" i="21" s="1"/>
  <c r="E98" i="21"/>
  <c r="E57" i="21" s="1"/>
  <c r="N98" i="21"/>
  <c r="N57" i="21" s="1"/>
  <c r="J100" i="21"/>
  <c r="J58" i="21" s="1"/>
  <c r="B94" i="21"/>
  <c r="L100" i="21"/>
  <c r="L58" i="21" s="1"/>
  <c r="I96" i="21"/>
  <c r="I56" i="21" s="1"/>
  <c r="H94" i="21"/>
  <c r="C96" i="21"/>
  <c r="C56" i="21" s="1"/>
  <c r="G96" i="21"/>
  <c r="G56" i="21" s="1"/>
  <c r="K100" i="21"/>
  <c r="K58" i="21" s="1"/>
  <c r="D94" i="21"/>
  <c r="E94" i="21"/>
  <c r="F94" i="21"/>
  <c r="M94" i="21"/>
  <c r="N94" i="21"/>
  <c r="B96" i="21"/>
  <c r="B56" i="21" s="1"/>
  <c r="I94" i="21"/>
  <c r="C94" i="21"/>
  <c r="D98" i="21"/>
  <c r="D57" i="21" s="1"/>
  <c r="E100" i="21"/>
  <c r="E58" i="21" s="1"/>
  <c r="M98" i="21"/>
  <c r="M57" i="21" s="1"/>
  <c r="N96" i="21"/>
  <c r="N56" i="21" s="1"/>
  <c r="B100" i="21"/>
  <c r="B58" i="21" s="1"/>
  <c r="I98" i="21"/>
  <c r="I57" i="21" s="1"/>
  <c r="H100" i="21"/>
  <c r="H58" i="21" s="1"/>
  <c r="G94" i="21"/>
  <c r="K94" i="21"/>
  <c r="D96" i="21"/>
  <c r="D56" i="21" s="1"/>
  <c r="F100" i="21"/>
  <c r="F58" i="21" s="1"/>
  <c r="M100" i="21"/>
  <c r="M58" i="21" s="1"/>
  <c r="N100" i="21"/>
  <c r="N58" i="21" s="1"/>
  <c r="J98" i="21"/>
  <c r="J57" i="21" s="1"/>
  <c r="B98" i="21"/>
  <c r="B57" i="21" s="1"/>
  <c r="L94" i="21"/>
  <c r="I100" i="21"/>
  <c r="I58" i="21" s="1"/>
  <c r="H98" i="21"/>
  <c r="H57" i="21" s="1"/>
  <c r="C100" i="21"/>
  <c r="C58" i="21" s="1"/>
  <c r="G100" i="21"/>
  <c r="G58" i="21" s="1"/>
  <c r="K96" i="21"/>
  <c r="K56" i="21" s="1"/>
  <c r="D100" i="21"/>
  <c r="D58" i="21" s="1"/>
  <c r="E96" i="21"/>
  <c r="E56" i="21" s="1"/>
  <c r="F96" i="21"/>
  <c r="F56" i="21" s="1"/>
  <c r="AB53" i="20"/>
  <c r="AB54" i="20"/>
  <c r="AB56" i="20"/>
  <c r="AB55" i="20"/>
  <c r="L24" i="17"/>
  <c r="Z24" i="17"/>
  <c r="J24" i="17"/>
  <c r="G24" i="17"/>
  <c r="X24" i="17"/>
  <c r="H24" i="17"/>
  <c r="V24" i="17"/>
  <c r="F24" i="17"/>
  <c r="AA24" i="17"/>
  <c r="Q24" i="17"/>
  <c r="W24" i="17"/>
  <c r="T24" i="17"/>
  <c r="D24" i="17"/>
  <c r="Y24" i="17"/>
  <c r="I24" i="17"/>
  <c r="N24" i="17"/>
  <c r="S24" i="17"/>
  <c r="BE4" i="1"/>
  <c r="BE5" i="21" s="1"/>
  <c r="BE10" i="21" s="1"/>
  <c r="BF24" i="17"/>
  <c r="AF4" i="1"/>
  <c r="AF5" i="21" s="1"/>
  <c r="AF10" i="21" s="1"/>
  <c r="AG24" i="17"/>
  <c r="BC24" i="17"/>
  <c r="BB4" i="1"/>
  <c r="BB5" i="21" s="1"/>
  <c r="BB10" i="21" s="1"/>
  <c r="AA4" i="1"/>
  <c r="AA5" i="21" s="1"/>
  <c r="AA10" i="21" s="1"/>
  <c r="AB24" i="17"/>
  <c r="AM24" i="17"/>
  <c r="AL4" i="1"/>
  <c r="AL5" i="21" s="1"/>
  <c r="AL10" i="21" s="1"/>
  <c r="BA4" i="1"/>
  <c r="BA5" i="21" s="1"/>
  <c r="BA10" i="21" s="1"/>
  <c r="BB24" i="17"/>
  <c r="AK4" i="1"/>
  <c r="AK5" i="21" s="1"/>
  <c r="AK10" i="21" s="1"/>
  <c r="AL24" i="17"/>
  <c r="K24" i="17"/>
  <c r="AR4" i="1"/>
  <c r="AR5" i="21" s="1"/>
  <c r="AR10" i="21" s="1"/>
  <c r="AS24" i="17"/>
  <c r="AB4" i="1"/>
  <c r="AB5" i="21" s="1"/>
  <c r="AB10" i="21" s="1"/>
  <c r="AC24" i="17"/>
  <c r="M24" i="17"/>
  <c r="AP4" i="1"/>
  <c r="AP5" i="21" s="1"/>
  <c r="AP10" i="21" s="1"/>
  <c r="AQ24" i="17"/>
  <c r="BC4" i="1"/>
  <c r="BC5" i="21" s="1"/>
  <c r="BC10" i="21" s="1"/>
  <c r="BD24" i="17"/>
  <c r="AM4" i="1"/>
  <c r="AM5" i="21" s="1"/>
  <c r="AM10" i="21" s="1"/>
  <c r="AN24" i="17"/>
  <c r="AO4" i="1"/>
  <c r="AO5" i="21" s="1"/>
  <c r="AO10" i="21" s="1"/>
  <c r="AP24" i="17"/>
  <c r="AQ4" i="1"/>
  <c r="AQ5" i="21" s="1"/>
  <c r="AQ10" i="21" s="1"/>
  <c r="AR24" i="17"/>
  <c r="AW4" i="1"/>
  <c r="AW5" i="21" s="1"/>
  <c r="AW10" i="21" s="1"/>
  <c r="AX24" i="17"/>
  <c r="AG4" i="1"/>
  <c r="AG5" i="21" s="1"/>
  <c r="AG10" i="21" s="1"/>
  <c r="AH24" i="17"/>
  <c r="R24" i="17"/>
  <c r="AY24" i="17"/>
  <c r="AX4" i="1"/>
  <c r="AX5" i="21" s="1"/>
  <c r="AX10" i="21" s="1"/>
  <c r="BD4" i="1"/>
  <c r="BD5" i="21" s="1"/>
  <c r="BD10" i="21" s="1"/>
  <c r="BE24" i="17"/>
  <c r="AN4" i="1"/>
  <c r="AN5" i="21" s="1"/>
  <c r="AN10" i="21" s="1"/>
  <c r="AO24" i="17"/>
  <c r="AE24" i="17"/>
  <c r="AD4" i="1"/>
  <c r="AD5" i="21" s="1"/>
  <c r="AD10" i="21" s="1"/>
  <c r="AY4" i="1"/>
  <c r="AY5" i="21" s="1"/>
  <c r="AY10" i="21" s="1"/>
  <c r="AZ24" i="17"/>
  <c r="AI4" i="1"/>
  <c r="AI5" i="21" s="1"/>
  <c r="AI10" i="21" s="1"/>
  <c r="AJ24" i="17"/>
  <c r="AU24" i="17"/>
  <c r="AT4" i="1"/>
  <c r="AT5" i="21" s="1"/>
  <c r="AT10" i="21" s="1"/>
  <c r="AV4" i="1"/>
  <c r="AV5" i="21" s="1"/>
  <c r="AV10" i="21" s="1"/>
  <c r="AW24" i="17"/>
  <c r="O24" i="17"/>
  <c r="AS4" i="1"/>
  <c r="AS5" i="21" s="1"/>
  <c r="AS10" i="21" s="1"/>
  <c r="AT24" i="17"/>
  <c r="AC4" i="1"/>
  <c r="AC5" i="21" s="1"/>
  <c r="AC10" i="21" s="1"/>
  <c r="AD24" i="17"/>
  <c r="AI24" i="17"/>
  <c r="AH4" i="1"/>
  <c r="AH5" i="21" s="1"/>
  <c r="AH10" i="21" s="1"/>
  <c r="AZ4" i="1"/>
  <c r="AZ5" i="21" s="1"/>
  <c r="AZ10" i="21" s="1"/>
  <c r="BA24" i="17"/>
  <c r="AJ4" i="1"/>
  <c r="AJ5" i="21" s="1"/>
  <c r="AJ10" i="21" s="1"/>
  <c r="AK24" i="17"/>
  <c r="U24" i="17"/>
  <c r="E24" i="17"/>
  <c r="AU4" i="1"/>
  <c r="AU5" i="21" s="1"/>
  <c r="AU10" i="21" s="1"/>
  <c r="AV24" i="17"/>
  <c r="AE4" i="1"/>
  <c r="AE5" i="21" s="1"/>
  <c r="AE10" i="21" s="1"/>
  <c r="AF24" i="17"/>
  <c r="P24" i="17"/>
  <c r="C24" i="17"/>
  <c r="C5" i="1"/>
  <c r="D5" i="1"/>
  <c r="E5" i="1"/>
  <c r="F5" i="1"/>
  <c r="G5" i="1"/>
  <c r="H5" i="1"/>
  <c r="I5" i="1"/>
  <c r="J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C4" i="1"/>
  <c r="B6" i="1"/>
  <c r="B5" i="1"/>
  <c r="AK11" i="21" l="1"/>
  <c r="BI10" i="21"/>
  <c r="AC21" i="20"/>
  <c r="AC25" i="20"/>
  <c r="AB26" i="20"/>
  <c r="AC24" i="20"/>
  <c r="AC22" i="20"/>
  <c r="AE16" i="20"/>
  <c r="AE13" i="20"/>
  <c r="AD18" i="20"/>
  <c r="AD24" i="20" s="1"/>
  <c r="AE14" i="20"/>
  <c r="AE15" i="20"/>
  <c r="AE17" i="20"/>
  <c r="AE44" i="20"/>
  <c r="AD48" i="20"/>
  <c r="AD51" i="20" s="1"/>
  <c r="C102" i="21"/>
  <c r="C55" i="21"/>
  <c r="C59" i="21" s="1"/>
  <c r="M55" i="21"/>
  <c r="M59" i="21" s="1"/>
  <c r="M102" i="21"/>
  <c r="D55" i="21"/>
  <c r="D59" i="21" s="1"/>
  <c r="D102" i="21"/>
  <c r="L55" i="21"/>
  <c r="L59" i="21" s="1"/>
  <c r="L102" i="21"/>
  <c r="G102" i="21"/>
  <c r="G55" i="21"/>
  <c r="G59" i="21" s="1"/>
  <c r="I55" i="21"/>
  <c r="I59" i="21" s="1"/>
  <c r="I102" i="21"/>
  <c r="N102" i="21"/>
  <c r="N55" i="21"/>
  <c r="N59" i="21" s="1"/>
  <c r="E55" i="21"/>
  <c r="E59" i="21" s="1"/>
  <c r="E102" i="21"/>
  <c r="H102" i="21"/>
  <c r="H55" i="21"/>
  <c r="H59" i="21" s="1"/>
  <c r="J55" i="21"/>
  <c r="J59" i="21" s="1"/>
  <c r="J102" i="21"/>
  <c r="K102" i="21"/>
  <c r="K55" i="21"/>
  <c r="K59" i="21" s="1"/>
  <c r="F55" i="21"/>
  <c r="F59" i="21" s="1"/>
  <c r="F102" i="21"/>
  <c r="B102" i="21"/>
  <c r="B55" i="21"/>
  <c r="B59" i="21" s="1"/>
  <c r="AC53" i="20"/>
  <c r="AC54" i="20"/>
  <c r="AC56" i="20"/>
  <c r="AC55" i="20"/>
  <c r="AC52" i="20"/>
  <c r="AC26" i="20" l="1"/>
  <c r="AD21" i="20"/>
  <c r="AD25" i="20"/>
  <c r="AE21" i="20"/>
  <c r="AD23" i="20"/>
  <c r="AD22" i="20"/>
  <c r="AF15" i="20"/>
  <c r="AF13" i="20"/>
  <c r="AE18" i="20"/>
  <c r="AE23" i="20" s="1"/>
  <c r="AF17" i="20"/>
  <c r="AF14" i="20"/>
  <c r="AF16" i="20"/>
  <c r="AF44" i="20"/>
  <c r="AE48" i="20"/>
  <c r="AE51" i="20" s="1"/>
  <c r="AD54" i="20"/>
  <c r="AD56" i="20"/>
  <c r="AD53" i="20"/>
  <c r="AD55" i="20"/>
  <c r="AD52" i="20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E25" i="20" l="1"/>
  <c r="AE22" i="20"/>
  <c r="AE24" i="20"/>
  <c r="AD26" i="20"/>
  <c r="AG14" i="20"/>
  <c r="AG13" i="20"/>
  <c r="AF18" i="20"/>
  <c r="AF21" i="20" s="1"/>
  <c r="AG16" i="20"/>
  <c r="AG17" i="20"/>
  <c r="AG15" i="20"/>
  <c r="AE52" i="20"/>
  <c r="AG44" i="20"/>
  <c r="AF48" i="20"/>
  <c r="AF51" i="20" s="1"/>
  <c r="AE54" i="20"/>
  <c r="AE56" i="20"/>
  <c r="AE53" i="20"/>
  <c r="AE55" i="20"/>
  <c r="W7" i="1"/>
  <c r="AA7" i="1"/>
  <c r="AE7" i="1"/>
  <c r="AI7" i="1"/>
  <c r="AM7" i="1"/>
  <c r="AQ7" i="1"/>
  <c r="AU7" i="1"/>
  <c r="AY7" i="1"/>
  <c r="BC7" i="1"/>
  <c r="Z7" i="1"/>
  <c r="AD7" i="1"/>
  <c r="AH7" i="1"/>
  <c r="AL7" i="1"/>
  <c r="AP7" i="1"/>
  <c r="AT7" i="1"/>
  <c r="AX7" i="1"/>
  <c r="BB7" i="1"/>
  <c r="X7" i="1"/>
  <c r="AB7" i="1"/>
  <c r="AF7" i="1"/>
  <c r="AJ7" i="1"/>
  <c r="AN7" i="1"/>
  <c r="AR7" i="1"/>
  <c r="AR12" i="1" s="1"/>
  <c r="AR39" i="1" s="1"/>
  <c r="AV7" i="1"/>
  <c r="AZ7" i="1"/>
  <c r="BD7" i="1"/>
  <c r="Y7" i="1"/>
  <c r="AC7" i="1"/>
  <c r="AG7" i="1"/>
  <c r="AK7" i="1"/>
  <c r="AK8" i="1" s="1"/>
  <c r="AO7" i="1"/>
  <c r="AS7" i="1"/>
  <c r="AS12" i="1" s="1"/>
  <c r="AS39" i="1" s="1"/>
  <c r="AW7" i="1"/>
  <c r="BA7" i="1"/>
  <c r="BE7" i="1"/>
  <c r="AE26" i="20" l="1"/>
  <c r="AS15" i="1"/>
  <c r="AT12" i="1"/>
  <c r="AT39" i="1" s="1"/>
  <c r="AR13" i="1"/>
  <c r="AS13" i="1"/>
  <c r="AR14" i="1"/>
  <c r="AA12" i="1"/>
  <c r="AA15" i="1"/>
  <c r="AA14" i="1"/>
  <c r="AA13" i="1"/>
  <c r="AA16" i="1"/>
  <c r="AL12" i="1"/>
  <c r="AL39" i="1" s="1"/>
  <c r="AL16" i="1"/>
  <c r="AL14" i="1"/>
  <c r="AL13" i="1"/>
  <c r="AL15" i="1"/>
  <c r="AM12" i="1"/>
  <c r="AM14" i="1"/>
  <c r="AM16" i="1"/>
  <c r="AM15" i="1"/>
  <c r="AM13" i="1"/>
  <c r="AI12" i="1"/>
  <c r="AI13" i="1"/>
  <c r="AI16" i="1"/>
  <c r="AI14" i="1"/>
  <c r="AI15" i="1"/>
  <c r="AS16" i="1"/>
  <c r="AK12" i="1"/>
  <c r="AK39" i="1" s="1"/>
  <c r="AK16" i="1"/>
  <c r="AK15" i="1"/>
  <c r="AK13" i="1"/>
  <c r="AK14" i="1"/>
  <c r="AN12" i="1"/>
  <c r="AN16" i="1"/>
  <c r="AN13" i="1"/>
  <c r="AN14" i="1"/>
  <c r="AN15" i="1"/>
  <c r="AP13" i="1"/>
  <c r="AP12" i="1"/>
  <c r="AP14" i="1"/>
  <c r="AP16" i="1"/>
  <c r="AP15" i="1"/>
  <c r="AQ12" i="1"/>
  <c r="AQ39" i="1" s="1"/>
  <c r="AQ15" i="1"/>
  <c r="AQ16" i="1"/>
  <c r="AQ14" i="1"/>
  <c r="AQ13" i="1"/>
  <c r="AG12" i="1"/>
  <c r="AG15" i="1"/>
  <c r="AG16" i="1"/>
  <c r="AG13" i="1"/>
  <c r="AG14" i="1"/>
  <c r="AJ13" i="1"/>
  <c r="AJ12" i="1"/>
  <c r="AJ14" i="1"/>
  <c r="AJ16" i="1"/>
  <c r="AJ15" i="1"/>
  <c r="AC12" i="1"/>
  <c r="AC14" i="1"/>
  <c r="AC13" i="1"/>
  <c r="AC15" i="1"/>
  <c r="AC16" i="1"/>
  <c r="AF12" i="1"/>
  <c r="AF39" i="1" s="1"/>
  <c r="AF13" i="1"/>
  <c r="AF15" i="1"/>
  <c r="AF16" i="1"/>
  <c r="AF14" i="1"/>
  <c r="AH12" i="1"/>
  <c r="AH14" i="1"/>
  <c r="AH15" i="1"/>
  <c r="AH16" i="1"/>
  <c r="AH13" i="1"/>
  <c r="BI7" i="1"/>
  <c r="AO12" i="1"/>
  <c r="AO13" i="1"/>
  <c r="AO14" i="1"/>
  <c r="AO15" i="1"/>
  <c r="AO16" i="1"/>
  <c r="AB12" i="1"/>
  <c r="AB39" i="1" s="1"/>
  <c r="AB16" i="1"/>
  <c r="AB13" i="1"/>
  <c r="AB15" i="1"/>
  <c r="AB14" i="1"/>
  <c r="AD12" i="1"/>
  <c r="AD15" i="1"/>
  <c r="AD13" i="1"/>
  <c r="AD16" i="1"/>
  <c r="AD14" i="1"/>
  <c r="AE12" i="1"/>
  <c r="AE16" i="1"/>
  <c r="AE14" i="1"/>
  <c r="AE15" i="1"/>
  <c r="AE13" i="1"/>
  <c r="AS14" i="1"/>
  <c r="AR15" i="1"/>
  <c r="AR16" i="1"/>
  <c r="AF23" i="20"/>
  <c r="AF25" i="20"/>
  <c r="AF22" i="20"/>
  <c r="AF24" i="20"/>
  <c r="AH13" i="20"/>
  <c r="AG18" i="20"/>
  <c r="AG25" i="20" s="1"/>
  <c r="AH15" i="20"/>
  <c r="AH17" i="20"/>
  <c r="AH16" i="20"/>
  <c r="AH14" i="20"/>
  <c r="AH44" i="20"/>
  <c r="AG48" i="20"/>
  <c r="AG51" i="20" s="1"/>
  <c r="AU12" i="1" s="1"/>
  <c r="AU39" i="1" s="1"/>
  <c r="AF53" i="20"/>
  <c r="AT14" i="1" s="1"/>
  <c r="AF54" i="20"/>
  <c r="AT15" i="1" s="1"/>
  <c r="AF56" i="20"/>
  <c r="AF55" i="20"/>
  <c r="AT16" i="1" s="1"/>
  <c r="AF52" i="20"/>
  <c r="AT13" i="1" s="1"/>
  <c r="AA39" i="1" l="1"/>
  <c r="AA18" i="1"/>
  <c r="AP39" i="1"/>
  <c r="AF26" i="20"/>
  <c r="AM39" i="1"/>
  <c r="AD39" i="1"/>
  <c r="AH39" i="1"/>
  <c r="AG39" i="1"/>
  <c r="AE39" i="1"/>
  <c r="AN39" i="1"/>
  <c r="AO39" i="1"/>
  <c r="AC39" i="1"/>
  <c r="AJ39" i="1"/>
  <c r="AI39" i="1"/>
  <c r="AG21" i="20"/>
  <c r="AG22" i="20"/>
  <c r="AG23" i="20"/>
  <c r="AG24" i="20"/>
  <c r="AI15" i="20"/>
  <c r="AI14" i="20"/>
  <c r="AI17" i="20"/>
  <c r="AI13" i="20"/>
  <c r="AH18" i="20"/>
  <c r="AH24" i="20" s="1"/>
  <c r="AI16" i="20"/>
  <c r="AI44" i="20"/>
  <c r="AH48" i="20"/>
  <c r="AH51" i="20" s="1"/>
  <c r="AV12" i="1" s="1"/>
  <c r="AT16" i="21"/>
  <c r="AU16" i="21"/>
  <c r="AI24" i="21"/>
  <c r="AI16" i="21"/>
  <c r="AK20" i="21"/>
  <c r="AK16" i="21"/>
  <c r="AL18" i="21"/>
  <c r="AL16" i="21"/>
  <c r="AO20" i="21"/>
  <c r="AO16" i="21"/>
  <c r="AQ24" i="21"/>
  <c r="AQ16" i="21"/>
  <c r="AC20" i="21"/>
  <c r="AC16" i="21"/>
  <c r="AE24" i="21"/>
  <c r="AE16" i="21"/>
  <c r="AJ22" i="21"/>
  <c r="AJ16" i="21"/>
  <c r="AH18" i="21"/>
  <c r="AH16" i="21"/>
  <c r="AR22" i="21"/>
  <c r="AR16" i="21"/>
  <c r="AP18" i="21"/>
  <c r="AP16" i="21"/>
  <c r="AM24" i="21"/>
  <c r="AM16" i="21"/>
  <c r="AB20" i="21"/>
  <c r="AB16" i="21"/>
  <c r="AS20" i="21"/>
  <c r="AS16" i="21"/>
  <c r="AF22" i="21"/>
  <c r="AF16" i="21"/>
  <c r="AD18" i="21"/>
  <c r="AD16" i="21"/>
  <c r="AG20" i="21"/>
  <c r="AG16" i="21"/>
  <c r="AN22" i="21"/>
  <c r="AN16" i="21"/>
  <c r="AA22" i="21"/>
  <c r="AA16" i="21"/>
  <c r="AT18" i="21"/>
  <c r="AK18" i="21"/>
  <c r="AT24" i="21"/>
  <c r="AH24" i="21"/>
  <c r="AF20" i="21"/>
  <c r="AB18" i="21"/>
  <c r="AM22" i="21"/>
  <c r="AS24" i="21"/>
  <c r="AR20" i="21"/>
  <c r="AN20" i="21"/>
  <c r="AG18" i="21"/>
  <c r="AP24" i="21"/>
  <c r="AD24" i="21"/>
  <c r="AI22" i="21"/>
  <c r="AJ20" i="21"/>
  <c r="AC18" i="21"/>
  <c r="AJ18" i="21"/>
  <c r="AG24" i="21"/>
  <c r="AK24" i="21"/>
  <c r="AH22" i="21"/>
  <c r="AA24" i="21"/>
  <c r="AQ20" i="21"/>
  <c r="AP22" i="21"/>
  <c r="AN18" i="21"/>
  <c r="AF18" i="21"/>
  <c r="AS18" i="21"/>
  <c r="AE20" i="21"/>
  <c r="AD22" i="21"/>
  <c r="AT22" i="21"/>
  <c r="AB24" i="21"/>
  <c r="AR18" i="21"/>
  <c r="AI20" i="21"/>
  <c r="AC24" i="21"/>
  <c r="AL24" i="21"/>
  <c r="AQ22" i="21"/>
  <c r="AM18" i="21"/>
  <c r="AL20" i="21"/>
  <c r="AJ24" i="21"/>
  <c r="AG22" i="21"/>
  <c r="AK22" i="21"/>
  <c r="AH20" i="21"/>
  <c r="AA20" i="21"/>
  <c r="AQ18" i="21"/>
  <c r="AP20" i="21"/>
  <c r="AN24" i="21"/>
  <c r="AF24" i="21"/>
  <c r="AS22" i="21"/>
  <c r="AE18" i="21"/>
  <c r="AD20" i="21"/>
  <c r="AT20" i="21"/>
  <c r="AB22" i="21"/>
  <c r="AR24" i="21"/>
  <c r="AO22" i="21"/>
  <c r="AI18" i="21"/>
  <c r="AC22" i="21"/>
  <c r="AE22" i="21"/>
  <c r="AO18" i="21"/>
  <c r="AG54" i="20"/>
  <c r="AG56" i="20"/>
  <c r="AG53" i="20"/>
  <c r="AG55" i="20"/>
  <c r="AG52" i="20"/>
  <c r="AH25" i="20" l="1"/>
  <c r="AH23" i="20"/>
  <c r="AG26" i="20"/>
  <c r="AH52" i="20"/>
  <c r="AV13" i="1" s="1"/>
  <c r="AV18" i="21" s="1"/>
  <c r="AV39" i="1"/>
  <c r="AV16" i="21"/>
  <c r="AH22" i="20"/>
  <c r="AH21" i="20"/>
  <c r="AJ13" i="20"/>
  <c r="AI18" i="20"/>
  <c r="AI25" i="20" s="1"/>
  <c r="AJ14" i="20"/>
  <c r="AJ16" i="20"/>
  <c r="AJ17" i="20"/>
  <c r="AJ15" i="20"/>
  <c r="AU14" i="1"/>
  <c r="AU20" i="21" s="1"/>
  <c r="AU15" i="1"/>
  <c r="AU22" i="21" s="1"/>
  <c r="AU13" i="1"/>
  <c r="AU16" i="1"/>
  <c r="AU24" i="21" s="1"/>
  <c r="AJ44" i="20"/>
  <c r="AI48" i="20"/>
  <c r="AI51" i="20" s="1"/>
  <c r="AW12" i="1" s="1"/>
  <c r="AW39" i="1" s="1"/>
  <c r="AH25" i="21"/>
  <c r="AA18" i="21"/>
  <c r="AA25" i="21" s="1"/>
  <c r="AP25" i="21"/>
  <c r="AQ25" i="21"/>
  <c r="AI25" i="21"/>
  <c r="AR25" i="21"/>
  <c r="AD25" i="21"/>
  <c r="AS25" i="21"/>
  <c r="AC25" i="21"/>
  <c r="AB25" i="21"/>
  <c r="AK25" i="21"/>
  <c r="AF25" i="21"/>
  <c r="AJ25" i="21"/>
  <c r="AG25" i="21"/>
  <c r="AT25" i="21"/>
  <c r="AM17" i="1"/>
  <c r="AM20" i="21"/>
  <c r="AM25" i="21" s="1"/>
  <c r="AE25" i="21"/>
  <c r="AO17" i="1"/>
  <c r="AO24" i="21"/>
  <c r="AO25" i="21" s="1"/>
  <c r="AN25" i="21"/>
  <c r="AL17" i="1"/>
  <c r="AL22" i="21"/>
  <c r="AI17" i="1"/>
  <c r="AT17" i="1"/>
  <c r="AJ17" i="1"/>
  <c r="AR17" i="1"/>
  <c r="AK17" i="1"/>
  <c r="AK18" i="1" s="1"/>
  <c r="AN17" i="1"/>
  <c r="AH17" i="1"/>
  <c r="AS17" i="1"/>
  <c r="AQ17" i="1"/>
  <c r="AG17" i="1"/>
  <c r="AC17" i="1"/>
  <c r="AE17" i="1"/>
  <c r="AP17" i="1"/>
  <c r="AF17" i="1"/>
  <c r="AA17" i="1"/>
  <c r="AB17" i="1"/>
  <c r="AD17" i="1"/>
  <c r="AH54" i="20"/>
  <c r="AH56" i="20"/>
  <c r="AH53" i="20"/>
  <c r="AH55" i="20"/>
  <c r="AI24" i="20" l="1"/>
  <c r="AI21" i="20"/>
  <c r="F54" i="19"/>
  <c r="AA22" i="1" s="1"/>
  <c r="AA38" i="1" s="1"/>
  <c r="AI22" i="20"/>
  <c r="AH26" i="20"/>
  <c r="AI23" i="20"/>
  <c r="AK15" i="20"/>
  <c r="AK16" i="20"/>
  <c r="AK13" i="20"/>
  <c r="AJ18" i="20"/>
  <c r="AJ25" i="20" s="1"/>
  <c r="AK17" i="20"/>
  <c r="AU17" i="1"/>
  <c r="AK14" i="20"/>
  <c r="AV16" i="1"/>
  <c r="AV24" i="21" s="1"/>
  <c r="AU18" i="21"/>
  <c r="AU25" i="21" s="1"/>
  <c r="AV15" i="1"/>
  <c r="AV22" i="21" s="1"/>
  <c r="AW16" i="21"/>
  <c r="AV14" i="1"/>
  <c r="AV20" i="21" s="1"/>
  <c r="AK44" i="20"/>
  <c r="AJ48" i="20"/>
  <c r="AJ51" i="20" s="1"/>
  <c r="AX12" i="1" s="1"/>
  <c r="AX39" i="1" s="1"/>
  <c r="AL25" i="21"/>
  <c r="AI54" i="20"/>
  <c r="AI56" i="20"/>
  <c r="AI53" i="20"/>
  <c r="AI55" i="20"/>
  <c r="AI52" i="20"/>
  <c r="B17" i="1"/>
  <c r="L17" i="1"/>
  <c r="W17" i="1"/>
  <c r="X17" i="1"/>
  <c r="Y17" i="1"/>
  <c r="Z17" i="1"/>
  <c r="AA31" i="21" l="1"/>
  <c r="AJ23" i="20"/>
  <c r="AI26" i="20"/>
  <c r="AJ21" i="20"/>
  <c r="AJ22" i="20"/>
  <c r="AP22" i="1"/>
  <c r="AK22" i="1"/>
  <c r="AM22" i="1"/>
  <c r="AF22" i="1"/>
  <c r="AN22" i="1"/>
  <c r="AA40" i="1"/>
  <c r="AJ22" i="1"/>
  <c r="AO22" i="1"/>
  <c r="AS22" i="1"/>
  <c r="AB22" i="1"/>
  <c r="AU22" i="1"/>
  <c r="AI22" i="1"/>
  <c r="AQ22" i="1"/>
  <c r="AT22" i="1"/>
  <c r="AG22" i="1"/>
  <c r="AH22" i="1"/>
  <c r="AL22" i="1"/>
  <c r="AC22" i="1"/>
  <c r="AR22" i="1"/>
  <c r="AE22" i="1"/>
  <c r="AD22" i="1"/>
  <c r="AJ24" i="20"/>
  <c r="AL14" i="20"/>
  <c r="AL17" i="20"/>
  <c r="AL16" i="20"/>
  <c r="AL13" i="20"/>
  <c r="AK18" i="20"/>
  <c r="AK22" i="20" s="1"/>
  <c r="AL15" i="20"/>
  <c r="AV17" i="1"/>
  <c r="AV25" i="21"/>
  <c r="AW13" i="1"/>
  <c r="AW15" i="1"/>
  <c r="AW22" i="21" s="1"/>
  <c r="AW16" i="1"/>
  <c r="AW24" i="21" s="1"/>
  <c r="AW14" i="1"/>
  <c r="AW20" i="21" s="1"/>
  <c r="AX16" i="21"/>
  <c r="AJ52" i="20"/>
  <c r="AL44" i="20"/>
  <c r="AK48" i="20"/>
  <c r="AK51" i="20" s="1"/>
  <c r="AY12" i="1" s="1"/>
  <c r="AY39" i="1" s="1"/>
  <c r="AJ53" i="20"/>
  <c r="AJ54" i="20"/>
  <c r="AJ56" i="20"/>
  <c r="AJ55" i="20"/>
  <c r="V17" i="1"/>
  <c r="AP18" i="1" s="1"/>
  <c r="Q17" i="1"/>
  <c r="C17" i="1"/>
  <c r="D17" i="1"/>
  <c r="E17" i="1"/>
  <c r="F17" i="1"/>
  <c r="G17" i="1"/>
  <c r="H17" i="1"/>
  <c r="I17" i="1"/>
  <c r="J17" i="1"/>
  <c r="K17" i="1"/>
  <c r="M17" i="1"/>
  <c r="N17" i="1"/>
  <c r="O17" i="1"/>
  <c r="P17" i="1"/>
  <c r="R17" i="1"/>
  <c r="S17" i="1"/>
  <c r="T17" i="1"/>
  <c r="U17" i="1"/>
  <c r="AC31" i="21" l="1"/>
  <c r="AC38" i="1"/>
  <c r="AL31" i="21"/>
  <c r="AL38" i="1"/>
  <c r="AQ31" i="21"/>
  <c r="AQ38" i="1"/>
  <c r="AS31" i="21"/>
  <c r="AS38" i="1"/>
  <c r="AN31" i="21"/>
  <c r="AN38" i="1"/>
  <c r="AP31" i="21"/>
  <c r="AP38" i="1"/>
  <c r="AT31" i="21"/>
  <c r="AT38" i="1"/>
  <c r="AK31" i="21"/>
  <c r="AK38" i="1"/>
  <c r="AD31" i="21"/>
  <c r="AD38" i="1"/>
  <c r="AE31" i="21"/>
  <c r="AE38" i="1"/>
  <c r="AH31" i="21"/>
  <c r="AH38" i="1"/>
  <c r="AI31" i="21"/>
  <c r="AI38" i="1"/>
  <c r="AO31" i="21"/>
  <c r="AO38" i="1"/>
  <c r="AF31" i="21"/>
  <c r="AF38" i="1"/>
  <c r="AB31" i="21"/>
  <c r="AB38" i="1"/>
  <c r="AR31" i="21"/>
  <c r="AR38" i="1"/>
  <c r="AG31" i="21"/>
  <c r="AG38" i="1"/>
  <c r="AU31" i="21"/>
  <c r="AU38" i="1"/>
  <c r="AJ31" i="21"/>
  <c r="AJ38" i="1"/>
  <c r="AM31" i="21"/>
  <c r="AM38" i="1"/>
  <c r="AK40" i="1"/>
  <c r="AP40" i="1"/>
  <c r="AJ26" i="20"/>
  <c r="AF40" i="1"/>
  <c r="AM40" i="1"/>
  <c r="AN40" i="1"/>
  <c r="AR40" i="1"/>
  <c r="AG40" i="1"/>
  <c r="AU40" i="1"/>
  <c r="AO40" i="1"/>
  <c r="AV22" i="1"/>
  <c r="AC40" i="1"/>
  <c r="AT40" i="1"/>
  <c r="AJ40" i="1"/>
  <c r="AD40" i="1"/>
  <c r="AL40" i="1"/>
  <c r="AQ40" i="1"/>
  <c r="AB40" i="1"/>
  <c r="AE40" i="1"/>
  <c r="AH40" i="1"/>
  <c r="AI40" i="1"/>
  <c r="AS40" i="1"/>
  <c r="AK24" i="20"/>
  <c r="AK23" i="20"/>
  <c r="AK21" i="20"/>
  <c r="AK25" i="20"/>
  <c r="AM13" i="20"/>
  <c r="AL18" i="20"/>
  <c r="AL21" i="20" s="1"/>
  <c r="AM17" i="20"/>
  <c r="AM15" i="20"/>
  <c r="AM16" i="20"/>
  <c r="AM14" i="20"/>
  <c r="AW17" i="1"/>
  <c r="AX15" i="1"/>
  <c r="AX22" i="21" s="1"/>
  <c r="AY16" i="21"/>
  <c r="AX14" i="1"/>
  <c r="AX20" i="21" s="1"/>
  <c r="AW18" i="21"/>
  <c r="AW25" i="21" s="1"/>
  <c r="AX16" i="1"/>
  <c r="AX24" i="21" s="1"/>
  <c r="AX13" i="1"/>
  <c r="AM44" i="20"/>
  <c r="AL48" i="20"/>
  <c r="AL51" i="20" s="1"/>
  <c r="AZ12" i="1" s="1"/>
  <c r="AZ39" i="1" s="1"/>
  <c r="AK53" i="20"/>
  <c r="AK54" i="20"/>
  <c r="AK56" i="20"/>
  <c r="AK55" i="20"/>
  <c r="AK52" i="20"/>
  <c r="AV31" i="21" l="1"/>
  <c r="AV38" i="1"/>
  <c r="AL52" i="20"/>
  <c r="AZ13" i="1" s="1"/>
  <c r="AZ18" i="21" s="1"/>
  <c r="AL25" i="20"/>
  <c r="AW22" i="1"/>
  <c r="AV40" i="1"/>
  <c r="AL23" i="20"/>
  <c r="AL24" i="20"/>
  <c r="AL22" i="20"/>
  <c r="AK26" i="20"/>
  <c r="AN14" i="20"/>
  <c r="AN15" i="20"/>
  <c r="AN17" i="20"/>
  <c r="AN16" i="20"/>
  <c r="AX17" i="1"/>
  <c r="AN13" i="20"/>
  <c r="AM18" i="20"/>
  <c r="AM23" i="20" s="1"/>
  <c r="AY15" i="1"/>
  <c r="AY22" i="21" s="1"/>
  <c r="AX18" i="21"/>
  <c r="AX25" i="21" s="1"/>
  <c r="AY13" i="1"/>
  <c r="AZ16" i="21"/>
  <c r="AY14" i="1"/>
  <c r="AY20" i="21" s="1"/>
  <c r="AY16" i="1"/>
  <c r="AY24" i="21" s="1"/>
  <c r="AN44" i="20"/>
  <c r="AM48" i="20"/>
  <c r="AM51" i="20" s="1"/>
  <c r="BA12" i="1" s="1"/>
  <c r="BA39" i="1" s="1"/>
  <c r="AL54" i="20"/>
  <c r="AL56" i="20"/>
  <c r="AL53" i="20"/>
  <c r="AL55" i="20"/>
  <c r="AW31" i="21" l="1"/>
  <c r="AW38" i="1"/>
  <c r="AM24" i="20"/>
  <c r="AL26" i="20"/>
  <c r="AX22" i="1"/>
  <c r="AW40" i="1"/>
  <c r="AM21" i="20"/>
  <c r="AM22" i="20"/>
  <c r="AM25" i="20"/>
  <c r="AY17" i="1"/>
  <c r="AO16" i="20"/>
  <c r="AO15" i="20"/>
  <c r="AO13" i="20"/>
  <c r="AN18" i="20"/>
  <c r="AN22" i="20" s="1"/>
  <c r="AO17" i="20"/>
  <c r="AO14" i="20"/>
  <c r="AY18" i="21"/>
  <c r="AY25" i="21" s="1"/>
  <c r="BA16" i="21"/>
  <c r="AZ15" i="1"/>
  <c r="AZ22" i="21" s="1"/>
  <c r="AZ16" i="1"/>
  <c r="AZ24" i="21" s="1"/>
  <c r="AZ14" i="1"/>
  <c r="AZ20" i="21" s="1"/>
  <c r="AO44" i="20"/>
  <c r="AN48" i="20"/>
  <c r="AN51" i="20" s="1"/>
  <c r="BB12" i="1" s="1"/>
  <c r="BB39" i="1" s="1"/>
  <c r="AM53" i="20"/>
  <c r="AM54" i="20"/>
  <c r="AM56" i="20"/>
  <c r="AM55" i="20"/>
  <c r="AM52" i="20"/>
  <c r="AX31" i="21" l="1"/>
  <c r="AX38" i="1"/>
  <c r="AN23" i="20"/>
  <c r="AN25" i="20"/>
  <c r="AN21" i="20"/>
  <c r="AX40" i="1"/>
  <c r="AY22" i="1"/>
  <c r="AM26" i="20"/>
  <c r="AN24" i="20"/>
  <c r="AP15" i="20"/>
  <c r="AZ17" i="1"/>
  <c r="AP14" i="20"/>
  <c r="AP13" i="20"/>
  <c r="AO18" i="20"/>
  <c r="AO22" i="20" s="1"/>
  <c r="AP16" i="20"/>
  <c r="AP17" i="20"/>
  <c r="AZ25" i="21"/>
  <c r="BA16" i="1"/>
  <c r="BA24" i="21" s="1"/>
  <c r="BA13" i="1"/>
  <c r="BA18" i="21" s="1"/>
  <c r="BA14" i="1"/>
  <c r="BA20" i="21" s="1"/>
  <c r="BA15" i="1"/>
  <c r="BA22" i="21" s="1"/>
  <c r="BB16" i="21"/>
  <c r="AP44" i="20"/>
  <c r="AO48" i="20"/>
  <c r="AO51" i="20" s="1"/>
  <c r="BC12" i="1" s="1"/>
  <c r="BC39" i="1" s="1"/>
  <c r="AN53" i="20"/>
  <c r="AN54" i="20"/>
  <c r="AN56" i="20"/>
  <c r="AN55" i="20"/>
  <c r="AN52" i="20"/>
  <c r="AY31" i="21" l="1"/>
  <c r="AY38" i="1"/>
  <c r="AO21" i="20"/>
  <c r="AN26" i="20"/>
  <c r="AZ22" i="1"/>
  <c r="AY40" i="1"/>
  <c r="AO24" i="20"/>
  <c r="AO23" i="20"/>
  <c r="AO25" i="20"/>
  <c r="AQ17" i="20"/>
  <c r="AQ13" i="20"/>
  <c r="AP18" i="20"/>
  <c r="AP25" i="20" s="1"/>
  <c r="AQ14" i="20"/>
  <c r="AQ16" i="20"/>
  <c r="AQ15" i="20"/>
  <c r="BA17" i="1"/>
  <c r="BA25" i="21"/>
  <c r="BB16" i="1"/>
  <c r="BB24" i="21" s="1"/>
  <c r="BC16" i="21"/>
  <c r="BB15" i="1"/>
  <c r="BB22" i="21" s="1"/>
  <c r="BB13" i="1"/>
  <c r="BB18" i="21" s="1"/>
  <c r="BB14" i="1"/>
  <c r="BB20" i="21" s="1"/>
  <c r="AQ44" i="20"/>
  <c r="AQ48" i="20" s="1"/>
  <c r="AQ51" i="20" s="1"/>
  <c r="BE12" i="1" s="1"/>
  <c r="BE39" i="1" s="1"/>
  <c r="AP48" i="20"/>
  <c r="AP51" i="20" s="1"/>
  <c r="BD12" i="1" s="1"/>
  <c r="BD39" i="1" s="1"/>
  <c r="AO53" i="20"/>
  <c r="AO56" i="20"/>
  <c r="AO54" i="20"/>
  <c r="AO55" i="20"/>
  <c r="AO52" i="20"/>
  <c r="BI39" i="1" l="1"/>
  <c r="AZ31" i="21"/>
  <c r="AZ38" i="1"/>
  <c r="AO26" i="20"/>
  <c r="BA22" i="1"/>
  <c r="AZ40" i="1"/>
  <c r="AP23" i="20"/>
  <c r="AP24" i="20"/>
  <c r="AP21" i="20"/>
  <c r="AP22" i="20"/>
  <c r="AQ18" i="20"/>
  <c r="AQ22" i="20" s="1"/>
  <c r="BB25" i="21"/>
  <c r="BC13" i="1"/>
  <c r="BC18" i="21" s="1"/>
  <c r="BC14" i="1"/>
  <c r="BC20" i="21" s="1"/>
  <c r="BB17" i="1"/>
  <c r="BE16" i="21"/>
  <c r="BI12" i="1"/>
  <c r="BF12" i="1"/>
  <c r="BC16" i="1"/>
  <c r="BC24" i="21" s="1"/>
  <c r="BC15" i="1"/>
  <c r="BC22" i="21" s="1"/>
  <c r="BD16" i="21"/>
  <c r="AQ52" i="20"/>
  <c r="BE13" i="1" s="1"/>
  <c r="AP54" i="20"/>
  <c r="AP56" i="20"/>
  <c r="AP53" i="20"/>
  <c r="AP55" i="20"/>
  <c r="AP52" i="20"/>
  <c r="BD13" i="1" s="1"/>
  <c r="BA31" i="21" l="1"/>
  <c r="BA38" i="1"/>
  <c r="AQ24" i="20"/>
  <c r="AQ23" i="20"/>
  <c r="AQ25" i="20"/>
  <c r="AQ21" i="20"/>
  <c r="BB22" i="1"/>
  <c r="BA40" i="1"/>
  <c r="AP26" i="20"/>
  <c r="BC25" i="21"/>
  <c r="BD15" i="1"/>
  <c r="BD22" i="21" s="1"/>
  <c r="BD16" i="1"/>
  <c r="BD24" i="21" s="1"/>
  <c r="BD14" i="1"/>
  <c r="BD20" i="21" s="1"/>
  <c r="BC17" i="1"/>
  <c r="BI15" i="21"/>
  <c r="BF15" i="21"/>
  <c r="AQ53" i="20"/>
  <c r="AQ54" i="20"/>
  <c r="AQ56" i="20"/>
  <c r="AQ55" i="20"/>
  <c r="BE16" i="1" s="1"/>
  <c r="BB31" i="21" l="1"/>
  <c r="BB38" i="1"/>
  <c r="AQ26" i="20"/>
  <c r="BC22" i="1"/>
  <c r="BB40" i="1"/>
  <c r="BE14" i="1"/>
  <c r="BE20" i="21" s="1"/>
  <c r="BE15" i="1"/>
  <c r="BI15" i="1" s="1"/>
  <c r="BE24" i="21"/>
  <c r="BI16" i="1"/>
  <c r="BF13" i="1"/>
  <c r="BD18" i="21"/>
  <c r="BD25" i="21" s="1"/>
  <c r="BI13" i="1"/>
  <c r="BE18" i="21"/>
  <c r="BD17" i="1"/>
  <c r="BF15" i="1"/>
  <c r="BF16" i="1"/>
  <c r="Z49" i="1"/>
  <c r="Z48" i="1"/>
  <c r="Z47" i="1"/>
  <c r="Z46" i="1"/>
  <c r="Z45" i="1"/>
  <c r="X49" i="1"/>
  <c r="Y49" i="1"/>
  <c r="X48" i="1"/>
  <c r="X47" i="1"/>
  <c r="X46" i="1"/>
  <c r="X45" i="1"/>
  <c r="Z123" i="1"/>
  <c r="Z122" i="1"/>
  <c r="Z121" i="1"/>
  <c r="Z120" i="1"/>
  <c r="Z119" i="1"/>
  <c r="X123" i="1"/>
  <c r="X122" i="1"/>
  <c r="X121" i="1"/>
  <c r="X120" i="1"/>
  <c r="X119" i="1"/>
  <c r="Z26" i="1"/>
  <c r="Z25" i="1"/>
  <c r="Z24" i="1"/>
  <c r="Z23" i="1"/>
  <c r="X26" i="1"/>
  <c r="X25" i="1"/>
  <c r="X23" i="1"/>
  <c r="X56" i="1"/>
  <c r="BC31" i="21" l="1"/>
  <c r="BC38" i="1"/>
  <c r="Z50" i="1"/>
  <c r="Z95" i="1"/>
  <c r="X96" i="1"/>
  <c r="X65" i="1"/>
  <c r="W31" i="19"/>
  <c r="Z97" i="1"/>
  <c r="Z66" i="1"/>
  <c r="Z124" i="1"/>
  <c r="Z64" i="1"/>
  <c r="X124" i="1"/>
  <c r="X64" i="1"/>
  <c r="X59" i="1"/>
  <c r="X98" i="1"/>
  <c r="X67" i="1"/>
  <c r="Z98" i="1"/>
  <c r="Z67" i="1"/>
  <c r="X50" i="1"/>
  <c r="X95" i="1"/>
  <c r="M31" i="19"/>
  <c r="AA23" i="1" s="1"/>
  <c r="Z96" i="1"/>
  <c r="Z65" i="1"/>
  <c r="X60" i="1"/>
  <c r="X99" i="1"/>
  <c r="X68" i="1"/>
  <c r="Z99" i="1"/>
  <c r="Z68" i="1"/>
  <c r="BI14" i="1"/>
  <c r="BF14" i="1"/>
  <c r="BD22" i="1"/>
  <c r="BC40" i="1"/>
  <c r="Z27" i="1"/>
  <c r="BI19" i="21"/>
  <c r="BF19" i="21"/>
  <c r="BE22" i="21"/>
  <c r="BE25" i="21" s="1"/>
  <c r="BE17" i="1"/>
  <c r="BE22" i="1" s="1"/>
  <c r="BI23" i="21"/>
  <c r="BF23" i="21"/>
  <c r="BI17" i="21"/>
  <c r="BF17" i="21"/>
  <c r="X24" i="1"/>
  <c r="Z57" i="1"/>
  <c r="Z58" i="1"/>
  <c r="Z59" i="1"/>
  <c r="AG31" i="19"/>
  <c r="X57" i="1"/>
  <c r="Z60" i="1"/>
  <c r="AT31" i="19"/>
  <c r="L68" i="20" l="1"/>
  <c r="BD31" i="21"/>
  <c r="BD38" i="1"/>
  <c r="BE31" i="21"/>
  <c r="BE38" i="1"/>
  <c r="L69" i="20"/>
  <c r="L64" i="20"/>
  <c r="L67" i="20"/>
  <c r="L65" i="20"/>
  <c r="L66" i="20"/>
  <c r="X58" i="1"/>
  <c r="X61" i="1" s="1"/>
  <c r="X97" i="1"/>
  <c r="X66" i="1"/>
  <c r="BE40" i="1"/>
  <c r="BI40" i="1" s="1"/>
  <c r="BI22" i="1"/>
  <c r="BD40" i="1"/>
  <c r="BI17" i="1"/>
  <c r="X27" i="1"/>
  <c r="BK5" i="1"/>
  <c r="BI21" i="21"/>
  <c r="BF21" i="21"/>
  <c r="BF17" i="1"/>
  <c r="BG12" i="1" s="1"/>
  <c r="BK6" i="21"/>
  <c r="BI25" i="21"/>
  <c r="BF25" i="21"/>
  <c r="BG23" i="21" s="1"/>
  <c r="AB23" i="1"/>
  <c r="Z61" i="1"/>
  <c r="AV24" i="1"/>
  <c r="AY24" i="1"/>
  <c r="BD24" i="1"/>
  <c r="AZ24" i="1"/>
  <c r="AE24" i="1"/>
  <c r="AD24" i="1"/>
  <c r="AP24" i="1"/>
  <c r="AR24" i="1"/>
  <c r="BC24" i="1"/>
  <c r="AL24" i="1"/>
  <c r="AS24" i="1"/>
  <c r="AQ24" i="1"/>
  <c r="BE24" i="1"/>
  <c r="AF24" i="1"/>
  <c r="BA24" i="1"/>
  <c r="AC24" i="1"/>
  <c r="AH24" i="1"/>
  <c r="AW24" i="1"/>
  <c r="AU24" i="1"/>
  <c r="AG24" i="1"/>
  <c r="AT24" i="1"/>
  <c r="AA24" i="1"/>
  <c r="AI24" i="1"/>
  <c r="AX24" i="1"/>
  <c r="AJ24" i="1"/>
  <c r="AB24" i="1"/>
  <c r="AN24" i="1"/>
  <c r="AO24" i="1"/>
  <c r="AK24" i="1"/>
  <c r="AM24" i="1"/>
  <c r="BB24" i="1"/>
  <c r="AJ26" i="1"/>
  <c r="AG26" i="1"/>
  <c r="BA26" i="1"/>
  <c r="AX26" i="1"/>
  <c r="AE26" i="1"/>
  <c r="AP26" i="1"/>
  <c r="AZ26" i="1"/>
  <c r="AD26" i="1"/>
  <c r="AY26" i="1"/>
  <c r="AT26" i="1"/>
  <c r="AK26" i="1"/>
  <c r="AA26" i="1"/>
  <c r="AF26" i="1"/>
  <c r="AC26" i="1"/>
  <c r="AM26" i="1"/>
  <c r="BD26" i="1"/>
  <c r="AI26" i="1"/>
  <c r="AV26" i="1"/>
  <c r="AH26" i="1"/>
  <c r="BB26" i="1"/>
  <c r="AW26" i="1"/>
  <c r="AO26" i="1"/>
  <c r="AR26" i="1"/>
  <c r="BE26" i="1"/>
  <c r="AU26" i="1"/>
  <c r="AN26" i="1"/>
  <c r="AL26" i="1"/>
  <c r="AS26" i="1"/>
  <c r="AQ26" i="1"/>
  <c r="AB26" i="1"/>
  <c r="BC26" i="1"/>
  <c r="AM25" i="1"/>
  <c r="AC25" i="1"/>
  <c r="BD25" i="1"/>
  <c r="AF25" i="1"/>
  <c r="AP25" i="1"/>
  <c r="AA25" i="1"/>
  <c r="AY25" i="1"/>
  <c r="AO25" i="1"/>
  <c r="AK25" i="1"/>
  <c r="AS25" i="1"/>
  <c r="AI25" i="1"/>
  <c r="AG25" i="1"/>
  <c r="AD25" i="1"/>
  <c r="AB25" i="1"/>
  <c r="BA25" i="1"/>
  <c r="AR25" i="1"/>
  <c r="AH25" i="1"/>
  <c r="BE25" i="1"/>
  <c r="BB25" i="1"/>
  <c r="AL25" i="1"/>
  <c r="AU25" i="1"/>
  <c r="AT25" i="1"/>
  <c r="AQ25" i="1"/>
  <c r="AN25" i="1"/>
  <c r="AV25" i="1"/>
  <c r="AW25" i="1"/>
  <c r="AX25" i="1"/>
  <c r="AJ25" i="1"/>
  <c r="AE25" i="1"/>
  <c r="BC25" i="1"/>
  <c r="AZ25" i="1"/>
  <c r="AO23" i="1"/>
  <c r="AK23" i="1"/>
  <c r="AM23" i="1"/>
  <c r="AV23" i="1"/>
  <c r="AS23" i="1"/>
  <c r="BB23" i="1"/>
  <c r="AW23" i="1"/>
  <c r="BE23" i="1"/>
  <c r="AE23" i="1"/>
  <c r="BA23" i="1"/>
  <c r="AZ23" i="1"/>
  <c r="AU23" i="1"/>
  <c r="AL23" i="1"/>
  <c r="AN23" i="1"/>
  <c r="AJ23" i="1"/>
  <c r="AC23" i="1"/>
  <c r="AD23" i="1"/>
  <c r="AI23" i="1"/>
  <c r="AR23" i="1"/>
  <c r="AX23" i="1"/>
  <c r="BC23" i="1"/>
  <c r="BD23" i="1"/>
  <c r="AT23" i="1"/>
  <c r="AQ23" i="1"/>
  <c r="AG23" i="1"/>
  <c r="AF23" i="1"/>
  <c r="AH23" i="1"/>
  <c r="AP23" i="1"/>
  <c r="AY23" i="1"/>
  <c r="Z100" i="1"/>
  <c r="J66" i="20" l="1"/>
  <c r="Z83" i="1"/>
  <c r="Z84" i="1"/>
  <c r="Z85" i="1"/>
  <c r="Z86" i="1"/>
  <c r="Z87" i="1"/>
  <c r="AL29" i="1"/>
  <c r="AP28" i="1"/>
  <c r="J69" i="20"/>
  <c r="J64" i="20"/>
  <c r="J65" i="20"/>
  <c r="J68" i="20"/>
  <c r="J67" i="20"/>
  <c r="BC37" i="21"/>
  <c r="BC113" i="21" s="1"/>
  <c r="AW37" i="21"/>
  <c r="AW113" i="21" s="1"/>
  <c r="AT37" i="21"/>
  <c r="AT113" i="21" s="1"/>
  <c r="AB37" i="21"/>
  <c r="AB113" i="21" s="1"/>
  <c r="AS37" i="21"/>
  <c r="AS113" i="21" s="1"/>
  <c r="AC37" i="21"/>
  <c r="AC113" i="21" s="1"/>
  <c r="AQ39" i="21"/>
  <c r="AQ114" i="21" s="1"/>
  <c r="AU39" i="21"/>
  <c r="AU114" i="21" s="1"/>
  <c r="AW39" i="21"/>
  <c r="AW114" i="21" s="1"/>
  <c r="AF39" i="21"/>
  <c r="AF114" i="21" s="1"/>
  <c r="AE39" i="21"/>
  <c r="AE114" i="21" s="1"/>
  <c r="AO35" i="21"/>
  <c r="AO112" i="21" s="1"/>
  <c r="AX35" i="21"/>
  <c r="AX112" i="21" s="1"/>
  <c r="AC35" i="21"/>
  <c r="AC112" i="21" s="1"/>
  <c r="AR35" i="21"/>
  <c r="AR112" i="21" s="1"/>
  <c r="AE37" i="21"/>
  <c r="AE113" i="21" s="1"/>
  <c r="AV37" i="21"/>
  <c r="AV113" i="21" s="1"/>
  <c r="AU37" i="21"/>
  <c r="AU113" i="21" s="1"/>
  <c r="AH37" i="21"/>
  <c r="AH113" i="21" s="1"/>
  <c r="AD37" i="21"/>
  <c r="AD113" i="21" s="1"/>
  <c r="AK37" i="21"/>
  <c r="AP37" i="21"/>
  <c r="AP113" i="21" s="1"/>
  <c r="AM37" i="21"/>
  <c r="AM113" i="21" s="1"/>
  <c r="AS39" i="21"/>
  <c r="AS114" i="21" s="1"/>
  <c r="BB39" i="21"/>
  <c r="BB114" i="21" s="1"/>
  <c r="BD39" i="21"/>
  <c r="BD114" i="21" s="1"/>
  <c r="AD39" i="21"/>
  <c r="AD114" i="21" s="1"/>
  <c r="AX39" i="21"/>
  <c r="AX114" i="21" s="1"/>
  <c r="BB35" i="21"/>
  <c r="BB112" i="21" s="1"/>
  <c r="AN35" i="21"/>
  <c r="AN112" i="21" s="1"/>
  <c r="AI35" i="21"/>
  <c r="AI112" i="21" s="1"/>
  <c r="AU35" i="21"/>
  <c r="AU112" i="21" s="1"/>
  <c r="BA35" i="21"/>
  <c r="BA112" i="21" s="1"/>
  <c r="AS35" i="21"/>
  <c r="AS112" i="21" s="1"/>
  <c r="AP35" i="21"/>
  <c r="AP112" i="21" s="1"/>
  <c r="BD35" i="21"/>
  <c r="BD112" i="21" s="1"/>
  <c r="AJ37" i="21"/>
  <c r="AJ113" i="21" s="1"/>
  <c r="AN37" i="21"/>
  <c r="AN113" i="21" s="1"/>
  <c r="AL37" i="21"/>
  <c r="AL113" i="21" s="1"/>
  <c r="AR37" i="21"/>
  <c r="AR113" i="21" s="1"/>
  <c r="AG37" i="21"/>
  <c r="AG113" i="21" s="1"/>
  <c r="AO37" i="21"/>
  <c r="AO113" i="21" s="1"/>
  <c r="AF37" i="21"/>
  <c r="AF113" i="21" s="1"/>
  <c r="BC39" i="21"/>
  <c r="BC114" i="21" s="1"/>
  <c r="AL39" i="21"/>
  <c r="AL114" i="21" s="1"/>
  <c r="AR39" i="21"/>
  <c r="AR114" i="21" s="1"/>
  <c r="AH39" i="21"/>
  <c r="AH114" i="21" s="1"/>
  <c r="AM39" i="21"/>
  <c r="AM114" i="21" s="1"/>
  <c r="AK39" i="21"/>
  <c r="AZ39" i="21"/>
  <c r="AZ114" i="21" s="1"/>
  <c r="BA39" i="21"/>
  <c r="BA114" i="21" s="1"/>
  <c r="AM35" i="21"/>
  <c r="AM112" i="21" s="1"/>
  <c r="AB35" i="21"/>
  <c r="AB112" i="21" s="1"/>
  <c r="AW35" i="21"/>
  <c r="AW112" i="21" s="1"/>
  <c r="AF35" i="21"/>
  <c r="AF112" i="21" s="1"/>
  <c r="AL35" i="21"/>
  <c r="AL112" i="21" s="1"/>
  <c r="AD35" i="21"/>
  <c r="AD112" i="21" s="1"/>
  <c r="AY35" i="21"/>
  <c r="AY112" i="21" s="1"/>
  <c r="AI39" i="21"/>
  <c r="AI114" i="21" s="1"/>
  <c r="AY39" i="21"/>
  <c r="AY114" i="21" s="1"/>
  <c r="AJ39" i="21"/>
  <c r="AJ114" i="21" s="1"/>
  <c r="AG35" i="21"/>
  <c r="AG112" i="21" s="1"/>
  <c r="AQ35" i="21"/>
  <c r="AQ112" i="21" s="1"/>
  <c r="AZ35" i="21"/>
  <c r="AZ112" i="21" s="1"/>
  <c r="AZ37" i="21"/>
  <c r="AZ113" i="21" s="1"/>
  <c r="AX37" i="21"/>
  <c r="AX113" i="21" s="1"/>
  <c r="AQ37" i="21"/>
  <c r="AQ113" i="21" s="1"/>
  <c r="BB37" i="21"/>
  <c r="BB113" i="21" s="1"/>
  <c r="BA37" i="21"/>
  <c r="BA113" i="21" s="1"/>
  <c r="AI37" i="21"/>
  <c r="AI113" i="21" s="1"/>
  <c r="AY37" i="21"/>
  <c r="AY113" i="21" s="1"/>
  <c r="BD37" i="21"/>
  <c r="BD113" i="21" s="1"/>
  <c r="AB39" i="21"/>
  <c r="AB114" i="21" s="1"/>
  <c r="AN39" i="21"/>
  <c r="AN114" i="21" s="1"/>
  <c r="AO39" i="21"/>
  <c r="AO114" i="21" s="1"/>
  <c r="AV39" i="21"/>
  <c r="AV114" i="21" s="1"/>
  <c r="AC39" i="21"/>
  <c r="AC114" i="21" s="1"/>
  <c r="AT39" i="21"/>
  <c r="AT114" i="21" s="1"/>
  <c r="AP39" i="21"/>
  <c r="AP114" i="21" s="1"/>
  <c r="AG39" i="21"/>
  <c r="AG114" i="21" s="1"/>
  <c r="AK35" i="21"/>
  <c r="AJ35" i="21"/>
  <c r="AJ112" i="21" s="1"/>
  <c r="AT35" i="21"/>
  <c r="AT112" i="21" s="1"/>
  <c r="AH35" i="21"/>
  <c r="AH112" i="21" s="1"/>
  <c r="BE35" i="21"/>
  <c r="BE112" i="21" s="1"/>
  <c r="BC35" i="21"/>
  <c r="BC112" i="21" s="1"/>
  <c r="AE35" i="21"/>
  <c r="AE112" i="21" s="1"/>
  <c r="AV35" i="21"/>
  <c r="AV112" i="21" s="1"/>
  <c r="X100" i="1"/>
  <c r="AA35" i="21"/>
  <c r="AA112" i="21" s="1"/>
  <c r="AA37" i="21"/>
  <c r="AA113" i="21" s="1"/>
  <c r="AA39" i="21"/>
  <c r="AA114" i="21" s="1"/>
  <c r="AK126" i="21" s="1"/>
  <c r="BG14" i="1"/>
  <c r="BG13" i="1"/>
  <c r="BG16" i="1"/>
  <c r="BG15" i="1"/>
  <c r="AG33" i="21"/>
  <c r="AG27" i="1"/>
  <c r="AL33" i="21"/>
  <c r="AL27" i="1"/>
  <c r="AO33" i="21"/>
  <c r="AO27" i="1"/>
  <c r="AQ33" i="21"/>
  <c r="AQ41" i="21" s="1"/>
  <c r="AQ27" i="1"/>
  <c r="AY33" i="21"/>
  <c r="AY27" i="1"/>
  <c r="AD33" i="21"/>
  <c r="AD27" i="1"/>
  <c r="AS33" i="21"/>
  <c r="AS27" i="1"/>
  <c r="AA33" i="21"/>
  <c r="AA27" i="1"/>
  <c r="AC33" i="21"/>
  <c r="AC27" i="1"/>
  <c r="AH33" i="21"/>
  <c r="AH27" i="1"/>
  <c r="AR33" i="21"/>
  <c r="AR27" i="1"/>
  <c r="AJ33" i="21"/>
  <c r="AJ27" i="1"/>
  <c r="AZ33" i="21"/>
  <c r="AZ27" i="1"/>
  <c r="AW33" i="21"/>
  <c r="AW27" i="1"/>
  <c r="AM33" i="21"/>
  <c r="AM27" i="1"/>
  <c r="AB33" i="21"/>
  <c r="AB27" i="1"/>
  <c r="BC33" i="21"/>
  <c r="BC27" i="1"/>
  <c r="AE33" i="21"/>
  <c r="AE27" i="1"/>
  <c r="AP33" i="21"/>
  <c r="AP27" i="1"/>
  <c r="AX33" i="21"/>
  <c r="AX27" i="1"/>
  <c r="AU33" i="21"/>
  <c r="AU27" i="1"/>
  <c r="AV33" i="21"/>
  <c r="AV27" i="1"/>
  <c r="AT33" i="21"/>
  <c r="AT27" i="1"/>
  <c r="AF33" i="21"/>
  <c r="AF27" i="1"/>
  <c r="BD33" i="21"/>
  <c r="BD27" i="1"/>
  <c r="AI33" i="21"/>
  <c r="AI27" i="1"/>
  <c r="AN33" i="21"/>
  <c r="AN27" i="1"/>
  <c r="BA33" i="21"/>
  <c r="BA27" i="1"/>
  <c r="BB33" i="21"/>
  <c r="BB27" i="1"/>
  <c r="AK33" i="21"/>
  <c r="AK27" i="1"/>
  <c r="BE33" i="21"/>
  <c r="BE27" i="1"/>
  <c r="BI25" i="1"/>
  <c r="BE37" i="21"/>
  <c r="BI26" i="1"/>
  <c r="BE39" i="21"/>
  <c r="BG15" i="21"/>
  <c r="BG19" i="21"/>
  <c r="BG21" i="21"/>
  <c r="BG17" i="21"/>
  <c r="BI23" i="1"/>
  <c r="BI24" i="1"/>
  <c r="P45" i="1"/>
  <c r="P46" i="1"/>
  <c r="P96" i="1" s="1"/>
  <c r="P94" i="21" s="1"/>
  <c r="P47" i="1"/>
  <c r="P97" i="1" s="1"/>
  <c r="P96" i="21" s="1"/>
  <c r="P56" i="21" s="1"/>
  <c r="P48" i="1"/>
  <c r="P98" i="1" s="1"/>
  <c r="P98" i="21" s="1"/>
  <c r="P57" i="21" s="1"/>
  <c r="P49" i="1"/>
  <c r="P99" i="1" s="1"/>
  <c r="P100" i="21" s="1"/>
  <c r="P58" i="21" s="1"/>
  <c r="Q45" i="1"/>
  <c r="Q46" i="1"/>
  <c r="Q96" i="1" s="1"/>
  <c r="Q47" i="1"/>
  <c r="Q97" i="1" s="1"/>
  <c r="Q48" i="1"/>
  <c r="Q98" i="1" s="1"/>
  <c r="Q49" i="1"/>
  <c r="Q99" i="1" s="1"/>
  <c r="R45" i="1"/>
  <c r="R46" i="1"/>
  <c r="R47" i="1"/>
  <c r="R48" i="1"/>
  <c r="R49" i="1"/>
  <c r="S45" i="1"/>
  <c r="S46" i="1"/>
  <c r="S47" i="1"/>
  <c r="S48" i="1"/>
  <c r="S49" i="1"/>
  <c r="T45" i="1"/>
  <c r="T46" i="1"/>
  <c r="T47" i="1"/>
  <c r="T48" i="1"/>
  <c r="T49" i="1"/>
  <c r="U45" i="1"/>
  <c r="U46" i="1"/>
  <c r="U47" i="1"/>
  <c r="U48" i="1"/>
  <c r="U49" i="1"/>
  <c r="V45" i="1"/>
  <c r="V46" i="1"/>
  <c r="V47" i="1"/>
  <c r="V48" i="1"/>
  <c r="V49" i="1"/>
  <c r="W45" i="1"/>
  <c r="W46" i="1"/>
  <c r="W47" i="1"/>
  <c r="W49" i="1"/>
  <c r="Y45" i="1"/>
  <c r="Y46" i="1"/>
  <c r="Y47" i="1"/>
  <c r="Y48" i="1"/>
  <c r="Z92" i="21" l="1"/>
  <c r="Z93" i="21" s="1"/>
  <c r="AK28" i="1"/>
  <c r="M68" i="20"/>
  <c r="X83" i="1"/>
  <c r="X84" i="1"/>
  <c r="X85" i="1"/>
  <c r="X86" i="1"/>
  <c r="X87" i="1"/>
  <c r="AC41" i="21"/>
  <c r="AI41" i="21"/>
  <c r="Z94" i="21"/>
  <c r="Z55" i="21" s="1"/>
  <c r="AC111" i="21"/>
  <c r="AC115" i="21" s="1"/>
  <c r="BI34" i="21"/>
  <c r="BA41" i="21"/>
  <c r="AJ41" i="21"/>
  <c r="M66" i="20"/>
  <c r="M67" i="20"/>
  <c r="AT41" i="21"/>
  <c r="AK41" i="21"/>
  <c r="AF111" i="21"/>
  <c r="AF115" i="21" s="1"/>
  <c r="AF41" i="21"/>
  <c r="AX111" i="21"/>
  <c r="AX115" i="21" s="1"/>
  <c r="AX41" i="21"/>
  <c r="AE111" i="21"/>
  <c r="AE115" i="21" s="1"/>
  <c r="AE41" i="21"/>
  <c r="AB41" i="21"/>
  <c r="AW111" i="21"/>
  <c r="AW115" i="21" s="1"/>
  <c r="AW41" i="21"/>
  <c r="AH41" i="21"/>
  <c r="AA111" i="21"/>
  <c r="AA41" i="21"/>
  <c r="AD111" i="21"/>
  <c r="AD115" i="21" s="1"/>
  <c r="AD41" i="21"/>
  <c r="AL111" i="21"/>
  <c r="AL115" i="21" s="1"/>
  <c r="AL41" i="21"/>
  <c r="AV111" i="21"/>
  <c r="AV115" i="21" s="1"/>
  <c r="AV41" i="21"/>
  <c r="BE111" i="21"/>
  <c r="BE41" i="21"/>
  <c r="BB41" i="21"/>
  <c r="AN111" i="21"/>
  <c r="AN115" i="21" s="1"/>
  <c r="AN41" i="21"/>
  <c r="BD41" i="21"/>
  <c r="AU41" i="21"/>
  <c r="AP111" i="21"/>
  <c r="AP115" i="21" s="1"/>
  <c r="AP41" i="21"/>
  <c r="BC41" i="21"/>
  <c r="AM41" i="21"/>
  <c r="AZ41" i="21"/>
  <c r="AR111" i="21"/>
  <c r="AR115" i="21" s="1"/>
  <c r="AR41" i="21"/>
  <c r="AS41" i="21"/>
  <c r="AY41" i="21"/>
  <c r="AO111" i="21"/>
  <c r="AO115" i="21" s="1"/>
  <c r="AO41" i="21"/>
  <c r="AG41" i="21"/>
  <c r="M69" i="20"/>
  <c r="M64" i="20"/>
  <c r="M65" i="20"/>
  <c r="Z89" i="1"/>
  <c r="Z88" i="1"/>
  <c r="AA115" i="21"/>
  <c r="R50" i="1"/>
  <c r="R95" i="1"/>
  <c r="Q50" i="1"/>
  <c r="Q95" i="1"/>
  <c r="Q100" i="1" s="1"/>
  <c r="P102" i="21"/>
  <c r="P55" i="21"/>
  <c r="P59" i="21" s="1"/>
  <c r="V50" i="1"/>
  <c r="V95" i="1"/>
  <c r="U50" i="1"/>
  <c r="U95" i="1"/>
  <c r="T50" i="1"/>
  <c r="T95" i="1"/>
  <c r="P50" i="1"/>
  <c r="P95" i="1"/>
  <c r="Y50" i="1"/>
  <c r="Y95" i="1"/>
  <c r="W95" i="1"/>
  <c r="S50" i="1"/>
  <c r="S95" i="1"/>
  <c r="BI38" i="21"/>
  <c r="BC111" i="21"/>
  <c r="BC115" i="21" s="1"/>
  <c r="AG111" i="21"/>
  <c r="AG115" i="21" s="1"/>
  <c r="AS111" i="21"/>
  <c r="AS115" i="21" s="1"/>
  <c r="AZ111" i="21"/>
  <c r="AZ115" i="21" s="1"/>
  <c r="AU111" i="21"/>
  <c r="AU115" i="21" s="1"/>
  <c r="BB111" i="21"/>
  <c r="BB115" i="21" s="1"/>
  <c r="BD111" i="21"/>
  <c r="BD115" i="21" s="1"/>
  <c r="AY111" i="21"/>
  <c r="AY115" i="21" s="1"/>
  <c r="AT111" i="21"/>
  <c r="AT115" i="21" s="1"/>
  <c r="AM111" i="21"/>
  <c r="AM115" i="21" s="1"/>
  <c r="BI32" i="21"/>
  <c r="AJ111" i="21"/>
  <c r="AJ115" i="21" s="1"/>
  <c r="AQ111" i="21"/>
  <c r="AQ115" i="21" s="1"/>
  <c r="AB111" i="21"/>
  <c r="AB115" i="21" s="1"/>
  <c r="BA111" i="21"/>
  <c r="BA115" i="21" s="1"/>
  <c r="AI111" i="21"/>
  <c r="AI115" i="21" s="1"/>
  <c r="AH111" i="21"/>
  <c r="AH115" i="21" s="1"/>
  <c r="BE114" i="21"/>
  <c r="BI36" i="21"/>
  <c r="BE113" i="21"/>
  <c r="Z96" i="21"/>
  <c r="Z100" i="21"/>
  <c r="Z98" i="21"/>
  <c r="BI27" i="1"/>
  <c r="BK6" i="1"/>
  <c r="W48" i="1"/>
  <c r="X92" i="21" l="1"/>
  <c r="AK42" i="21"/>
  <c r="X100" i="21"/>
  <c r="X58" i="21" s="1"/>
  <c r="X96" i="21"/>
  <c r="X56" i="21" s="1"/>
  <c r="X98" i="21"/>
  <c r="X57" i="21" s="1"/>
  <c r="Z95" i="21"/>
  <c r="Q84" i="1"/>
  <c r="Q94" i="21" s="1"/>
  <c r="Q83" i="1"/>
  <c r="Q92" i="21" s="1"/>
  <c r="Q86" i="1"/>
  <c r="Q98" i="21" s="1"/>
  <c r="Q57" i="21" s="1"/>
  <c r="Q85" i="1"/>
  <c r="Q96" i="21" s="1"/>
  <c r="Q56" i="21" s="1"/>
  <c r="Q87" i="1"/>
  <c r="Q100" i="21" s="1"/>
  <c r="Q58" i="21" s="1"/>
  <c r="X89" i="1"/>
  <c r="AP60" i="21"/>
  <c r="AP61" i="21" s="1"/>
  <c r="AP42" i="21"/>
  <c r="Z102" i="21"/>
  <c r="W50" i="1"/>
  <c r="X88" i="1"/>
  <c r="X94" i="21"/>
  <c r="X55" i="21" s="1"/>
  <c r="P100" i="1"/>
  <c r="BI40" i="21"/>
  <c r="BE115" i="21"/>
  <c r="BK8" i="21"/>
  <c r="Z97" i="21"/>
  <c r="Z56" i="21"/>
  <c r="Z101" i="21"/>
  <c r="Z58" i="21"/>
  <c r="Z99" i="21"/>
  <c r="Z57" i="21"/>
  <c r="Y119" i="1"/>
  <c r="Y120" i="1"/>
  <c r="Y121" i="1"/>
  <c r="Y122" i="1"/>
  <c r="Y123" i="1"/>
  <c r="W119" i="1"/>
  <c r="W120" i="1"/>
  <c r="W121" i="1"/>
  <c r="W122" i="1"/>
  <c r="W123" i="1"/>
  <c r="V119" i="1"/>
  <c r="V120" i="1"/>
  <c r="V121" i="1"/>
  <c r="V122" i="1"/>
  <c r="V123" i="1"/>
  <c r="U119" i="1"/>
  <c r="U120" i="1"/>
  <c r="U121" i="1"/>
  <c r="U122" i="1"/>
  <c r="U123" i="1"/>
  <c r="T119" i="1"/>
  <c r="T120" i="1"/>
  <c r="T121" i="1"/>
  <c r="T122" i="1"/>
  <c r="T123" i="1"/>
  <c r="S119" i="1"/>
  <c r="S120" i="1"/>
  <c r="S121" i="1"/>
  <c r="S122" i="1"/>
  <c r="S123" i="1"/>
  <c r="R119" i="1"/>
  <c r="R120" i="1"/>
  <c r="R121" i="1"/>
  <c r="R122" i="1"/>
  <c r="R123" i="1"/>
  <c r="Q119" i="1"/>
  <c r="Q120" i="1"/>
  <c r="Q65" i="1" s="1"/>
  <c r="Q121" i="1"/>
  <c r="Q66" i="1" s="1"/>
  <c r="Q122" i="1"/>
  <c r="Q67" i="1" s="1"/>
  <c r="Q123" i="1"/>
  <c r="Q68" i="1" s="1"/>
  <c r="P119" i="1"/>
  <c r="P120" i="1"/>
  <c r="P65" i="1" s="1"/>
  <c r="P121" i="1"/>
  <c r="P66" i="1" s="1"/>
  <c r="P122" i="1"/>
  <c r="P67" i="1" s="1"/>
  <c r="P123" i="1"/>
  <c r="P68" i="1" s="1"/>
  <c r="Y26" i="1"/>
  <c r="Y25" i="1"/>
  <c r="Y24" i="1"/>
  <c r="Y23" i="1"/>
  <c r="Y56" i="1"/>
  <c r="W26" i="1"/>
  <c r="W25" i="1"/>
  <c r="W24" i="1"/>
  <c r="W23" i="1"/>
  <c r="W56" i="1"/>
  <c r="V26" i="1"/>
  <c r="V25" i="1"/>
  <c r="V24" i="1"/>
  <c r="V23" i="1"/>
  <c r="V56" i="1"/>
  <c r="U26" i="1"/>
  <c r="U25" i="1"/>
  <c r="U24" i="1"/>
  <c r="U23" i="1"/>
  <c r="U56" i="1"/>
  <c r="T26" i="1"/>
  <c r="T25" i="1"/>
  <c r="T24" i="1"/>
  <c r="T23" i="1"/>
  <c r="T56" i="1"/>
  <c r="S26" i="1"/>
  <c r="S25" i="1"/>
  <c r="S24" i="1"/>
  <c r="S23" i="1"/>
  <c r="S56" i="1"/>
  <c r="R26" i="1"/>
  <c r="R25" i="1"/>
  <c r="R24" i="1"/>
  <c r="R23" i="1"/>
  <c r="R56" i="1"/>
  <c r="X59" i="21" l="1"/>
  <c r="V28" i="1"/>
  <c r="Q102" i="21"/>
  <c r="X102" i="21"/>
  <c r="R58" i="1"/>
  <c r="R97" i="1"/>
  <c r="R66" i="1"/>
  <c r="V58" i="1"/>
  <c r="V97" i="1"/>
  <c r="V66" i="1"/>
  <c r="S124" i="1"/>
  <c r="S64" i="1"/>
  <c r="W124" i="1"/>
  <c r="W64" i="1"/>
  <c r="R59" i="1"/>
  <c r="R98" i="1"/>
  <c r="R67" i="1"/>
  <c r="S58" i="1"/>
  <c r="S97" i="1"/>
  <c r="S66" i="1"/>
  <c r="T96" i="1"/>
  <c r="T65" i="1"/>
  <c r="U60" i="1"/>
  <c r="U99" i="1"/>
  <c r="U68" i="1"/>
  <c r="V59" i="1"/>
  <c r="V98" i="1"/>
  <c r="V67" i="1"/>
  <c r="W58" i="1"/>
  <c r="W97" i="1"/>
  <c r="W66" i="1"/>
  <c r="Y96" i="1"/>
  <c r="Y65" i="1"/>
  <c r="P124" i="1"/>
  <c r="P64" i="1"/>
  <c r="T124" i="1"/>
  <c r="T64" i="1"/>
  <c r="Y124" i="1"/>
  <c r="Y64" i="1"/>
  <c r="Q88" i="1"/>
  <c r="Q55" i="21"/>
  <c r="Q59" i="21" s="1"/>
  <c r="U59" i="1"/>
  <c r="U98" i="1"/>
  <c r="U67" i="1"/>
  <c r="S59" i="1"/>
  <c r="S98" i="1"/>
  <c r="S67" i="1"/>
  <c r="U96" i="1"/>
  <c r="U65" i="1"/>
  <c r="W59" i="1"/>
  <c r="W98" i="1"/>
  <c r="W67" i="1"/>
  <c r="Y58" i="1"/>
  <c r="Y97" i="1"/>
  <c r="Y66" i="1"/>
  <c r="Q124" i="1"/>
  <c r="Q64" i="1"/>
  <c r="U124" i="1"/>
  <c r="U64" i="1"/>
  <c r="S96" i="1"/>
  <c r="S65" i="1"/>
  <c r="T60" i="1"/>
  <c r="T99" i="1"/>
  <c r="T68" i="1"/>
  <c r="W96" i="1"/>
  <c r="W65" i="1"/>
  <c r="Y60" i="1"/>
  <c r="Y99" i="1"/>
  <c r="Y68" i="1"/>
  <c r="R60" i="1"/>
  <c r="R99" i="1"/>
  <c r="R68" i="1"/>
  <c r="T58" i="1"/>
  <c r="T97" i="1"/>
  <c r="T66" i="1"/>
  <c r="V60" i="1"/>
  <c r="V99" i="1"/>
  <c r="V68" i="1"/>
  <c r="R96" i="1"/>
  <c r="R65" i="1"/>
  <c r="S60" i="1"/>
  <c r="S99" i="1"/>
  <c r="S68" i="1"/>
  <c r="T59" i="1"/>
  <c r="T98" i="1"/>
  <c r="T67" i="1"/>
  <c r="U58" i="1"/>
  <c r="U97" i="1"/>
  <c r="U66" i="1"/>
  <c r="V96" i="1"/>
  <c r="V65" i="1"/>
  <c r="W60" i="1"/>
  <c r="W99" i="1"/>
  <c r="W68" i="1"/>
  <c r="Y59" i="1"/>
  <c r="Y98" i="1"/>
  <c r="Y67" i="1"/>
  <c r="R124" i="1"/>
  <c r="R64" i="1"/>
  <c r="V124" i="1"/>
  <c r="V64" i="1"/>
  <c r="S27" i="1"/>
  <c r="W27" i="1"/>
  <c r="T27" i="1"/>
  <c r="Y27" i="1"/>
  <c r="U27" i="1"/>
  <c r="R27" i="1"/>
  <c r="V27" i="1"/>
  <c r="Z59" i="21"/>
  <c r="D73" i="1"/>
  <c r="B73" i="1"/>
  <c r="R57" i="1"/>
  <c r="V57" i="1"/>
  <c r="S57" i="1"/>
  <c r="W57" i="1"/>
  <c r="T57" i="1"/>
  <c r="Y57" i="1"/>
  <c r="U57" i="1"/>
  <c r="O45" i="1"/>
  <c r="O46" i="1"/>
  <c r="O47" i="1"/>
  <c r="O48" i="1"/>
  <c r="O49" i="1"/>
  <c r="K67" i="20" l="1"/>
  <c r="H68" i="20"/>
  <c r="F68" i="20"/>
  <c r="I68" i="20"/>
  <c r="G69" i="20"/>
  <c r="G64" i="20"/>
  <c r="I67" i="20"/>
  <c r="H66" i="20"/>
  <c r="H67" i="20"/>
  <c r="K69" i="20"/>
  <c r="K64" i="20"/>
  <c r="G66" i="20"/>
  <c r="G68" i="20"/>
  <c r="K68" i="20"/>
  <c r="H69" i="20"/>
  <c r="H64" i="20"/>
  <c r="F69" i="20"/>
  <c r="F64" i="20"/>
  <c r="H65" i="20"/>
  <c r="G65" i="20"/>
  <c r="K65" i="20"/>
  <c r="F65" i="20"/>
  <c r="G67" i="20"/>
  <c r="I69" i="20"/>
  <c r="I64" i="20"/>
  <c r="K66" i="20"/>
  <c r="F66" i="20"/>
  <c r="I66" i="20"/>
  <c r="I65" i="20"/>
  <c r="F67" i="20"/>
  <c r="D75" i="1"/>
  <c r="D76" i="1"/>
  <c r="B75" i="1"/>
  <c r="D77" i="1"/>
  <c r="B77" i="1"/>
  <c r="B76" i="1"/>
  <c r="Y61" i="1"/>
  <c r="U61" i="1"/>
  <c r="S61" i="1"/>
  <c r="W61" i="1"/>
  <c r="V61" i="1"/>
  <c r="F73" i="1"/>
  <c r="H73" i="1" s="1"/>
  <c r="AA45" i="1"/>
  <c r="O50" i="1"/>
  <c r="O95" i="1"/>
  <c r="F76" i="1"/>
  <c r="AA48" i="1"/>
  <c r="O98" i="1"/>
  <c r="O98" i="21" s="1"/>
  <c r="O57" i="21" s="1"/>
  <c r="F74" i="1"/>
  <c r="AA46" i="1"/>
  <c r="O96" i="1"/>
  <c r="O94" i="21" s="1"/>
  <c r="F77" i="1"/>
  <c r="AA49" i="1"/>
  <c r="O99" i="1"/>
  <c r="O100" i="21" s="1"/>
  <c r="O58" i="21" s="1"/>
  <c r="F75" i="1"/>
  <c r="AA47" i="1"/>
  <c r="O97" i="1"/>
  <c r="O96" i="21" s="1"/>
  <c r="O56" i="21" s="1"/>
  <c r="T61" i="1"/>
  <c r="S100" i="1"/>
  <c r="T100" i="1"/>
  <c r="W100" i="1"/>
  <c r="R61" i="1"/>
  <c r="D74" i="1"/>
  <c r="B74" i="1"/>
  <c r="Y100" i="1"/>
  <c r="V100" i="1"/>
  <c r="R100" i="1"/>
  <c r="O119" i="1"/>
  <c r="O122" i="1"/>
  <c r="O67" i="1" s="1"/>
  <c r="O120" i="1"/>
  <c r="O65" i="1" s="1"/>
  <c r="O123" i="1"/>
  <c r="O68" i="1" s="1"/>
  <c r="O121" i="1"/>
  <c r="O66" i="1" s="1"/>
  <c r="T85" i="1" l="1"/>
  <c r="T86" i="1"/>
  <c r="T87" i="1"/>
  <c r="T83" i="1"/>
  <c r="T84" i="1"/>
  <c r="R83" i="1"/>
  <c r="R92" i="21" s="1"/>
  <c r="R84" i="1"/>
  <c r="R94" i="21" s="1"/>
  <c r="R85" i="1"/>
  <c r="R86" i="1"/>
  <c r="R87" i="1"/>
  <c r="S83" i="1"/>
  <c r="S92" i="21" s="1"/>
  <c r="S84" i="1"/>
  <c r="S85" i="1"/>
  <c r="S86" i="1"/>
  <c r="S87" i="1"/>
  <c r="V83" i="1"/>
  <c r="V84" i="1"/>
  <c r="V85" i="1"/>
  <c r="V86" i="1"/>
  <c r="V87" i="1"/>
  <c r="Y83" i="1"/>
  <c r="Y84" i="1"/>
  <c r="Y85" i="1"/>
  <c r="Y87" i="1"/>
  <c r="Y86" i="1"/>
  <c r="W83" i="1"/>
  <c r="W84" i="1"/>
  <c r="W85" i="1"/>
  <c r="W86" i="1"/>
  <c r="W87" i="1"/>
  <c r="H77" i="1"/>
  <c r="H75" i="1"/>
  <c r="H76" i="1"/>
  <c r="H74" i="1"/>
  <c r="AA99" i="1"/>
  <c r="AB49" i="1"/>
  <c r="O100" i="1"/>
  <c r="AA97" i="1"/>
  <c r="AB47" i="1"/>
  <c r="O55" i="21"/>
  <c r="O59" i="21" s="1"/>
  <c r="O102" i="21"/>
  <c r="AA50" i="1"/>
  <c r="AA98" i="1"/>
  <c r="AB48" i="1"/>
  <c r="AA95" i="1"/>
  <c r="AB45" i="1"/>
  <c r="O124" i="1"/>
  <c r="O64" i="1"/>
  <c r="AA96" i="1"/>
  <c r="AB46" i="1"/>
  <c r="U100" i="1"/>
  <c r="Y92" i="21" l="1"/>
  <c r="T100" i="21"/>
  <c r="T58" i="21" s="1"/>
  <c r="W92" i="21"/>
  <c r="V92" i="21"/>
  <c r="T92" i="21"/>
  <c r="U83" i="1"/>
  <c r="U84" i="1"/>
  <c r="U85" i="1"/>
  <c r="U87" i="1"/>
  <c r="U86" i="1"/>
  <c r="W89" i="1"/>
  <c r="Y89" i="1"/>
  <c r="V89" i="1"/>
  <c r="T89" i="1"/>
  <c r="Y94" i="21"/>
  <c r="Y55" i="21" s="1"/>
  <c r="S88" i="1"/>
  <c r="Y88" i="1"/>
  <c r="R88" i="1"/>
  <c r="V94" i="21"/>
  <c r="V55" i="21" s="1"/>
  <c r="V88" i="1"/>
  <c r="AC48" i="1"/>
  <c r="AB98" i="1"/>
  <c r="AC46" i="1"/>
  <c r="AB96" i="1"/>
  <c r="AB95" i="1"/>
  <c r="AB50" i="1"/>
  <c r="AC45" i="1"/>
  <c r="AC47" i="1"/>
  <c r="AB97" i="1"/>
  <c r="AC49" i="1"/>
  <c r="AB99" i="1"/>
  <c r="T88" i="1"/>
  <c r="W88" i="1"/>
  <c r="W100" i="21"/>
  <c r="W58" i="21" s="1"/>
  <c r="S100" i="21"/>
  <c r="S58" i="21" s="1"/>
  <c r="V98" i="21"/>
  <c r="V57" i="21" s="1"/>
  <c r="R100" i="21"/>
  <c r="R58" i="21" s="1"/>
  <c r="Y100" i="21"/>
  <c r="Y58" i="21" s="1"/>
  <c r="S94" i="21"/>
  <c r="R96" i="21"/>
  <c r="R56" i="21" s="1"/>
  <c r="W98" i="21"/>
  <c r="W57" i="21" s="1"/>
  <c r="T94" i="21"/>
  <c r="S98" i="21"/>
  <c r="S57" i="21" s="1"/>
  <c r="V96" i="21"/>
  <c r="V56" i="21" s="1"/>
  <c r="R55" i="21"/>
  <c r="Y96" i="21"/>
  <c r="Y56" i="21" s="1"/>
  <c r="W96" i="21"/>
  <c r="W56" i="21" s="1"/>
  <c r="T98" i="21"/>
  <c r="T57" i="21" s="1"/>
  <c r="S96" i="21"/>
  <c r="S56" i="21" s="1"/>
  <c r="V100" i="21"/>
  <c r="V58" i="21" s="1"/>
  <c r="R98" i="21"/>
  <c r="R57" i="21" s="1"/>
  <c r="Y98" i="21"/>
  <c r="Y57" i="21" s="1"/>
  <c r="W94" i="21"/>
  <c r="T96" i="21"/>
  <c r="T56" i="21" s="1"/>
  <c r="U92" i="21" l="1"/>
  <c r="U89" i="1"/>
  <c r="T102" i="21"/>
  <c r="S102" i="21"/>
  <c r="W102" i="21"/>
  <c r="Y102" i="21"/>
  <c r="V102" i="21"/>
  <c r="R102" i="21"/>
  <c r="U88" i="1"/>
  <c r="AD47" i="1"/>
  <c r="AC97" i="1"/>
  <c r="AD48" i="1"/>
  <c r="AC98" i="1"/>
  <c r="AC50" i="1"/>
  <c r="AC95" i="1"/>
  <c r="AD45" i="1"/>
  <c r="AD49" i="1"/>
  <c r="AC99" i="1"/>
  <c r="AD46" i="1"/>
  <c r="AC96" i="1"/>
  <c r="U96" i="21"/>
  <c r="U56" i="21" s="1"/>
  <c r="U98" i="21"/>
  <c r="U57" i="21" s="1"/>
  <c r="U100" i="21"/>
  <c r="U58" i="21" s="1"/>
  <c r="U94" i="21"/>
  <c r="U55" i="21" s="1"/>
  <c r="S55" i="21"/>
  <c r="S59" i="21" s="1"/>
  <c r="W55" i="21"/>
  <c r="W59" i="21" s="1"/>
  <c r="R59" i="21"/>
  <c r="T55" i="21"/>
  <c r="T59" i="21" s="1"/>
  <c r="Y59" i="21"/>
  <c r="V59" i="21"/>
  <c r="U102" i="21" l="1"/>
  <c r="AE49" i="1"/>
  <c r="AD99" i="1"/>
  <c r="AE47" i="1"/>
  <c r="AD97" i="1"/>
  <c r="AE46" i="1"/>
  <c r="AD96" i="1"/>
  <c r="AD50" i="1"/>
  <c r="AD95" i="1"/>
  <c r="AE45" i="1"/>
  <c r="AE48" i="1"/>
  <c r="AD98" i="1"/>
  <c r="U59" i="21"/>
  <c r="AF48" i="1" l="1"/>
  <c r="AE98" i="1"/>
  <c r="AF47" i="1"/>
  <c r="AE97" i="1"/>
  <c r="AE50" i="1"/>
  <c r="AE95" i="1"/>
  <c r="AF45" i="1"/>
  <c r="AF46" i="1"/>
  <c r="AE96" i="1"/>
  <c r="AF49" i="1"/>
  <c r="AE99" i="1"/>
  <c r="AF50" i="1" l="1"/>
  <c r="AF95" i="1"/>
  <c r="AG45" i="1"/>
  <c r="AG49" i="1"/>
  <c r="AF99" i="1"/>
  <c r="AG47" i="1"/>
  <c r="AF97" i="1"/>
  <c r="AG46" i="1"/>
  <c r="AF96" i="1"/>
  <c r="AG48" i="1"/>
  <c r="AF98" i="1"/>
  <c r="AB100" i="1"/>
  <c r="AE100" i="1"/>
  <c r="AC100" i="1"/>
  <c r="AD100" i="1"/>
  <c r="AA100" i="1"/>
  <c r="AA83" i="1" l="1"/>
  <c r="AA84" i="1"/>
  <c r="AA85" i="1"/>
  <c r="AA86" i="1"/>
  <c r="AA87" i="1"/>
  <c r="AD83" i="1"/>
  <c r="AD84" i="1"/>
  <c r="AD85" i="1"/>
  <c r="AD86" i="1"/>
  <c r="AD87" i="1"/>
  <c r="AB85" i="1"/>
  <c r="AB86" i="1"/>
  <c r="AB87" i="1"/>
  <c r="AB83" i="1"/>
  <c r="AB84" i="1"/>
  <c r="AC83" i="1"/>
  <c r="AC84" i="1"/>
  <c r="AC86" i="1"/>
  <c r="AC87" i="1"/>
  <c r="AC85" i="1"/>
  <c r="AE83" i="1"/>
  <c r="AE84" i="1"/>
  <c r="AE85" i="1"/>
  <c r="AE86" i="1"/>
  <c r="AE87" i="1"/>
  <c r="AF100" i="1"/>
  <c r="AG50" i="1"/>
  <c r="AG95" i="1"/>
  <c r="AH45" i="1"/>
  <c r="AH48" i="1"/>
  <c r="AG98" i="1"/>
  <c r="AH47" i="1"/>
  <c r="AG97" i="1"/>
  <c r="AH46" i="1"/>
  <c r="AG96" i="1"/>
  <c r="AH49" i="1"/>
  <c r="AG99" i="1"/>
  <c r="AA93" i="21" l="1"/>
  <c r="AA92" i="21" s="1"/>
  <c r="AA54" i="21" s="1"/>
  <c r="AA110" i="21" s="1"/>
  <c r="AB93" i="21"/>
  <c r="AC93" i="21"/>
  <c r="AD93" i="21"/>
  <c r="AE93" i="21"/>
  <c r="AF83" i="1"/>
  <c r="AF84" i="1"/>
  <c r="AF85" i="1"/>
  <c r="AF86" i="1"/>
  <c r="AF87" i="1"/>
  <c r="AA89" i="1"/>
  <c r="AI49" i="1"/>
  <c r="AH99" i="1"/>
  <c r="AI47" i="1"/>
  <c r="AH97" i="1"/>
  <c r="AH50" i="1"/>
  <c r="AH95" i="1"/>
  <c r="AI45" i="1"/>
  <c r="AG100" i="1"/>
  <c r="AI46" i="1"/>
  <c r="AH96" i="1"/>
  <c r="AI48" i="1"/>
  <c r="AH98" i="1"/>
  <c r="AC88" i="1"/>
  <c r="AD88" i="1"/>
  <c r="AB88" i="1"/>
  <c r="AE88" i="1"/>
  <c r="AA88" i="1"/>
  <c r="AA101" i="21"/>
  <c r="AC101" i="21"/>
  <c r="AC58" i="21" s="1"/>
  <c r="AD101" i="21"/>
  <c r="AD58" i="21" s="1"/>
  <c r="AB95" i="21"/>
  <c r="AE99" i="21"/>
  <c r="AE57" i="21" s="1"/>
  <c r="AA99" i="21"/>
  <c r="AC99" i="21"/>
  <c r="AC57" i="21" s="1"/>
  <c r="AD99" i="21"/>
  <c r="AD57" i="21" s="1"/>
  <c r="AB97" i="21"/>
  <c r="AB56" i="21" s="1"/>
  <c r="AA97" i="21"/>
  <c r="AC97" i="21"/>
  <c r="AC56" i="21" s="1"/>
  <c r="AD97" i="21"/>
  <c r="AD56" i="21" s="1"/>
  <c r="AB101" i="21"/>
  <c r="AB58" i="21" s="1"/>
  <c r="AE101" i="21"/>
  <c r="AE58" i="21" s="1"/>
  <c r="AE97" i="21"/>
  <c r="AE56" i="21" s="1"/>
  <c r="AE95" i="21"/>
  <c r="AA95" i="21"/>
  <c r="AA94" i="21" s="1"/>
  <c r="AK106" i="21" s="1"/>
  <c r="AK118" i="21" s="1"/>
  <c r="AK130" i="21" s="1"/>
  <c r="AC95" i="21"/>
  <c r="AD95" i="21"/>
  <c r="AB99" i="21"/>
  <c r="AB57" i="21" s="1"/>
  <c r="AA103" i="21" l="1"/>
  <c r="AA58" i="21"/>
  <c r="AA100" i="21"/>
  <c r="AK112" i="21" s="1"/>
  <c r="AK124" i="21" s="1"/>
  <c r="AA56" i="21"/>
  <c r="AA96" i="21"/>
  <c r="AK108" i="21" s="1"/>
  <c r="AK120" i="21" s="1"/>
  <c r="AK132" i="21" s="1"/>
  <c r="AA57" i="21"/>
  <c r="AA98" i="21"/>
  <c r="AK110" i="21" s="1"/>
  <c r="AK122" i="21" s="1"/>
  <c r="AF93" i="21"/>
  <c r="AF99" i="21"/>
  <c r="AF57" i="21" s="1"/>
  <c r="AG83" i="1"/>
  <c r="AG84" i="1"/>
  <c r="AG86" i="1"/>
  <c r="AG85" i="1"/>
  <c r="AG87" i="1"/>
  <c r="AD103" i="21"/>
  <c r="AE103" i="21"/>
  <c r="AC103" i="21"/>
  <c r="AB103" i="21"/>
  <c r="AF101" i="21"/>
  <c r="AF58" i="21" s="1"/>
  <c r="AF97" i="21"/>
  <c r="AF56" i="21" s="1"/>
  <c r="AF88" i="1"/>
  <c r="AF95" i="21"/>
  <c r="AI50" i="1"/>
  <c r="AI95" i="1"/>
  <c r="AJ45" i="1"/>
  <c r="AJ47" i="1"/>
  <c r="AI97" i="1"/>
  <c r="AJ48" i="1"/>
  <c r="AI98" i="1"/>
  <c r="AJ46" i="1"/>
  <c r="AI96" i="1"/>
  <c r="AH100" i="1"/>
  <c r="AJ49" i="1"/>
  <c r="AI99" i="1"/>
  <c r="AC55" i="21"/>
  <c r="AC59" i="21" s="1"/>
  <c r="AA55" i="21"/>
  <c r="AD55" i="21"/>
  <c r="AD59" i="21" s="1"/>
  <c r="AE55" i="21"/>
  <c r="AE59" i="21" s="1"/>
  <c r="AB55" i="21"/>
  <c r="AB59" i="21" s="1"/>
  <c r="AA59" i="21" l="1"/>
  <c r="AG93" i="21"/>
  <c r="AH83" i="1"/>
  <c r="AH84" i="1"/>
  <c r="AH85" i="1"/>
  <c r="AH86" i="1"/>
  <c r="AH87" i="1"/>
  <c r="AF103" i="21"/>
  <c r="AF55" i="21"/>
  <c r="AF59" i="21" s="1"/>
  <c r="AG101" i="21"/>
  <c r="AG58" i="21" s="1"/>
  <c r="AG99" i="21"/>
  <c r="AG57" i="21" s="1"/>
  <c r="AK49" i="1"/>
  <c r="AJ99" i="1"/>
  <c r="AG97" i="21"/>
  <c r="AG56" i="21" s="1"/>
  <c r="AK48" i="1"/>
  <c r="AJ98" i="1"/>
  <c r="AJ50" i="1"/>
  <c r="AJ95" i="1"/>
  <c r="AK45" i="1"/>
  <c r="AG88" i="1"/>
  <c r="AG95" i="21"/>
  <c r="AI100" i="1"/>
  <c r="AK46" i="1"/>
  <c r="AJ96" i="1"/>
  <c r="AK47" i="1"/>
  <c r="AJ97" i="1"/>
  <c r="AH93" i="21" l="1"/>
  <c r="AI83" i="1"/>
  <c r="AI84" i="1"/>
  <c r="AI85" i="1"/>
  <c r="AI86" i="1"/>
  <c r="AI87" i="1"/>
  <c r="AG103" i="21"/>
  <c r="AH99" i="21"/>
  <c r="AH57" i="21" s="1"/>
  <c r="AH101" i="21"/>
  <c r="AH58" i="21" s="1"/>
  <c r="AL47" i="1"/>
  <c r="AK97" i="1"/>
  <c r="AG55" i="21"/>
  <c r="AG59" i="21" s="1"/>
  <c r="AJ100" i="1"/>
  <c r="AH97" i="21"/>
  <c r="AH56" i="21" s="1"/>
  <c r="AH88" i="1"/>
  <c r="AH95" i="21"/>
  <c r="AL46" i="1"/>
  <c r="AK96" i="1"/>
  <c r="AK50" i="1"/>
  <c r="AK95" i="1"/>
  <c r="AL45" i="1"/>
  <c r="AL48" i="1"/>
  <c r="AK98" i="1"/>
  <c r="AL49" i="1"/>
  <c r="AK99" i="1"/>
  <c r="AI93" i="21" l="1"/>
  <c r="AJ84" i="1"/>
  <c r="AJ85" i="1"/>
  <c r="AJ86" i="1"/>
  <c r="AJ87" i="1"/>
  <c r="AJ83" i="1"/>
  <c r="AH103" i="21"/>
  <c r="AI99" i="21"/>
  <c r="AI57" i="21" s="1"/>
  <c r="AI101" i="21"/>
  <c r="AI58" i="21" s="1"/>
  <c r="AK100" i="1"/>
  <c r="AM48" i="1"/>
  <c r="AL98" i="1"/>
  <c r="AL50" i="1"/>
  <c r="AL95" i="1"/>
  <c r="AM45" i="1"/>
  <c r="AI97" i="21"/>
  <c r="AI56" i="21" s="1"/>
  <c r="AM49" i="1"/>
  <c r="AL99" i="1"/>
  <c r="AI88" i="1"/>
  <c r="AI95" i="21"/>
  <c r="AH55" i="21"/>
  <c r="AH59" i="21" s="1"/>
  <c r="AM46" i="1"/>
  <c r="AL96" i="1"/>
  <c r="AM47" i="1"/>
  <c r="AL97" i="1"/>
  <c r="AJ93" i="21" l="1"/>
  <c r="AK83" i="1"/>
  <c r="AK85" i="1"/>
  <c r="AK87" i="1"/>
  <c r="AK84" i="1"/>
  <c r="AK86" i="1"/>
  <c r="AI103" i="21"/>
  <c r="AJ101" i="21"/>
  <c r="AJ58" i="21" s="1"/>
  <c r="AJ99" i="21"/>
  <c r="AJ57" i="21" s="1"/>
  <c r="AJ88" i="1"/>
  <c r="AJ95" i="21"/>
  <c r="AN49" i="1"/>
  <c r="AM99" i="1"/>
  <c r="AL100" i="1"/>
  <c r="AJ97" i="21"/>
  <c r="AJ56" i="21" s="1"/>
  <c r="AI55" i="21"/>
  <c r="AI59" i="21" s="1"/>
  <c r="AN46" i="1"/>
  <c r="AM96" i="1"/>
  <c r="AN47" i="1"/>
  <c r="AM97" i="1"/>
  <c r="AM50" i="1"/>
  <c r="AM95" i="1"/>
  <c r="AN45" i="1"/>
  <c r="AN48" i="1"/>
  <c r="AM98" i="1"/>
  <c r="AK97" i="21" l="1"/>
  <c r="AK127" i="1"/>
  <c r="AK128" i="1"/>
  <c r="AK125" i="1"/>
  <c r="AK126" i="1"/>
  <c r="AL83" i="1"/>
  <c r="AL84" i="1"/>
  <c r="AL85" i="1"/>
  <c r="AL86" i="1"/>
  <c r="AL87" i="1"/>
  <c r="AK93" i="21"/>
  <c r="AK90" i="1"/>
  <c r="AJ103" i="21"/>
  <c r="AK99" i="21"/>
  <c r="AK95" i="21"/>
  <c r="AK101" i="21"/>
  <c r="AK88" i="1"/>
  <c r="AO48" i="1"/>
  <c r="AN98" i="1"/>
  <c r="AJ55" i="21"/>
  <c r="AJ59" i="21" s="1"/>
  <c r="AO46" i="1"/>
  <c r="AN96" i="1"/>
  <c r="AM100" i="1"/>
  <c r="AN50" i="1"/>
  <c r="AN95" i="1"/>
  <c r="AO45" i="1"/>
  <c r="AO47" i="1"/>
  <c r="AN97" i="1"/>
  <c r="AO49" i="1"/>
  <c r="AN99" i="1"/>
  <c r="AL93" i="21" l="1"/>
  <c r="AK56" i="21"/>
  <c r="AK136" i="21"/>
  <c r="AK109" i="21"/>
  <c r="AK121" i="21" s="1"/>
  <c r="AK133" i="21" s="1"/>
  <c r="AK58" i="21"/>
  <c r="AK138" i="21"/>
  <c r="AK113" i="21"/>
  <c r="AK125" i="21" s="1"/>
  <c r="AK57" i="21"/>
  <c r="AK111" i="21"/>
  <c r="AK123" i="21" s="1"/>
  <c r="AK137" i="21"/>
  <c r="AK107" i="21"/>
  <c r="AK119" i="21" s="1"/>
  <c r="AK131" i="21" s="1"/>
  <c r="AK135" i="21"/>
  <c r="AK134" i="21"/>
  <c r="AK117" i="21" s="1"/>
  <c r="AK129" i="21" s="1"/>
  <c r="AK103" i="21"/>
  <c r="AM83" i="1"/>
  <c r="AM84" i="1"/>
  <c r="AM85" i="1"/>
  <c r="AM86" i="1"/>
  <c r="AM87" i="1"/>
  <c r="AK129" i="1"/>
  <c r="AK89" i="1"/>
  <c r="AK55" i="21"/>
  <c r="AL99" i="21"/>
  <c r="AL57" i="21" s="1"/>
  <c r="AL101" i="21"/>
  <c r="AL58" i="21" s="1"/>
  <c r="AN100" i="1"/>
  <c r="AP49" i="1"/>
  <c r="AO99" i="1"/>
  <c r="AP47" i="1"/>
  <c r="AO97" i="1"/>
  <c r="AL95" i="21"/>
  <c r="AL88" i="1"/>
  <c r="AL97" i="21"/>
  <c r="AL56" i="21" s="1"/>
  <c r="AO50" i="1"/>
  <c r="AO95" i="1"/>
  <c r="AP45" i="1"/>
  <c r="AP46" i="1"/>
  <c r="AO96" i="1"/>
  <c r="AP48" i="1"/>
  <c r="AO98" i="1"/>
  <c r="AK59" i="21" l="1"/>
  <c r="AK104" i="21"/>
  <c r="AK116" i="21" s="1"/>
  <c r="AK128" i="21" s="1"/>
  <c r="AK115" i="21"/>
  <c r="AK127" i="21" s="1"/>
  <c r="AM93" i="21"/>
  <c r="AN83" i="1"/>
  <c r="AN84" i="1"/>
  <c r="AN85" i="1"/>
  <c r="AN86" i="1"/>
  <c r="AN87" i="1"/>
  <c r="AL103" i="21"/>
  <c r="AM99" i="21"/>
  <c r="AM57" i="21" s="1"/>
  <c r="AM101" i="21"/>
  <c r="AM58" i="21" s="1"/>
  <c r="AO100" i="1"/>
  <c r="AQ47" i="1"/>
  <c r="AP97" i="1"/>
  <c r="AQ46" i="1"/>
  <c r="AP96" i="1"/>
  <c r="AL55" i="21"/>
  <c r="AL59" i="21" s="1"/>
  <c r="AQ48" i="1"/>
  <c r="AP98" i="1"/>
  <c r="AP50" i="1"/>
  <c r="AP95" i="1"/>
  <c r="AQ45" i="1"/>
  <c r="AM95" i="21"/>
  <c r="AM88" i="1"/>
  <c r="AQ49" i="1"/>
  <c r="AP99" i="1"/>
  <c r="AM97" i="21"/>
  <c r="AM56" i="21" s="1"/>
  <c r="AN93" i="21" l="1"/>
  <c r="AO83" i="1"/>
  <c r="AO84" i="1"/>
  <c r="AO86" i="1"/>
  <c r="AO85" i="1"/>
  <c r="AO87" i="1"/>
  <c r="AM103" i="21"/>
  <c r="AN101" i="21"/>
  <c r="AN58" i="21" s="1"/>
  <c r="AN99" i="21"/>
  <c r="AN57" i="21" s="1"/>
  <c r="AP100" i="1"/>
  <c r="AR46" i="1"/>
  <c r="AQ96" i="1"/>
  <c r="AM55" i="21"/>
  <c r="AM59" i="21" s="1"/>
  <c r="AQ50" i="1"/>
  <c r="AQ95" i="1"/>
  <c r="AR45" i="1"/>
  <c r="AN97" i="21"/>
  <c r="AN56" i="21" s="1"/>
  <c r="AN95" i="21"/>
  <c r="AN88" i="1"/>
  <c r="AR49" i="1"/>
  <c r="AQ99" i="1"/>
  <c r="AR48" i="1"/>
  <c r="AQ98" i="1"/>
  <c r="AR47" i="1"/>
  <c r="AQ97" i="1"/>
  <c r="AO95" i="21" l="1"/>
  <c r="AO55" i="21" s="1"/>
  <c r="AO97" i="21"/>
  <c r="AO56" i="21" s="1"/>
  <c r="AO93" i="21"/>
  <c r="AP83" i="1"/>
  <c r="AP84" i="1"/>
  <c r="AP85" i="1"/>
  <c r="AP86" i="1"/>
  <c r="AP87" i="1"/>
  <c r="AN103" i="21"/>
  <c r="AO101" i="21"/>
  <c r="AO58" i="21" s="1"/>
  <c r="AO99" i="21"/>
  <c r="AO57" i="21" s="1"/>
  <c r="AO88" i="1"/>
  <c r="AS48" i="1"/>
  <c r="AR98" i="1"/>
  <c r="AN55" i="21"/>
  <c r="AN59" i="21" s="1"/>
  <c r="AR50" i="1"/>
  <c r="AR95" i="1"/>
  <c r="AS45" i="1"/>
  <c r="AS47" i="1"/>
  <c r="AR97" i="1"/>
  <c r="AS49" i="1"/>
  <c r="AR99" i="1"/>
  <c r="AQ100" i="1"/>
  <c r="AS46" i="1"/>
  <c r="AR96" i="1"/>
  <c r="AP93" i="21" l="1"/>
  <c r="AQ83" i="1"/>
  <c r="AQ84" i="1"/>
  <c r="AQ85" i="1"/>
  <c r="AQ86" i="1"/>
  <c r="AQ87" i="1"/>
  <c r="AO59" i="21"/>
  <c r="AO103" i="21"/>
  <c r="AP97" i="21"/>
  <c r="AP56" i="21" s="1"/>
  <c r="AP99" i="21"/>
  <c r="AP57" i="21" s="1"/>
  <c r="AP95" i="21"/>
  <c r="AP55" i="21" s="1"/>
  <c r="AP101" i="21"/>
  <c r="AP58" i="21" s="1"/>
  <c r="AP88" i="1"/>
  <c r="AS50" i="1"/>
  <c r="AS95" i="1"/>
  <c r="AT45" i="1"/>
  <c r="AT47" i="1"/>
  <c r="AS97" i="1"/>
  <c r="AT49" i="1"/>
  <c r="AS99" i="1"/>
  <c r="AR100" i="1"/>
  <c r="AT46" i="1"/>
  <c r="AS96" i="1"/>
  <c r="AT48" i="1"/>
  <c r="AS98" i="1"/>
  <c r="AQ93" i="21" l="1"/>
  <c r="AQ99" i="21"/>
  <c r="AQ57" i="21" s="1"/>
  <c r="AR84" i="1"/>
  <c r="AR85" i="1"/>
  <c r="AR86" i="1"/>
  <c r="AR87" i="1"/>
  <c r="AR83" i="1"/>
  <c r="AP103" i="21"/>
  <c r="AP59" i="21"/>
  <c r="AQ101" i="21"/>
  <c r="AQ58" i="21" s="1"/>
  <c r="AU49" i="1"/>
  <c r="AT99" i="1"/>
  <c r="AU46" i="1"/>
  <c r="AT96" i="1"/>
  <c r="AT50" i="1"/>
  <c r="AT95" i="1"/>
  <c r="AU45" i="1"/>
  <c r="AQ95" i="21"/>
  <c r="AQ88" i="1"/>
  <c r="AS100" i="1"/>
  <c r="AU48" i="1"/>
  <c r="AT98" i="1"/>
  <c r="AQ97" i="21"/>
  <c r="AQ56" i="21" s="1"/>
  <c r="AU47" i="1"/>
  <c r="AT97" i="1"/>
  <c r="AR93" i="21" l="1"/>
  <c r="AS83" i="1"/>
  <c r="AS84" i="1"/>
  <c r="AS86" i="1"/>
  <c r="AS85" i="1"/>
  <c r="AS87" i="1"/>
  <c r="AQ103" i="21"/>
  <c r="AR101" i="21"/>
  <c r="AR58" i="21" s="1"/>
  <c r="AR99" i="21"/>
  <c r="AR57" i="21" s="1"/>
  <c r="AR97" i="21"/>
  <c r="AR56" i="21" s="1"/>
  <c r="AT100" i="1"/>
  <c r="AV46" i="1"/>
  <c r="AU96" i="1"/>
  <c r="AV47" i="1"/>
  <c r="AU97" i="1"/>
  <c r="AV48" i="1"/>
  <c r="AU98" i="1"/>
  <c r="AR95" i="21"/>
  <c r="AR88" i="1"/>
  <c r="AQ55" i="21"/>
  <c r="AQ59" i="21" s="1"/>
  <c r="AU50" i="1"/>
  <c r="AU95" i="1"/>
  <c r="AV45" i="1"/>
  <c r="AV49" i="1"/>
  <c r="AU99" i="1"/>
  <c r="AS93" i="21" l="1"/>
  <c r="AT83" i="1"/>
  <c r="AT84" i="1"/>
  <c r="AT85" i="1"/>
  <c r="AT86" i="1"/>
  <c r="AT87" i="1"/>
  <c r="AR103" i="21"/>
  <c r="AS99" i="21"/>
  <c r="AS57" i="21" s="1"/>
  <c r="AS101" i="21"/>
  <c r="AS58" i="21" s="1"/>
  <c r="AW48" i="1"/>
  <c r="AV98" i="1"/>
  <c r="AS88" i="1"/>
  <c r="AS95" i="21"/>
  <c r="AU100" i="1"/>
  <c r="AS97" i="21"/>
  <c r="AS56" i="21" s="1"/>
  <c r="AW49" i="1"/>
  <c r="AV99" i="1"/>
  <c r="AR55" i="21"/>
  <c r="AR59" i="21" s="1"/>
  <c r="AW46" i="1"/>
  <c r="AV96" i="1"/>
  <c r="AV50" i="1"/>
  <c r="AV95" i="1"/>
  <c r="AW45" i="1"/>
  <c r="AW47" i="1"/>
  <c r="AV97" i="1"/>
  <c r="AT93" i="21" l="1"/>
  <c r="AU83" i="1"/>
  <c r="AU84" i="1"/>
  <c r="AU85" i="1"/>
  <c r="AU86" i="1"/>
  <c r="AU87" i="1"/>
  <c r="AS103" i="21"/>
  <c r="AT101" i="21"/>
  <c r="AT58" i="21" s="1"/>
  <c r="AT99" i="21"/>
  <c r="AT57" i="21" s="1"/>
  <c r="AS55" i="21"/>
  <c r="AS59" i="21" s="1"/>
  <c r="AT97" i="21"/>
  <c r="AT56" i="21" s="1"/>
  <c r="AW50" i="1"/>
  <c r="AW95" i="1"/>
  <c r="AX45" i="1"/>
  <c r="AV100" i="1"/>
  <c r="AX46" i="1"/>
  <c r="AW96" i="1"/>
  <c r="AX49" i="1"/>
  <c r="AW99" i="1"/>
  <c r="AT88" i="1"/>
  <c r="AT95" i="21"/>
  <c r="AX47" i="1"/>
  <c r="AW97" i="1"/>
  <c r="AX48" i="1"/>
  <c r="AW98" i="1"/>
  <c r="AU93" i="21" l="1"/>
  <c r="AV83" i="1"/>
  <c r="AV84" i="1"/>
  <c r="AV85" i="1"/>
  <c r="AV86" i="1"/>
  <c r="AV87" i="1"/>
  <c r="AT103" i="21"/>
  <c r="AU101" i="21"/>
  <c r="AU58" i="21" s="1"/>
  <c r="AU99" i="21"/>
  <c r="AU57" i="21" s="1"/>
  <c r="AY46" i="1"/>
  <c r="AX96" i="1"/>
  <c r="AW100" i="1"/>
  <c r="AY47" i="1"/>
  <c r="AX97" i="1"/>
  <c r="AY49" i="1"/>
  <c r="AX99" i="1"/>
  <c r="AY48" i="1"/>
  <c r="AX98" i="1"/>
  <c r="AT55" i="21"/>
  <c r="AT59" i="21" s="1"/>
  <c r="AU88" i="1"/>
  <c r="AU95" i="21"/>
  <c r="AU97" i="21"/>
  <c r="AU56" i="21" s="1"/>
  <c r="AX50" i="1"/>
  <c r="AX95" i="1"/>
  <c r="AY45" i="1"/>
  <c r="AV93" i="21" l="1"/>
  <c r="AW83" i="1"/>
  <c r="AW85" i="1"/>
  <c r="AW87" i="1"/>
  <c r="AW84" i="1"/>
  <c r="AW86" i="1"/>
  <c r="AU103" i="21"/>
  <c r="AV101" i="21"/>
  <c r="AV58" i="21" s="1"/>
  <c r="AV99" i="21"/>
  <c r="AV57" i="21" s="1"/>
  <c r="AX100" i="1"/>
  <c r="AV88" i="1"/>
  <c r="AV95" i="21"/>
  <c r="AZ49" i="1"/>
  <c r="AY99" i="1"/>
  <c r="AY50" i="1"/>
  <c r="AY95" i="1"/>
  <c r="AZ45" i="1"/>
  <c r="AZ48" i="1"/>
  <c r="AY98" i="1"/>
  <c r="AU55" i="21"/>
  <c r="AU59" i="21" s="1"/>
  <c r="AV97" i="21"/>
  <c r="AV56" i="21" s="1"/>
  <c r="AZ47" i="1"/>
  <c r="AY97" i="1"/>
  <c r="AZ46" i="1"/>
  <c r="AY96" i="1"/>
  <c r="AW93" i="21" l="1"/>
  <c r="AX83" i="1"/>
  <c r="AX84" i="1"/>
  <c r="AX85" i="1"/>
  <c r="AX86" i="1"/>
  <c r="AX87" i="1"/>
  <c r="AV103" i="21"/>
  <c r="AW99" i="21"/>
  <c r="AW57" i="21" s="1"/>
  <c r="AW101" i="21"/>
  <c r="AW58" i="21" s="1"/>
  <c r="AW88" i="1"/>
  <c r="AW95" i="21"/>
  <c r="AZ50" i="1"/>
  <c r="AZ95" i="1"/>
  <c r="BA45" i="1"/>
  <c r="BA47" i="1"/>
  <c r="AZ97" i="1"/>
  <c r="AW97" i="21"/>
  <c r="AW56" i="21" s="1"/>
  <c r="AY100" i="1"/>
  <c r="AV55" i="21"/>
  <c r="AV59" i="21" s="1"/>
  <c r="BA49" i="1"/>
  <c r="AZ99" i="1"/>
  <c r="BA46" i="1"/>
  <c r="AZ96" i="1"/>
  <c r="BA48" i="1"/>
  <c r="AZ98" i="1"/>
  <c r="AX93" i="21" l="1"/>
  <c r="AX95" i="21"/>
  <c r="AX55" i="21" s="1"/>
  <c r="AX97" i="21"/>
  <c r="AX56" i="21" s="1"/>
  <c r="AY83" i="1"/>
  <c r="AY84" i="1"/>
  <c r="AY85" i="1"/>
  <c r="AY86" i="1"/>
  <c r="AY87" i="1"/>
  <c r="AW103" i="21"/>
  <c r="AX99" i="21"/>
  <c r="AX57" i="21" s="1"/>
  <c r="AX101" i="21"/>
  <c r="AX58" i="21" s="1"/>
  <c r="AX88" i="1"/>
  <c r="AZ100" i="1"/>
  <c r="BB46" i="1"/>
  <c r="BA96" i="1"/>
  <c r="BB47" i="1"/>
  <c r="BA97" i="1"/>
  <c r="BB48" i="1"/>
  <c r="BA98" i="1"/>
  <c r="BA50" i="1"/>
  <c r="BA95" i="1"/>
  <c r="BB45" i="1"/>
  <c r="AW55" i="21"/>
  <c r="AW59" i="21" s="1"/>
  <c r="BB49" i="1"/>
  <c r="BA99" i="1"/>
  <c r="AY101" i="21" l="1"/>
  <c r="AY58" i="21" s="1"/>
  <c r="AY93" i="21"/>
  <c r="AZ84" i="1"/>
  <c r="AZ85" i="1"/>
  <c r="AZ86" i="1"/>
  <c r="AZ87" i="1"/>
  <c r="AZ83" i="1"/>
  <c r="AX59" i="21"/>
  <c r="AX103" i="21"/>
  <c r="AY99" i="21"/>
  <c r="AY57" i="21" s="1"/>
  <c r="BA100" i="1"/>
  <c r="AY97" i="21"/>
  <c r="AY56" i="21" s="1"/>
  <c r="BC49" i="1"/>
  <c r="BB99" i="1"/>
  <c r="BB50" i="1"/>
  <c r="BB95" i="1"/>
  <c r="BC45" i="1"/>
  <c r="BC48" i="1"/>
  <c r="BB98" i="1"/>
  <c r="BC47" i="1"/>
  <c r="BB97" i="1"/>
  <c r="AY88" i="1"/>
  <c r="AY95" i="21"/>
  <c r="BC46" i="1"/>
  <c r="BB96" i="1"/>
  <c r="AZ93" i="21" l="1"/>
  <c r="BA83" i="1"/>
  <c r="BA85" i="1"/>
  <c r="BA87" i="1"/>
  <c r="BA84" i="1"/>
  <c r="BA86" i="1"/>
  <c r="AY103" i="21"/>
  <c r="AZ99" i="21"/>
  <c r="AZ57" i="21" s="1"/>
  <c r="AZ101" i="21"/>
  <c r="AZ58" i="21" s="1"/>
  <c r="AZ88" i="1"/>
  <c r="AZ95" i="21"/>
  <c r="BC50" i="1"/>
  <c r="BC95" i="1"/>
  <c r="BD45" i="1"/>
  <c r="BD46" i="1"/>
  <c r="BC96" i="1"/>
  <c r="AY55" i="21"/>
  <c r="AY59" i="21" s="1"/>
  <c r="BD47" i="1"/>
  <c r="BC97" i="1"/>
  <c r="BD49" i="1"/>
  <c r="BC99" i="1"/>
  <c r="AZ97" i="21"/>
  <c r="AZ56" i="21" s="1"/>
  <c r="BB100" i="1"/>
  <c r="BD48" i="1"/>
  <c r="BC98" i="1"/>
  <c r="BA93" i="21" l="1"/>
  <c r="BA95" i="21"/>
  <c r="BA55" i="21" s="1"/>
  <c r="BB83" i="1"/>
  <c r="BB84" i="1"/>
  <c r="BB85" i="1"/>
  <c r="BB86" i="1"/>
  <c r="BB87" i="1"/>
  <c r="AZ103" i="21"/>
  <c r="BA101" i="21"/>
  <c r="BA58" i="21" s="1"/>
  <c r="BA99" i="21"/>
  <c r="BA57" i="21" s="1"/>
  <c r="BA97" i="21"/>
  <c r="BA56" i="21" s="1"/>
  <c r="BA88" i="1"/>
  <c r="BE48" i="1"/>
  <c r="BD98" i="1"/>
  <c r="BC100" i="1"/>
  <c r="BE46" i="1"/>
  <c r="BD96" i="1"/>
  <c r="BE47" i="1"/>
  <c r="BD97" i="1"/>
  <c r="BD50" i="1"/>
  <c r="BD95" i="1"/>
  <c r="BE45" i="1"/>
  <c r="AZ55" i="21"/>
  <c r="AZ59" i="21" s="1"/>
  <c r="BE49" i="1"/>
  <c r="BD99" i="1"/>
  <c r="BB93" i="21" l="1"/>
  <c r="BC83" i="1"/>
  <c r="BC84" i="1"/>
  <c r="BC85" i="1"/>
  <c r="BC86" i="1"/>
  <c r="BC87" i="1"/>
  <c r="BA59" i="21"/>
  <c r="BA103" i="21"/>
  <c r="BB101" i="21"/>
  <c r="BB58" i="21" s="1"/>
  <c r="BB99" i="21"/>
  <c r="BB57" i="21" s="1"/>
  <c r="BE98" i="1"/>
  <c r="BE99" i="1"/>
  <c r="BB97" i="21"/>
  <c r="BB56" i="21" s="1"/>
  <c r="BD100" i="1"/>
  <c r="BE97" i="1"/>
  <c r="BE96" i="1"/>
  <c r="BB88" i="1"/>
  <c r="BB95" i="21"/>
  <c r="BE50" i="1"/>
  <c r="BE95" i="1"/>
  <c r="BC93" i="21" l="1"/>
  <c r="BD83" i="1"/>
  <c r="BD84" i="1"/>
  <c r="BD85" i="1"/>
  <c r="BD86" i="1"/>
  <c r="BD87" i="1"/>
  <c r="BB103" i="21"/>
  <c r="BC99" i="21"/>
  <c r="BC57" i="21" s="1"/>
  <c r="BC101" i="21"/>
  <c r="BC58" i="21" s="1"/>
  <c r="BE100" i="1"/>
  <c r="BI50" i="1"/>
  <c r="BC88" i="1"/>
  <c r="BC95" i="21"/>
  <c r="BC97" i="21"/>
  <c r="BC56" i="21" s="1"/>
  <c r="BB55" i="21"/>
  <c r="BB59" i="21" s="1"/>
  <c r="BD93" i="21" l="1"/>
  <c r="BD101" i="21"/>
  <c r="BD58" i="21" s="1"/>
  <c r="BE83" i="1"/>
  <c r="BE86" i="1"/>
  <c r="BE85" i="1"/>
  <c r="BE87" i="1"/>
  <c r="BE84" i="1"/>
  <c r="BC103" i="21"/>
  <c r="BD99" i="21"/>
  <c r="BD57" i="21" s="1"/>
  <c r="BD88" i="1"/>
  <c r="BD95" i="21"/>
  <c r="BC55" i="21"/>
  <c r="BC59" i="21" s="1"/>
  <c r="BD97" i="21"/>
  <c r="BD56" i="21" s="1"/>
  <c r="BE93" i="21" l="1"/>
  <c r="BE101" i="21"/>
  <c r="BE58" i="21" s="1"/>
  <c r="BE95" i="21"/>
  <c r="BE55" i="21" s="1"/>
  <c r="BE97" i="21"/>
  <c r="BE56" i="21" s="1"/>
  <c r="BE99" i="21"/>
  <c r="BE57" i="21" s="1"/>
  <c r="BD103" i="21"/>
  <c r="BE88" i="1"/>
  <c r="BD55" i="21"/>
  <c r="BD59" i="21" s="1"/>
  <c r="BE59" i="21" l="1"/>
  <c r="BI59" i="21" s="1"/>
  <c r="BE103" i="21"/>
  <c r="BI102" i="21" s="1"/>
  <c r="BI8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tc={A12962AA-CEE0-438E-8E8B-CC3727EACA22}</author>
    <author>tc={D18124DE-F907-4952-BE02-516BFA2E0FB9}</author>
    <author>tc={A102C0C8-0C22-4B2C-9D4A-F481FDA4EAF5}</author>
    <author>tc={7046E416-9BD5-472C-B582-443F5AAAB676}</author>
    <author>tc={6F10F2ED-7520-4946-84E5-9E02D10D253D}</author>
    <author>tc={DFB4B459-2832-42E9-96D9-22BD965FE2D5}</author>
    <author>tc={70594424-8A2D-4A1A-8367-9398A8F3E896}</author>
    <author>tc={29BCD9AD-26C6-4DB1-A5BE-999A682BDF6A}</author>
    <author>tc={CFFE6687-D299-4702-A011-D9AB68DDFCDE}</author>
  </authors>
  <commentList>
    <comment ref="Z4" authorId="0" shapeId="0" xr:uid="{A12962AA-CEE0-438E-8E8B-CC3727EACA22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formulas from "final predictions"</t>
      </text>
    </comment>
    <comment ref="A45" authorId="1" shapeId="0" xr:uid="{D18124DE-F907-4952-BE02-516BFA2E0FB9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 2-5 tonnes for accuracy</t>
      </text>
    </comment>
    <comment ref="A56" authorId="2" shapeId="0" xr:uid="{A102C0C8-0C22-4B2C-9D4A-F481FDA4EAF5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 2-5 tonnes for accuracy</t>
      </text>
    </comment>
    <comment ref="A64" authorId="3" shapeId="0" xr:uid="{7046E416-9BD5-472C-B582-443F5AAAB676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 2-5 tonnes for accuracy</t>
      </text>
    </comment>
    <comment ref="A73" authorId="4" shapeId="0" xr:uid="{6F10F2ED-7520-4946-84E5-9E02D10D253D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 2-5 tonnes for accuracy</t>
      </text>
    </comment>
    <comment ref="A83" authorId="5" shapeId="0" xr:uid="{DFB4B459-2832-42E9-96D9-22BD965FE2D5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 2-5 tonnes for accuracy</t>
      </text>
    </comment>
    <comment ref="A95" authorId="6" shapeId="0" xr:uid="{70594424-8A2D-4A1A-8367-9398A8F3E896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 2-5 tonnes for accuracy</t>
      </text>
    </comment>
    <comment ref="A119" authorId="7" shapeId="0" xr:uid="{29BCD9AD-26C6-4DB1-A5BE-999A682BDF6A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 2-5 tonnes for accuracy</t>
      </text>
    </comment>
    <comment ref="AC152" authorId="8" shapeId="0" xr:uid="{CFFE6687-D299-4702-A011-D9AB68DDFCDE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projection still realistic? 
Efficiency (laden) gains, local production, consolodation of companies, demographics of HGV companies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tc={4177E55C-1601-4E69-B372-0C52A43726B6}</author>
    <author>tc={12235075-1BC9-4BCD-B1B7-51B4B3545409}</author>
    <author>tc={28002337-9BC0-41AC-B469-B76188F87FAB}</author>
    <author>tc={831036A4-EDFD-4D8A-AA0A-51FEBEFF4E12}</author>
    <author>tc={DF555C66-D8DA-451E-888B-50A86BF7A3A5}</author>
    <author>tc={D2A78D89-FD50-4298-BCB0-CA80A0852E6C}</author>
    <author>tc={C6CA6982-9D49-4522-A050-4484803589B9}</author>
    <author>tc={C48C72F6-74B8-46D0-ADC1-2A0A48CF3182}</author>
    <author>tc={F06359DC-0155-4E6C-91ED-D8FEF92D7C93}</author>
  </authors>
  <commentList>
    <comment ref="Z4" authorId="0" shapeId="0" xr:uid="{4177E55C-1601-4E69-B372-0C52A43726B6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formulas from "final predictions"</t>
      </text>
    </comment>
    <comment ref="A54" authorId="1" shapeId="0" xr:uid="{12235075-1BC9-4BCD-B1B7-51B4B3545409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 2-5 tonnes for accuracy</t>
      </text>
    </comment>
    <comment ref="A65" authorId="2" shapeId="0" xr:uid="{28002337-9BC0-41AC-B469-B76188F87FAB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 2-5 tonnes for accuracy</t>
      </text>
    </comment>
    <comment ref="A73" authorId="3" shapeId="0" xr:uid="{831036A4-EDFD-4D8A-AA0A-51FEBEFF4E12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 2-5 tonnes for accuracy</t>
      </text>
    </comment>
    <comment ref="A82" authorId="4" shapeId="0" xr:uid="{DF555C66-D8DA-451E-888B-50A86BF7A3A5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 2-5 tonnes for accuracy</t>
      </text>
    </comment>
    <comment ref="A92" authorId="5" shapeId="0" xr:uid="{D2A78D89-FD50-4298-BCB0-CA80A0852E6C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 2-5 tonnes for accuracy</t>
      </text>
    </comment>
    <comment ref="A110" authorId="6" shapeId="0" xr:uid="{C6CA6982-9D49-4522-A050-4484803589B9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 2-5 tonnes for accuracy</t>
      </text>
    </comment>
    <comment ref="A126" authorId="7" shapeId="0" xr:uid="{C48C72F6-74B8-46D0-ADC1-2A0A48CF3182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 2-5 tonnes for accuracy</t>
      </text>
    </comment>
    <comment ref="AC159" authorId="8" shapeId="0" xr:uid="{F06359DC-0155-4E6C-91ED-D8FEF92D7C93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projection still realistic? 
Efficiency (laden) gains, local production, consolodation of companies, demographics of HGV companies</t>
      </text>
    </comment>
  </commentList>
</comments>
</file>

<file path=xl/sharedStrings.xml><?xml version="1.0" encoding="utf-8"?>
<sst xmlns="http://schemas.openxmlformats.org/spreadsheetml/2006/main" count="592" uniqueCount="151">
  <si>
    <t>References to other Excels</t>
  </si>
  <si>
    <t xml:space="preserve">Abbreviation </t>
  </si>
  <si>
    <t>Spreadsheet (source)</t>
  </si>
  <si>
    <t>UL</t>
  </si>
  <si>
    <t>Freight Survey by Unladen Weight '95 - '19</t>
  </si>
  <si>
    <t>TV</t>
  </si>
  <si>
    <t>Traffic volume survey vy unladen weight and registration year '08 - '19</t>
  </si>
  <si>
    <t>CO</t>
  </si>
  <si>
    <t>Freight Survey by Commodity ''95-''19</t>
  </si>
  <si>
    <t>VB</t>
  </si>
  <si>
    <t>Goods vehicles by unladen weight from Irish Bulletin of vehicle and Driver statistics</t>
  </si>
  <si>
    <t>Year</t>
  </si>
  <si>
    <t>GDP_ConstantEURO</t>
  </si>
  <si>
    <t>Population</t>
  </si>
  <si>
    <t>GDP_percapita</t>
  </si>
  <si>
    <t>Agriculture_GVA_ConstantEURO</t>
  </si>
  <si>
    <t>Building_GVA_ConstantEURO</t>
  </si>
  <si>
    <t>Transport_GVA_ConstantEURO</t>
  </si>
  <si>
    <t>Industry_GVA_ConstantEURO</t>
  </si>
  <si>
    <t>GNP_ConstantEURO</t>
  </si>
  <si>
    <t>From Commodity Survey '95-'19</t>
  </si>
  <si>
    <t>Agriculture_and_Foodstuffs_Mtkm</t>
  </si>
  <si>
    <t>Crude and Machinery_Mtkm</t>
  </si>
  <si>
    <t>Other_Mtkm</t>
  </si>
  <si>
    <t xml:space="preserve">Total </t>
  </si>
  <si>
    <t>Precictions based on two variable correlation and intercept shifter</t>
  </si>
  <si>
    <t>Agriculture_and_Foodstuffs_Mtkm_Prediction</t>
  </si>
  <si>
    <t>Crude and Machinery_Mtkm_Prediction</t>
  </si>
  <si>
    <t>Other_Mtkm_Prediction</t>
  </si>
  <si>
    <t>Total</t>
  </si>
  <si>
    <t>Commodity tkm predictions</t>
  </si>
  <si>
    <t>Agri GVA and GDP per capita to predict Agri tkm</t>
  </si>
  <si>
    <t>Building GVA and GDP per capita to predict Crude tkm</t>
  </si>
  <si>
    <t>Transport GVA and GDP per capita to predict Other tkm</t>
  </si>
  <si>
    <t>SUMMARY OUTPUT</t>
  </si>
  <si>
    <t>Regression Statistics</t>
  </si>
  <si>
    <t>Average R2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</si>
  <si>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</si>
  <si>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</si>
  <si>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</si>
  <si>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</si>
  <si>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</si>
  <si>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</si>
  <si>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</si>
  <si>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</si>
  <si>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</si>
  <si>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</si>
  <si>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</si>
  <si>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</si>
  <si>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</si>
  <si>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</si>
  <si>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</si>
  <si>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</si>
  <si>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</si>
  <si>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</si>
  <si>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</si>
  <si>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</si>
  <si>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</si>
  <si>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GDP</t>
  </si>
  <si>
    <t>Agri GVA</t>
  </si>
  <si>
    <t>Build GVA</t>
  </si>
  <si>
    <t>Transport GVA</t>
  </si>
  <si>
    <t xml:space="preserve">Intercept shifter calculation </t>
  </si>
  <si>
    <t>Intercept shifter</t>
  </si>
  <si>
    <t>TKM</t>
  </si>
  <si>
    <t>VKM</t>
  </si>
  <si>
    <t>Million tkm (UL)</t>
  </si>
  <si>
    <t>2 to 5 Tonnes</t>
  </si>
  <si>
    <t>5 to 7.5 Tonnes</t>
  </si>
  <si>
    <t>7.5 to 10 Tonnes</t>
  </si>
  <si>
    <t>10 to 12.5 Tonnes</t>
  </si>
  <si>
    <t>Over 12.5 Tonnes</t>
  </si>
  <si>
    <t>Million vkm (1995-2010 UL, 2011 - 2019 TV)</t>
  </si>
  <si>
    <t>Million vkm predictions</t>
  </si>
  <si>
    <t>Dependent Y - vkm</t>
  </si>
  <si>
    <t>Independent X - tkm</t>
  </si>
  <si>
    <t>Predicts freight portion of this class</t>
  </si>
  <si>
    <t>Change in data after 2010</t>
  </si>
  <si>
    <t>1995 - 2010</t>
  </si>
  <si>
    <t>X Variable 1</t>
  </si>
  <si>
    <t>Predicts overall (not just freight) vkm of this class</t>
  </si>
  <si>
    <t>Using total tkm as this class is driven by overall economy</t>
  </si>
  <si>
    <t>2011 - 2019</t>
  </si>
  <si>
    <t>Share of total stock in each weight band from VB</t>
  </si>
  <si>
    <t>Annual % change 2010 - 2019</t>
  </si>
  <si>
    <t>Average</t>
  </si>
  <si>
    <t>Trend over time</t>
  </si>
  <si>
    <t>2-5t</t>
  </si>
  <si>
    <t>5-7.5t</t>
  </si>
  <si>
    <t>7.5-10t</t>
  </si>
  <si>
    <t>10-12.5t</t>
  </si>
  <si>
    <t>12.5t</t>
  </si>
  <si>
    <t>2020 - 2025</t>
  </si>
  <si>
    <t>2025 - 2035</t>
  </si>
  <si>
    <t>2035 - 2050</t>
  </si>
  <si>
    <t>Share</t>
  </si>
  <si>
    <t>Normalised share</t>
  </si>
  <si>
    <t>Share breakdown of tkm by unladen weight band from UL</t>
  </si>
  <si>
    <t xml:space="preserve">Share </t>
  </si>
  <si>
    <t xml:space="preserve">Share of vkm </t>
  </si>
  <si>
    <t>Historic and projected tkm by commodity group based on HERMES model outputs</t>
  </si>
  <si>
    <t>% increase 2020-2050</t>
  </si>
  <si>
    <t>Commodity (Million tkm) (CO)</t>
  </si>
  <si>
    <t>Agriculture and Food Stuffs</t>
  </si>
  <si>
    <t>Average annual increase 2020 - 2050</t>
  </si>
  <si>
    <t>Crude and Machinery</t>
  </si>
  <si>
    <t>Million tkm</t>
  </si>
  <si>
    <t>Other</t>
  </si>
  <si>
    <t>Million vkm</t>
  </si>
  <si>
    <t>Historic and projected tkm by unladen weight band according to "Share by weight band"</t>
  </si>
  <si>
    <t>SUM</t>
  </si>
  <si>
    <t>share</t>
  </si>
  <si>
    <t xml:space="preserve">Historic and projected vkm by unladen weight band according to "Tkm to Vkm" regressions </t>
  </si>
  <si>
    <r>
      <t xml:space="preserve">Hidden data: Compare vkm to mileage </t>
    </r>
    <r>
      <rPr>
        <b/>
        <sz val="14"/>
        <color theme="1"/>
        <rFont val="Calibri"/>
        <family val="2"/>
      </rPr>
      <t>×</t>
    </r>
    <r>
      <rPr>
        <b/>
        <sz val="14"/>
        <color theme="1"/>
        <rFont val="Calibri"/>
        <family val="2"/>
        <scheme val="minor"/>
      </rPr>
      <t xml:space="preserve"> stock (TV)</t>
    </r>
  </si>
  <si>
    <t>Million vkm  (TV)</t>
  </si>
  <si>
    <t>2 to 5 Tonnes (Total TV survey)</t>
  </si>
  <si>
    <t>Freight (from regressions)</t>
  </si>
  <si>
    <t>Non-freight</t>
  </si>
  <si>
    <t>Historic and Estimated annual mileage</t>
  </si>
  <si>
    <t>Mileage (vkm p.a.) (TV)</t>
  </si>
  <si>
    <t>Hidden data: For comparison Mileage (TV) and calculation of average mileage by weight band</t>
  </si>
  <si>
    <t>Mileage (vkm p.a.) (UL/TV calculated)</t>
  </si>
  <si>
    <t>Mileage (vkm p.a.) (vkm/TV stock)</t>
  </si>
  <si>
    <t>UL/TV '95 - '19</t>
  </si>
  <si>
    <t>UL/TV '08 - '19</t>
  </si>
  <si>
    <t>TV '08 - '19</t>
  </si>
  <si>
    <t>Average '08 - '19</t>
  </si>
  <si>
    <t>Mileage that gives 2019 mix</t>
  </si>
  <si>
    <t>From NIR 2020</t>
  </si>
  <si>
    <t xml:space="preserve">Mean mileage </t>
  </si>
  <si>
    <t>GVW 3.5-7.5t</t>
  </si>
  <si>
    <t>GVW 7.5-14t</t>
  </si>
  <si>
    <t>GVW 14-28t</t>
  </si>
  <si>
    <t>GVW 28-40t</t>
  </si>
  <si>
    <t>GVW 40t+</t>
  </si>
  <si>
    <t>Historic and projected vehicle stock (BAU) according to "Share by weight band"</t>
  </si>
  <si>
    <t>Predicted Stock (Vehicles)</t>
  </si>
  <si>
    <t xml:space="preserve">Hidden data: Unadjusted projections &amp; Stock numbers for comparison (UL, equal to UL vkm/UL mileage) also verified against Irish Bulletin of vehicle statistics </t>
  </si>
  <si>
    <t>Historic and projected vehicle stock (BAU) - no adjustment</t>
  </si>
  <si>
    <t>Stock (VB)</t>
  </si>
  <si>
    <t>Stock (UL)</t>
  </si>
  <si>
    <t>Stock (TV)</t>
  </si>
  <si>
    <t>Agri proj</t>
  </si>
  <si>
    <t>Crude proj</t>
  </si>
  <si>
    <t>Other proj</t>
  </si>
  <si>
    <t xml:space="preserve">Historic and projected vkm by unladen weight band according to tkm to vkm regressions </t>
  </si>
  <si>
    <t>2 to 5 Tonnes*</t>
  </si>
  <si>
    <t>Million vkm based on mileage (TV)</t>
  </si>
  <si>
    <r>
      <t xml:space="preserve">Calculate annual mileage: vkm </t>
    </r>
    <r>
      <rPr>
        <b/>
        <sz val="20"/>
        <color theme="1"/>
        <rFont val="Calibri"/>
        <family val="2"/>
      </rPr>
      <t>÷ Projected stock</t>
    </r>
  </si>
  <si>
    <t xml:space="preserve">Adjusted to </t>
  </si>
  <si>
    <t>Historic and projected vehicle stock (BAU) adjusted to match "Share by weight band"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</si>
</sst>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0.000"/>
    <numFmt numFmtId="167" formatCode="0.000%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20"/>
      <color theme="1"/>
      <name val="Calibri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Dashed">
        <color auto="1"/>
      </right>
      <top style="medium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 style="double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auto="1"/>
      </right>
      <top style="double">
        <color auto="1"/>
      </top>
      <bottom style="thick">
        <color auto="1"/>
      </bottom>
      <diagonal/>
    </border>
    <border>
      <left/>
      <right style="mediumDashed">
        <color auto="1"/>
      </right>
      <top style="double">
        <color auto="1"/>
      </top>
      <bottom/>
      <diagonal/>
    </border>
    <border>
      <left/>
      <right style="mediumDashed">
        <color auto="1"/>
      </right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</borders>
  <cellStyleXfs count="11">
    <xf numFmtId="0" fontId="0" fillId="0" borderId="0"/>
    <xf numFmtId="0" fontId="3" fillId="0" borderId="0"/>
    <xf numFmtId="0" fontId="4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  <xf numFmtId="9" fontId="6" fillId="0" borderId="0" applyFont="0" applyFill="0" applyBorder="0" applyAlignment="0" applyProtection="0"/>
    <xf numFmtId="0" fontId="6" fillId="0" borderId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/>
  </cellStyleXfs>
  <cellXfs count="148">
    <xf numFmtId="0" fontId="0" fillId="0" borderId="0" xfId="0"/>
    <xf numFmtId="1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1" fontId="0" fillId="0" borderId="5" xfId="0" applyNumberFormat="1" applyBorder="1"/>
    <xf numFmtId="0" fontId="1" fillId="0" borderId="6" xfId="0" applyFont="1" applyBorder="1"/>
    <xf numFmtId="1" fontId="0" fillId="0" borderId="7" xfId="0" applyNumberFormat="1" applyBorder="1"/>
    <xf numFmtId="1" fontId="0" fillId="0" borderId="8" xfId="0" applyNumberFormat="1" applyBorder="1"/>
    <xf numFmtId="0" fontId="1" fillId="0" borderId="0" xfId="0" applyFont="1"/>
    <xf numFmtId="0" fontId="1" fillId="0" borderId="9" xfId="0" applyFont="1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10" xfId="0" applyBorder="1"/>
    <xf numFmtId="3" fontId="0" fillId="0" borderId="0" xfId="0" applyNumberFormat="1"/>
    <xf numFmtId="1" fontId="1" fillId="0" borderId="0" xfId="0" applyNumberFormat="1" applyFont="1"/>
    <xf numFmtId="0" fontId="1" fillId="0" borderId="4" xfId="0" applyFont="1" applyBorder="1"/>
    <xf numFmtId="0" fontId="0" fillId="2" borderId="0" xfId="0" applyFill="1"/>
    <xf numFmtId="1" fontId="0" fillId="2" borderId="0" xfId="0" applyNumberFormat="1" applyFill="1"/>
    <xf numFmtId="1" fontId="0" fillId="3" borderId="0" xfId="0" applyNumberFormat="1" applyFill="1"/>
    <xf numFmtId="1" fontId="0" fillId="3" borderId="10" xfId="0" applyNumberFormat="1" applyFill="1" applyBorder="1"/>
    <xf numFmtId="0" fontId="1" fillId="0" borderId="1" xfId="0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9" fillId="0" borderId="14" xfId="0" applyFont="1" applyBorder="1" applyAlignment="1">
      <alignment horizontal="left" wrapText="1"/>
    </xf>
    <xf numFmtId="3" fontId="0" fillId="0" borderId="13" xfId="0" applyNumberFormat="1" applyBorder="1"/>
    <xf numFmtId="1" fontId="0" fillId="0" borderId="15" xfId="0" applyNumberFormat="1" applyBorder="1"/>
    <xf numFmtId="9" fontId="0" fillId="0" borderId="0" xfId="8" applyFont="1"/>
    <xf numFmtId="0" fontId="1" fillId="4" borderId="1" xfId="0" applyFont="1" applyFill="1" applyBorder="1" applyAlignment="1">
      <alignment wrapText="1"/>
    </xf>
    <xf numFmtId="0" fontId="0" fillId="5" borderId="4" xfId="0" applyFill="1" applyBorder="1"/>
    <xf numFmtId="1" fontId="0" fillId="5" borderId="0" xfId="0" applyNumberFormat="1" applyFill="1"/>
    <xf numFmtId="0" fontId="0" fillId="5" borderId="0" xfId="0" applyFill="1"/>
    <xf numFmtId="1" fontId="0" fillId="5" borderId="5" xfId="0" applyNumberFormat="1" applyFill="1" applyBorder="1"/>
    <xf numFmtId="2" fontId="8" fillId="5" borderId="4" xfId="0" applyNumberFormat="1" applyFont="1" applyFill="1" applyBorder="1" applyAlignment="1">
      <alignment horizontal="left" wrapText="1"/>
    </xf>
    <xf numFmtId="3" fontId="0" fillId="5" borderId="0" xfId="0" applyNumberFormat="1" applyFill="1"/>
    <xf numFmtId="0" fontId="1" fillId="4" borderId="4" xfId="0" applyFont="1" applyFill="1" applyBorder="1" applyAlignment="1">
      <alignment wrapText="1"/>
    </xf>
    <xf numFmtId="0" fontId="1" fillId="0" borderId="10" xfId="0" applyFont="1" applyBorder="1"/>
    <xf numFmtId="1" fontId="0" fillId="0" borderId="16" xfId="0" applyNumberFormat="1" applyBorder="1"/>
    <xf numFmtId="0" fontId="0" fillId="0" borderId="2" xfId="0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0" fillId="6" borderId="0" xfId="0" applyFill="1"/>
    <xf numFmtId="0" fontId="1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1" fillId="6" borderId="0" xfId="0" applyFont="1" applyFill="1"/>
    <xf numFmtId="9" fontId="0" fillId="6" borderId="0" xfId="8" applyFont="1" applyFill="1"/>
    <xf numFmtId="0" fontId="0" fillId="7" borderId="0" xfId="0" applyFill="1"/>
    <xf numFmtId="0" fontId="1" fillId="7" borderId="0" xfId="0" applyFont="1" applyFill="1"/>
    <xf numFmtId="9" fontId="0" fillId="0" borderId="0" xfId="8" applyFont="1" applyFill="1" applyBorder="1"/>
    <xf numFmtId="9" fontId="0" fillId="7" borderId="0" xfId="0" applyNumberFormat="1" applyFill="1"/>
    <xf numFmtId="9" fontId="0" fillId="6" borderId="0" xfId="0" applyNumberFormat="1" applyFill="1"/>
    <xf numFmtId="10" fontId="0" fillId="6" borderId="0" xfId="0" applyNumberFormat="1" applyFill="1"/>
    <xf numFmtId="165" fontId="0" fillId="6" borderId="0" xfId="8" applyNumberFormat="1" applyFont="1" applyFill="1"/>
    <xf numFmtId="166" fontId="0" fillId="6" borderId="0" xfId="0" applyNumberFormat="1" applyFill="1"/>
    <xf numFmtId="165" fontId="0" fillId="5" borderId="0" xfId="8" applyNumberFormat="1" applyFont="1" applyFill="1"/>
    <xf numFmtId="10" fontId="0" fillId="6" borderId="0" xfId="8" applyNumberFormat="1" applyFont="1" applyFill="1"/>
    <xf numFmtId="0" fontId="17" fillId="6" borderId="17" xfId="0" applyFont="1" applyFill="1" applyBorder="1"/>
    <xf numFmtId="0" fontId="0" fillId="6" borderId="17" xfId="0" applyFill="1" applyBorder="1"/>
    <xf numFmtId="0" fontId="1" fillId="6" borderId="17" xfId="0" applyFont="1" applyFill="1" applyBorder="1"/>
    <xf numFmtId="10" fontId="0" fillId="6" borderId="17" xfId="8" applyNumberFormat="1" applyFont="1" applyFill="1" applyBorder="1"/>
    <xf numFmtId="0" fontId="1" fillId="8" borderId="0" xfId="0" applyFont="1" applyFill="1"/>
    <xf numFmtId="0" fontId="0" fillId="8" borderId="0" xfId="0" applyFill="1"/>
    <xf numFmtId="165" fontId="0" fillId="8" borderId="0" xfId="8" applyNumberFormat="1" applyFont="1" applyFill="1"/>
    <xf numFmtId="167" fontId="0" fillId="6" borderId="0" xfId="0" applyNumberFormat="1" applyFill="1"/>
    <xf numFmtId="9" fontId="0" fillId="8" borderId="0" xfId="8" applyFont="1" applyFill="1"/>
    <xf numFmtId="0" fontId="0" fillId="8" borderId="0" xfId="8" applyNumberFormat="1" applyFont="1" applyFill="1"/>
    <xf numFmtId="0" fontId="1" fillId="8" borderId="0" xfId="8" applyNumberFormat="1" applyFont="1" applyFill="1"/>
    <xf numFmtId="10" fontId="0" fillId="8" borderId="0" xfId="8" applyNumberFormat="1" applyFont="1" applyFill="1"/>
    <xf numFmtId="10" fontId="0" fillId="8" borderId="0" xfId="0" applyNumberFormat="1" applyFill="1"/>
    <xf numFmtId="165" fontId="0" fillId="0" borderId="0" xfId="8" applyNumberFormat="1" applyFont="1"/>
    <xf numFmtId="0" fontId="1" fillId="6" borderId="0" xfId="0" applyFont="1" applyFill="1" applyAlignment="1">
      <alignment horizontal="center"/>
    </xf>
    <xf numFmtId="165" fontId="0" fillId="0" borderId="0" xfId="8" applyNumberFormat="1" applyFont="1" applyFill="1"/>
    <xf numFmtId="2" fontId="8" fillId="0" borderId="4" xfId="0" applyNumberFormat="1" applyFont="1" applyBorder="1" applyAlignment="1">
      <alignment horizontal="left" wrapText="1"/>
    </xf>
    <xf numFmtId="0" fontId="0" fillId="6" borderId="0" xfId="0" applyFill="1" applyAlignment="1">
      <alignment horizontal="left"/>
    </xf>
    <xf numFmtId="10" fontId="0" fillId="6" borderId="17" xfId="8" applyNumberFormat="1" applyFont="1" applyFill="1" applyBorder="1" applyAlignment="1">
      <alignment horizontal="center"/>
    </xf>
    <xf numFmtId="10" fontId="0" fillId="0" borderId="0" xfId="0" applyNumberFormat="1"/>
    <xf numFmtId="165" fontId="2" fillId="8" borderId="0" xfId="8" applyNumberFormat="1" applyFont="1" applyFill="1"/>
    <xf numFmtId="165" fontId="2" fillId="6" borderId="0" xfId="8" applyNumberFormat="1" applyFont="1" applyFill="1"/>
    <xf numFmtId="0" fontId="11" fillId="7" borderId="0" xfId="0" applyFont="1" applyFill="1"/>
    <xf numFmtId="0" fontId="19" fillId="7" borderId="0" xfId="0" applyFont="1" applyFill="1"/>
    <xf numFmtId="0" fontId="12" fillId="0" borderId="0" xfId="0" applyFont="1"/>
    <xf numFmtId="0" fontId="12" fillId="0" borderId="13" xfId="0" applyFont="1" applyBorder="1"/>
    <xf numFmtId="0" fontId="11" fillId="0" borderId="0" xfId="0" applyFont="1"/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9" fontId="0" fillId="0" borderId="0" xfId="8" applyFont="1" applyFill="1"/>
    <xf numFmtId="0" fontId="9" fillId="0" borderId="4" xfId="0" applyFont="1" applyBorder="1" applyAlignment="1">
      <alignment horizontal="left" wrapText="1"/>
    </xf>
    <xf numFmtId="1" fontId="0" fillId="9" borderId="0" xfId="0" applyNumberFormat="1" applyFill="1"/>
    <xf numFmtId="1" fontId="0" fillId="9" borderId="10" xfId="0" applyNumberFormat="1" applyFill="1" applyBorder="1"/>
    <xf numFmtId="2" fontId="8" fillId="0" borderId="0" xfId="0" applyNumberFormat="1" applyFont="1" applyAlignment="1">
      <alignment horizontal="left" wrapText="1"/>
    </xf>
    <xf numFmtId="1" fontId="0" fillId="2" borderId="10" xfId="0" applyNumberFormat="1" applyFill="1" applyBorder="1"/>
    <xf numFmtId="1" fontId="0" fillId="0" borderId="18" xfId="0" applyNumberFormat="1" applyBorder="1"/>
    <xf numFmtId="0" fontId="11" fillId="0" borderId="10" xfId="0" applyFont="1" applyBorder="1" applyAlignment="1">
      <alignment horizontal="center"/>
    </xf>
    <xf numFmtId="1" fontId="0" fillId="0" borderId="19" xfId="0" applyNumberFormat="1" applyBorder="1"/>
    <xf numFmtId="0" fontId="0" fillId="0" borderId="9" xfId="0" applyBorder="1"/>
    <xf numFmtId="3" fontId="0" fillId="0" borderId="10" xfId="0" applyNumberFormat="1" applyBorder="1"/>
    <xf numFmtId="3" fontId="0" fillId="0" borderId="20" xfId="0" applyNumberFormat="1" applyBorder="1"/>
    <xf numFmtId="2" fontId="8" fillId="0" borderId="4" xfId="0" applyNumberFormat="1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1" fontId="0" fillId="10" borderId="0" xfId="0" applyNumberFormat="1" applyFill="1"/>
    <xf numFmtId="1" fontId="0" fillId="10" borderId="10" xfId="0" applyNumberFormat="1" applyFill="1" applyBorder="1"/>
    <xf numFmtId="1" fontId="0" fillId="11" borderId="0" xfId="0" applyNumberFormat="1" applyFill="1"/>
    <xf numFmtId="1" fontId="0" fillId="11" borderId="10" xfId="0" applyNumberFormat="1" applyFill="1" applyBorder="1"/>
    <xf numFmtId="1" fontId="0" fillId="10" borderId="21" xfId="0" applyNumberFormat="1" applyFill="1" applyBorder="1"/>
    <xf numFmtId="2" fontId="8" fillId="2" borderId="4" xfId="0" applyNumberFormat="1" applyFont="1" applyFill="1" applyBorder="1" applyAlignment="1">
      <alignment horizontal="left" wrapText="1"/>
    </xf>
    <xf numFmtId="0" fontId="9" fillId="12" borderId="4" xfId="0" applyFont="1" applyFill="1" applyBorder="1" applyAlignment="1">
      <alignment horizontal="left" wrapText="1"/>
    </xf>
    <xf numFmtId="0" fontId="0" fillId="13" borderId="0" xfId="0" applyFill="1" applyAlignment="1">
      <alignment wrapText="1"/>
    </xf>
    <xf numFmtId="0" fontId="1" fillId="13" borderId="0" xfId="0" applyFont="1" applyFill="1" applyAlignment="1">
      <alignment wrapText="1"/>
    </xf>
    <xf numFmtId="0" fontId="1" fillId="13" borderId="0" xfId="0" applyFont="1" applyFill="1"/>
    <xf numFmtId="0" fontId="0" fillId="13" borderId="0" xfId="0" applyFill="1"/>
    <xf numFmtId="9" fontId="0" fillId="13" borderId="0" xfId="8" applyFont="1" applyFill="1"/>
    <xf numFmtId="0" fontId="1" fillId="9" borderId="0" xfId="0" applyFont="1" applyFill="1" applyAlignment="1">
      <alignment wrapText="1"/>
    </xf>
    <xf numFmtId="3" fontId="0" fillId="9" borderId="0" xfId="0" applyNumberFormat="1" applyFill="1"/>
    <xf numFmtId="0" fontId="0" fillId="9" borderId="0" xfId="0" applyFill="1"/>
    <xf numFmtId="0" fontId="1" fillId="14" borderId="0" xfId="0" applyFont="1" applyFill="1" applyAlignment="1">
      <alignment wrapText="1"/>
    </xf>
    <xf numFmtId="0" fontId="0" fillId="14" borderId="0" xfId="0" applyFill="1"/>
    <xf numFmtId="0" fontId="19" fillId="13" borderId="0" xfId="0" applyFont="1" applyFill="1" applyAlignment="1">
      <alignment wrapText="1"/>
    </xf>
    <xf numFmtId="0" fontId="19" fillId="13" borderId="0" xfId="0" applyFont="1" applyFill="1"/>
    <xf numFmtId="0" fontId="19" fillId="0" borderId="0" xfId="0" applyFont="1"/>
    <xf numFmtId="0" fontId="19" fillId="5" borderId="0" xfId="0" applyFont="1" applyFill="1"/>
    <xf numFmtId="1" fontId="1" fillId="5" borderId="0" xfId="0" applyNumberFormat="1" applyFont="1" applyFill="1"/>
    <xf numFmtId="0" fontId="10" fillId="5" borderId="0" xfId="0" applyFont="1" applyFill="1"/>
    <xf numFmtId="0" fontId="1" fillId="5" borderId="0" xfId="0" applyFont="1" applyFill="1"/>
    <xf numFmtId="0" fontId="7" fillId="5" borderId="12" xfId="0" applyFont="1" applyFill="1" applyBorder="1" applyAlignment="1">
      <alignment horizontal="centerContinuous"/>
    </xf>
    <xf numFmtId="1" fontId="1" fillId="5" borderId="5" xfId="0" applyNumberFormat="1" applyFont="1" applyFill="1" applyBorder="1"/>
    <xf numFmtId="0" fontId="0" fillId="5" borderId="13" xfId="0" applyFill="1" applyBorder="1"/>
    <xf numFmtId="0" fontId="7" fillId="5" borderId="12" xfId="0" applyFont="1" applyFill="1" applyBorder="1" applyAlignment="1">
      <alignment horizontal="center"/>
    </xf>
    <xf numFmtId="0" fontId="1" fillId="15" borderId="0" xfId="0" applyFont="1" applyFill="1"/>
    <xf numFmtId="0" fontId="0" fillId="15" borderId="0" xfId="0" applyFill="1"/>
    <xf numFmtId="0" fontId="10" fillId="3" borderId="0" xfId="0" applyFont="1" applyFill="1"/>
    <xf numFmtId="0" fontId="0" fillId="3" borderId="0" xfId="0" applyFill="1"/>
    <xf numFmtId="0" fontId="1" fillId="3" borderId="4" xfId="0" applyFont="1" applyFill="1" applyBorder="1"/>
    <xf numFmtId="0" fontId="1" fillId="3" borderId="0" xfId="0" applyFont="1" applyFill="1"/>
    <xf numFmtId="0" fontId="7" fillId="3" borderId="12" xfId="0" applyFont="1" applyFill="1" applyBorder="1" applyAlignment="1">
      <alignment horizontal="centerContinuous"/>
    </xf>
    <xf numFmtId="0" fontId="0" fillId="3" borderId="13" xfId="0" applyFill="1" applyBorder="1"/>
    <xf numFmtId="0" fontId="7" fillId="3" borderId="12" xfId="0" applyFont="1" applyFill="1" applyBorder="1" applyAlignment="1">
      <alignment horizontal="center"/>
    </xf>
    <xf numFmtId="9" fontId="0" fillId="0" borderId="0" xfId="8" applyFont="1" applyBorder="1"/>
    <xf numFmtId="1" fontId="11" fillId="0" borderId="0" xfId="0" applyNumberFormat="1" applyFont="1"/>
    <xf numFmtId="0" fontId="1" fillId="7" borderId="0" xfId="0" applyFont="1" applyFill="1" applyAlignment="1">
      <alignment horizontal="center"/>
    </xf>
    <xf numFmtId="0" fontId="11" fillId="14" borderId="0" xfId="0" applyFont="1" applyFill="1" applyAlignment="1">
      <alignment horizontal="center" vertical="center" wrapText="1"/>
    </xf>
    <xf numFmtId="0" fontId="11" fillId="9" borderId="0" xfId="0" applyFont="1" applyFill="1" applyAlignment="1">
      <alignment horizontal="center" vertical="center" wrapText="1"/>
    </xf>
    <xf numFmtId="0" fontId="0" fillId="6" borderId="17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</cellXfs>
  <cellStyles count="11">
    <cellStyle name="Comma 2" xfId="3" xr:uid="{2B5F95A8-B925-4FB6-A198-F378B228F951}"/>
    <cellStyle name="Hyperlink 2" xfId="9" xr:uid="{0EBC7D05-A887-4C32-8F47-D0C8965F5717}"/>
    <cellStyle name="Normal" xfId="0" builtinId="0"/>
    <cellStyle name="Normal 2" xfId="1" xr:uid="{7F98A238-EC9F-49FA-A04B-D07A0BF92A73}"/>
    <cellStyle name="Normal 3" xfId="2" xr:uid="{48A09D0C-73B7-44D8-AF6C-37DA7A71E833}"/>
    <cellStyle name="Normal 3 2 2" xfId="5" xr:uid="{48866510-8397-4A58-AE06-52BE222BF7A6}"/>
    <cellStyle name="Normal 4" xfId="10" xr:uid="{3000E070-98EE-4D00-B263-17DE7720CB79}"/>
    <cellStyle name="Normal 5" xfId="7" xr:uid="{D272F8EB-3706-491B-B33D-D88CED9126EF}"/>
    <cellStyle name="Per cent" xfId="8" builtinId="5"/>
    <cellStyle name="Percent 2" xfId="4" xr:uid="{D982B611-A1DC-4D7A-B098-7D033050280A}"/>
    <cellStyle name="Percent 4" xfId="6" xr:uid="{A90A4AE2-E952-4DCC-B6C9-809DB0A900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hane_mcdonagh_ucc_ie/Documents/Postdoc/Transport%20modelling/Shane/Model%20inputs/From%202019%20NIR%20(edit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hane_mcdonagh_ucc_ie/Documents/Postdoc/Transport%20modelling/Shane/Model%20inputs/Freight%20Survey%20by%20Commodity%20'95-'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hane_mcdonagh_ucc_ie/Documents/Postdoc/Transport%20modelling/Shane/Model%20inputs/R%20Inputs_HERMES_Shan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hane_mcdonagh_ucc_ie/Documents/Postdoc/Transport%20modelling/Shane/Model%20inputs/Goods%20vehicles%20by%20unladen%20weight%20from%20Irish%20Bulletin%20of%20vehicle%20and%20Driver%20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hane_mcdonagh_ucc_ie/Documents/Postdoc/Transport%20modelling/Shane/Model%20inputs/Freight%20Survey%20by%20Unladen%20Weight%20'95-'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hane_mcdonagh_ucc_ie/Documents/Postdoc/Transport%20modelling/Shane/Model%20inputs/Traffic%20volume%20by%20unladen%20weight%20and%20registration%20year%20'08%20-%20'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eet size - Figures 3.10.1 2 3"/>
      <sheetName val="Fleet numbers - Table 3.1.12"/>
      <sheetName val="Mileage "/>
      <sheetName val="Speed - Figure 3.10.8  "/>
      <sheetName val="Euro classes - Table 3.4"/>
      <sheetName val="Emissions - Table 3.2"/>
      <sheetName val="Emissions - Table 4.B"/>
    </sheetNames>
    <sheetDataSet>
      <sheetData sheetId="0"/>
      <sheetData sheetId="1">
        <row r="3">
          <cell r="B3" t="str">
            <v>Category</v>
          </cell>
          <cell r="C3"/>
          <cell r="D3" t="str">
            <v>Fuel</v>
          </cell>
          <cell r="E3" t="str">
            <v>Segment</v>
          </cell>
          <cell r="F3"/>
          <cell r="G3" t="str">
            <v>Euro standard</v>
          </cell>
          <cell r="H3" t="str">
            <v>E Standard</v>
          </cell>
        </row>
        <row r="4">
          <cell r="B4" t="str">
            <v>Light Commercial Vehicles</v>
          </cell>
          <cell r="C4" t="str">
            <v>LDV</v>
          </cell>
          <cell r="D4" t="str">
            <v>Petrol</v>
          </cell>
          <cell r="E4" t="str">
            <v>N1-I</v>
          </cell>
          <cell r="F4" t="str">
            <v>N1-I (&lt;3.5t)</v>
          </cell>
          <cell r="G4" t="str">
            <v>Conventional</v>
          </cell>
          <cell r="H4" t="str">
            <v>Conventional</v>
          </cell>
        </row>
        <row r="5">
          <cell r="B5" t="str">
            <v>Light Commercial Vehicles</v>
          </cell>
          <cell r="C5" t="str">
            <v>LDV</v>
          </cell>
          <cell r="D5" t="str">
            <v>Petrol</v>
          </cell>
          <cell r="E5" t="str">
            <v>N1-I</v>
          </cell>
          <cell r="F5" t="str">
            <v>N1-I (&lt;3.5t)</v>
          </cell>
          <cell r="G5" t="str">
            <v>Euro 1</v>
          </cell>
          <cell r="H5" t="str">
            <v>E 1</v>
          </cell>
        </row>
        <row r="6">
          <cell r="B6" t="str">
            <v>Light Commercial Vehicles</v>
          </cell>
          <cell r="C6" t="str">
            <v>LDV</v>
          </cell>
          <cell r="D6" t="str">
            <v>Petrol</v>
          </cell>
          <cell r="E6" t="str">
            <v>N1-I</v>
          </cell>
          <cell r="F6" t="str">
            <v>N1-I (&lt;3.5t)</v>
          </cell>
          <cell r="G6" t="str">
            <v>Euro 2</v>
          </cell>
          <cell r="H6" t="str">
            <v>E 2</v>
          </cell>
        </row>
        <row r="7">
          <cell r="B7" t="str">
            <v>Light Commercial Vehicles</v>
          </cell>
          <cell r="C7" t="str">
            <v>LDV</v>
          </cell>
          <cell r="D7" t="str">
            <v>Petrol</v>
          </cell>
          <cell r="E7" t="str">
            <v>N1-I</v>
          </cell>
          <cell r="F7" t="str">
            <v>N1-I (&lt;3.5t)</v>
          </cell>
          <cell r="G7" t="str">
            <v>Euro 3</v>
          </cell>
          <cell r="H7" t="str">
            <v>E 3</v>
          </cell>
        </row>
        <row r="8">
          <cell r="B8" t="str">
            <v>Light Commercial Vehicles</v>
          </cell>
          <cell r="C8" t="str">
            <v>LDV</v>
          </cell>
          <cell r="D8" t="str">
            <v>Petrol</v>
          </cell>
          <cell r="E8" t="str">
            <v>N1-I</v>
          </cell>
          <cell r="F8" t="str">
            <v>N1-I (&lt;3.5t)</v>
          </cell>
          <cell r="G8" t="str">
            <v>Euro 4</v>
          </cell>
          <cell r="H8" t="str">
            <v>E 4</v>
          </cell>
        </row>
        <row r="9">
          <cell r="B9" t="str">
            <v>Light Commercial Vehicles</v>
          </cell>
          <cell r="C9" t="str">
            <v>LDV</v>
          </cell>
          <cell r="D9" t="str">
            <v>Petrol</v>
          </cell>
          <cell r="E9" t="str">
            <v>N1-I</v>
          </cell>
          <cell r="F9" t="str">
            <v>N1-I (&lt;3.5t)</v>
          </cell>
          <cell r="G9" t="str">
            <v>Euro 5</v>
          </cell>
          <cell r="H9" t="str">
            <v>E 5</v>
          </cell>
        </row>
        <row r="10">
          <cell r="B10" t="str">
            <v>Light Commercial Vehicles</v>
          </cell>
          <cell r="C10" t="str">
            <v>LDV</v>
          </cell>
          <cell r="D10" t="str">
            <v>Petrol</v>
          </cell>
          <cell r="E10" t="str">
            <v>N1-I</v>
          </cell>
          <cell r="F10" t="str">
            <v>N1-I (&lt;3.5t)</v>
          </cell>
          <cell r="G10" t="str">
            <v>Euro 6 up to 2016</v>
          </cell>
          <cell r="H10" t="str">
            <v>E 6 b</v>
          </cell>
        </row>
        <row r="11">
          <cell r="B11" t="str">
            <v>Light Commercial Vehicles</v>
          </cell>
          <cell r="C11" t="str">
            <v>LDV</v>
          </cell>
          <cell r="D11" t="str">
            <v>Petrol</v>
          </cell>
          <cell r="E11" t="str">
            <v>N1-I</v>
          </cell>
          <cell r="F11" t="str">
            <v>N1-I (&lt;3.5t)</v>
          </cell>
          <cell r="G11" t="str">
            <v>Euro 6 2017-2019</v>
          </cell>
          <cell r="H11" t="str">
            <v>E 6 d-Temp</v>
          </cell>
        </row>
        <row r="12">
          <cell r="B12" t="str">
            <v>Light Commercial Vehicles</v>
          </cell>
          <cell r="C12" t="str">
            <v>LDV</v>
          </cell>
          <cell r="D12" t="str">
            <v>Petrol</v>
          </cell>
          <cell r="E12" t="str">
            <v>N1-II</v>
          </cell>
          <cell r="F12" t="str">
            <v>N1-II (&lt;3.5t)</v>
          </cell>
          <cell r="G12" t="str">
            <v>Conventional</v>
          </cell>
          <cell r="H12" t="str">
            <v>Conventional</v>
          </cell>
        </row>
        <row r="13">
          <cell r="B13" t="str">
            <v>Light Commercial Vehicles</v>
          </cell>
          <cell r="C13" t="str">
            <v>LDV</v>
          </cell>
          <cell r="D13" t="str">
            <v>Petrol</v>
          </cell>
          <cell r="E13" t="str">
            <v>N1-II</v>
          </cell>
          <cell r="F13" t="str">
            <v>N1-II (&lt;3.5t)</v>
          </cell>
          <cell r="G13" t="str">
            <v>Euro 1</v>
          </cell>
          <cell r="H13" t="str">
            <v>E 1</v>
          </cell>
        </row>
        <row r="14">
          <cell r="B14" t="str">
            <v>Light Commercial Vehicles</v>
          </cell>
          <cell r="C14" t="str">
            <v>LDV</v>
          </cell>
          <cell r="D14" t="str">
            <v>Petrol</v>
          </cell>
          <cell r="E14" t="str">
            <v>N1-II</v>
          </cell>
          <cell r="F14" t="str">
            <v>N1-II</v>
          </cell>
          <cell r="G14" t="str">
            <v>Euro 2</v>
          </cell>
          <cell r="H14" t="str">
            <v>E 2</v>
          </cell>
        </row>
        <row r="15">
          <cell r="B15" t="str">
            <v>Light Commercial Vehicles</v>
          </cell>
          <cell r="C15" t="str">
            <v>LDV</v>
          </cell>
          <cell r="D15" t="str">
            <v>Petrol</v>
          </cell>
          <cell r="E15" t="str">
            <v>N1-II</v>
          </cell>
          <cell r="F15" t="str">
            <v>N1-II</v>
          </cell>
          <cell r="G15" t="str">
            <v>Euro 3</v>
          </cell>
          <cell r="H15" t="str">
            <v>E 3</v>
          </cell>
        </row>
        <row r="16">
          <cell r="B16" t="str">
            <v>Light Commercial Vehicles</v>
          </cell>
          <cell r="C16" t="str">
            <v>LDV</v>
          </cell>
          <cell r="D16" t="str">
            <v>Petrol</v>
          </cell>
          <cell r="E16" t="str">
            <v>N1-II</v>
          </cell>
          <cell r="F16" t="str">
            <v>N1-II</v>
          </cell>
          <cell r="G16" t="str">
            <v>Euro 4</v>
          </cell>
          <cell r="H16" t="str">
            <v>E 4</v>
          </cell>
        </row>
        <row r="17">
          <cell r="B17" t="str">
            <v>Light Commercial Vehicles</v>
          </cell>
          <cell r="C17" t="str">
            <v>LDV</v>
          </cell>
          <cell r="D17" t="str">
            <v>Petrol</v>
          </cell>
          <cell r="E17" t="str">
            <v>N1-II</v>
          </cell>
          <cell r="F17" t="str">
            <v>N1-II</v>
          </cell>
          <cell r="G17" t="str">
            <v>Euro 5</v>
          </cell>
          <cell r="H17" t="str">
            <v>E 5</v>
          </cell>
        </row>
        <row r="18">
          <cell r="B18" t="str">
            <v>Light Commercial Vehicles</v>
          </cell>
          <cell r="C18" t="str">
            <v>LDV</v>
          </cell>
          <cell r="D18" t="str">
            <v>Petrol</v>
          </cell>
          <cell r="E18" t="str">
            <v>N1-II</v>
          </cell>
          <cell r="F18" t="str">
            <v>N1-II</v>
          </cell>
          <cell r="G18" t="str">
            <v>Euro 6 up to 2017</v>
          </cell>
          <cell r="H18" t="str">
            <v>E 6 b</v>
          </cell>
        </row>
        <row r="19">
          <cell r="B19" t="str">
            <v>Light Commercial Vehicles</v>
          </cell>
          <cell r="C19" t="str">
            <v>LDV</v>
          </cell>
          <cell r="D19" t="str">
            <v>Petrol</v>
          </cell>
          <cell r="E19" t="str">
            <v>N1-II</v>
          </cell>
          <cell r="F19" t="str">
            <v>N1-II</v>
          </cell>
          <cell r="G19" t="str">
            <v>Euro 6 2018-2020</v>
          </cell>
          <cell r="H19" t="str">
            <v>E 6 d-Temp</v>
          </cell>
        </row>
        <row r="20">
          <cell r="B20" t="str">
            <v>Light Commercial Vehicles</v>
          </cell>
          <cell r="C20" t="str">
            <v>LDV</v>
          </cell>
          <cell r="D20" t="str">
            <v>Petrol</v>
          </cell>
          <cell r="E20" t="str">
            <v>N1-III</v>
          </cell>
          <cell r="F20" t="str">
            <v>N1-III</v>
          </cell>
          <cell r="G20" t="str">
            <v>Conventional</v>
          </cell>
          <cell r="H20" t="str">
            <v>Conventional</v>
          </cell>
        </row>
        <row r="21">
          <cell r="B21" t="str">
            <v>Light Commercial Vehicles</v>
          </cell>
          <cell r="C21" t="str">
            <v>LDV</v>
          </cell>
          <cell r="D21" t="str">
            <v>Petrol</v>
          </cell>
          <cell r="E21" t="str">
            <v>N1-III</v>
          </cell>
          <cell r="F21" t="str">
            <v>N1-III</v>
          </cell>
          <cell r="G21" t="str">
            <v>Euro 1</v>
          </cell>
          <cell r="H21" t="str">
            <v>E1</v>
          </cell>
        </row>
        <row r="22">
          <cell r="B22" t="str">
            <v>Light Commercial Vehicles</v>
          </cell>
          <cell r="C22" t="str">
            <v>LDV</v>
          </cell>
          <cell r="D22" t="str">
            <v>Petrol</v>
          </cell>
          <cell r="E22" t="str">
            <v>N1-III</v>
          </cell>
          <cell r="F22" t="str">
            <v>N1-III</v>
          </cell>
          <cell r="G22" t="str">
            <v>Euro 2</v>
          </cell>
          <cell r="H22" t="str">
            <v>E2</v>
          </cell>
        </row>
        <row r="23">
          <cell r="B23" t="str">
            <v>Light Commercial Vehicles</v>
          </cell>
          <cell r="C23" t="str">
            <v>LDV</v>
          </cell>
          <cell r="D23" t="str">
            <v>Petrol</v>
          </cell>
          <cell r="E23" t="str">
            <v>N1-III</v>
          </cell>
          <cell r="F23" t="str">
            <v>N1-III</v>
          </cell>
          <cell r="G23" t="str">
            <v>Euro 3</v>
          </cell>
          <cell r="H23" t="str">
            <v>E3</v>
          </cell>
        </row>
        <row r="24">
          <cell r="B24" t="str">
            <v>Light Commercial Vehicles</v>
          </cell>
          <cell r="C24" t="str">
            <v>LDV</v>
          </cell>
          <cell r="D24" t="str">
            <v>Petrol</v>
          </cell>
          <cell r="E24" t="str">
            <v>N1-III</v>
          </cell>
          <cell r="F24" t="str">
            <v>N1-III</v>
          </cell>
          <cell r="G24" t="str">
            <v>Euro 4</v>
          </cell>
          <cell r="H24" t="str">
            <v>E4</v>
          </cell>
        </row>
        <row r="25">
          <cell r="B25" t="str">
            <v>Light Commercial Vehicles</v>
          </cell>
          <cell r="C25" t="str">
            <v>LDV</v>
          </cell>
          <cell r="D25" t="str">
            <v>Petrol</v>
          </cell>
          <cell r="E25" t="str">
            <v>N1-III</v>
          </cell>
          <cell r="F25" t="str">
            <v>N1-III</v>
          </cell>
          <cell r="G25" t="str">
            <v>Euro 5</v>
          </cell>
          <cell r="H25" t="str">
            <v>E5</v>
          </cell>
        </row>
        <row r="26">
          <cell r="B26" t="str">
            <v>Light Commercial Vehicles</v>
          </cell>
          <cell r="C26" t="str">
            <v>LDV</v>
          </cell>
          <cell r="D26" t="str">
            <v>Petrol</v>
          </cell>
          <cell r="E26" t="str">
            <v>N1-III</v>
          </cell>
          <cell r="F26" t="str">
            <v>N1-III</v>
          </cell>
          <cell r="G26" t="str">
            <v>Euro 6 up to 2017</v>
          </cell>
          <cell r="H26" t="str">
            <v>E 6 b</v>
          </cell>
        </row>
        <row r="27">
          <cell r="B27" t="str">
            <v>Light Commercial Vehicles</v>
          </cell>
          <cell r="C27" t="str">
            <v>LDV</v>
          </cell>
          <cell r="D27" t="str">
            <v>Petrol</v>
          </cell>
          <cell r="E27" t="str">
            <v>N1-III</v>
          </cell>
          <cell r="F27" t="str">
            <v>N1-III</v>
          </cell>
          <cell r="G27" t="str">
            <v>Euro 6 2018-2020</v>
          </cell>
          <cell r="H27" t="str">
            <v>E 6 d-Temp</v>
          </cell>
        </row>
        <row r="28">
          <cell r="B28" t="str">
            <v>Light Commercial Vehicles</v>
          </cell>
          <cell r="C28" t="str">
            <v>LDV</v>
          </cell>
          <cell r="D28" t="str">
            <v>Diesel</v>
          </cell>
          <cell r="E28" t="str">
            <v>N1-I</v>
          </cell>
          <cell r="F28" t="str">
            <v>N1-I</v>
          </cell>
          <cell r="G28" t="str">
            <v>Conventional</v>
          </cell>
          <cell r="H28" t="str">
            <v>Conventional</v>
          </cell>
        </row>
        <row r="29">
          <cell r="B29" t="str">
            <v>Light Commercial Vehicles</v>
          </cell>
          <cell r="C29" t="str">
            <v>LDV</v>
          </cell>
          <cell r="D29" t="str">
            <v>Diesel</v>
          </cell>
          <cell r="E29" t="str">
            <v>N1-I</v>
          </cell>
          <cell r="F29" t="str">
            <v>N1-I</v>
          </cell>
          <cell r="G29" t="str">
            <v>Euro 1</v>
          </cell>
          <cell r="H29" t="str">
            <v>E1</v>
          </cell>
        </row>
        <row r="30">
          <cell r="B30" t="str">
            <v>Light Commercial Vehicles</v>
          </cell>
          <cell r="C30" t="str">
            <v>LDV</v>
          </cell>
          <cell r="D30" t="str">
            <v>Diesel</v>
          </cell>
          <cell r="E30" t="str">
            <v>N1-I</v>
          </cell>
          <cell r="F30" t="str">
            <v>N1-I</v>
          </cell>
          <cell r="G30" t="str">
            <v>Euro 2</v>
          </cell>
          <cell r="H30" t="str">
            <v>E2</v>
          </cell>
        </row>
        <row r="31">
          <cell r="B31" t="str">
            <v>Light Commercial Vehicles</v>
          </cell>
          <cell r="C31" t="str">
            <v>LDV</v>
          </cell>
          <cell r="D31" t="str">
            <v>Diesel</v>
          </cell>
          <cell r="E31" t="str">
            <v>N1-I</v>
          </cell>
          <cell r="F31" t="str">
            <v>N1-I</v>
          </cell>
          <cell r="G31" t="str">
            <v>Euro 3</v>
          </cell>
          <cell r="H31" t="str">
            <v>E3</v>
          </cell>
        </row>
        <row r="32">
          <cell r="B32" t="str">
            <v>Light Commercial Vehicles</v>
          </cell>
          <cell r="C32" t="str">
            <v>LDV</v>
          </cell>
          <cell r="D32" t="str">
            <v>Diesel</v>
          </cell>
          <cell r="E32" t="str">
            <v>N1-I</v>
          </cell>
          <cell r="F32" t="str">
            <v>N1-I</v>
          </cell>
          <cell r="G32" t="str">
            <v>Euro 4</v>
          </cell>
          <cell r="H32" t="str">
            <v>E4</v>
          </cell>
        </row>
        <row r="33">
          <cell r="B33" t="str">
            <v>Light Commercial Vehicles</v>
          </cell>
          <cell r="C33" t="str">
            <v>LDV</v>
          </cell>
          <cell r="D33" t="str">
            <v>Diesel</v>
          </cell>
          <cell r="E33" t="str">
            <v>N1-I</v>
          </cell>
          <cell r="F33" t="str">
            <v>N1-I</v>
          </cell>
          <cell r="G33" t="str">
            <v>Euro 5</v>
          </cell>
          <cell r="H33" t="str">
            <v>E5</v>
          </cell>
        </row>
        <row r="34">
          <cell r="B34" t="str">
            <v>Light Commercial Vehicles</v>
          </cell>
          <cell r="C34" t="str">
            <v>LDV</v>
          </cell>
          <cell r="D34" t="str">
            <v>Diesel</v>
          </cell>
          <cell r="E34" t="str">
            <v>N1-I</v>
          </cell>
          <cell r="F34" t="str">
            <v>N1-I</v>
          </cell>
          <cell r="G34" t="str">
            <v>Euro 6 up to 2016</v>
          </cell>
          <cell r="H34" t="str">
            <v>E 6 b</v>
          </cell>
        </row>
        <row r="35">
          <cell r="B35" t="str">
            <v>Light Commercial Vehicles</v>
          </cell>
          <cell r="C35" t="str">
            <v>LDV</v>
          </cell>
          <cell r="D35" t="str">
            <v>Diesel</v>
          </cell>
          <cell r="E35" t="str">
            <v>N1-I</v>
          </cell>
          <cell r="F35" t="str">
            <v>N1-I</v>
          </cell>
          <cell r="G35" t="str">
            <v>Euro 6 2017-2019</v>
          </cell>
          <cell r="H35" t="str">
            <v>E 6 d-Temp</v>
          </cell>
        </row>
        <row r="36">
          <cell r="B36" t="str">
            <v>Light Commercial Vehicles</v>
          </cell>
          <cell r="C36" t="str">
            <v>LDV</v>
          </cell>
          <cell r="D36" t="str">
            <v>Diesel</v>
          </cell>
          <cell r="E36" t="str">
            <v>N1-II</v>
          </cell>
          <cell r="F36" t="str">
            <v>N1-II</v>
          </cell>
          <cell r="G36" t="str">
            <v>Conventional</v>
          </cell>
          <cell r="H36" t="str">
            <v>Conventional</v>
          </cell>
        </row>
        <row r="37">
          <cell r="B37" t="str">
            <v>Light Commercial Vehicles</v>
          </cell>
          <cell r="C37" t="str">
            <v>LDV</v>
          </cell>
          <cell r="D37" t="str">
            <v>Diesel</v>
          </cell>
          <cell r="E37" t="str">
            <v>N1-II</v>
          </cell>
          <cell r="F37" t="str">
            <v>N1-II</v>
          </cell>
          <cell r="G37" t="str">
            <v>Euro 1</v>
          </cell>
          <cell r="H37" t="str">
            <v>E1</v>
          </cell>
        </row>
        <row r="38">
          <cell r="B38" t="str">
            <v>Light Commercial Vehicles</v>
          </cell>
          <cell r="C38" t="str">
            <v>LDV</v>
          </cell>
          <cell r="D38" t="str">
            <v>Diesel</v>
          </cell>
          <cell r="E38" t="str">
            <v>N1-II</v>
          </cell>
          <cell r="F38" t="str">
            <v>N1-II</v>
          </cell>
          <cell r="G38" t="str">
            <v>Euro 2</v>
          </cell>
          <cell r="H38" t="str">
            <v>E2</v>
          </cell>
        </row>
        <row r="39">
          <cell r="B39" t="str">
            <v>Light Commercial Vehicles</v>
          </cell>
          <cell r="C39" t="str">
            <v>LDV</v>
          </cell>
          <cell r="D39" t="str">
            <v>Diesel</v>
          </cell>
          <cell r="E39" t="str">
            <v>N1-II</v>
          </cell>
          <cell r="F39" t="str">
            <v>N1-II</v>
          </cell>
          <cell r="G39" t="str">
            <v>Euro 3</v>
          </cell>
          <cell r="H39" t="str">
            <v>E3</v>
          </cell>
        </row>
        <row r="40">
          <cell r="B40" t="str">
            <v>Light Commercial Vehicles</v>
          </cell>
          <cell r="C40" t="str">
            <v>LDV</v>
          </cell>
          <cell r="D40" t="str">
            <v>Diesel</v>
          </cell>
          <cell r="E40" t="str">
            <v>N1-II</v>
          </cell>
          <cell r="F40" t="str">
            <v>N1-II</v>
          </cell>
          <cell r="G40" t="str">
            <v>Euro 4</v>
          </cell>
          <cell r="H40" t="str">
            <v>E4</v>
          </cell>
        </row>
        <row r="41">
          <cell r="B41" t="str">
            <v>Light Commercial Vehicles</v>
          </cell>
          <cell r="C41" t="str">
            <v>LDV</v>
          </cell>
          <cell r="D41" t="str">
            <v>Diesel</v>
          </cell>
          <cell r="E41" t="str">
            <v>N1-II</v>
          </cell>
          <cell r="F41" t="str">
            <v>N1-II</v>
          </cell>
          <cell r="G41" t="str">
            <v>Euro 5</v>
          </cell>
          <cell r="H41" t="str">
            <v>E5</v>
          </cell>
        </row>
        <row r="42">
          <cell r="B42" t="str">
            <v>Light Commercial Vehicles</v>
          </cell>
          <cell r="C42" t="str">
            <v>LDV</v>
          </cell>
          <cell r="D42" t="str">
            <v>Diesel</v>
          </cell>
          <cell r="E42" t="str">
            <v>N1-II</v>
          </cell>
          <cell r="F42" t="str">
            <v>N1-II</v>
          </cell>
          <cell r="G42" t="str">
            <v>Euro 6 up to 2017</v>
          </cell>
          <cell r="H42" t="str">
            <v>E 6 b</v>
          </cell>
        </row>
        <row r="43">
          <cell r="B43" t="str">
            <v>Light Commercial Vehicles</v>
          </cell>
          <cell r="C43" t="str">
            <v>LDV</v>
          </cell>
          <cell r="D43" t="str">
            <v>Diesel</v>
          </cell>
          <cell r="E43" t="str">
            <v>N1-II</v>
          </cell>
          <cell r="F43" t="str">
            <v>N1-II</v>
          </cell>
          <cell r="G43" t="str">
            <v>Euro 6 2018-2020</v>
          </cell>
          <cell r="H43" t="str">
            <v>E 6 d-Temp</v>
          </cell>
        </row>
        <row r="44">
          <cell r="B44" t="str">
            <v>Light Commercial Vehicles</v>
          </cell>
          <cell r="C44" t="str">
            <v>LDV</v>
          </cell>
          <cell r="D44" t="str">
            <v>Diesel</v>
          </cell>
          <cell r="E44" t="str">
            <v>N1-III</v>
          </cell>
          <cell r="F44" t="str">
            <v>N1-III</v>
          </cell>
          <cell r="G44" t="str">
            <v>Conventional</v>
          </cell>
          <cell r="H44" t="str">
            <v>Conventional</v>
          </cell>
        </row>
        <row r="45">
          <cell r="B45" t="str">
            <v>Light Commercial Vehicles</v>
          </cell>
          <cell r="C45" t="str">
            <v>LDV</v>
          </cell>
          <cell r="D45" t="str">
            <v>Diesel</v>
          </cell>
          <cell r="E45" t="str">
            <v>N1-III</v>
          </cell>
          <cell r="F45" t="str">
            <v>N1-III</v>
          </cell>
          <cell r="G45" t="str">
            <v>Euro 1</v>
          </cell>
          <cell r="H45" t="str">
            <v>E1</v>
          </cell>
        </row>
        <row r="46">
          <cell r="B46" t="str">
            <v>Light Commercial Vehicles</v>
          </cell>
          <cell r="C46" t="str">
            <v>LDV</v>
          </cell>
          <cell r="D46" t="str">
            <v>Diesel</v>
          </cell>
          <cell r="E46" t="str">
            <v>N1-III</v>
          </cell>
          <cell r="F46" t="str">
            <v>N1-III</v>
          </cell>
          <cell r="G46" t="str">
            <v>Euro 2</v>
          </cell>
          <cell r="H46" t="str">
            <v>E2</v>
          </cell>
        </row>
        <row r="47">
          <cell r="B47" t="str">
            <v>Light Commercial Vehicles</v>
          </cell>
          <cell r="C47" t="str">
            <v>LDV</v>
          </cell>
          <cell r="D47" t="str">
            <v>Diesel</v>
          </cell>
          <cell r="E47" t="str">
            <v>N1-III</v>
          </cell>
          <cell r="F47" t="str">
            <v>N1-III</v>
          </cell>
          <cell r="G47" t="str">
            <v>Euro 3</v>
          </cell>
          <cell r="H47" t="str">
            <v>E3</v>
          </cell>
        </row>
        <row r="48">
          <cell r="B48" t="str">
            <v>Light Commercial Vehicles</v>
          </cell>
          <cell r="C48" t="str">
            <v>LDV</v>
          </cell>
          <cell r="D48" t="str">
            <v>Diesel</v>
          </cell>
          <cell r="E48" t="str">
            <v>N1-III</v>
          </cell>
          <cell r="F48" t="str">
            <v>N1-III</v>
          </cell>
          <cell r="G48" t="str">
            <v>Euro 4</v>
          </cell>
          <cell r="H48" t="str">
            <v>E4</v>
          </cell>
        </row>
        <row r="49">
          <cell r="B49" t="str">
            <v>Light Commercial Vehicles</v>
          </cell>
          <cell r="C49" t="str">
            <v>LDV</v>
          </cell>
          <cell r="D49" t="str">
            <v>Diesel</v>
          </cell>
          <cell r="E49" t="str">
            <v>N1-III</v>
          </cell>
          <cell r="F49" t="str">
            <v>N1-III</v>
          </cell>
          <cell r="G49" t="str">
            <v>Euro 5</v>
          </cell>
          <cell r="H49" t="str">
            <v>E5</v>
          </cell>
        </row>
        <row r="50">
          <cell r="B50" t="str">
            <v>Light Commercial Vehicles</v>
          </cell>
          <cell r="C50" t="str">
            <v>LDV</v>
          </cell>
          <cell r="D50" t="str">
            <v>Diesel</v>
          </cell>
          <cell r="E50" t="str">
            <v>N1-III</v>
          </cell>
          <cell r="F50" t="str">
            <v>N1-III</v>
          </cell>
          <cell r="G50" t="str">
            <v>Euro 6 up to 2017</v>
          </cell>
          <cell r="H50" t="str">
            <v>E 6 b</v>
          </cell>
        </row>
        <row r="51">
          <cell r="B51" t="str">
            <v>Light Commercial Vehicles</v>
          </cell>
          <cell r="C51" t="str">
            <v>LDV</v>
          </cell>
          <cell r="D51" t="str">
            <v>Diesel</v>
          </cell>
          <cell r="E51" t="str">
            <v>N1-III</v>
          </cell>
          <cell r="F51" t="str">
            <v>N1-III</v>
          </cell>
          <cell r="G51" t="str">
            <v>Euro 6 2018-2020</v>
          </cell>
          <cell r="H51" t="str">
            <v>E 6 d-Temp</v>
          </cell>
        </row>
        <row r="52">
          <cell r="B52" t="str">
            <v>Heavy Duty Trucks</v>
          </cell>
          <cell r="C52" t="str">
            <v>HDV</v>
          </cell>
          <cell r="D52" t="str">
            <v>Petrol</v>
          </cell>
          <cell r="E52" t="str">
            <v>&gt;3,5 t</v>
          </cell>
          <cell r="F52" t="str">
            <v>&gt;3,5 t</v>
          </cell>
          <cell r="G52" t="str">
            <v>Conventional</v>
          </cell>
          <cell r="H52" t="str">
            <v>Conventional</v>
          </cell>
        </row>
        <row r="53">
          <cell r="B53" t="str">
            <v>Heavy Duty Trucks</v>
          </cell>
          <cell r="C53" t="str">
            <v>HDV</v>
          </cell>
          <cell r="D53" t="str">
            <v>Diesel</v>
          </cell>
          <cell r="E53" t="str">
            <v>Rigid &lt;=7,5 t</v>
          </cell>
          <cell r="F53" t="str">
            <v>Rigid &lt;=7,5 t</v>
          </cell>
          <cell r="G53" t="str">
            <v>Conventional</v>
          </cell>
          <cell r="H53" t="str">
            <v>Conventional</v>
          </cell>
        </row>
        <row r="54">
          <cell r="B54" t="str">
            <v>Heavy Duty Trucks</v>
          </cell>
          <cell r="C54" t="str">
            <v>HDV</v>
          </cell>
          <cell r="D54" t="str">
            <v>Diesel</v>
          </cell>
          <cell r="E54" t="str">
            <v>Rigid &lt;=7,5 t</v>
          </cell>
          <cell r="F54" t="str">
            <v>Rigid &lt;=7,5 t</v>
          </cell>
          <cell r="G54" t="str">
            <v>Euro I</v>
          </cell>
          <cell r="H54" t="str">
            <v>E I</v>
          </cell>
        </row>
        <row r="55">
          <cell r="B55" t="str">
            <v>Heavy Duty Trucks</v>
          </cell>
          <cell r="C55" t="str">
            <v>HDV</v>
          </cell>
          <cell r="D55" t="str">
            <v>Diesel</v>
          </cell>
          <cell r="E55" t="str">
            <v>Rigid &lt;=7,5 t</v>
          </cell>
          <cell r="F55" t="str">
            <v>Rigid &lt;=7,5 t</v>
          </cell>
          <cell r="G55" t="str">
            <v>Euro II</v>
          </cell>
          <cell r="H55" t="str">
            <v>E II</v>
          </cell>
        </row>
        <row r="56">
          <cell r="B56" t="str">
            <v>Heavy Duty Trucks</v>
          </cell>
          <cell r="C56" t="str">
            <v>HDV</v>
          </cell>
          <cell r="D56" t="str">
            <v>Diesel</v>
          </cell>
          <cell r="E56" t="str">
            <v>Rigid &lt;=7,5 t</v>
          </cell>
          <cell r="F56" t="str">
            <v>Rigid &lt;=7,5 t</v>
          </cell>
          <cell r="G56" t="str">
            <v>Euro III</v>
          </cell>
          <cell r="H56" t="str">
            <v>E III</v>
          </cell>
        </row>
        <row r="57">
          <cell r="B57" t="str">
            <v>Heavy Duty Trucks</v>
          </cell>
          <cell r="C57" t="str">
            <v>HDV</v>
          </cell>
          <cell r="D57" t="str">
            <v>Diesel</v>
          </cell>
          <cell r="E57" t="str">
            <v>Rigid &lt;=7,5 t</v>
          </cell>
          <cell r="F57" t="str">
            <v>Rigid &lt;=7,5 t</v>
          </cell>
          <cell r="G57" t="str">
            <v>Euro IV</v>
          </cell>
          <cell r="H57" t="str">
            <v>E IV</v>
          </cell>
        </row>
        <row r="58">
          <cell r="B58" t="str">
            <v>Heavy Duty Trucks</v>
          </cell>
          <cell r="C58" t="str">
            <v>HDV</v>
          </cell>
          <cell r="D58" t="str">
            <v>Diesel</v>
          </cell>
          <cell r="E58" t="str">
            <v>Rigid &lt;=7,5 t</v>
          </cell>
          <cell r="F58" t="str">
            <v>Rigid &lt;=7,5 t</v>
          </cell>
          <cell r="G58" t="str">
            <v>Euro V</v>
          </cell>
          <cell r="H58" t="str">
            <v>E V</v>
          </cell>
        </row>
        <row r="59">
          <cell r="B59" t="str">
            <v>Heavy Duty Trucks</v>
          </cell>
          <cell r="C59" t="str">
            <v>HDV</v>
          </cell>
          <cell r="D59" t="str">
            <v>Diesel</v>
          </cell>
          <cell r="E59" t="str">
            <v>Rigid &lt;=7,5 t</v>
          </cell>
          <cell r="F59" t="str">
            <v>Rigid &lt;=7,5 t</v>
          </cell>
          <cell r="G59" t="str">
            <v>Euro VI</v>
          </cell>
          <cell r="H59" t="str">
            <v>E VI</v>
          </cell>
        </row>
        <row r="60">
          <cell r="B60" t="str">
            <v>Heavy Duty Trucks</v>
          </cell>
          <cell r="C60" t="str">
            <v>HDV</v>
          </cell>
          <cell r="D60" t="str">
            <v>Diesel</v>
          </cell>
          <cell r="E60" t="str">
            <v>Rigid 7,5 - 12 t</v>
          </cell>
          <cell r="F60" t="str">
            <v>Rigid 7,5 - 12 t</v>
          </cell>
          <cell r="G60" t="str">
            <v>Conventional</v>
          </cell>
          <cell r="H60" t="str">
            <v>Conventional</v>
          </cell>
        </row>
        <row r="61">
          <cell r="B61" t="str">
            <v>Heavy Duty Trucks</v>
          </cell>
          <cell r="C61" t="str">
            <v>HDV</v>
          </cell>
          <cell r="D61" t="str">
            <v>Diesel</v>
          </cell>
          <cell r="E61" t="str">
            <v>Rigid 7,5 - 12 t</v>
          </cell>
          <cell r="F61" t="str">
            <v>Rigid 7,5 - 12 t</v>
          </cell>
          <cell r="G61" t="str">
            <v>Euro I</v>
          </cell>
          <cell r="H61" t="str">
            <v>E I</v>
          </cell>
        </row>
        <row r="62">
          <cell r="B62" t="str">
            <v>Heavy Duty Trucks</v>
          </cell>
          <cell r="C62" t="str">
            <v>HDV</v>
          </cell>
          <cell r="D62" t="str">
            <v>Diesel</v>
          </cell>
          <cell r="E62" t="str">
            <v>Rigid 7,5 - 12 t</v>
          </cell>
          <cell r="F62" t="str">
            <v>Rigid 7,5 - 12 t</v>
          </cell>
          <cell r="G62" t="str">
            <v>Euro II</v>
          </cell>
          <cell r="H62" t="str">
            <v>E II</v>
          </cell>
        </row>
        <row r="63">
          <cell r="B63" t="str">
            <v>Heavy Duty Trucks</v>
          </cell>
          <cell r="C63" t="str">
            <v>HDV</v>
          </cell>
          <cell r="D63" t="str">
            <v>Diesel</v>
          </cell>
          <cell r="E63" t="str">
            <v>Rigid 7,5 - 12 t</v>
          </cell>
          <cell r="F63" t="str">
            <v>Rigid 7,5 - 12 t</v>
          </cell>
          <cell r="G63" t="str">
            <v>Euro III</v>
          </cell>
          <cell r="H63" t="str">
            <v>E III</v>
          </cell>
        </row>
        <row r="64">
          <cell r="B64" t="str">
            <v>Heavy Duty Trucks</v>
          </cell>
          <cell r="C64" t="str">
            <v>HDV</v>
          </cell>
          <cell r="D64" t="str">
            <v>Diesel</v>
          </cell>
          <cell r="E64" t="str">
            <v>Rigid 7,5 - 12 t</v>
          </cell>
          <cell r="F64" t="str">
            <v>Rigid 7,5 - 12 t</v>
          </cell>
          <cell r="G64" t="str">
            <v>Euro IV</v>
          </cell>
          <cell r="H64" t="str">
            <v>E IV</v>
          </cell>
        </row>
        <row r="65">
          <cell r="B65" t="str">
            <v>Heavy Duty Trucks</v>
          </cell>
          <cell r="C65" t="str">
            <v>HDV</v>
          </cell>
          <cell r="D65" t="str">
            <v>Diesel</v>
          </cell>
          <cell r="E65" t="str">
            <v>Rigid 7,5 - 12 t</v>
          </cell>
          <cell r="F65" t="str">
            <v>Rigid 7,5 - 12 t</v>
          </cell>
          <cell r="G65" t="str">
            <v>Euro V</v>
          </cell>
          <cell r="H65" t="str">
            <v>E V</v>
          </cell>
        </row>
        <row r="66">
          <cell r="B66" t="str">
            <v>Heavy Duty Trucks</v>
          </cell>
          <cell r="C66" t="str">
            <v>HDV</v>
          </cell>
          <cell r="D66" t="str">
            <v>Diesel</v>
          </cell>
          <cell r="E66" t="str">
            <v>Rigid 7,5 - 12 t</v>
          </cell>
          <cell r="F66" t="str">
            <v>Rigid 7,5 - 12 t</v>
          </cell>
          <cell r="G66" t="str">
            <v>Euro VI</v>
          </cell>
          <cell r="H66" t="str">
            <v>E VI</v>
          </cell>
        </row>
        <row r="67">
          <cell r="B67" t="str">
            <v>Heavy Duty Trucks</v>
          </cell>
          <cell r="C67" t="str">
            <v>HDV</v>
          </cell>
          <cell r="D67" t="str">
            <v>Diesel</v>
          </cell>
          <cell r="E67" t="str">
            <v>Rigid 12 - 14 t</v>
          </cell>
          <cell r="F67" t="str">
            <v>Rigid 12 - 14 t</v>
          </cell>
          <cell r="G67" t="str">
            <v>Conventional</v>
          </cell>
          <cell r="H67" t="str">
            <v>Conventional</v>
          </cell>
        </row>
        <row r="68">
          <cell r="B68" t="str">
            <v>Heavy Duty Trucks</v>
          </cell>
          <cell r="C68" t="str">
            <v>HDV</v>
          </cell>
          <cell r="D68" t="str">
            <v>Diesel</v>
          </cell>
          <cell r="E68" t="str">
            <v>Rigid 12 - 14 t</v>
          </cell>
          <cell r="F68" t="str">
            <v>Rigid 12 - 14 t</v>
          </cell>
          <cell r="G68" t="str">
            <v>Euro I</v>
          </cell>
          <cell r="H68" t="str">
            <v>E I</v>
          </cell>
        </row>
        <row r="69">
          <cell r="B69" t="str">
            <v>Heavy Duty Trucks</v>
          </cell>
          <cell r="C69" t="str">
            <v>HDV</v>
          </cell>
          <cell r="D69" t="str">
            <v>Diesel</v>
          </cell>
          <cell r="E69" t="str">
            <v>Rigid 12 - 14 t</v>
          </cell>
          <cell r="F69" t="str">
            <v>Rigid 12 - 14 t</v>
          </cell>
          <cell r="G69" t="str">
            <v>Euro II</v>
          </cell>
          <cell r="H69" t="str">
            <v>E II</v>
          </cell>
        </row>
        <row r="70">
          <cell r="B70" t="str">
            <v>Heavy Duty Trucks</v>
          </cell>
          <cell r="C70" t="str">
            <v>HDV</v>
          </cell>
          <cell r="D70" t="str">
            <v>Diesel</v>
          </cell>
          <cell r="E70" t="str">
            <v>Rigid 12 - 14 t</v>
          </cell>
          <cell r="F70" t="str">
            <v>Rigid 12 - 14 t</v>
          </cell>
          <cell r="G70" t="str">
            <v>Euro III</v>
          </cell>
          <cell r="H70" t="str">
            <v>E III</v>
          </cell>
        </row>
        <row r="71">
          <cell r="B71" t="str">
            <v>Heavy Duty Trucks</v>
          </cell>
          <cell r="C71" t="str">
            <v>HDV</v>
          </cell>
          <cell r="D71" t="str">
            <v>Diesel</v>
          </cell>
          <cell r="E71" t="str">
            <v>Rigid 12 - 14 t</v>
          </cell>
          <cell r="F71" t="str">
            <v>Rigid 12 - 14 t</v>
          </cell>
          <cell r="G71" t="str">
            <v>Euro IV</v>
          </cell>
          <cell r="H71" t="str">
            <v>E IV</v>
          </cell>
        </row>
        <row r="72">
          <cell r="B72" t="str">
            <v>Heavy Duty Trucks</v>
          </cell>
          <cell r="C72" t="str">
            <v>HDV</v>
          </cell>
          <cell r="D72" t="str">
            <v>Diesel</v>
          </cell>
          <cell r="E72" t="str">
            <v>Rigid 12 - 14 t</v>
          </cell>
          <cell r="F72" t="str">
            <v>Rigid 12 - 14 t</v>
          </cell>
          <cell r="G72" t="str">
            <v>Euro V</v>
          </cell>
          <cell r="H72" t="str">
            <v>E V</v>
          </cell>
        </row>
        <row r="73">
          <cell r="B73" t="str">
            <v>Heavy Duty Trucks</v>
          </cell>
          <cell r="C73" t="str">
            <v>HDV</v>
          </cell>
          <cell r="D73" t="str">
            <v>Diesel</v>
          </cell>
          <cell r="E73" t="str">
            <v>Rigid 12 - 14 t</v>
          </cell>
          <cell r="F73" t="str">
            <v>Rigid 12 - 14 t</v>
          </cell>
          <cell r="G73" t="str">
            <v>Euro VI</v>
          </cell>
          <cell r="H73" t="str">
            <v>E VI</v>
          </cell>
        </row>
        <row r="74">
          <cell r="B74" t="str">
            <v>Heavy Duty Trucks</v>
          </cell>
          <cell r="C74" t="str">
            <v>HDV</v>
          </cell>
          <cell r="D74" t="str">
            <v>Diesel</v>
          </cell>
          <cell r="E74" t="str">
            <v>Rigid 14 - 20 t</v>
          </cell>
          <cell r="F74" t="str">
            <v>Rigid 14 - 20 t</v>
          </cell>
          <cell r="G74" t="str">
            <v>Conventional</v>
          </cell>
          <cell r="H74" t="str">
            <v>Conventional</v>
          </cell>
        </row>
        <row r="75">
          <cell r="B75" t="str">
            <v>Heavy Duty Trucks</v>
          </cell>
          <cell r="C75" t="str">
            <v>HDV</v>
          </cell>
          <cell r="D75" t="str">
            <v>Diesel</v>
          </cell>
          <cell r="E75" t="str">
            <v>Rigid 14 - 20 t</v>
          </cell>
          <cell r="F75" t="str">
            <v>Rigid 14 - 20 t</v>
          </cell>
          <cell r="G75" t="str">
            <v>Euro I</v>
          </cell>
          <cell r="H75" t="str">
            <v>E I</v>
          </cell>
        </row>
        <row r="76">
          <cell r="B76" t="str">
            <v>Heavy Duty Trucks</v>
          </cell>
          <cell r="C76" t="str">
            <v>HDV</v>
          </cell>
          <cell r="D76" t="str">
            <v>Diesel</v>
          </cell>
          <cell r="E76" t="str">
            <v>Rigid 14 - 20 t</v>
          </cell>
          <cell r="F76" t="str">
            <v>Rigid 14 - 20 t</v>
          </cell>
          <cell r="G76" t="str">
            <v>Euro II</v>
          </cell>
          <cell r="H76" t="str">
            <v>E II</v>
          </cell>
        </row>
        <row r="77">
          <cell r="B77" t="str">
            <v>Heavy Duty Trucks</v>
          </cell>
          <cell r="C77" t="str">
            <v>HDV</v>
          </cell>
          <cell r="D77" t="str">
            <v>Diesel</v>
          </cell>
          <cell r="E77" t="str">
            <v>Rigid 14 - 20 t</v>
          </cell>
          <cell r="F77" t="str">
            <v>Rigid 14 - 20 t</v>
          </cell>
          <cell r="G77" t="str">
            <v>Euro III</v>
          </cell>
          <cell r="H77" t="str">
            <v>E III</v>
          </cell>
        </row>
        <row r="78">
          <cell r="B78" t="str">
            <v>Heavy Duty Trucks</v>
          </cell>
          <cell r="C78" t="str">
            <v>HDV</v>
          </cell>
          <cell r="D78" t="str">
            <v>Diesel</v>
          </cell>
          <cell r="E78" t="str">
            <v>Rigid 14 - 20 t</v>
          </cell>
          <cell r="F78" t="str">
            <v>Rigid 14 - 20 t</v>
          </cell>
          <cell r="G78" t="str">
            <v>Euro IV</v>
          </cell>
          <cell r="H78" t="str">
            <v>E IV</v>
          </cell>
        </row>
        <row r="79">
          <cell r="B79" t="str">
            <v>Heavy Duty Trucks</v>
          </cell>
          <cell r="C79" t="str">
            <v>HDV</v>
          </cell>
          <cell r="D79" t="str">
            <v>Diesel</v>
          </cell>
          <cell r="E79" t="str">
            <v>Rigid 14 - 20 t</v>
          </cell>
          <cell r="F79" t="str">
            <v>Rigid 14 - 20 t</v>
          </cell>
          <cell r="G79" t="str">
            <v>Euro V</v>
          </cell>
          <cell r="H79" t="str">
            <v>E V</v>
          </cell>
        </row>
        <row r="80">
          <cell r="B80" t="str">
            <v>Heavy Duty Trucks</v>
          </cell>
          <cell r="C80" t="str">
            <v>HDV</v>
          </cell>
          <cell r="D80" t="str">
            <v>Diesel</v>
          </cell>
          <cell r="E80" t="str">
            <v>Rigid 14 - 20 t</v>
          </cell>
          <cell r="F80" t="str">
            <v>Rigid 14 - 20 t</v>
          </cell>
          <cell r="G80" t="str">
            <v>Euro VI</v>
          </cell>
          <cell r="H80" t="str">
            <v>E VI</v>
          </cell>
        </row>
        <row r="81">
          <cell r="B81" t="str">
            <v>Heavy Duty Trucks</v>
          </cell>
          <cell r="C81" t="str">
            <v>HDV</v>
          </cell>
          <cell r="D81" t="str">
            <v>Diesel</v>
          </cell>
          <cell r="E81" t="str">
            <v>Rigid 20 - 26 t</v>
          </cell>
          <cell r="F81" t="str">
            <v>Rigid 20 - 26 t</v>
          </cell>
          <cell r="G81" t="str">
            <v>Conventional</v>
          </cell>
          <cell r="H81" t="str">
            <v>Conventional</v>
          </cell>
        </row>
        <row r="82">
          <cell r="B82" t="str">
            <v>Heavy Duty Trucks</v>
          </cell>
          <cell r="C82" t="str">
            <v>HDV</v>
          </cell>
          <cell r="D82" t="str">
            <v>Diesel</v>
          </cell>
          <cell r="E82" t="str">
            <v>Rigid 20 - 26 t</v>
          </cell>
          <cell r="F82" t="str">
            <v>Rigid 20 - 26 t</v>
          </cell>
          <cell r="G82" t="str">
            <v>Euro I</v>
          </cell>
          <cell r="H82" t="str">
            <v>E I</v>
          </cell>
        </row>
        <row r="83">
          <cell r="B83" t="str">
            <v>Heavy Duty Trucks</v>
          </cell>
          <cell r="C83" t="str">
            <v>HDV</v>
          </cell>
          <cell r="D83" t="str">
            <v>Diesel</v>
          </cell>
          <cell r="E83" t="str">
            <v>Rigid 20 - 26 t</v>
          </cell>
          <cell r="F83" t="str">
            <v>Rigid 20 - 26 t</v>
          </cell>
          <cell r="G83" t="str">
            <v>Euro II</v>
          </cell>
          <cell r="H83" t="str">
            <v>E II</v>
          </cell>
        </row>
        <row r="84">
          <cell r="B84" t="str">
            <v>Heavy Duty Trucks</v>
          </cell>
          <cell r="C84" t="str">
            <v>HDV</v>
          </cell>
          <cell r="D84" t="str">
            <v>Diesel</v>
          </cell>
          <cell r="E84" t="str">
            <v>Rigid 20 - 26 t</v>
          </cell>
          <cell r="F84" t="str">
            <v>Rigid 20 - 26 t</v>
          </cell>
          <cell r="G84" t="str">
            <v>Euro III</v>
          </cell>
          <cell r="H84" t="str">
            <v>E III</v>
          </cell>
        </row>
        <row r="85">
          <cell r="B85" t="str">
            <v>Heavy Duty Trucks</v>
          </cell>
          <cell r="C85" t="str">
            <v>HDV</v>
          </cell>
          <cell r="D85" t="str">
            <v>Diesel</v>
          </cell>
          <cell r="E85" t="str">
            <v>Rigid 20 - 26 t</v>
          </cell>
          <cell r="F85" t="str">
            <v>Rigid 20 - 26 t</v>
          </cell>
          <cell r="G85" t="str">
            <v>Euro IV</v>
          </cell>
          <cell r="H85" t="str">
            <v>E IV</v>
          </cell>
        </row>
        <row r="86">
          <cell r="B86" t="str">
            <v>Heavy Duty Trucks</v>
          </cell>
          <cell r="C86" t="str">
            <v>HDV</v>
          </cell>
          <cell r="D86" t="str">
            <v>Diesel</v>
          </cell>
          <cell r="E86" t="str">
            <v>Rigid 20 - 26 t</v>
          </cell>
          <cell r="F86" t="str">
            <v>Rigid 20 - 26 t</v>
          </cell>
          <cell r="G86" t="str">
            <v>Euro V</v>
          </cell>
          <cell r="H86" t="str">
            <v>E V</v>
          </cell>
        </row>
        <row r="87">
          <cell r="B87" t="str">
            <v>Heavy Duty Trucks</v>
          </cell>
          <cell r="C87" t="str">
            <v>HDV</v>
          </cell>
          <cell r="D87" t="str">
            <v>Diesel</v>
          </cell>
          <cell r="E87" t="str">
            <v>Rigid 20 - 26 t</v>
          </cell>
          <cell r="F87" t="str">
            <v>Rigid 20 - 26 t</v>
          </cell>
          <cell r="G87" t="str">
            <v>Euro VI</v>
          </cell>
          <cell r="H87" t="str">
            <v>E VI</v>
          </cell>
        </row>
        <row r="88">
          <cell r="B88" t="str">
            <v>Heavy Duty Trucks</v>
          </cell>
          <cell r="C88" t="str">
            <v>HDV</v>
          </cell>
          <cell r="D88" t="str">
            <v>Diesel</v>
          </cell>
          <cell r="E88" t="str">
            <v>Rigid 26 - 28 t</v>
          </cell>
          <cell r="F88" t="str">
            <v>Rigid 26 - 28 t</v>
          </cell>
          <cell r="G88" t="str">
            <v>Conventional</v>
          </cell>
          <cell r="H88" t="str">
            <v>Conventional</v>
          </cell>
        </row>
        <row r="89">
          <cell r="B89" t="str">
            <v>Heavy Duty Trucks</v>
          </cell>
          <cell r="C89" t="str">
            <v>HDV</v>
          </cell>
          <cell r="D89" t="str">
            <v>Diesel</v>
          </cell>
          <cell r="E89" t="str">
            <v>Rigid 26 - 28 t</v>
          </cell>
          <cell r="F89" t="str">
            <v>Rigid 26 - 28 t</v>
          </cell>
          <cell r="G89" t="str">
            <v>Euro I</v>
          </cell>
          <cell r="H89" t="str">
            <v>E I</v>
          </cell>
        </row>
        <row r="90">
          <cell r="B90" t="str">
            <v>Heavy Duty Trucks</v>
          </cell>
          <cell r="C90" t="str">
            <v>HDV</v>
          </cell>
          <cell r="D90" t="str">
            <v>Diesel</v>
          </cell>
          <cell r="E90" t="str">
            <v>Rigid 26 - 28 t</v>
          </cell>
          <cell r="F90" t="str">
            <v>Rigid 26 - 28 t</v>
          </cell>
          <cell r="G90" t="str">
            <v>Euro II</v>
          </cell>
          <cell r="H90" t="str">
            <v>E II</v>
          </cell>
        </row>
        <row r="91">
          <cell r="B91" t="str">
            <v>Heavy Duty Trucks</v>
          </cell>
          <cell r="C91" t="str">
            <v>HDV</v>
          </cell>
          <cell r="D91" t="str">
            <v>Diesel</v>
          </cell>
          <cell r="E91" t="str">
            <v>Rigid 26 - 28 t</v>
          </cell>
          <cell r="F91" t="str">
            <v>Rigid 26 - 28 t</v>
          </cell>
          <cell r="G91" t="str">
            <v>Euro III</v>
          </cell>
          <cell r="H91" t="str">
            <v>E III</v>
          </cell>
        </row>
        <row r="92">
          <cell r="B92" t="str">
            <v>Heavy Duty Trucks</v>
          </cell>
          <cell r="C92" t="str">
            <v>HDV</v>
          </cell>
          <cell r="D92" t="str">
            <v>Diesel</v>
          </cell>
          <cell r="E92" t="str">
            <v>Rigid 26 - 28 t</v>
          </cell>
          <cell r="F92" t="str">
            <v>Rigid 26 - 28 t</v>
          </cell>
          <cell r="G92" t="str">
            <v>Euro IV</v>
          </cell>
          <cell r="H92" t="str">
            <v>E IV</v>
          </cell>
        </row>
        <row r="93">
          <cell r="B93" t="str">
            <v>Heavy Duty Trucks</v>
          </cell>
          <cell r="C93" t="str">
            <v>HDV</v>
          </cell>
          <cell r="D93" t="str">
            <v>Diesel</v>
          </cell>
          <cell r="E93" t="str">
            <v>Rigid 26 - 28 t</v>
          </cell>
          <cell r="F93" t="str">
            <v>Rigid 26 - 28 t</v>
          </cell>
          <cell r="G93" t="str">
            <v>Euro V</v>
          </cell>
          <cell r="H93" t="str">
            <v>E V</v>
          </cell>
        </row>
        <row r="94">
          <cell r="B94" t="str">
            <v>Heavy Duty Trucks</v>
          </cell>
          <cell r="C94" t="str">
            <v>HDV</v>
          </cell>
          <cell r="D94" t="str">
            <v>Diesel</v>
          </cell>
          <cell r="E94" t="str">
            <v>Rigid 26 - 28 t</v>
          </cell>
          <cell r="F94" t="str">
            <v>Rigid 26 - 28 t</v>
          </cell>
          <cell r="G94" t="str">
            <v>Euro VI</v>
          </cell>
          <cell r="H94" t="str">
            <v>E VI</v>
          </cell>
        </row>
        <row r="95">
          <cell r="B95" t="str">
            <v>Heavy Duty Trucks</v>
          </cell>
          <cell r="C95" t="str">
            <v>HDV</v>
          </cell>
          <cell r="D95" t="str">
            <v>Diesel</v>
          </cell>
          <cell r="E95" t="str">
            <v>Rigid 28 - 32 t</v>
          </cell>
          <cell r="F95" t="str">
            <v>Rigid 28 - 32 t</v>
          </cell>
          <cell r="G95" t="str">
            <v>Conventional</v>
          </cell>
          <cell r="H95" t="str">
            <v>Conventional</v>
          </cell>
        </row>
        <row r="96">
          <cell r="B96" t="str">
            <v>Heavy Duty Trucks</v>
          </cell>
          <cell r="C96" t="str">
            <v>HDV</v>
          </cell>
          <cell r="D96" t="str">
            <v>Diesel</v>
          </cell>
          <cell r="E96" t="str">
            <v>Rigid 28 - 32 t</v>
          </cell>
          <cell r="F96" t="str">
            <v>Rigid 28 - 32 t</v>
          </cell>
          <cell r="G96" t="str">
            <v>Euro I</v>
          </cell>
          <cell r="H96" t="str">
            <v>E I</v>
          </cell>
        </row>
        <row r="97">
          <cell r="B97" t="str">
            <v>Heavy Duty Trucks</v>
          </cell>
          <cell r="C97" t="str">
            <v>HDV</v>
          </cell>
          <cell r="D97" t="str">
            <v>Diesel</v>
          </cell>
          <cell r="E97" t="str">
            <v>Rigid 28 - 32 t</v>
          </cell>
          <cell r="F97" t="str">
            <v>Rigid 28 - 32 t</v>
          </cell>
          <cell r="G97" t="str">
            <v>Euro II</v>
          </cell>
          <cell r="H97" t="str">
            <v>E II</v>
          </cell>
        </row>
        <row r="98">
          <cell r="B98" t="str">
            <v>Heavy Duty Trucks</v>
          </cell>
          <cell r="C98" t="str">
            <v>HDV</v>
          </cell>
          <cell r="D98" t="str">
            <v>Diesel</v>
          </cell>
          <cell r="E98" t="str">
            <v>Rigid 28 - 32 t</v>
          </cell>
          <cell r="F98" t="str">
            <v>Rigid 28 - 32 t</v>
          </cell>
          <cell r="G98" t="str">
            <v>Euro III</v>
          </cell>
          <cell r="H98" t="str">
            <v>E III</v>
          </cell>
        </row>
        <row r="99">
          <cell r="B99" t="str">
            <v>Heavy Duty Trucks</v>
          </cell>
          <cell r="C99" t="str">
            <v>HDV</v>
          </cell>
          <cell r="D99" t="str">
            <v>Diesel</v>
          </cell>
          <cell r="E99" t="str">
            <v>Rigid 28 - 32 t</v>
          </cell>
          <cell r="F99" t="str">
            <v>Rigid 28 - 32 t</v>
          </cell>
          <cell r="G99" t="str">
            <v>Euro IV</v>
          </cell>
          <cell r="H99" t="str">
            <v>E IV</v>
          </cell>
        </row>
        <row r="100">
          <cell r="B100" t="str">
            <v>Heavy Duty Trucks</v>
          </cell>
          <cell r="C100" t="str">
            <v>HDV</v>
          </cell>
          <cell r="D100" t="str">
            <v>Diesel</v>
          </cell>
          <cell r="E100" t="str">
            <v>Rigid 28 - 32 t</v>
          </cell>
          <cell r="F100" t="str">
            <v>Rigid 28 - 32 t</v>
          </cell>
          <cell r="G100" t="str">
            <v>Euro V</v>
          </cell>
          <cell r="H100" t="str">
            <v>E V</v>
          </cell>
        </row>
        <row r="101">
          <cell r="B101" t="str">
            <v>Heavy Duty Trucks</v>
          </cell>
          <cell r="C101" t="str">
            <v>HDV</v>
          </cell>
          <cell r="D101" t="str">
            <v>Diesel</v>
          </cell>
          <cell r="E101" t="str">
            <v>Rigid 28 - 32 t</v>
          </cell>
          <cell r="F101" t="str">
            <v>Rigid 28 - 32 t</v>
          </cell>
          <cell r="G101" t="str">
            <v>Euro VI</v>
          </cell>
          <cell r="H101" t="str">
            <v>E VI</v>
          </cell>
        </row>
        <row r="102">
          <cell r="B102" t="str">
            <v>Heavy Duty Trucks</v>
          </cell>
          <cell r="C102" t="str">
            <v>HDV</v>
          </cell>
          <cell r="D102" t="str">
            <v>Diesel</v>
          </cell>
          <cell r="E102" t="str">
            <v>Rigid &gt;32 t</v>
          </cell>
          <cell r="F102" t="str">
            <v>Rigid &gt;32 t</v>
          </cell>
          <cell r="G102" t="str">
            <v>Conventional</v>
          </cell>
          <cell r="H102" t="str">
            <v>Conventional</v>
          </cell>
        </row>
        <row r="103">
          <cell r="B103" t="str">
            <v>Heavy Duty Trucks</v>
          </cell>
          <cell r="C103" t="str">
            <v>HDV</v>
          </cell>
          <cell r="D103" t="str">
            <v>Diesel</v>
          </cell>
          <cell r="E103" t="str">
            <v>Rigid &gt;32 t</v>
          </cell>
          <cell r="F103" t="str">
            <v>Rigid &gt;32 t</v>
          </cell>
          <cell r="G103" t="str">
            <v>Euro I</v>
          </cell>
          <cell r="H103" t="str">
            <v>E I</v>
          </cell>
        </row>
        <row r="104">
          <cell r="B104" t="str">
            <v>Heavy Duty Trucks</v>
          </cell>
          <cell r="C104" t="str">
            <v>HDV</v>
          </cell>
          <cell r="D104" t="str">
            <v>Diesel</v>
          </cell>
          <cell r="E104" t="str">
            <v>Rigid &gt;32 t</v>
          </cell>
          <cell r="F104" t="str">
            <v>Rigid &gt;32 t</v>
          </cell>
          <cell r="G104" t="str">
            <v>Euro II</v>
          </cell>
          <cell r="H104" t="str">
            <v>E II</v>
          </cell>
        </row>
        <row r="105">
          <cell r="B105" t="str">
            <v>Heavy Duty Trucks</v>
          </cell>
          <cell r="C105" t="str">
            <v>HDV</v>
          </cell>
          <cell r="D105" t="str">
            <v>Diesel</v>
          </cell>
          <cell r="E105" t="str">
            <v>Rigid &gt;32 t</v>
          </cell>
          <cell r="F105" t="str">
            <v>Rigid &gt;32 t</v>
          </cell>
          <cell r="G105" t="str">
            <v>Euro III</v>
          </cell>
          <cell r="H105" t="str">
            <v>E III</v>
          </cell>
        </row>
        <row r="106">
          <cell r="B106" t="str">
            <v>Heavy Duty Trucks</v>
          </cell>
          <cell r="C106" t="str">
            <v>HDV</v>
          </cell>
          <cell r="D106" t="str">
            <v>Diesel</v>
          </cell>
          <cell r="E106" t="str">
            <v>Rigid &gt;32 t</v>
          </cell>
          <cell r="F106" t="str">
            <v>Rigid &gt;32 t</v>
          </cell>
          <cell r="G106" t="str">
            <v>Euro IV</v>
          </cell>
          <cell r="H106" t="str">
            <v>E IV</v>
          </cell>
        </row>
        <row r="107">
          <cell r="B107" t="str">
            <v>Heavy Duty Trucks</v>
          </cell>
          <cell r="C107" t="str">
            <v>HDV</v>
          </cell>
          <cell r="D107" t="str">
            <v>Diesel</v>
          </cell>
          <cell r="E107" t="str">
            <v>Rigid &gt;32 t</v>
          </cell>
          <cell r="F107" t="str">
            <v>Rigid &gt;32 t</v>
          </cell>
          <cell r="G107" t="str">
            <v>Euro V</v>
          </cell>
          <cell r="H107" t="str">
            <v>E V</v>
          </cell>
        </row>
        <row r="108">
          <cell r="B108" t="str">
            <v>Heavy Duty Trucks</v>
          </cell>
          <cell r="C108" t="str">
            <v>HDV</v>
          </cell>
          <cell r="D108" t="str">
            <v>Diesel</v>
          </cell>
          <cell r="E108" t="str">
            <v>Rigid &gt;32 t</v>
          </cell>
          <cell r="F108" t="str">
            <v>Rigid &gt;32 t</v>
          </cell>
          <cell r="G108" t="str">
            <v>Euro VI</v>
          </cell>
          <cell r="H108" t="str">
            <v>E VI</v>
          </cell>
        </row>
        <row r="109">
          <cell r="B109" t="str">
            <v>Heavy Duty Trucks</v>
          </cell>
          <cell r="C109" t="str">
            <v>HDV</v>
          </cell>
          <cell r="D109" t="str">
            <v>Diesel</v>
          </cell>
          <cell r="E109" t="str">
            <v>Articulated 40 - 50 t</v>
          </cell>
          <cell r="F109" t="str">
            <v>Articulated 40 - 50 t</v>
          </cell>
          <cell r="G109" t="str">
            <v>Conventional</v>
          </cell>
          <cell r="H109" t="str">
            <v>Conventional</v>
          </cell>
        </row>
        <row r="110">
          <cell r="B110" t="str">
            <v>Heavy Duty Trucks</v>
          </cell>
          <cell r="C110" t="str">
            <v>HDV</v>
          </cell>
          <cell r="D110" t="str">
            <v>Diesel</v>
          </cell>
          <cell r="E110" t="str">
            <v>Articulated 40 - 50 t</v>
          </cell>
          <cell r="F110" t="str">
            <v>Articulated 40 - 50 t</v>
          </cell>
          <cell r="G110" t="str">
            <v>Euro I</v>
          </cell>
          <cell r="H110" t="str">
            <v>E I</v>
          </cell>
        </row>
        <row r="111">
          <cell r="B111" t="str">
            <v>Heavy Duty Trucks</v>
          </cell>
          <cell r="C111" t="str">
            <v>HDV</v>
          </cell>
          <cell r="D111" t="str">
            <v>Diesel</v>
          </cell>
          <cell r="E111" t="str">
            <v>Articulated 40 - 50 t</v>
          </cell>
          <cell r="F111" t="str">
            <v>Articulated 40 - 50 t</v>
          </cell>
          <cell r="G111" t="str">
            <v>Euro II</v>
          </cell>
          <cell r="H111" t="str">
            <v>E II</v>
          </cell>
        </row>
        <row r="112">
          <cell r="B112" t="str">
            <v>Heavy Duty Trucks</v>
          </cell>
          <cell r="C112" t="str">
            <v>HDV</v>
          </cell>
          <cell r="D112" t="str">
            <v>Diesel</v>
          </cell>
          <cell r="E112" t="str">
            <v>Articulated 40 - 50 t</v>
          </cell>
          <cell r="F112" t="str">
            <v>Articulated 40 - 50 t</v>
          </cell>
          <cell r="G112" t="str">
            <v>Euro III</v>
          </cell>
          <cell r="H112" t="str">
            <v>E III</v>
          </cell>
        </row>
        <row r="113">
          <cell r="B113" t="str">
            <v>Heavy Duty Trucks</v>
          </cell>
          <cell r="C113" t="str">
            <v>HDV</v>
          </cell>
          <cell r="D113" t="str">
            <v>Diesel</v>
          </cell>
          <cell r="E113" t="str">
            <v>Articulated 40 - 50 t</v>
          </cell>
          <cell r="F113" t="str">
            <v>Articulated 40 - 50 t</v>
          </cell>
          <cell r="G113" t="str">
            <v>Euro IV</v>
          </cell>
          <cell r="H113" t="str">
            <v>E IV</v>
          </cell>
        </row>
        <row r="114">
          <cell r="B114" t="str">
            <v>Heavy Duty Trucks</v>
          </cell>
          <cell r="C114" t="str">
            <v>HDV</v>
          </cell>
          <cell r="D114" t="str">
            <v>Diesel</v>
          </cell>
          <cell r="E114" t="str">
            <v>Articulated 40 - 50 t</v>
          </cell>
          <cell r="F114" t="str">
            <v>Articulated 40 - 50 t</v>
          </cell>
          <cell r="G114" t="str">
            <v>Euro V</v>
          </cell>
          <cell r="H114" t="str">
            <v>E V</v>
          </cell>
        </row>
        <row r="115">
          <cell r="B115" t="str">
            <v>Heavy Duty Trucks</v>
          </cell>
          <cell r="C115" t="str">
            <v>HDV</v>
          </cell>
          <cell r="D115" t="str">
            <v>Diesel</v>
          </cell>
          <cell r="E115" t="str">
            <v>Articulated 40 - 50 t</v>
          </cell>
          <cell r="F115" t="str">
            <v>Articulated 40 - 50 t</v>
          </cell>
          <cell r="G115" t="str">
            <v>Euro VI</v>
          </cell>
          <cell r="H115" t="str">
            <v>E VI</v>
          </cell>
        </row>
      </sheetData>
      <sheetData sheetId="2">
        <row r="10">
          <cell r="G10">
            <v>9282.1663074027656</v>
          </cell>
        </row>
        <row r="11">
          <cell r="G11">
            <v>12524.717590772721</v>
          </cell>
        </row>
        <row r="12">
          <cell r="G12">
            <v>14643.733949974921</v>
          </cell>
        </row>
        <row r="13">
          <cell r="G13">
            <v>18189.676916936227</v>
          </cell>
        </row>
        <row r="14">
          <cell r="G14">
            <v>22638.432924428362</v>
          </cell>
        </row>
        <row r="15">
          <cell r="G15">
            <v>30626.366400717972</v>
          </cell>
        </row>
        <row r="16">
          <cell r="G16">
            <v>38710.447976999429</v>
          </cell>
        </row>
        <row r="17">
          <cell r="G17">
            <v>39013.974449968468</v>
          </cell>
        </row>
        <row r="19">
          <cell r="G19">
            <v>6687.8750270123683</v>
          </cell>
        </row>
        <row r="20">
          <cell r="G20">
            <v>11125.020521715847</v>
          </cell>
        </row>
        <row r="21">
          <cell r="G21">
            <v>14374.695010930933</v>
          </cell>
        </row>
        <row r="22">
          <cell r="G22">
            <v>19444.200216766112</v>
          </cell>
        </row>
        <row r="23">
          <cell r="G23">
            <v>28721.501503670799</v>
          </cell>
        </row>
        <row r="24">
          <cell r="G24">
            <v>47127.155653381582</v>
          </cell>
        </row>
        <row r="25">
          <cell r="G25">
            <v>49735.378695339816</v>
          </cell>
        </row>
        <row r="26">
          <cell r="G26">
            <v>8503.2712597525551</v>
          </cell>
        </row>
        <row r="27">
          <cell r="G27">
            <v>15704.014459081598</v>
          </cell>
        </row>
        <row r="28">
          <cell r="G28">
            <v>22968.221930284992</v>
          </cell>
        </row>
        <row r="29">
          <cell r="G29">
            <v>43266.264108435913</v>
          </cell>
        </row>
        <row r="30">
          <cell r="G30">
            <v>58234.801634781717</v>
          </cell>
        </row>
        <row r="31">
          <cell r="G31">
            <v>89897.336957419902</v>
          </cell>
        </row>
        <row r="32">
          <cell r="G32">
            <v>106102.21208246314</v>
          </cell>
        </row>
        <row r="33">
          <cell r="G33">
            <v>17615.8764448281</v>
          </cell>
        </row>
        <row r="34">
          <cell r="G34">
            <v>12135.322351353916</v>
          </cell>
        </row>
        <row r="35">
          <cell r="G35">
            <v>23110.094139476405</v>
          </cell>
        </row>
        <row r="36">
          <cell r="G36">
            <v>47505.364250451392</v>
          </cell>
        </row>
        <row r="37">
          <cell r="G37">
            <v>107435.0782641758</v>
          </cell>
        </row>
        <row r="38">
          <cell r="G38">
            <v>67961.860559524692</v>
          </cell>
        </row>
        <row r="39">
          <cell r="G39">
            <v>122595.99590048553</v>
          </cell>
        </row>
        <row r="40">
          <cell r="G40">
            <v>2922.5915005848674</v>
          </cell>
        </row>
        <row r="41">
          <cell r="G41">
            <v>9340.6090270294644</v>
          </cell>
        </row>
        <row r="42">
          <cell r="G42">
            <v>28081.856594908419</v>
          </cell>
        </row>
        <row r="43">
          <cell r="G43">
            <v>51651.430402299789</v>
          </cell>
        </row>
        <row r="44">
          <cell r="G44">
            <v>67103.337240165245</v>
          </cell>
        </row>
        <row r="45">
          <cell r="G45">
            <v>115007.20867136864</v>
          </cell>
        </row>
        <row r="46">
          <cell r="G46">
            <v>128016.54405413575</v>
          </cell>
        </row>
        <row r="49">
          <cell r="G49">
            <v>28081.856594908419</v>
          </cell>
        </row>
        <row r="50">
          <cell r="G50">
            <v>51651.430402299789</v>
          </cell>
        </row>
        <row r="51">
          <cell r="G51">
            <v>67103.337240165245</v>
          </cell>
        </row>
        <row r="52">
          <cell r="G52">
            <v>115007.20867136864</v>
          </cell>
        </row>
        <row r="53">
          <cell r="G53">
            <v>128016.54405413575</v>
          </cell>
        </row>
        <row r="56">
          <cell r="G56">
            <v>28081.856594908419</v>
          </cell>
        </row>
        <row r="57">
          <cell r="G57">
            <v>51651.430402299789</v>
          </cell>
        </row>
        <row r="58">
          <cell r="G58">
            <v>67103.337240165245</v>
          </cell>
        </row>
        <row r="59">
          <cell r="G59">
            <v>115007.20867136864</v>
          </cell>
        </row>
        <row r="60">
          <cell r="G60">
            <v>128016.54405413575</v>
          </cell>
        </row>
        <row r="63">
          <cell r="G63">
            <v>28081.856594908419</v>
          </cell>
        </row>
        <row r="64">
          <cell r="G64">
            <v>51651.430402299789</v>
          </cell>
        </row>
        <row r="65">
          <cell r="G65">
            <v>67103.337240165245</v>
          </cell>
        </row>
        <row r="66">
          <cell r="G66">
            <v>115007.20867136864</v>
          </cell>
        </row>
        <row r="67">
          <cell r="G67">
            <v>128016.54405413575</v>
          </cell>
        </row>
        <row r="70">
          <cell r="G70">
            <v>28081.856594908419</v>
          </cell>
        </row>
        <row r="71">
          <cell r="G71">
            <v>51651.430402299789</v>
          </cell>
        </row>
        <row r="72">
          <cell r="G72">
            <v>67103.337240165245</v>
          </cell>
        </row>
        <row r="73">
          <cell r="G73">
            <v>115007.20867136864</v>
          </cell>
        </row>
        <row r="74">
          <cell r="G74">
            <v>128016.54405413575</v>
          </cell>
        </row>
        <row r="77">
          <cell r="G77">
            <v>28081.856594908419</v>
          </cell>
        </row>
        <row r="78">
          <cell r="G78">
            <v>51651.430402299789</v>
          </cell>
        </row>
        <row r="79">
          <cell r="G79">
            <v>67103.337240165245</v>
          </cell>
        </row>
        <row r="80">
          <cell r="G80">
            <v>115007.20867136864</v>
          </cell>
        </row>
        <row r="81">
          <cell r="G81">
            <v>128016.54405413575</v>
          </cell>
        </row>
        <row r="84">
          <cell r="G84">
            <v>28081.856594908419</v>
          </cell>
        </row>
        <row r="85">
          <cell r="G85">
            <v>51651.430402299789</v>
          </cell>
        </row>
        <row r="86">
          <cell r="G86">
            <v>67103.337240165245</v>
          </cell>
        </row>
        <row r="87">
          <cell r="G87">
            <v>115007.20867136864</v>
          </cell>
        </row>
        <row r="88">
          <cell r="G88">
            <v>128016.54405413575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019"/>
      <sheetName val="2018"/>
      <sheetName val="2017"/>
      <sheetName val="2016"/>
      <sheetName val="2015"/>
      <sheetName val="2014"/>
      <sheetName val="2013"/>
      <sheetName val="2012"/>
      <sheetName val="2011"/>
      <sheetName val="2010"/>
      <sheetName val="2009"/>
      <sheetName val="2008"/>
      <sheetName val="2007"/>
      <sheetName val="2006"/>
      <sheetName val="2005"/>
      <sheetName val="2004"/>
      <sheetName val="2003"/>
      <sheetName val="2002"/>
      <sheetName val="2001"/>
      <sheetName val="2000"/>
      <sheetName val="1999"/>
      <sheetName val="1998"/>
      <sheetName val="1997"/>
      <sheetName val="1996"/>
      <sheetName val="1995"/>
    </sheetNames>
    <sheetDataSet>
      <sheetData sheetId="0">
        <row r="2">
          <cell r="B2">
            <v>2311</v>
          </cell>
          <cell r="C2">
            <v>2815</v>
          </cell>
          <cell r="D2">
            <v>2872</v>
          </cell>
          <cell r="E2">
            <v>3044</v>
          </cell>
          <cell r="F2">
            <v>3774</v>
          </cell>
          <cell r="G2">
            <v>4163</v>
          </cell>
          <cell r="H2">
            <v>3972</v>
          </cell>
          <cell r="I2">
            <v>4761</v>
          </cell>
          <cell r="J2">
            <v>5158</v>
          </cell>
          <cell r="K2">
            <v>5563</v>
          </cell>
          <cell r="L2">
            <v>5571</v>
          </cell>
          <cell r="M2">
            <v>5227</v>
          </cell>
          <cell r="N2">
            <v>5677</v>
          </cell>
          <cell r="O2">
            <v>5666</v>
          </cell>
          <cell r="P2">
            <v>5416</v>
          </cell>
          <cell r="Q2">
            <v>5314</v>
          </cell>
          <cell r="R2">
            <v>4896</v>
          </cell>
          <cell r="S2">
            <v>4910</v>
          </cell>
          <cell r="T2">
            <v>4518</v>
          </cell>
          <cell r="U2">
            <v>4843</v>
          </cell>
          <cell r="V2">
            <v>5044</v>
          </cell>
          <cell r="W2">
            <v>5633</v>
          </cell>
          <cell r="X2">
            <v>5665</v>
          </cell>
          <cell r="Y2">
            <v>5292</v>
          </cell>
          <cell r="Z2">
            <v>5988</v>
          </cell>
        </row>
        <row r="3">
          <cell r="B3">
            <v>1668</v>
          </cell>
          <cell r="C3">
            <v>1770</v>
          </cell>
          <cell r="D3">
            <v>2231</v>
          </cell>
          <cell r="E3">
            <v>3000</v>
          </cell>
          <cell r="F3">
            <v>3547</v>
          </cell>
          <cell r="G3">
            <v>4565</v>
          </cell>
          <cell r="H3">
            <v>5103</v>
          </cell>
          <cell r="I3">
            <v>5969</v>
          </cell>
          <cell r="J3">
            <v>6667</v>
          </cell>
          <cell r="K3">
            <v>7564</v>
          </cell>
          <cell r="L3">
            <v>7912</v>
          </cell>
          <cell r="M3">
            <v>8054</v>
          </cell>
          <cell r="N3">
            <v>8554</v>
          </cell>
          <cell r="O3">
            <v>6835</v>
          </cell>
          <cell r="P3">
            <v>2176</v>
          </cell>
          <cell r="Q3">
            <v>1587</v>
          </cell>
          <cell r="R3">
            <v>1279</v>
          </cell>
          <cell r="S3">
            <v>1228</v>
          </cell>
          <cell r="T3">
            <v>1147</v>
          </cell>
          <cell r="U3">
            <v>1186</v>
          </cell>
          <cell r="V3">
            <v>1248</v>
          </cell>
          <cell r="W3">
            <v>1455</v>
          </cell>
          <cell r="X3">
            <v>1664</v>
          </cell>
          <cell r="Y3">
            <v>1773</v>
          </cell>
          <cell r="Z3">
            <v>1800</v>
          </cell>
        </row>
        <row r="4">
          <cell r="B4">
            <v>1514</v>
          </cell>
          <cell r="C4">
            <v>1731</v>
          </cell>
          <cell r="D4">
            <v>1895</v>
          </cell>
          <cell r="E4">
            <v>2159</v>
          </cell>
          <cell r="F4">
            <v>2954</v>
          </cell>
          <cell r="G4">
            <v>3620</v>
          </cell>
          <cell r="H4">
            <v>3330</v>
          </cell>
          <cell r="I4">
            <v>3719</v>
          </cell>
          <cell r="J4">
            <v>4072</v>
          </cell>
          <cell r="K4">
            <v>4161</v>
          </cell>
          <cell r="L4">
            <v>4670</v>
          </cell>
          <cell r="M4">
            <v>4406</v>
          </cell>
          <cell r="N4">
            <v>4916</v>
          </cell>
          <cell r="O4">
            <v>4787</v>
          </cell>
          <cell r="P4">
            <v>4476</v>
          </cell>
          <cell r="Q4">
            <v>4023</v>
          </cell>
          <cell r="R4">
            <v>3766</v>
          </cell>
          <cell r="S4">
            <v>3756</v>
          </cell>
          <cell r="T4">
            <v>3472</v>
          </cell>
          <cell r="U4">
            <v>3743</v>
          </cell>
          <cell r="V4">
            <v>3552</v>
          </cell>
          <cell r="W4">
            <v>4476</v>
          </cell>
          <cell r="X4">
            <v>4429</v>
          </cell>
          <cell r="Y4">
            <v>4380</v>
          </cell>
          <cell r="Z4">
            <v>4614</v>
          </cell>
        </row>
      </sheetData>
      <sheetData sheetId="1"/>
      <sheetData sheetId="2">
        <row r="7">
          <cell r="B7">
            <v>991</v>
          </cell>
        </row>
        <row r="8">
          <cell r="B8">
            <v>75</v>
          </cell>
        </row>
        <row r="9">
          <cell r="B9">
            <v>1480</v>
          </cell>
        </row>
        <row r="10">
          <cell r="B10">
            <v>2703</v>
          </cell>
        </row>
        <row r="11">
          <cell r="B11">
            <v>81</v>
          </cell>
        </row>
        <row r="12">
          <cell r="B12">
            <v>615</v>
          </cell>
        </row>
        <row r="13">
          <cell r="B13">
            <v>737</v>
          </cell>
        </row>
        <row r="14">
          <cell r="B14">
            <v>520</v>
          </cell>
        </row>
        <row r="15">
          <cell r="B15">
            <v>983</v>
          </cell>
        </row>
        <row r="16">
          <cell r="B16">
            <v>213</v>
          </cell>
        </row>
        <row r="17">
          <cell r="B17">
            <v>212</v>
          </cell>
        </row>
        <row r="18">
          <cell r="B18">
            <v>200</v>
          </cell>
        </row>
        <row r="19">
          <cell r="B19">
            <v>324</v>
          </cell>
        </row>
        <row r="20">
          <cell r="B20">
            <v>2311</v>
          </cell>
        </row>
      </sheetData>
      <sheetData sheetId="3">
        <row r="7">
          <cell r="B7">
            <v>1259</v>
          </cell>
        </row>
        <row r="8">
          <cell r="B8">
            <v>103</v>
          </cell>
        </row>
        <row r="9">
          <cell r="B9">
            <v>1359</v>
          </cell>
        </row>
        <row r="10">
          <cell r="B10">
            <v>2945</v>
          </cell>
        </row>
        <row r="11">
          <cell r="B11">
            <v>96</v>
          </cell>
        </row>
        <row r="12">
          <cell r="B12">
            <v>534</v>
          </cell>
        </row>
        <row r="13">
          <cell r="B13">
            <v>824</v>
          </cell>
        </row>
        <row r="14">
          <cell r="B14">
            <v>532</v>
          </cell>
        </row>
        <row r="15">
          <cell r="B15">
            <v>927</v>
          </cell>
        </row>
        <row r="16">
          <cell r="B16">
            <v>232</v>
          </cell>
        </row>
        <row r="17">
          <cell r="B17">
            <v>209</v>
          </cell>
        </row>
        <row r="18">
          <cell r="B18">
            <v>167</v>
          </cell>
        </row>
        <row r="19">
          <cell r="B19">
            <v>365</v>
          </cell>
        </row>
        <row r="20">
          <cell r="B20">
            <v>2206</v>
          </cell>
        </row>
      </sheetData>
      <sheetData sheetId="4">
        <row r="7">
          <cell r="B7">
            <v>1205</v>
          </cell>
        </row>
        <row r="8">
          <cell r="B8">
            <v>78</v>
          </cell>
        </row>
        <row r="9">
          <cell r="B9">
            <v>1130</v>
          </cell>
        </row>
        <row r="10">
          <cell r="B10">
            <v>2915</v>
          </cell>
        </row>
        <row r="11">
          <cell r="B11">
            <v>108</v>
          </cell>
        </row>
        <row r="12">
          <cell r="B12">
            <v>659</v>
          </cell>
        </row>
        <row r="13">
          <cell r="B13">
            <v>1043</v>
          </cell>
        </row>
        <row r="14">
          <cell r="B14">
            <v>525</v>
          </cell>
        </row>
        <row r="15">
          <cell r="B15">
            <v>854</v>
          </cell>
        </row>
        <row r="16">
          <cell r="B16">
            <v>249</v>
          </cell>
        </row>
        <row r="17">
          <cell r="B17">
            <v>217</v>
          </cell>
        </row>
        <row r="18">
          <cell r="B18">
            <v>201</v>
          </cell>
        </row>
        <row r="19">
          <cell r="B19">
            <v>359</v>
          </cell>
        </row>
        <row r="20">
          <cell r="B20">
            <v>2021</v>
          </cell>
        </row>
      </sheetData>
      <sheetData sheetId="5">
        <row r="7">
          <cell r="B7">
            <v>1169</v>
          </cell>
        </row>
        <row r="8">
          <cell r="B8">
            <v>77</v>
          </cell>
        </row>
        <row r="9">
          <cell r="B9">
            <v>926</v>
          </cell>
        </row>
        <row r="10">
          <cell r="B10">
            <v>2722</v>
          </cell>
        </row>
        <row r="11">
          <cell r="B11">
            <v>123</v>
          </cell>
        </row>
        <row r="12">
          <cell r="B12">
            <v>480</v>
          </cell>
        </row>
        <row r="13">
          <cell r="B13">
            <v>857</v>
          </cell>
        </row>
        <row r="14">
          <cell r="B14">
            <v>441</v>
          </cell>
        </row>
        <row r="15">
          <cell r="B15">
            <v>673</v>
          </cell>
        </row>
        <row r="16">
          <cell r="B16">
            <v>209</v>
          </cell>
        </row>
        <row r="17">
          <cell r="B17">
            <v>199</v>
          </cell>
        </row>
        <row r="18">
          <cell r="B18">
            <v>114</v>
          </cell>
        </row>
        <row r="19">
          <cell r="B19">
            <v>290</v>
          </cell>
        </row>
        <row r="20">
          <cell r="B20">
            <v>1564</v>
          </cell>
        </row>
      </sheetData>
      <sheetData sheetId="6">
        <row r="7">
          <cell r="B7">
            <v>1104</v>
          </cell>
        </row>
        <row r="8">
          <cell r="B8">
            <v>45</v>
          </cell>
        </row>
        <row r="9">
          <cell r="B9">
            <v>862</v>
          </cell>
        </row>
        <row r="10">
          <cell r="B10">
            <v>2577</v>
          </cell>
        </row>
        <row r="11">
          <cell r="B11">
            <v>109</v>
          </cell>
        </row>
        <row r="12">
          <cell r="B12">
            <v>551</v>
          </cell>
        </row>
        <row r="13">
          <cell r="B13">
            <v>844</v>
          </cell>
        </row>
        <row r="14">
          <cell r="B14">
            <v>411</v>
          </cell>
        </row>
        <row r="15">
          <cell r="B15">
            <v>611</v>
          </cell>
        </row>
        <row r="16">
          <cell r="B16">
            <v>276</v>
          </cell>
        </row>
        <row r="17">
          <cell r="B17">
            <v>215</v>
          </cell>
        </row>
        <row r="18">
          <cell r="B18">
            <v>139</v>
          </cell>
        </row>
        <row r="19">
          <cell r="B19">
            <v>288</v>
          </cell>
        </row>
        <row r="20">
          <cell r="B20">
            <v>1740</v>
          </cell>
        </row>
      </sheetData>
      <sheetData sheetId="7">
        <row r="7">
          <cell r="B7">
            <v>1040</v>
          </cell>
        </row>
        <row r="8">
          <cell r="B8">
            <v>63</v>
          </cell>
        </row>
        <row r="9">
          <cell r="B9">
            <v>804</v>
          </cell>
        </row>
        <row r="10">
          <cell r="B10">
            <v>2395</v>
          </cell>
        </row>
        <row r="11">
          <cell r="B11">
            <v>114</v>
          </cell>
        </row>
        <row r="12">
          <cell r="B12">
            <v>502</v>
          </cell>
        </row>
        <row r="13">
          <cell r="B13">
            <v>796</v>
          </cell>
        </row>
        <row r="14">
          <cell r="B14">
            <v>447</v>
          </cell>
        </row>
        <row r="15">
          <cell r="B15">
            <v>581</v>
          </cell>
        </row>
        <row r="16">
          <cell r="B16">
            <v>262</v>
          </cell>
        </row>
        <row r="17">
          <cell r="B17">
            <v>229</v>
          </cell>
        </row>
        <row r="18">
          <cell r="B18">
            <v>136</v>
          </cell>
        </row>
        <row r="19">
          <cell r="B19">
            <v>226</v>
          </cell>
        </row>
        <row r="20">
          <cell r="B20">
            <v>1542</v>
          </cell>
        </row>
      </sheetData>
      <sheetData sheetId="8">
        <row r="7">
          <cell r="B7">
            <v>1153</v>
          </cell>
        </row>
        <row r="8">
          <cell r="B8">
            <v>49</v>
          </cell>
        </row>
        <row r="9">
          <cell r="B9">
            <v>793</v>
          </cell>
        </row>
        <row r="10">
          <cell r="B10">
            <v>2612</v>
          </cell>
        </row>
        <row r="11">
          <cell r="B11">
            <v>116</v>
          </cell>
        </row>
        <row r="12">
          <cell r="B12">
            <v>528</v>
          </cell>
        </row>
        <row r="13">
          <cell r="B13">
            <v>689</v>
          </cell>
        </row>
        <row r="14">
          <cell r="B14">
            <v>415</v>
          </cell>
        </row>
        <row r="15">
          <cell r="B15">
            <v>617</v>
          </cell>
        </row>
        <row r="16">
          <cell r="B16">
            <v>244</v>
          </cell>
        </row>
        <row r="17">
          <cell r="B17">
            <v>319</v>
          </cell>
        </row>
        <row r="18">
          <cell r="B18">
            <v>120</v>
          </cell>
        </row>
        <row r="19">
          <cell r="B19">
            <v>256</v>
          </cell>
        </row>
        <row r="20">
          <cell r="B20">
            <v>1983</v>
          </cell>
        </row>
      </sheetData>
      <sheetData sheetId="9">
        <row r="7">
          <cell r="B7">
            <v>1190</v>
          </cell>
        </row>
        <row r="8">
          <cell r="B8">
            <v>87</v>
          </cell>
        </row>
        <row r="9">
          <cell r="B9">
            <v>877</v>
          </cell>
        </row>
        <row r="10">
          <cell r="B10">
            <v>2578</v>
          </cell>
        </row>
        <row r="11">
          <cell r="B11">
            <v>139</v>
          </cell>
        </row>
        <row r="12">
          <cell r="B12">
            <v>528</v>
          </cell>
        </row>
        <row r="13">
          <cell r="B13">
            <v>693</v>
          </cell>
        </row>
        <row r="14">
          <cell r="B14">
            <v>413</v>
          </cell>
        </row>
        <row r="15">
          <cell r="B15">
            <v>600</v>
          </cell>
        </row>
        <row r="16">
          <cell r="B16">
            <v>247</v>
          </cell>
        </row>
        <row r="17">
          <cell r="B17">
            <v>263</v>
          </cell>
        </row>
        <row r="18">
          <cell r="B18">
            <v>159</v>
          </cell>
        </row>
        <row r="19">
          <cell r="B19">
            <v>276</v>
          </cell>
        </row>
        <row r="20">
          <cell r="B20">
            <v>1891</v>
          </cell>
        </row>
      </sheetData>
      <sheetData sheetId="10">
        <row r="7">
          <cell r="B7">
            <v>1112</v>
          </cell>
        </row>
        <row r="8">
          <cell r="B8">
            <v>74</v>
          </cell>
        </row>
        <row r="9">
          <cell r="B9">
            <v>1082</v>
          </cell>
        </row>
        <row r="10">
          <cell r="B10">
            <v>2791</v>
          </cell>
        </row>
        <row r="11">
          <cell r="B11">
            <v>134</v>
          </cell>
        </row>
        <row r="12">
          <cell r="B12">
            <v>641</v>
          </cell>
        </row>
        <row r="13">
          <cell r="B13">
            <v>1010</v>
          </cell>
        </row>
        <row r="14">
          <cell r="B14">
            <v>432</v>
          </cell>
        </row>
        <row r="15">
          <cell r="B15">
            <v>770</v>
          </cell>
        </row>
        <row r="16">
          <cell r="B16">
            <v>252</v>
          </cell>
        </row>
        <row r="17">
          <cell r="B17">
            <v>371</v>
          </cell>
        </row>
        <row r="18">
          <cell r="B18">
            <v>119</v>
          </cell>
        </row>
        <row r="19">
          <cell r="B19">
            <v>212</v>
          </cell>
        </row>
        <row r="20">
          <cell r="B20">
            <v>1924</v>
          </cell>
        </row>
      </sheetData>
      <sheetData sheetId="11">
        <row r="7">
          <cell r="B7">
            <v>959</v>
          </cell>
        </row>
        <row r="8">
          <cell r="B8">
            <v>181</v>
          </cell>
        </row>
        <row r="9">
          <cell r="B9">
            <v>1430</v>
          </cell>
        </row>
        <row r="10">
          <cell r="B10">
            <v>3020</v>
          </cell>
        </row>
        <row r="11">
          <cell r="B11">
            <v>289</v>
          </cell>
        </row>
        <row r="12">
          <cell r="B12">
            <v>584</v>
          </cell>
        </row>
        <row r="13">
          <cell r="B13">
            <v>1058</v>
          </cell>
        </row>
        <row r="14">
          <cell r="B14">
            <v>581</v>
          </cell>
        </row>
        <row r="15">
          <cell r="B15">
            <v>853</v>
          </cell>
        </row>
        <row r="16">
          <cell r="B16">
            <v>326</v>
          </cell>
        </row>
        <row r="17">
          <cell r="B17">
            <v>457</v>
          </cell>
        </row>
        <row r="18">
          <cell r="B18">
            <v>203</v>
          </cell>
        </row>
        <row r="19">
          <cell r="B19">
            <v>218</v>
          </cell>
        </row>
        <row r="20">
          <cell r="B20">
            <v>1909</v>
          </cell>
        </row>
      </sheetData>
      <sheetData sheetId="12">
        <row r="7">
          <cell r="B7">
            <v>1764</v>
          </cell>
        </row>
        <row r="8">
          <cell r="B8">
            <v>3902</v>
          </cell>
        </row>
        <row r="9">
          <cell r="B9">
            <v>143</v>
          </cell>
        </row>
        <row r="10">
          <cell r="B10">
            <v>1059</v>
          </cell>
        </row>
        <row r="11">
          <cell r="B11">
            <v>131</v>
          </cell>
        </row>
        <row r="12">
          <cell r="B12">
            <v>405</v>
          </cell>
        </row>
        <row r="13">
          <cell r="B13">
            <v>4226</v>
          </cell>
        </row>
        <row r="14">
          <cell r="B14">
            <v>171</v>
          </cell>
        </row>
        <row r="15">
          <cell r="B15">
            <v>463</v>
          </cell>
        </row>
        <row r="16">
          <cell r="B16">
            <v>2609</v>
          </cell>
        </row>
        <row r="17">
          <cell r="B17">
            <v>2415</v>
          </cell>
        </row>
      </sheetData>
      <sheetData sheetId="13">
        <row r="7">
          <cell r="B7">
            <v>1836</v>
          </cell>
        </row>
        <row r="8">
          <cell r="B8">
            <v>3841</v>
          </cell>
        </row>
        <row r="9">
          <cell r="B9">
            <v>177</v>
          </cell>
        </row>
        <row r="10">
          <cell r="B10">
            <v>898</v>
          </cell>
        </row>
        <row r="11">
          <cell r="B11">
            <v>161</v>
          </cell>
        </row>
        <row r="12">
          <cell r="B12">
            <v>408</v>
          </cell>
        </row>
        <row r="13">
          <cell r="B13">
            <v>5545</v>
          </cell>
        </row>
        <row r="14">
          <cell r="B14">
            <v>276</v>
          </cell>
        </row>
        <row r="15">
          <cell r="B15">
            <v>458</v>
          </cell>
        </row>
        <row r="16">
          <cell r="B16">
            <v>3009</v>
          </cell>
        </row>
        <row r="17">
          <cell r="B17">
            <v>2538</v>
          </cell>
        </row>
      </sheetData>
      <sheetData sheetId="14">
        <row r="7">
          <cell r="B7">
            <v>1829</v>
          </cell>
        </row>
        <row r="8">
          <cell r="B8">
            <v>3398</v>
          </cell>
        </row>
        <row r="9">
          <cell r="B9">
            <v>171</v>
          </cell>
        </row>
        <row r="10">
          <cell r="B10">
            <v>935</v>
          </cell>
        </row>
        <row r="11">
          <cell r="B11">
            <v>138</v>
          </cell>
        </row>
        <row r="12">
          <cell r="B12">
            <v>429</v>
          </cell>
        </row>
        <row r="13">
          <cell r="B13">
            <v>5402</v>
          </cell>
        </row>
        <row r="14">
          <cell r="B14">
            <v>336</v>
          </cell>
        </row>
        <row r="15">
          <cell r="B15">
            <v>454</v>
          </cell>
        </row>
        <row r="16">
          <cell r="B16">
            <v>2652</v>
          </cell>
        </row>
        <row r="17">
          <cell r="B17">
            <v>1943</v>
          </cell>
        </row>
      </sheetData>
      <sheetData sheetId="15">
        <row r="7">
          <cell r="B7">
            <v>1951</v>
          </cell>
        </row>
        <row r="8">
          <cell r="B8">
            <v>3620</v>
          </cell>
        </row>
        <row r="9">
          <cell r="B9">
            <v>176</v>
          </cell>
        </row>
        <row r="10">
          <cell r="B10">
            <v>960</v>
          </cell>
        </row>
        <row r="11">
          <cell r="B11">
            <v>124</v>
          </cell>
        </row>
        <row r="12">
          <cell r="B12">
            <v>393</v>
          </cell>
        </row>
        <row r="13">
          <cell r="B13">
            <v>5256</v>
          </cell>
        </row>
        <row r="14">
          <cell r="B14">
            <v>282</v>
          </cell>
        </row>
        <row r="15">
          <cell r="B15">
            <v>350</v>
          </cell>
        </row>
        <row r="16">
          <cell r="B16">
            <v>2656</v>
          </cell>
        </row>
        <row r="17">
          <cell r="B17">
            <v>2385</v>
          </cell>
        </row>
      </sheetData>
      <sheetData sheetId="16">
        <row r="7">
          <cell r="B7">
            <v>1882</v>
          </cell>
        </row>
        <row r="8">
          <cell r="B8">
            <v>3681</v>
          </cell>
        </row>
        <row r="9">
          <cell r="B9">
            <v>228</v>
          </cell>
        </row>
        <row r="10">
          <cell r="B10">
            <v>902</v>
          </cell>
        </row>
        <row r="11">
          <cell r="B11">
            <v>127</v>
          </cell>
        </row>
        <row r="12">
          <cell r="B12">
            <v>325</v>
          </cell>
        </row>
        <row r="13">
          <cell r="B13">
            <v>4876</v>
          </cell>
        </row>
        <row r="14">
          <cell r="B14">
            <v>298</v>
          </cell>
        </row>
        <row r="15">
          <cell r="B15">
            <v>352</v>
          </cell>
        </row>
        <row r="16">
          <cell r="B16">
            <v>2688</v>
          </cell>
        </row>
        <row r="17">
          <cell r="B17">
            <v>1929</v>
          </cell>
        </row>
      </sheetData>
      <sheetData sheetId="17">
        <row r="7">
          <cell r="B7">
            <v>1623</v>
          </cell>
        </row>
        <row r="8">
          <cell r="B8">
            <v>3535</v>
          </cell>
        </row>
        <row r="9">
          <cell r="B9">
            <v>207</v>
          </cell>
        </row>
        <row r="10">
          <cell r="B10">
            <v>939</v>
          </cell>
        </row>
        <row r="11">
          <cell r="B11">
            <v>240</v>
          </cell>
        </row>
        <row r="12">
          <cell r="B12">
            <v>267</v>
          </cell>
        </row>
        <row r="13">
          <cell r="B13">
            <v>4116</v>
          </cell>
        </row>
        <row r="14">
          <cell r="B14">
            <v>382</v>
          </cell>
        </row>
        <row r="15">
          <cell r="B15">
            <v>391</v>
          </cell>
        </row>
        <row r="16">
          <cell r="B16">
            <v>2551</v>
          </cell>
        </row>
        <row r="17">
          <cell r="B17">
            <v>1646</v>
          </cell>
        </row>
      </sheetData>
      <sheetData sheetId="18">
        <row r="7">
          <cell r="B7">
            <v>1773</v>
          </cell>
        </row>
        <row r="8">
          <cell r="B8">
            <v>2988</v>
          </cell>
        </row>
        <row r="9">
          <cell r="B9">
            <v>158</v>
          </cell>
        </row>
        <row r="10">
          <cell r="B10">
            <v>714</v>
          </cell>
        </row>
        <row r="11">
          <cell r="B11">
            <v>278</v>
          </cell>
        </row>
        <row r="12">
          <cell r="B12">
            <v>87</v>
          </cell>
        </row>
        <row r="13">
          <cell r="B13">
            <v>3549</v>
          </cell>
        </row>
        <row r="14">
          <cell r="B14">
            <v>280</v>
          </cell>
        </row>
        <row r="15">
          <cell r="B15">
            <v>280</v>
          </cell>
        </row>
        <row r="16">
          <cell r="B16">
            <v>2420</v>
          </cell>
        </row>
        <row r="17">
          <cell r="B17">
            <v>1922</v>
          </cell>
        </row>
      </sheetData>
      <sheetData sheetId="19">
        <row r="7">
          <cell r="B7">
            <v>1414</v>
          </cell>
        </row>
        <row r="8">
          <cell r="B8">
            <v>2558</v>
          </cell>
        </row>
        <row r="9">
          <cell r="B9">
            <v>183</v>
          </cell>
        </row>
        <row r="10">
          <cell r="B10">
            <v>804</v>
          </cell>
        </row>
        <row r="11">
          <cell r="B11">
            <v>280</v>
          </cell>
        </row>
        <row r="12">
          <cell r="B12">
            <v>68</v>
          </cell>
        </row>
        <row r="13">
          <cell r="B13">
            <v>3174</v>
          </cell>
        </row>
        <row r="14">
          <cell r="B14">
            <v>298</v>
          </cell>
        </row>
        <row r="15">
          <cell r="B15">
            <v>193</v>
          </cell>
        </row>
        <row r="16">
          <cell r="B16">
            <v>1929</v>
          </cell>
        </row>
        <row r="17">
          <cell r="B17">
            <v>1504</v>
          </cell>
        </row>
      </sheetData>
      <sheetData sheetId="20">
        <row r="7">
          <cell r="B7">
            <v>1694</v>
          </cell>
        </row>
        <row r="8">
          <cell r="B8">
            <v>2469</v>
          </cell>
        </row>
        <row r="9">
          <cell r="B9">
            <v>217</v>
          </cell>
        </row>
        <row r="10">
          <cell r="B10">
            <v>625</v>
          </cell>
        </row>
        <row r="11">
          <cell r="B11">
            <v>247</v>
          </cell>
        </row>
        <row r="12">
          <cell r="B12">
            <v>199</v>
          </cell>
        </row>
        <row r="13">
          <cell r="B13">
            <v>2855</v>
          </cell>
        </row>
        <row r="14">
          <cell r="B14">
            <v>340</v>
          </cell>
        </row>
        <row r="15">
          <cell r="B15">
            <v>242</v>
          </cell>
        </row>
        <row r="16">
          <cell r="B16">
            <v>1710</v>
          </cell>
        </row>
        <row r="17">
          <cell r="B17">
            <v>1750</v>
          </cell>
        </row>
      </sheetData>
      <sheetData sheetId="21">
        <row r="7">
          <cell r="B7">
            <v>1370</v>
          </cell>
        </row>
        <row r="8">
          <cell r="B8">
            <v>2404</v>
          </cell>
        </row>
        <row r="9">
          <cell r="B9">
            <v>174</v>
          </cell>
        </row>
        <row r="10">
          <cell r="B10">
            <v>669</v>
          </cell>
        </row>
        <row r="11">
          <cell r="B11">
            <v>71</v>
          </cell>
        </row>
        <row r="12">
          <cell r="B12">
            <v>180</v>
          </cell>
        </row>
        <row r="13">
          <cell r="B13">
            <v>2131</v>
          </cell>
        </row>
        <row r="14">
          <cell r="B14">
            <v>339</v>
          </cell>
        </row>
        <row r="15">
          <cell r="B15">
            <v>255</v>
          </cell>
        </row>
        <row r="16">
          <cell r="B16">
            <v>1416</v>
          </cell>
        </row>
        <row r="17">
          <cell r="B17">
            <v>1266</v>
          </cell>
        </row>
      </sheetData>
      <sheetData sheetId="22">
        <row r="7">
          <cell r="B7">
            <v>1083</v>
          </cell>
        </row>
        <row r="8">
          <cell r="B8">
            <v>1961</v>
          </cell>
        </row>
        <row r="9">
          <cell r="B9">
            <v>118</v>
          </cell>
        </row>
        <row r="10">
          <cell r="B10">
            <v>442</v>
          </cell>
        </row>
        <row r="11">
          <cell r="B11">
            <v>60</v>
          </cell>
        </row>
        <row r="12">
          <cell r="B12">
            <v>131</v>
          </cell>
        </row>
        <row r="13">
          <cell r="B13">
            <v>1810</v>
          </cell>
        </row>
        <row r="14">
          <cell r="B14">
            <v>273</v>
          </cell>
        </row>
        <row r="15">
          <cell r="B15">
            <v>247</v>
          </cell>
        </row>
        <row r="16">
          <cell r="B16">
            <v>1190</v>
          </cell>
        </row>
        <row r="17">
          <cell r="B17">
            <v>888</v>
          </cell>
        </row>
      </sheetData>
      <sheetData sheetId="23">
        <row r="7">
          <cell r="B7">
            <v>1066</v>
          </cell>
        </row>
        <row r="8">
          <cell r="B8">
            <v>1806</v>
          </cell>
        </row>
        <row r="9">
          <cell r="B9">
            <v>92</v>
          </cell>
        </row>
        <row r="10">
          <cell r="B10">
            <v>379</v>
          </cell>
        </row>
        <row r="11">
          <cell r="B11">
            <v>28</v>
          </cell>
        </row>
        <row r="12">
          <cell r="B12">
            <v>105</v>
          </cell>
        </row>
        <row r="13">
          <cell r="B13">
            <v>1212</v>
          </cell>
        </row>
        <row r="14">
          <cell r="B14">
            <v>174</v>
          </cell>
        </row>
        <row r="15">
          <cell r="B15">
            <v>170</v>
          </cell>
        </row>
        <row r="16">
          <cell r="B16">
            <v>1019</v>
          </cell>
        </row>
        <row r="17">
          <cell r="B17">
            <v>947</v>
          </cell>
        </row>
      </sheetData>
      <sheetData sheetId="24">
        <row r="7">
          <cell r="B7">
            <v>930</v>
          </cell>
        </row>
        <row r="8">
          <cell r="B8">
            <v>1885</v>
          </cell>
        </row>
        <row r="9">
          <cell r="B9">
            <v>76</v>
          </cell>
        </row>
        <row r="10">
          <cell r="B10">
            <v>344</v>
          </cell>
        </row>
        <row r="11">
          <cell r="B11">
            <v>38</v>
          </cell>
        </row>
        <row r="12">
          <cell r="B12">
            <v>124</v>
          </cell>
        </row>
        <row r="13">
          <cell r="B13">
            <v>913</v>
          </cell>
        </row>
        <row r="14">
          <cell r="B14">
            <v>174</v>
          </cell>
        </row>
        <row r="15">
          <cell r="B15">
            <v>131</v>
          </cell>
        </row>
        <row r="16">
          <cell r="B16">
            <v>857</v>
          </cell>
        </row>
        <row r="17">
          <cell r="B17">
            <v>844</v>
          </cell>
        </row>
      </sheetData>
      <sheetData sheetId="25">
        <row r="7">
          <cell r="B7">
            <v>768</v>
          </cell>
        </row>
        <row r="8">
          <cell r="B8">
            <v>1543</v>
          </cell>
        </row>
        <row r="9">
          <cell r="B9">
            <v>47</v>
          </cell>
        </row>
        <row r="10">
          <cell r="B10">
            <v>326</v>
          </cell>
        </row>
        <row r="11">
          <cell r="B11">
            <v>21</v>
          </cell>
        </row>
        <row r="12">
          <cell r="B12">
            <v>66</v>
          </cell>
        </row>
        <row r="13">
          <cell r="B13">
            <v>864</v>
          </cell>
        </row>
        <row r="14">
          <cell r="B14">
            <v>233</v>
          </cell>
        </row>
        <row r="15">
          <cell r="B15">
            <v>187</v>
          </cell>
        </row>
        <row r="16">
          <cell r="B16">
            <v>804</v>
          </cell>
        </row>
        <row r="17">
          <cell r="B17">
            <v>634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 Inputs_HERMES"/>
      <sheetName val="Regression Coefficients (Eamon)"/>
      <sheetName val="Regression (rough work)"/>
      <sheetName val="Regression Shane"/>
    </sheetNames>
    <sheetDataSet>
      <sheetData sheetId="0">
        <row r="27">
          <cell r="D27">
            <v>43418.85097</v>
          </cell>
          <cell r="E27">
            <v>3797</v>
          </cell>
          <cell r="G27">
            <v>6761</v>
          </cell>
          <cell r="I27">
            <v>10347</v>
          </cell>
          <cell r="N27">
            <v>5292</v>
          </cell>
          <cell r="O27">
            <v>1455</v>
          </cell>
          <cell r="P27">
            <v>4476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hicle stock"/>
    </sheetNames>
    <sheetDataSet>
      <sheetData sheetId="0">
        <row r="37">
          <cell r="B37">
            <v>2010</v>
          </cell>
          <cell r="C37">
            <v>2011</v>
          </cell>
          <cell r="D37">
            <v>2012</v>
          </cell>
          <cell r="E37">
            <v>2013</v>
          </cell>
          <cell r="F37">
            <v>2014</v>
          </cell>
          <cell r="G37">
            <v>2015</v>
          </cell>
          <cell r="H37">
            <v>2016</v>
          </cell>
          <cell r="I37">
            <v>2017</v>
          </cell>
          <cell r="J37">
            <v>2018</v>
          </cell>
          <cell r="K37">
            <v>2019</v>
          </cell>
        </row>
        <row r="38">
          <cell r="A38" t="str">
            <v>2 to 5 tonnes</v>
          </cell>
          <cell r="B38">
            <v>56190</v>
          </cell>
          <cell r="C38">
            <v>56466</v>
          </cell>
          <cell r="D38">
            <v>54921</v>
          </cell>
          <cell r="E38">
            <v>57165</v>
          </cell>
          <cell r="F38">
            <v>60098</v>
          </cell>
          <cell r="G38">
            <v>67698</v>
          </cell>
          <cell r="H38">
            <v>75484</v>
          </cell>
          <cell r="I38">
            <v>81639</v>
          </cell>
          <cell r="J38">
            <v>88899</v>
          </cell>
          <cell r="K38">
            <v>97498</v>
          </cell>
        </row>
        <row r="39">
          <cell r="A39" t="str">
            <v>5 to 7.5 Tonnes</v>
          </cell>
          <cell r="B39">
            <v>4813</v>
          </cell>
          <cell r="C39">
            <v>4659.5</v>
          </cell>
          <cell r="D39">
            <v>4428.5</v>
          </cell>
          <cell r="E39">
            <v>4564.5</v>
          </cell>
          <cell r="F39">
            <v>4522</v>
          </cell>
          <cell r="G39">
            <v>4523</v>
          </cell>
          <cell r="H39">
            <v>4915.5</v>
          </cell>
          <cell r="I39">
            <v>4860</v>
          </cell>
          <cell r="J39">
            <v>4850</v>
          </cell>
          <cell r="K39">
            <v>4921.5</v>
          </cell>
        </row>
        <row r="40">
          <cell r="A40" t="str">
            <v>7.5 to 10 Tonnes</v>
          </cell>
          <cell r="B40">
            <v>3021</v>
          </cell>
          <cell r="C40">
            <v>2873.5</v>
          </cell>
          <cell r="D40">
            <v>2758</v>
          </cell>
          <cell r="E40">
            <v>2865.5</v>
          </cell>
          <cell r="F40">
            <v>2990.5</v>
          </cell>
          <cell r="G40">
            <v>3084</v>
          </cell>
          <cell r="H40">
            <v>3716.5</v>
          </cell>
          <cell r="I40">
            <v>3917</v>
          </cell>
          <cell r="J40">
            <v>4049</v>
          </cell>
          <cell r="K40">
            <v>4184.5</v>
          </cell>
        </row>
        <row r="41">
          <cell r="A41" t="str">
            <v>10 to 12.5 Tonnes</v>
          </cell>
          <cell r="B41">
            <v>10292</v>
          </cell>
          <cell r="C41">
            <v>9809.5</v>
          </cell>
          <cell r="D41">
            <v>9097.5</v>
          </cell>
          <cell r="E41">
            <v>9862.5</v>
          </cell>
          <cell r="F41">
            <v>10130</v>
          </cell>
          <cell r="G41">
            <v>10770</v>
          </cell>
          <cell r="H41">
            <v>12636.5</v>
          </cell>
          <cell r="I41">
            <v>13071</v>
          </cell>
          <cell r="J41">
            <v>13351</v>
          </cell>
          <cell r="K41">
            <v>13760.5</v>
          </cell>
        </row>
        <row r="42">
          <cell r="A42" t="str">
            <v>Over 12.5 Tonnes</v>
          </cell>
          <cell r="B42">
            <v>8225</v>
          </cell>
          <cell r="C42">
            <v>8232</v>
          </cell>
          <cell r="D42">
            <v>7959</v>
          </cell>
          <cell r="E42">
            <v>9115</v>
          </cell>
          <cell r="F42">
            <v>9569</v>
          </cell>
          <cell r="G42">
            <v>10470</v>
          </cell>
          <cell r="H42">
            <v>12513</v>
          </cell>
          <cell r="I42">
            <v>13539</v>
          </cell>
          <cell r="J42">
            <v>14571</v>
          </cell>
          <cell r="K42">
            <v>15499</v>
          </cell>
        </row>
        <row r="43">
          <cell r="A43" t="str">
            <v>Total</v>
          </cell>
          <cell r="B43">
            <v>82541</v>
          </cell>
          <cell r="C43">
            <v>82040.5</v>
          </cell>
          <cell r="D43">
            <v>79164</v>
          </cell>
          <cell r="E43">
            <v>83572.5</v>
          </cell>
          <cell r="F43">
            <v>87309.5</v>
          </cell>
          <cell r="G43">
            <v>96545</v>
          </cell>
          <cell r="H43">
            <v>109265.5</v>
          </cell>
          <cell r="I43">
            <v>117026</v>
          </cell>
          <cell r="J43">
            <v>125720</v>
          </cell>
          <cell r="K43">
            <v>135863.5</v>
          </cell>
        </row>
        <row r="45">
          <cell r="B45">
            <v>2010</v>
          </cell>
          <cell r="C45">
            <v>2011</v>
          </cell>
          <cell r="D45">
            <v>2012</v>
          </cell>
          <cell r="E45">
            <v>2013</v>
          </cell>
          <cell r="F45">
            <v>2014</v>
          </cell>
          <cell r="G45">
            <v>2015</v>
          </cell>
          <cell r="H45">
            <v>2016</v>
          </cell>
          <cell r="I45">
            <v>2017</v>
          </cell>
          <cell r="J45">
            <v>2018</v>
          </cell>
          <cell r="K45">
            <v>2019</v>
          </cell>
        </row>
        <row r="46">
          <cell r="A46" t="str">
            <v>2 to 5 tonnes</v>
          </cell>
          <cell r="B46">
            <v>0.68075259567972279</v>
          </cell>
          <cell r="C46">
            <v>0.68826981795576569</v>
          </cell>
          <cell r="D46">
            <v>0.69376231620433526</v>
          </cell>
          <cell r="E46">
            <v>0.6840168715785695</v>
          </cell>
          <cell r="F46">
            <v>0.68833288473762877</v>
          </cell>
          <cell r="G46">
            <v>0.70120669118027867</v>
          </cell>
          <cell r="H46">
            <v>0.6908310491417694</v>
          </cell>
          <cell r="I46">
            <v>0.6976142053902552</v>
          </cell>
          <cell r="J46">
            <v>0.7071189945911549</v>
          </cell>
          <cell r="K46">
            <v>0.71761731443691645</v>
          </cell>
        </row>
        <row r="47">
          <cell r="B47">
            <v>5.8310415429907558E-2</v>
          </cell>
          <cell r="C47">
            <v>5.6795119483669651E-2</v>
          </cell>
          <cell r="D47">
            <v>5.5940831691172754E-2</v>
          </cell>
          <cell r="E47">
            <v>5.4617248496814146E-2</v>
          </cell>
          <cell r="F47">
            <v>5.1792760238003881E-2</v>
          </cell>
          <cell r="G47">
            <v>4.6848619814594233E-2</v>
          </cell>
          <cell r="H47">
            <v>4.4986752451597257E-2</v>
          </cell>
          <cell r="I47">
            <v>4.1529232820057084E-2</v>
          </cell>
          <cell r="J47">
            <v>3.8577791918549154E-2</v>
          </cell>
          <cell r="K47">
            <v>3.6223857032977952E-2</v>
          </cell>
        </row>
        <row r="48">
          <cell r="B48">
            <v>3.659999273088526E-2</v>
          </cell>
          <cell r="C48">
            <v>3.5025383804340539E-2</v>
          </cell>
          <cell r="D48">
            <v>3.4839068263352028E-2</v>
          </cell>
          <cell r="E48">
            <v>3.4287594603487986E-2</v>
          </cell>
          <cell r="F48">
            <v>3.4251713731037289E-2</v>
          </cell>
          <cell r="G48">
            <v>3.1943653218706305E-2</v>
          </cell>
          <cell r="H48">
            <v>3.4013480924903104E-2</v>
          </cell>
          <cell r="I48">
            <v>3.3471194435424609E-2</v>
          </cell>
          <cell r="J48">
            <v>3.2206490614062999E-2</v>
          </cell>
          <cell r="K48">
            <v>3.0799294880523468E-2</v>
          </cell>
        </row>
        <row r="49">
          <cell r="B49">
            <v>0.12468954822451872</v>
          </cell>
          <cell r="C49">
            <v>0.11956899336303412</v>
          </cell>
          <cell r="D49">
            <v>0.11491966045172047</v>
          </cell>
          <cell r="E49">
            <v>0.11801130754733914</v>
          </cell>
          <cell r="F49">
            <v>0.1160240294584209</v>
          </cell>
          <cell r="G49">
            <v>0.11155419752447046</v>
          </cell>
          <cell r="H49">
            <v>0.11564949595251932</v>
          </cell>
          <cell r="I49">
            <v>0.11169312802283253</v>
          </cell>
          <cell r="J49">
            <v>0.10619630925867006</v>
          </cell>
          <cell r="K49">
            <v>0.10128180121960645</v>
          </cell>
        </row>
        <row r="50">
          <cell r="B50">
            <v>9.9647447934965647E-2</v>
          </cell>
          <cell r="C50">
            <v>0.10034068539318995</v>
          </cell>
          <cell r="D50">
            <v>0.10053812338941943</v>
          </cell>
          <cell r="E50">
            <v>0.10906697777378922</v>
          </cell>
          <cell r="F50">
            <v>0.10959861183490914</v>
          </cell>
          <cell r="G50">
            <v>0.10844683826195038</v>
          </cell>
          <cell r="H50">
            <v>0.11451922152921096</v>
          </cell>
          <cell r="I50">
            <v>0.11569223933143062</v>
          </cell>
          <cell r="J50">
            <v>0.11590041361756284</v>
          </cell>
          <cell r="K50">
            <v>0.11407773242997567</v>
          </cell>
        </row>
        <row r="51">
          <cell r="B51">
            <v>0.99999999999999989</v>
          </cell>
          <cell r="C51">
            <v>0.99999999999999989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0.99999999999999989</v>
          </cell>
          <cell r="J51">
            <v>1</v>
          </cell>
          <cell r="K51">
            <v>0.99999999999999989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 Query"/>
      <sheetName val="Query data"/>
      <sheetName val="Survey Summary"/>
      <sheetName val="2019"/>
      <sheetName val="2018"/>
      <sheetName val="2017"/>
      <sheetName val="2016"/>
      <sheetName val="2015"/>
      <sheetName val="2014"/>
      <sheetName val="2013"/>
      <sheetName val="2012"/>
      <sheetName val="2011"/>
      <sheetName val="2010"/>
      <sheetName val="2009"/>
      <sheetName val="2008"/>
      <sheetName val="2007"/>
      <sheetName val="2006"/>
      <sheetName val="2005"/>
      <sheetName val="2004"/>
      <sheetName val="2003"/>
      <sheetName val="2002"/>
      <sheetName val="2001"/>
      <sheetName val="2000"/>
      <sheetName val="1999"/>
      <sheetName val="1998"/>
      <sheetName val="1997"/>
      <sheetName val="1996"/>
      <sheetName val="1995"/>
    </sheetNames>
    <sheetDataSet>
      <sheetData sheetId="0"/>
      <sheetData sheetId="1"/>
      <sheetData sheetId="2">
        <row r="2">
          <cell r="B2">
            <v>17158</v>
          </cell>
          <cell r="C2">
            <v>18199</v>
          </cell>
          <cell r="D2">
            <v>21355</v>
          </cell>
          <cell r="E2">
            <v>20967</v>
          </cell>
          <cell r="F2">
            <v>22626</v>
          </cell>
          <cell r="G2">
            <v>27162</v>
          </cell>
          <cell r="H2">
            <v>30328</v>
          </cell>
          <cell r="I2">
            <v>30570</v>
          </cell>
          <cell r="J2">
            <v>33764</v>
          </cell>
          <cell r="K2">
            <v>38604</v>
          </cell>
          <cell r="L2">
            <v>45198</v>
          </cell>
          <cell r="M2">
            <v>57025</v>
          </cell>
          <cell r="N2">
            <v>70513</v>
          </cell>
          <cell r="O2">
            <v>56948</v>
          </cell>
          <cell r="P2">
            <v>53710</v>
          </cell>
          <cell r="Q2">
            <v>53579</v>
          </cell>
          <cell r="R2">
            <v>52928</v>
          </cell>
          <cell r="S2">
            <v>52942</v>
          </cell>
          <cell r="T2">
            <v>51278</v>
          </cell>
          <cell r="U2">
            <v>56047</v>
          </cell>
          <cell r="V2">
            <v>59829</v>
          </cell>
          <cell r="W2">
            <v>68107</v>
          </cell>
          <cell r="X2">
            <v>75734</v>
          </cell>
          <cell r="Y2">
            <v>83855</v>
          </cell>
          <cell r="Z2">
            <v>92964</v>
          </cell>
        </row>
        <row r="3">
          <cell r="B3">
            <v>7197</v>
          </cell>
          <cell r="C3">
            <v>8048</v>
          </cell>
          <cell r="D3">
            <v>7864</v>
          </cell>
          <cell r="E3">
            <v>9141</v>
          </cell>
          <cell r="F3">
            <v>9575</v>
          </cell>
          <cell r="G3">
            <v>9848</v>
          </cell>
          <cell r="H3">
            <v>12229</v>
          </cell>
          <cell r="I3">
            <v>11906</v>
          </cell>
          <cell r="J3">
            <v>11177</v>
          </cell>
          <cell r="K3">
            <v>10352</v>
          </cell>
          <cell r="L3">
            <v>10815</v>
          </cell>
          <cell r="M3">
            <v>9971</v>
          </cell>
          <cell r="N3">
            <v>9165</v>
          </cell>
          <cell r="O3">
            <v>6903</v>
          </cell>
          <cell r="P3">
            <v>6204</v>
          </cell>
          <cell r="Q3">
            <v>5732</v>
          </cell>
          <cell r="R3">
            <v>5354</v>
          </cell>
          <cell r="S3">
            <v>5068</v>
          </cell>
          <cell r="T3">
            <v>4803</v>
          </cell>
          <cell r="U3">
            <v>5164</v>
          </cell>
          <cell r="V3">
            <v>4869</v>
          </cell>
          <cell r="W3">
            <v>5087</v>
          </cell>
          <cell r="X3">
            <v>5247</v>
          </cell>
          <cell r="Y3">
            <v>5221</v>
          </cell>
          <cell r="Z3">
            <v>5237</v>
          </cell>
        </row>
        <row r="4">
          <cell r="B4">
            <v>4923</v>
          </cell>
          <cell r="C4">
            <v>6622</v>
          </cell>
          <cell r="D4">
            <v>6957</v>
          </cell>
          <cell r="E4">
            <v>8506</v>
          </cell>
          <cell r="F4">
            <v>9205</v>
          </cell>
          <cell r="G4">
            <v>10651</v>
          </cell>
          <cell r="H4">
            <v>11486</v>
          </cell>
          <cell r="I4">
            <v>13187</v>
          </cell>
          <cell r="J4">
            <v>12953</v>
          </cell>
          <cell r="K4">
            <v>12501</v>
          </cell>
          <cell r="L4">
            <v>13260</v>
          </cell>
          <cell r="M4">
            <v>10355</v>
          </cell>
          <cell r="N4">
            <v>10705</v>
          </cell>
          <cell r="O4">
            <v>8006</v>
          </cell>
          <cell r="P4">
            <v>6568</v>
          </cell>
          <cell r="Q4">
            <v>5998</v>
          </cell>
          <cell r="R4">
            <v>5475</v>
          </cell>
          <cell r="S4">
            <v>5237</v>
          </cell>
          <cell r="T4">
            <v>4950</v>
          </cell>
          <cell r="U4">
            <v>5153</v>
          </cell>
          <cell r="V4">
            <v>5121</v>
          </cell>
          <cell r="W4">
            <v>5629</v>
          </cell>
          <cell r="X4">
            <v>5999</v>
          </cell>
          <cell r="Y4">
            <v>6237</v>
          </cell>
          <cell r="Z4">
            <v>6406</v>
          </cell>
        </row>
        <row r="5">
          <cell r="B5">
            <v>4862</v>
          </cell>
          <cell r="C5">
            <v>5409</v>
          </cell>
          <cell r="D5">
            <v>6439</v>
          </cell>
          <cell r="E5">
            <v>8769</v>
          </cell>
          <cell r="F5">
            <v>12041</v>
          </cell>
          <cell r="G5">
            <v>13772</v>
          </cell>
          <cell r="H5">
            <v>15079</v>
          </cell>
          <cell r="I5">
            <v>15088</v>
          </cell>
          <cell r="J5">
            <v>14509</v>
          </cell>
          <cell r="K5">
            <v>14115</v>
          </cell>
          <cell r="L5">
            <v>15013</v>
          </cell>
          <cell r="M5">
            <v>16207</v>
          </cell>
          <cell r="N5">
            <v>17039</v>
          </cell>
          <cell r="O5">
            <v>12316</v>
          </cell>
          <cell r="P5">
            <v>9812</v>
          </cell>
          <cell r="Q5">
            <v>8645</v>
          </cell>
          <cell r="R5">
            <v>7788</v>
          </cell>
          <cell r="S5">
            <v>7261</v>
          </cell>
          <cell r="T5">
            <v>6820</v>
          </cell>
          <cell r="U5">
            <v>6953</v>
          </cell>
          <cell r="V5">
            <v>7208</v>
          </cell>
          <cell r="W5">
            <v>7945</v>
          </cell>
          <cell r="X5">
            <v>8457</v>
          </cell>
          <cell r="Y5">
            <v>8416</v>
          </cell>
          <cell r="Z5">
            <v>8501</v>
          </cell>
        </row>
        <row r="6">
          <cell r="B6">
            <v>1968</v>
          </cell>
          <cell r="C6">
            <v>1977</v>
          </cell>
          <cell r="D6">
            <v>2640</v>
          </cell>
          <cell r="E6">
            <v>3655</v>
          </cell>
          <cell r="F6">
            <v>4940</v>
          </cell>
          <cell r="G6">
            <v>6846</v>
          </cell>
          <cell r="H6">
            <v>7753</v>
          </cell>
          <cell r="I6">
            <v>8002</v>
          </cell>
          <cell r="J6">
            <v>8622</v>
          </cell>
          <cell r="K6">
            <v>9175</v>
          </cell>
          <cell r="L6">
            <v>10558</v>
          </cell>
          <cell r="M6">
            <v>12327</v>
          </cell>
          <cell r="N6">
            <v>14274</v>
          </cell>
          <cell r="O6">
            <v>13468</v>
          </cell>
          <cell r="P6">
            <v>11262</v>
          </cell>
          <cell r="Q6">
            <v>10071</v>
          </cell>
          <cell r="R6">
            <v>9633</v>
          </cell>
          <cell r="S6">
            <v>9463</v>
          </cell>
          <cell r="T6">
            <v>9116</v>
          </cell>
          <cell r="U6">
            <v>10333</v>
          </cell>
          <cell r="V6">
            <v>10067</v>
          </cell>
          <cell r="W6">
            <v>11887</v>
          </cell>
          <cell r="X6">
            <v>13042</v>
          </cell>
          <cell r="Y6">
            <v>14304</v>
          </cell>
          <cell r="Z6">
            <v>15325</v>
          </cell>
        </row>
        <row r="10">
          <cell r="B10">
            <v>251</v>
          </cell>
          <cell r="C10">
            <v>278</v>
          </cell>
          <cell r="D10">
            <v>340</v>
          </cell>
          <cell r="E10">
            <v>401</v>
          </cell>
          <cell r="F10">
            <v>388</v>
          </cell>
          <cell r="G10">
            <v>383</v>
          </cell>
          <cell r="H10">
            <v>439</v>
          </cell>
          <cell r="I10">
            <v>382</v>
          </cell>
          <cell r="J10">
            <v>416</v>
          </cell>
          <cell r="K10">
            <v>459</v>
          </cell>
          <cell r="L10">
            <v>595</v>
          </cell>
          <cell r="M10">
            <v>610</v>
          </cell>
          <cell r="N10">
            <v>736</v>
          </cell>
          <cell r="O10">
            <v>662</v>
          </cell>
          <cell r="P10">
            <v>492</v>
          </cell>
          <cell r="Q10">
            <v>328</v>
          </cell>
          <cell r="R10">
            <v>278</v>
          </cell>
          <cell r="S10">
            <v>285</v>
          </cell>
          <cell r="T10">
            <v>258</v>
          </cell>
          <cell r="U10">
            <v>242</v>
          </cell>
          <cell r="V10">
            <v>274</v>
          </cell>
          <cell r="W10">
            <v>309</v>
          </cell>
          <cell r="X10">
            <v>287</v>
          </cell>
          <cell r="Y10">
            <v>273</v>
          </cell>
          <cell r="Z10">
            <v>513</v>
          </cell>
        </row>
        <row r="11">
          <cell r="B11">
            <v>496</v>
          </cell>
          <cell r="C11">
            <v>558</v>
          </cell>
          <cell r="D11">
            <v>486</v>
          </cell>
          <cell r="E11">
            <v>555</v>
          </cell>
          <cell r="F11">
            <v>627</v>
          </cell>
          <cell r="G11">
            <v>669</v>
          </cell>
          <cell r="H11">
            <v>736</v>
          </cell>
          <cell r="I11">
            <v>1006</v>
          </cell>
          <cell r="J11">
            <v>1052</v>
          </cell>
          <cell r="K11">
            <v>1165</v>
          </cell>
          <cell r="L11">
            <v>1187</v>
          </cell>
          <cell r="M11">
            <v>612</v>
          </cell>
          <cell r="N11">
            <v>493</v>
          </cell>
          <cell r="O11">
            <v>477</v>
          </cell>
          <cell r="P11">
            <v>320</v>
          </cell>
          <cell r="Q11">
            <v>232</v>
          </cell>
          <cell r="R11">
            <v>201</v>
          </cell>
          <cell r="S11">
            <v>206</v>
          </cell>
          <cell r="T11">
            <v>161</v>
          </cell>
          <cell r="U11">
            <v>184</v>
          </cell>
          <cell r="V11">
            <v>200</v>
          </cell>
          <cell r="W11">
            <v>256</v>
          </cell>
          <cell r="X11">
            <v>257</v>
          </cell>
          <cell r="Y11">
            <v>247</v>
          </cell>
          <cell r="Z11">
            <v>214</v>
          </cell>
        </row>
        <row r="12">
          <cell r="B12">
            <v>1186</v>
          </cell>
          <cell r="C12">
            <v>1196</v>
          </cell>
          <cell r="D12">
            <v>1386</v>
          </cell>
          <cell r="E12">
            <v>1555</v>
          </cell>
          <cell r="F12">
            <v>1520</v>
          </cell>
          <cell r="G12">
            <v>1777</v>
          </cell>
          <cell r="H12">
            <v>1776</v>
          </cell>
          <cell r="I12">
            <v>2367</v>
          </cell>
          <cell r="J12">
            <v>2747</v>
          </cell>
          <cell r="K12">
            <v>2717</v>
          </cell>
          <cell r="L12">
            <v>2714</v>
          </cell>
          <cell r="M12">
            <v>1556</v>
          </cell>
          <cell r="N12">
            <v>1664</v>
          </cell>
          <cell r="O12">
            <v>1301</v>
          </cell>
          <cell r="P12">
            <v>914</v>
          </cell>
          <cell r="Q12">
            <v>856</v>
          </cell>
          <cell r="R12">
            <v>744</v>
          </cell>
          <cell r="S12">
            <v>697</v>
          </cell>
          <cell r="T12">
            <v>631</v>
          </cell>
          <cell r="U12">
            <v>586</v>
          </cell>
          <cell r="V12">
            <v>565</v>
          </cell>
          <cell r="W12">
            <v>781</v>
          </cell>
          <cell r="X12">
            <v>814</v>
          </cell>
          <cell r="Y12">
            <v>890</v>
          </cell>
          <cell r="Z12">
            <v>888</v>
          </cell>
        </row>
        <row r="13">
          <cell r="B13">
            <v>2536</v>
          </cell>
          <cell r="C13">
            <v>3074</v>
          </cell>
          <cell r="D13">
            <v>3322</v>
          </cell>
          <cell r="E13">
            <v>3894</v>
          </cell>
          <cell r="F13">
            <v>5328</v>
          </cell>
          <cell r="G13">
            <v>6054</v>
          </cell>
          <cell r="H13">
            <v>5998</v>
          </cell>
          <cell r="I13">
            <v>6586</v>
          </cell>
          <cell r="J13">
            <v>6712</v>
          </cell>
          <cell r="K13">
            <v>7297</v>
          </cell>
          <cell r="L13">
            <v>7506</v>
          </cell>
          <cell r="M13">
            <v>7723</v>
          </cell>
          <cell r="N13">
            <v>8363</v>
          </cell>
          <cell r="O13">
            <v>6577</v>
          </cell>
          <cell r="P13">
            <v>4392</v>
          </cell>
          <cell r="Q13">
            <v>3656</v>
          </cell>
          <cell r="R13">
            <v>3056</v>
          </cell>
          <cell r="S13">
            <v>2898</v>
          </cell>
          <cell r="T13">
            <v>2566</v>
          </cell>
          <cell r="U13">
            <v>2563</v>
          </cell>
          <cell r="V13">
            <v>2619</v>
          </cell>
          <cell r="W13">
            <v>2913</v>
          </cell>
          <cell r="X13">
            <v>3081</v>
          </cell>
          <cell r="Y13">
            <v>2599</v>
          </cell>
          <cell r="Z13">
            <v>2778</v>
          </cell>
        </row>
        <row r="14">
          <cell r="B14">
            <v>1024</v>
          </cell>
          <cell r="C14">
            <v>1210</v>
          </cell>
          <cell r="D14">
            <v>1465</v>
          </cell>
          <cell r="E14">
            <v>1798</v>
          </cell>
          <cell r="F14">
            <v>2411</v>
          </cell>
          <cell r="G14">
            <v>3465</v>
          </cell>
          <cell r="H14">
            <v>3456</v>
          </cell>
          <cell r="I14">
            <v>4107</v>
          </cell>
          <cell r="J14">
            <v>4971</v>
          </cell>
          <cell r="K14">
            <v>5650</v>
          </cell>
          <cell r="L14">
            <v>6150</v>
          </cell>
          <cell r="M14">
            <v>7185</v>
          </cell>
          <cell r="N14">
            <v>7890</v>
          </cell>
          <cell r="O14">
            <v>8273</v>
          </cell>
          <cell r="P14">
            <v>5951</v>
          </cell>
          <cell r="Q14">
            <v>5852</v>
          </cell>
          <cell r="R14">
            <v>5662</v>
          </cell>
          <cell r="S14">
            <v>5809</v>
          </cell>
          <cell r="T14">
            <v>5522</v>
          </cell>
          <cell r="U14">
            <v>6197</v>
          </cell>
          <cell r="V14">
            <v>6186</v>
          </cell>
          <cell r="W14">
            <v>7305</v>
          </cell>
          <cell r="X14">
            <v>7320</v>
          </cell>
          <cell r="Y14">
            <v>7436</v>
          </cell>
          <cell r="Z14">
            <v>8010</v>
          </cell>
        </row>
        <row r="26">
          <cell r="B26">
            <v>264</v>
          </cell>
          <cell r="C26">
            <v>349</v>
          </cell>
          <cell r="D26">
            <v>358</v>
          </cell>
          <cell r="E26">
            <v>321</v>
          </cell>
          <cell r="F26">
            <v>294</v>
          </cell>
          <cell r="G26">
            <v>315</v>
          </cell>
          <cell r="H26">
            <v>308</v>
          </cell>
          <cell r="I26">
            <v>346</v>
          </cell>
          <cell r="J26">
            <v>357</v>
          </cell>
          <cell r="K26">
            <v>449</v>
          </cell>
          <cell r="L26">
            <v>581</v>
          </cell>
          <cell r="M26">
            <v>621</v>
          </cell>
          <cell r="N26">
            <v>706</v>
          </cell>
          <cell r="O26">
            <v>532</v>
          </cell>
          <cell r="P26">
            <v>404</v>
          </cell>
          <cell r="Q26">
            <v>351</v>
          </cell>
        </row>
        <row r="27">
          <cell r="B27">
            <v>157</v>
          </cell>
          <cell r="C27">
            <v>182</v>
          </cell>
          <cell r="D27">
            <v>165</v>
          </cell>
          <cell r="E27">
            <v>195</v>
          </cell>
          <cell r="F27">
            <v>172</v>
          </cell>
          <cell r="G27">
            <v>165</v>
          </cell>
          <cell r="H27">
            <v>188</v>
          </cell>
          <cell r="I27">
            <v>229</v>
          </cell>
          <cell r="J27">
            <v>253</v>
          </cell>
          <cell r="K27">
            <v>259</v>
          </cell>
          <cell r="L27">
            <v>255</v>
          </cell>
          <cell r="M27">
            <v>197</v>
          </cell>
          <cell r="N27">
            <v>171</v>
          </cell>
          <cell r="O27">
            <v>142</v>
          </cell>
          <cell r="P27">
            <v>112</v>
          </cell>
          <cell r="Q27">
            <v>94</v>
          </cell>
        </row>
        <row r="28">
          <cell r="B28">
            <v>175</v>
          </cell>
          <cell r="C28">
            <v>213</v>
          </cell>
          <cell r="D28">
            <v>225</v>
          </cell>
          <cell r="E28">
            <v>264</v>
          </cell>
          <cell r="F28">
            <v>239</v>
          </cell>
          <cell r="G28">
            <v>271</v>
          </cell>
          <cell r="H28">
            <v>270</v>
          </cell>
          <cell r="I28">
            <v>371</v>
          </cell>
          <cell r="J28">
            <v>410</v>
          </cell>
          <cell r="K28">
            <v>424</v>
          </cell>
          <cell r="L28">
            <v>433</v>
          </cell>
          <cell r="M28">
            <v>285</v>
          </cell>
          <cell r="N28">
            <v>298</v>
          </cell>
          <cell r="O28">
            <v>224</v>
          </cell>
          <cell r="P28">
            <v>158</v>
          </cell>
          <cell r="Q28">
            <v>152</v>
          </cell>
        </row>
        <row r="29">
          <cell r="B29">
            <v>273</v>
          </cell>
          <cell r="C29">
            <v>313</v>
          </cell>
          <cell r="D29">
            <v>319</v>
          </cell>
          <cell r="E29">
            <v>391</v>
          </cell>
          <cell r="F29">
            <v>514</v>
          </cell>
          <cell r="G29">
            <v>584</v>
          </cell>
          <cell r="H29">
            <v>575</v>
          </cell>
          <cell r="I29">
            <v>644</v>
          </cell>
          <cell r="J29">
            <v>663</v>
          </cell>
          <cell r="K29">
            <v>700</v>
          </cell>
          <cell r="L29">
            <v>734</v>
          </cell>
          <cell r="M29">
            <v>758</v>
          </cell>
          <cell r="N29">
            <v>774</v>
          </cell>
          <cell r="O29">
            <v>577</v>
          </cell>
          <cell r="P29">
            <v>379</v>
          </cell>
          <cell r="Q29">
            <v>350</v>
          </cell>
        </row>
        <row r="30">
          <cell r="B30">
            <v>105</v>
          </cell>
          <cell r="C30">
            <v>118</v>
          </cell>
          <cell r="D30">
            <v>141</v>
          </cell>
          <cell r="E30">
            <v>172</v>
          </cell>
          <cell r="F30">
            <v>233</v>
          </cell>
          <cell r="G30">
            <v>321</v>
          </cell>
          <cell r="H30">
            <v>327</v>
          </cell>
          <cell r="I30">
            <v>382</v>
          </cell>
          <cell r="J30">
            <v>459</v>
          </cell>
          <cell r="K30">
            <v>510</v>
          </cell>
          <cell r="L30">
            <v>564</v>
          </cell>
          <cell r="M30">
            <v>662</v>
          </cell>
          <cell r="N30">
            <v>714</v>
          </cell>
          <cell r="O30">
            <v>732</v>
          </cell>
          <cell r="P30">
            <v>527</v>
          </cell>
          <cell r="Q30">
            <v>510</v>
          </cell>
        </row>
        <row r="42">
          <cell r="A42" t="str">
            <v>2 to 5 Tonnes</v>
          </cell>
          <cell r="B42">
            <v>15386.408672339434</v>
          </cell>
          <cell r="C42">
            <v>19176.877850431341</v>
          </cell>
          <cell r="D42">
            <v>16764.22383516741</v>
          </cell>
          <cell r="E42">
            <v>15309.772499642295</v>
          </cell>
          <cell r="F42">
            <v>12993.900822063113</v>
          </cell>
          <cell r="G42">
            <v>11597.084161696488</v>
          </cell>
          <cell r="H42">
            <v>10155.631759430229</v>
          </cell>
          <cell r="I42">
            <v>11318.285901210336</v>
          </cell>
          <cell r="J42">
            <v>10573.391778225328</v>
          </cell>
          <cell r="K42">
            <v>11630.919075743446</v>
          </cell>
          <cell r="L42">
            <v>12854.551086331254</v>
          </cell>
          <cell r="M42">
            <v>10889.960543621219</v>
          </cell>
          <cell r="N42">
            <v>10012.338150411981</v>
          </cell>
        </row>
        <row r="43">
          <cell r="A43" t="str">
            <v>5 to 7.5 Tonnes</v>
          </cell>
          <cell r="B43">
            <v>21814.64499096846</v>
          </cell>
          <cell r="C43">
            <v>22614.314115308152</v>
          </cell>
          <cell r="D43">
            <v>20981.688708036621</v>
          </cell>
          <cell r="E43">
            <v>21332.45815556285</v>
          </cell>
          <cell r="F43">
            <v>17963.446475195822</v>
          </cell>
          <cell r="G43">
            <v>16754.670999187652</v>
          </cell>
          <cell r="H43">
            <v>15373.292992068034</v>
          </cell>
          <cell r="I43">
            <v>19233.999664034942</v>
          </cell>
          <cell r="J43">
            <v>22635.769884584413</v>
          </cell>
          <cell r="K43">
            <v>25019.319938176199</v>
          </cell>
          <cell r="L43">
            <v>23578.363384188626</v>
          </cell>
          <cell r="M43">
            <v>19757.296158860696</v>
          </cell>
          <cell r="N43">
            <v>18657.937806873979</v>
          </cell>
        </row>
        <row r="44">
          <cell r="A44" t="str">
            <v>7.5 to 10 Tonnes</v>
          </cell>
          <cell r="B44">
            <v>35547.430428600448</v>
          </cell>
          <cell r="C44">
            <v>32165.508909694956</v>
          </cell>
          <cell r="D44">
            <v>32341.526520051746</v>
          </cell>
          <cell r="E44">
            <v>31036.915118739715</v>
          </cell>
          <cell r="F44">
            <v>25964.149918522544</v>
          </cell>
          <cell r="G44">
            <v>25443.620317341094</v>
          </cell>
          <cell r="H44">
            <v>23506.877938359743</v>
          </cell>
          <cell r="I44">
            <v>28133.768104951847</v>
          </cell>
          <cell r="J44">
            <v>31652.898942329961</v>
          </cell>
          <cell r="K44">
            <v>33917.286617070633</v>
          </cell>
          <cell r="L44">
            <v>32654.600301659124</v>
          </cell>
          <cell r="M44">
            <v>27522.935779816515</v>
          </cell>
          <cell r="N44">
            <v>27837.45913124708</v>
          </cell>
        </row>
        <row r="45">
          <cell r="A45" t="str">
            <v>10 to 12.5 Tonnes</v>
          </cell>
          <cell r="B45">
            <v>56149.732620320858</v>
          </cell>
          <cell r="C45">
            <v>57866.518765021261</v>
          </cell>
          <cell r="D45">
            <v>49541.854325205779</v>
          </cell>
          <cell r="E45">
            <v>44588.892690158515</v>
          </cell>
          <cell r="F45">
            <v>42687.484428203636</v>
          </cell>
          <cell r="G45">
            <v>42404.879465582344</v>
          </cell>
          <cell r="H45">
            <v>38132.502155315342</v>
          </cell>
          <cell r="I45">
            <v>42682.92682926829</v>
          </cell>
          <cell r="J45">
            <v>45695.775036184437</v>
          </cell>
          <cell r="K45">
            <v>49592.631951824304</v>
          </cell>
          <cell r="L45">
            <v>48890.961166988607</v>
          </cell>
          <cell r="M45">
            <v>46769.914234589989</v>
          </cell>
          <cell r="N45">
            <v>45425.201009448909</v>
          </cell>
        </row>
        <row r="46">
          <cell r="A46" t="str">
            <v>Over 12.5 Tonnes</v>
          </cell>
          <cell r="B46">
            <v>53353.658536585368</v>
          </cell>
          <cell r="C46">
            <v>59686.393525543754</v>
          </cell>
          <cell r="D46">
            <v>53409.090909090912</v>
          </cell>
          <cell r="E46">
            <v>47058.823529411762</v>
          </cell>
          <cell r="F46">
            <v>47165.991902834008</v>
          </cell>
          <cell r="G46">
            <v>46888.694127957933</v>
          </cell>
          <cell r="H46">
            <v>42177.221720624271</v>
          </cell>
          <cell r="I46">
            <v>47738.065483629092</v>
          </cell>
          <cell r="J46">
            <v>53235.90814196242</v>
          </cell>
          <cell r="K46">
            <v>55585.831062670302</v>
          </cell>
          <cell r="L46">
            <v>53419.208183368064</v>
          </cell>
          <cell r="M46">
            <v>53703.25302182202</v>
          </cell>
          <cell r="N46">
            <v>50021.017234131985</v>
          </cell>
        </row>
        <row r="47">
          <cell r="A47" t="str">
            <v>Total</v>
          </cell>
        </row>
        <row r="50">
          <cell r="A50" t="str">
            <v>2 to 5 Tonnes</v>
          </cell>
          <cell r="Q50">
            <v>3.0025631636763091E-2</v>
          </cell>
          <cell r="R50">
            <v>2.7964993461422394E-2</v>
          </cell>
          <cell r="S50">
            <v>2.8802425467407782E-2</v>
          </cell>
          <cell r="T50">
            <v>2.8233749179251477E-2</v>
          </cell>
          <cell r="U50">
            <v>2.4764633647155136E-2</v>
          </cell>
          <cell r="V50">
            <v>2.7834213734254369E-2</v>
          </cell>
          <cell r="W50">
            <v>2.6720857834659287E-2</v>
          </cell>
          <cell r="X50">
            <v>2.4406837316098308E-2</v>
          </cell>
          <cell r="Y50">
            <v>2.3853211009174313E-2</v>
          </cell>
          <cell r="Z50">
            <v>4.1360961057808593E-2</v>
          </cell>
        </row>
        <row r="51">
          <cell r="A51" t="str">
            <v>5 to 7.5 Tonnes</v>
          </cell>
          <cell r="Q51">
            <v>2.1237641889417794E-2</v>
          </cell>
          <cell r="R51">
            <v>2.0219293833618347E-2</v>
          </cell>
          <cell r="S51">
            <v>2.0818595250126328E-2</v>
          </cell>
          <cell r="T51">
            <v>1.7618734952943752E-2</v>
          </cell>
          <cell r="U51">
            <v>1.882930822758903E-2</v>
          </cell>
          <cell r="V51">
            <v>2.031694433157253E-2</v>
          </cell>
          <cell r="W51">
            <v>2.2137668626772744E-2</v>
          </cell>
          <cell r="X51">
            <v>2.1855599965983501E-2</v>
          </cell>
          <cell r="Y51">
            <v>2.1581476627348186E-2</v>
          </cell>
          <cell r="Z51">
            <v>1.7253890187857775E-2</v>
          </cell>
        </row>
        <row r="52">
          <cell r="A52" t="str">
            <v>7.5 to 10 Tonnes</v>
          </cell>
          <cell r="Q52">
            <v>7.8359575247162208E-2</v>
          </cell>
          <cell r="R52">
            <v>7.4841565234885832E-2</v>
          </cell>
          <cell r="S52">
            <v>7.0439615967660435E-2</v>
          </cell>
          <cell r="T52">
            <v>6.9052309039177057E-2</v>
          </cell>
          <cell r="U52">
            <v>5.9967253376995495E-2</v>
          </cell>
          <cell r="V52">
            <v>5.7395367736692404E-2</v>
          </cell>
          <cell r="W52">
            <v>6.7537184365271535E-2</v>
          </cell>
          <cell r="X52">
            <v>6.9223573433115054E-2</v>
          </cell>
          <cell r="Y52">
            <v>7.7763215377894282E-2</v>
          </cell>
          <cell r="Z52">
            <v>7.1595581714101422E-2</v>
          </cell>
        </row>
        <row r="53">
          <cell r="A53" t="str">
            <v>10 to 12.5 Tonnes</v>
          </cell>
          <cell r="Q53">
            <v>0.33467594287806662</v>
          </cell>
          <cell r="R53">
            <v>0.30741374107232672</v>
          </cell>
          <cell r="S53">
            <v>0.29287518948964125</v>
          </cell>
          <cell r="T53">
            <v>0.28080542788356316</v>
          </cell>
          <cell r="U53">
            <v>0.26227998362668847</v>
          </cell>
          <cell r="V53">
            <v>0.26605038602194231</v>
          </cell>
          <cell r="W53">
            <v>0.25190245589761329</v>
          </cell>
          <cell r="X53">
            <v>0.26201207585679054</v>
          </cell>
          <cell r="Y53">
            <v>0.22708606378331148</v>
          </cell>
          <cell r="Z53">
            <v>0.22397806982181731</v>
          </cell>
        </row>
        <row r="54">
          <cell r="A54" t="str">
            <v>Over 12.5 Tonnes</v>
          </cell>
          <cell r="Q54">
            <v>0.53570120834859025</v>
          </cell>
          <cell r="R54">
            <v>0.56956040639774674</v>
          </cell>
          <cell r="S54">
            <v>0.58706417382516418</v>
          </cell>
          <cell r="T54">
            <v>0.60428977894506453</v>
          </cell>
          <cell r="U54">
            <v>0.63415882112157185</v>
          </cell>
          <cell r="V54">
            <v>0.62840308817553836</v>
          </cell>
          <cell r="W54">
            <v>0.63170183327568319</v>
          </cell>
          <cell r="X54">
            <v>0.62250191342801253</v>
          </cell>
          <cell r="Y54">
            <v>0.64971603320227178</v>
          </cell>
          <cell r="Z54">
            <v>0.64581149721841491</v>
          </cell>
        </row>
        <row r="55">
          <cell r="A55" t="str">
            <v>Total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  <cell r="V55">
            <v>1</v>
          </cell>
          <cell r="W55">
            <v>1</v>
          </cell>
          <cell r="X55">
            <v>1</v>
          </cell>
          <cell r="Y55">
            <v>1</v>
          </cell>
          <cell r="Z55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New registrations"/>
      <sheetName val="2019"/>
      <sheetName val="2018"/>
      <sheetName val="2017"/>
      <sheetName val="2016"/>
      <sheetName val="2015"/>
      <sheetName val="2014"/>
      <sheetName val="2013"/>
      <sheetName val="2012"/>
      <sheetName val="2011"/>
      <sheetName val="2010"/>
      <sheetName val="2009"/>
      <sheetName val="2008"/>
    </sheetNames>
    <sheetDataSet>
      <sheetData sheetId="0">
        <row r="4">
          <cell r="B4">
            <v>1422</v>
          </cell>
          <cell r="C4">
            <v>1530</v>
          </cell>
          <cell r="D4">
            <v>1362</v>
          </cell>
          <cell r="E4">
            <v>1354</v>
          </cell>
          <cell r="F4">
            <v>1267</v>
          </cell>
          <cell r="G4">
            <v>1238</v>
          </cell>
          <cell r="H4">
            <v>1432</v>
          </cell>
          <cell r="I4">
            <v>1552</v>
          </cell>
          <cell r="J4">
            <v>1622</v>
          </cell>
          <cell r="K4">
            <v>1942</v>
          </cell>
          <cell r="L4">
            <v>2098</v>
          </cell>
          <cell r="M4">
            <v>2266</v>
          </cell>
        </row>
        <row r="5">
          <cell r="B5">
            <v>141</v>
          </cell>
          <cell r="C5">
            <v>142</v>
          </cell>
          <cell r="D5">
            <v>119</v>
          </cell>
          <cell r="E5">
            <v>110</v>
          </cell>
          <cell r="F5">
            <v>97</v>
          </cell>
          <cell r="G5">
            <v>107</v>
          </cell>
          <cell r="H5">
            <v>124</v>
          </cell>
          <cell r="I5">
            <v>123</v>
          </cell>
          <cell r="J5">
            <v>123</v>
          </cell>
          <cell r="K5">
            <v>113</v>
          </cell>
          <cell r="L5">
            <v>113</v>
          </cell>
          <cell r="M5">
            <v>111</v>
          </cell>
        </row>
        <row r="6">
          <cell r="B6">
            <v>214</v>
          </cell>
          <cell r="C6">
            <v>202</v>
          </cell>
          <cell r="D6">
            <v>163</v>
          </cell>
          <cell r="E6">
            <v>156</v>
          </cell>
          <cell r="F6">
            <v>146</v>
          </cell>
          <cell r="G6">
            <v>163</v>
          </cell>
          <cell r="H6">
            <v>194</v>
          </cell>
          <cell r="I6">
            <v>196</v>
          </cell>
          <cell r="J6">
            <v>204</v>
          </cell>
          <cell r="K6">
            <v>205</v>
          </cell>
          <cell r="L6">
            <v>220</v>
          </cell>
          <cell r="M6">
            <v>222</v>
          </cell>
        </row>
        <row r="7">
          <cell r="B7">
            <v>451</v>
          </cell>
          <cell r="C7">
            <v>326</v>
          </cell>
          <cell r="D7">
            <v>269</v>
          </cell>
          <cell r="E7">
            <v>235</v>
          </cell>
          <cell r="F7">
            <v>210</v>
          </cell>
          <cell r="G7">
            <v>263</v>
          </cell>
          <cell r="H7">
            <v>316</v>
          </cell>
          <cell r="I7">
            <v>354</v>
          </cell>
          <cell r="J7">
            <v>366</v>
          </cell>
          <cell r="K7">
            <v>365</v>
          </cell>
          <cell r="L7">
            <v>360</v>
          </cell>
          <cell r="M7">
            <v>356</v>
          </cell>
        </row>
        <row r="8">
          <cell r="B8">
            <v>591</v>
          </cell>
          <cell r="C8">
            <v>478</v>
          </cell>
          <cell r="D8">
            <v>390</v>
          </cell>
          <cell r="E8">
            <v>378</v>
          </cell>
          <cell r="F8">
            <v>355</v>
          </cell>
          <cell r="G8">
            <v>454</v>
          </cell>
          <cell r="H8">
            <v>574</v>
          </cell>
          <cell r="I8">
            <v>604</v>
          </cell>
          <cell r="J8">
            <v>662</v>
          </cell>
          <cell r="K8">
            <v>728</v>
          </cell>
          <cell r="L8">
            <v>780</v>
          </cell>
          <cell r="M8">
            <v>830</v>
          </cell>
        </row>
        <row r="9">
          <cell r="B9">
            <v>2819</v>
          </cell>
          <cell r="C9">
            <v>2678</v>
          </cell>
          <cell r="D9">
            <v>2303</v>
          </cell>
          <cell r="E9">
            <v>2233</v>
          </cell>
          <cell r="F9">
            <v>2075</v>
          </cell>
          <cell r="G9">
            <v>2225</v>
          </cell>
          <cell r="H9">
            <v>2640</v>
          </cell>
          <cell r="I9">
            <v>2829</v>
          </cell>
          <cell r="J9">
            <v>2977</v>
          </cell>
          <cell r="K9">
            <v>3353</v>
          </cell>
          <cell r="L9">
            <v>3571</v>
          </cell>
          <cell r="M9">
            <v>3785</v>
          </cell>
        </row>
        <row r="12">
          <cell r="B12">
            <v>59942</v>
          </cell>
          <cell r="C12">
            <v>61275</v>
          </cell>
          <cell r="D12">
            <v>61126</v>
          </cell>
          <cell r="E12">
            <v>60638</v>
          </cell>
          <cell r="F12">
            <v>60291</v>
          </cell>
          <cell r="G12">
            <v>60732</v>
          </cell>
          <cell r="H12">
            <v>64102</v>
          </cell>
          <cell r="I12">
            <v>70572</v>
          </cell>
          <cell r="J12">
            <v>73837</v>
          </cell>
          <cell r="K12">
            <v>84125</v>
          </cell>
          <cell r="L12">
            <v>92117</v>
          </cell>
          <cell r="M12">
            <v>100649</v>
          </cell>
        </row>
        <row r="13">
          <cell r="B13">
            <v>5470</v>
          </cell>
          <cell r="C13">
            <v>5152</v>
          </cell>
          <cell r="D13">
            <v>4788</v>
          </cell>
          <cell r="E13">
            <v>4459</v>
          </cell>
          <cell r="F13">
            <v>4317</v>
          </cell>
          <cell r="G13">
            <v>4249</v>
          </cell>
          <cell r="H13">
            <v>4270</v>
          </cell>
          <cell r="I13">
            <v>4269</v>
          </cell>
          <cell r="J13">
            <v>4165</v>
          </cell>
          <cell r="K13">
            <v>4512</v>
          </cell>
          <cell r="L13">
            <v>4540</v>
          </cell>
          <cell r="M13">
            <v>4546</v>
          </cell>
        </row>
        <row r="14">
          <cell r="B14">
            <v>6642</v>
          </cell>
          <cell r="C14">
            <v>5833</v>
          </cell>
          <cell r="D14">
            <v>5269</v>
          </cell>
          <cell r="E14">
            <v>4873</v>
          </cell>
          <cell r="F14">
            <v>4715</v>
          </cell>
          <cell r="G14">
            <v>4738</v>
          </cell>
          <cell r="H14">
            <v>4988</v>
          </cell>
          <cell r="I14">
            <v>5080</v>
          </cell>
          <cell r="J14">
            <v>5265</v>
          </cell>
          <cell r="K14">
            <v>6168</v>
          </cell>
          <cell r="L14">
            <v>6494</v>
          </cell>
          <cell r="M14">
            <v>6661</v>
          </cell>
        </row>
        <row r="15">
          <cell r="B15">
            <v>9586</v>
          </cell>
          <cell r="C15">
            <v>7707</v>
          </cell>
          <cell r="D15">
            <v>6560</v>
          </cell>
          <cell r="E15">
            <v>6030</v>
          </cell>
          <cell r="F15">
            <v>5647</v>
          </cell>
          <cell r="G15">
            <v>5928</v>
          </cell>
          <cell r="H15">
            <v>6314</v>
          </cell>
          <cell r="I15">
            <v>6783</v>
          </cell>
          <cell r="J15">
            <v>6954</v>
          </cell>
          <cell r="K15">
            <v>8120</v>
          </cell>
          <cell r="L15">
            <v>8222</v>
          </cell>
          <cell r="M15">
            <v>485</v>
          </cell>
        </row>
        <row r="16">
          <cell r="B16">
            <v>10563</v>
          </cell>
          <cell r="C16">
            <v>9120</v>
          </cell>
          <cell r="D16">
            <v>7798</v>
          </cell>
          <cell r="E16">
            <v>7478</v>
          </cell>
          <cell r="F16">
            <v>7454</v>
          </cell>
          <cell r="G16">
            <v>7896</v>
          </cell>
          <cell r="H16">
            <v>8591</v>
          </cell>
          <cell r="I16">
            <v>9260</v>
          </cell>
          <cell r="J16">
            <v>10106</v>
          </cell>
          <cell r="K16">
            <v>12224</v>
          </cell>
          <cell r="L16">
            <v>13429</v>
          </cell>
          <cell r="M16">
            <v>14373</v>
          </cell>
        </row>
        <row r="20">
          <cell r="B20">
            <v>23174.6</v>
          </cell>
          <cell r="C20">
            <v>24643</v>
          </cell>
          <cell r="D20">
            <v>21599.916666666668</v>
          </cell>
          <cell r="E20">
            <v>21709</v>
          </cell>
          <cell r="F20">
            <v>20471</v>
          </cell>
          <cell r="G20">
            <v>20378</v>
          </cell>
          <cell r="H20">
            <v>22336</v>
          </cell>
          <cell r="I20">
            <v>21994</v>
          </cell>
          <cell r="J20">
            <v>21961</v>
          </cell>
          <cell r="K20">
            <v>23089</v>
          </cell>
          <cell r="L20">
            <v>22777</v>
          </cell>
          <cell r="M20">
            <v>22517</v>
          </cell>
        </row>
        <row r="21">
          <cell r="B21">
            <v>25820.2</v>
          </cell>
          <cell r="C21">
            <v>27880.272727272728</v>
          </cell>
          <cell r="D21">
            <v>24704.916666666668</v>
          </cell>
          <cell r="E21">
            <v>24278.846153846152</v>
          </cell>
          <cell r="F21">
            <v>22250</v>
          </cell>
          <cell r="G21">
            <v>25267</v>
          </cell>
          <cell r="H21">
            <v>29138</v>
          </cell>
          <cell r="I21">
            <v>28812</v>
          </cell>
          <cell r="J21">
            <v>29480</v>
          </cell>
          <cell r="K21">
            <v>24960</v>
          </cell>
          <cell r="L21">
            <v>24886</v>
          </cell>
          <cell r="M21">
            <v>24482</v>
          </cell>
        </row>
        <row r="22">
          <cell r="B22">
            <v>32427.200000000001</v>
          </cell>
          <cell r="C22">
            <v>34454.181818181816</v>
          </cell>
          <cell r="D22">
            <v>31019.25</v>
          </cell>
          <cell r="E22">
            <v>31742.153846153848</v>
          </cell>
          <cell r="F22">
            <v>30575</v>
          </cell>
          <cell r="G22">
            <v>34504</v>
          </cell>
          <cell r="H22">
            <v>38838</v>
          </cell>
          <cell r="I22">
            <v>38517</v>
          </cell>
          <cell r="J22">
            <v>38753</v>
          </cell>
          <cell r="K22">
            <v>33192</v>
          </cell>
          <cell r="L22">
            <v>33909</v>
          </cell>
          <cell r="M22">
            <v>33338</v>
          </cell>
        </row>
        <row r="23">
          <cell r="B23">
            <v>46491.9</v>
          </cell>
          <cell r="C23">
            <v>42101</v>
          </cell>
          <cell r="D23">
            <v>40076.083333333336</v>
          </cell>
          <cell r="E23">
            <v>38453.692307692305</v>
          </cell>
          <cell r="F23">
            <v>36814</v>
          </cell>
          <cell r="G23">
            <v>44316</v>
          </cell>
          <cell r="H23">
            <v>50111</v>
          </cell>
          <cell r="I23">
            <v>52242</v>
          </cell>
          <cell r="J23">
            <v>52613</v>
          </cell>
          <cell r="K23">
            <v>44996</v>
          </cell>
          <cell r="L23">
            <v>43778</v>
          </cell>
          <cell r="M23">
            <v>43501</v>
          </cell>
        </row>
        <row r="24">
          <cell r="B24">
            <v>54572.3</v>
          </cell>
          <cell r="C24">
            <v>51817.454545454544</v>
          </cell>
          <cell r="D24">
            <v>48618.916666666664</v>
          </cell>
          <cell r="E24">
            <v>49745.230769230766</v>
          </cell>
          <cell r="F24">
            <v>46648</v>
          </cell>
          <cell r="G24">
            <v>57505</v>
          </cell>
          <cell r="H24">
            <v>66814</v>
          </cell>
          <cell r="I24">
            <v>65199</v>
          </cell>
          <cell r="J24">
            <v>65492</v>
          </cell>
          <cell r="K24">
            <v>59528</v>
          </cell>
          <cell r="L24">
            <v>58054</v>
          </cell>
          <cell r="M24">
            <v>58527</v>
          </cell>
        </row>
      </sheetData>
      <sheetData sheetId="1"/>
      <sheetData sheetId="2">
        <row r="37">
          <cell r="U37">
            <v>6.3580273077380581E-2</v>
          </cell>
        </row>
      </sheetData>
      <sheetData sheetId="3">
        <row r="38">
          <cell r="U38">
            <v>6.3113576807437607E-2</v>
          </cell>
        </row>
      </sheetData>
      <sheetData sheetId="4">
        <row r="38">
          <cell r="U38">
            <v>6.0231404143409238E-2</v>
          </cell>
        </row>
      </sheetData>
      <sheetData sheetId="5">
        <row r="38">
          <cell r="U38">
            <v>9.44772069951587E-2</v>
          </cell>
        </row>
      </sheetData>
      <sheetData sheetId="6">
        <row r="38">
          <cell r="U38">
            <v>6.3277624837542262E-2</v>
          </cell>
        </row>
      </sheetData>
      <sheetData sheetId="7">
        <row r="38">
          <cell r="U38">
            <v>4.2116936747921836E-2</v>
          </cell>
        </row>
      </sheetData>
      <sheetData sheetId="8">
        <row r="38">
          <cell r="U38">
            <v>2.101575705056026E-2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cDonagh, Shane" id="{BFDE64C1-52E9-47C0-9D87-6CE8FFD070A5}" userId="S::shane.mcdonagh@ucc.ie::14fc2bcb-df90-48a1-b21e-23e6a6c3fc6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4" dT="2021-01-27T12:53:04.58" personId="{BFDE64C1-52E9-47C0-9D87-6CE8FFD070A5}" id="{A12962AA-CEE0-438E-8E8B-CC3727EACA22}">
    <text>Get formulas from "final predictions"</text>
  </threadedComment>
  <threadedComment ref="A45" dT="2021-02-02T22:04:44.07" personId="{BFDE64C1-52E9-47C0-9D87-6CE8FFD070A5}" id="{D18124DE-F907-4952-BE02-516BFA2E0FB9}">
    <text>Exclude 2-5 tonnes for accuracy</text>
  </threadedComment>
  <threadedComment ref="A56" dT="2021-02-02T22:04:44.07" personId="{BFDE64C1-52E9-47C0-9D87-6CE8FFD070A5}" id="{A102C0C8-0C22-4B2C-9D4A-F481FDA4EAF5}">
    <text>Exclude 2-5 tonnes for accuracy</text>
  </threadedComment>
  <threadedComment ref="A64" dT="2021-02-02T22:04:44.07" personId="{BFDE64C1-52E9-47C0-9D87-6CE8FFD070A5}" id="{7046E416-9BD5-472C-B582-443F5AAAB676}">
    <text>Exclude 2-5 tonnes for accuracy</text>
  </threadedComment>
  <threadedComment ref="A73" dT="2021-02-02T22:04:44.07" personId="{BFDE64C1-52E9-47C0-9D87-6CE8FFD070A5}" id="{6F10F2ED-7520-4946-84E5-9E02D10D253D}">
    <text>Exclude 2-5 tonnes for accuracy</text>
  </threadedComment>
  <threadedComment ref="A83" dT="2021-02-02T22:04:44.07" personId="{BFDE64C1-52E9-47C0-9D87-6CE8FFD070A5}" id="{DFB4B459-2832-42E9-96D9-22BD965FE2D5}">
    <text>Exclude 2-5 tonnes for accuracy</text>
  </threadedComment>
  <threadedComment ref="A95" dT="2021-02-02T22:04:44.07" personId="{BFDE64C1-52E9-47C0-9D87-6CE8FFD070A5}" id="{70594424-8A2D-4A1A-8367-9398A8F3E896}">
    <text>Exclude 2-5 tonnes for accuracy</text>
  </threadedComment>
  <threadedComment ref="A119" dT="2021-02-02T22:04:44.07" personId="{BFDE64C1-52E9-47C0-9D87-6CE8FFD070A5}" id="{29BCD9AD-26C6-4DB1-A5BE-999A682BDF6A}">
    <text>Exclude 2-5 tonnes for accuracy</text>
  </threadedComment>
  <threadedComment ref="AC152" dT="2020-03-02T14:53:49.54" personId="{BFDE64C1-52E9-47C0-9D87-6CE8FFD070A5}" id="{CFFE6687-D299-4702-A011-D9AB68DDFCDE}">
    <text>Is this projection still realistic? 
Efficiency (laden) gains, local production, consolodation of companies, demographics of HGV companies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Z4" dT="2021-01-27T12:53:04.58" personId="{BFDE64C1-52E9-47C0-9D87-6CE8FFD070A5}" id="{4177E55C-1601-4E69-B372-0C52A43726B6}">
    <text>Get formulas from "final predictions"</text>
  </threadedComment>
  <threadedComment ref="A54" dT="2021-02-02T22:04:44.07" personId="{BFDE64C1-52E9-47C0-9D87-6CE8FFD070A5}" id="{12235075-1BC9-4BCD-B1B7-51B4B3545409}">
    <text>Exclude 2-5 tonnes for accuracy</text>
  </threadedComment>
  <threadedComment ref="A65" dT="2021-02-02T22:04:44.07" personId="{BFDE64C1-52E9-47C0-9D87-6CE8FFD070A5}" id="{28002337-9BC0-41AC-B469-B76188F87FAB}">
    <text>Exclude 2-5 tonnes for accuracy</text>
  </threadedComment>
  <threadedComment ref="A73" dT="2021-02-02T22:04:44.07" personId="{BFDE64C1-52E9-47C0-9D87-6CE8FFD070A5}" id="{831036A4-EDFD-4D8A-AA0A-51FEBEFF4E12}">
    <text>Exclude 2-5 tonnes for accuracy</text>
  </threadedComment>
  <threadedComment ref="A82" dT="2021-02-02T22:04:44.07" personId="{BFDE64C1-52E9-47C0-9D87-6CE8FFD070A5}" id="{DF555C66-D8DA-451E-888B-50A86BF7A3A5}">
    <text>Exclude 2-5 tonnes for accuracy</text>
  </threadedComment>
  <threadedComment ref="A92" dT="2021-02-02T22:04:44.07" personId="{BFDE64C1-52E9-47C0-9D87-6CE8FFD070A5}" id="{D2A78D89-FD50-4298-BCB0-CA80A0852E6C}">
    <text>Exclude 2-5 tonnes for accuracy</text>
  </threadedComment>
  <threadedComment ref="A110" dT="2021-02-02T22:04:44.07" personId="{BFDE64C1-52E9-47C0-9D87-6CE8FFD070A5}" id="{C6CA6982-9D49-4522-A050-4484803589B9}">
    <text>Exclude 2-5 tonnes for accuracy</text>
  </threadedComment>
  <threadedComment ref="A126" dT="2021-02-02T22:04:44.07" personId="{BFDE64C1-52E9-47C0-9D87-6CE8FFD070A5}" id="{C48C72F6-74B8-46D0-ADC1-2A0A48CF3182}">
    <text>Exclude 2-5 tonnes for accuracy</text>
  </threadedComment>
  <threadedComment ref="AC159" dT="2020-03-02T14:53:49.54" personId="{BFDE64C1-52E9-47C0-9D87-6CE8FFD070A5}" id="{F06359DC-0155-4E6C-91ED-D8FEF92D7C93}">
    <text>Is this projection still realistic? 
Efficiency (laden) gains, local production, consolodation of companies, demographics of HGV companies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082D-8741-4088-B365-8DFEBF9C2100}">
  <dimension ref="A1:C51"/>
  <sheetViews>
    <sheetView tabSelected="1" workbookViewId="0">
      <selection activeCell="E31" sqref="E31"/>
    </sheetView>
  </sheetViews>
  <sheetFormatPr baseColWidth="10" defaultColWidth="8.83203125" defaultRowHeight="15"/>
  <cols>
    <col min="1" max="1" width="14.1640625" customWidth="1"/>
  </cols>
  <sheetData>
    <row r="1" spans="1:3" s="45" customFormat="1">
      <c r="A1" s="137" t="s">
        <v>0</v>
      </c>
      <c r="B1" s="137"/>
      <c r="C1" s="137"/>
    </row>
    <row r="2" spans="1:3" s="40" customFormat="1" ht="25.25" customHeight="1">
      <c r="A2" s="41" t="s">
        <v>1</v>
      </c>
      <c r="B2" s="41" t="s">
        <v>2</v>
      </c>
      <c r="C2" s="42"/>
    </row>
    <row r="3" spans="1:3" s="40" customFormat="1">
      <c r="A3" s="40" t="s">
        <v>3</v>
      </c>
      <c r="B3" s="40" t="s">
        <v>4</v>
      </c>
    </row>
    <row r="4" spans="1:3" s="40" customFormat="1">
      <c r="A4" s="40" t="s">
        <v>5</v>
      </c>
      <c r="B4" s="40" t="s">
        <v>6</v>
      </c>
    </row>
    <row r="5" spans="1:3" s="40" customFormat="1">
      <c r="A5" s="40" t="s">
        <v>7</v>
      </c>
      <c r="B5" s="40" t="s">
        <v>8</v>
      </c>
    </row>
    <row r="6" spans="1:3" s="40" customFormat="1">
      <c r="A6" s="40" t="s">
        <v>9</v>
      </c>
      <c r="B6" s="40" t="s">
        <v>10</v>
      </c>
    </row>
    <row r="7" spans="1:3" s="45" customFormat="1"/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34681-294B-4B7A-801D-B7BB9847EDA1}">
  <dimension ref="A1:BF54"/>
  <sheetViews>
    <sheetView topLeftCell="F28" zoomScale="55" zoomScaleNormal="55" workbookViewId="0">
      <selection activeCell="V28" sqref="V28"/>
    </sheetView>
  </sheetViews>
  <sheetFormatPr baseColWidth="10" defaultColWidth="8.83203125" defaultRowHeight="19"/>
  <cols>
    <col min="1" max="1" width="23.5" style="117" customWidth="1"/>
    <col min="2" max="2" width="23.1640625" style="9" customWidth="1"/>
  </cols>
  <sheetData>
    <row r="1" spans="1:58" s="105" customFormat="1" ht="44.5" customHeight="1">
      <c r="A1" s="115"/>
      <c r="B1" s="106" t="s">
        <v>11</v>
      </c>
      <c r="C1" s="107">
        <v>1995</v>
      </c>
      <c r="D1" s="107">
        <v>1996</v>
      </c>
      <c r="E1" s="107">
        <v>1997</v>
      </c>
      <c r="F1" s="107">
        <v>1998</v>
      </c>
      <c r="G1" s="107">
        <v>1999</v>
      </c>
      <c r="H1" s="107">
        <v>2000</v>
      </c>
      <c r="I1" s="107">
        <v>2001</v>
      </c>
      <c r="J1" s="107">
        <v>2002</v>
      </c>
      <c r="K1" s="107">
        <v>2003</v>
      </c>
      <c r="L1" s="107">
        <v>2004</v>
      </c>
      <c r="M1" s="107">
        <v>2005</v>
      </c>
      <c r="N1" s="107">
        <v>2006</v>
      </c>
      <c r="O1" s="107">
        <v>2007</v>
      </c>
      <c r="P1" s="107">
        <v>2008</v>
      </c>
      <c r="Q1" s="107">
        <v>2009</v>
      </c>
      <c r="R1" s="107">
        <v>2010</v>
      </c>
      <c r="S1" s="107">
        <v>2011</v>
      </c>
      <c r="T1" s="107">
        <v>2012</v>
      </c>
      <c r="U1" s="107">
        <v>2013</v>
      </c>
      <c r="V1" s="107">
        <v>2014</v>
      </c>
      <c r="W1" s="107">
        <v>2015</v>
      </c>
      <c r="X1" s="107">
        <v>2016</v>
      </c>
      <c r="Y1" s="107">
        <v>2017</v>
      </c>
      <c r="Z1" s="107">
        <v>2018</v>
      </c>
      <c r="AA1" s="107">
        <v>2019</v>
      </c>
      <c r="AB1" s="107">
        <v>2020</v>
      </c>
      <c r="AC1" s="107">
        <v>2021</v>
      </c>
      <c r="AD1" s="107">
        <v>2022</v>
      </c>
      <c r="AE1" s="107">
        <v>2023</v>
      </c>
      <c r="AF1" s="107">
        <v>2024</v>
      </c>
      <c r="AG1" s="107">
        <v>2025</v>
      </c>
      <c r="AH1" s="107">
        <v>2026</v>
      </c>
      <c r="AI1" s="107">
        <v>2027</v>
      </c>
      <c r="AJ1" s="107">
        <v>2028</v>
      </c>
      <c r="AK1" s="107">
        <v>2029</v>
      </c>
      <c r="AL1" s="107">
        <v>2030</v>
      </c>
      <c r="AM1" s="107">
        <v>2031</v>
      </c>
      <c r="AN1" s="107">
        <v>2032</v>
      </c>
      <c r="AO1" s="107">
        <v>2033</v>
      </c>
      <c r="AP1" s="107">
        <v>2034</v>
      </c>
      <c r="AQ1" s="107">
        <v>2035</v>
      </c>
      <c r="AR1" s="107">
        <v>2036</v>
      </c>
      <c r="AS1" s="107">
        <v>2037</v>
      </c>
      <c r="AT1" s="107">
        <v>2038</v>
      </c>
      <c r="AU1" s="107">
        <v>2039</v>
      </c>
      <c r="AV1" s="107">
        <v>2040</v>
      </c>
      <c r="AW1" s="107">
        <v>2041</v>
      </c>
      <c r="AX1" s="107">
        <v>2042</v>
      </c>
      <c r="AY1" s="107">
        <v>2043</v>
      </c>
      <c r="AZ1" s="107">
        <v>2044</v>
      </c>
      <c r="BA1" s="107">
        <v>2045</v>
      </c>
      <c r="BB1" s="107">
        <v>2046</v>
      </c>
      <c r="BC1" s="107">
        <v>2047</v>
      </c>
      <c r="BD1" s="107">
        <v>2048</v>
      </c>
      <c r="BE1" s="107">
        <v>2049</v>
      </c>
      <c r="BF1" s="107">
        <v>2050</v>
      </c>
    </row>
    <row r="2" spans="1:58" s="108" customFormat="1" ht="33" customHeight="1">
      <c r="A2" s="116"/>
      <c r="B2" s="106" t="s">
        <v>12</v>
      </c>
      <c r="C2" s="108">
        <v>81281</v>
      </c>
      <c r="D2" s="108">
        <v>88159</v>
      </c>
      <c r="E2" s="108">
        <v>97546</v>
      </c>
      <c r="F2" s="108">
        <v>104842</v>
      </c>
      <c r="G2" s="108">
        <v>115224</v>
      </c>
      <c r="H2" s="108">
        <v>126219</v>
      </c>
      <c r="I2" s="108">
        <v>132415</v>
      </c>
      <c r="J2" s="108">
        <v>139824</v>
      </c>
      <c r="K2" s="108">
        <v>145473</v>
      </c>
      <c r="L2" s="108">
        <v>151751</v>
      </c>
      <c r="M2" s="108">
        <v>159414</v>
      </c>
      <c r="N2" s="108">
        <v>167918</v>
      </c>
      <c r="O2" s="108">
        <v>177164</v>
      </c>
      <c r="P2" s="108">
        <v>172271</v>
      </c>
      <c r="Q2" s="108">
        <v>160596</v>
      </c>
      <c r="R2" s="108">
        <v>159906</v>
      </c>
      <c r="S2" s="108">
        <v>162281</v>
      </c>
      <c r="T2" s="108">
        <v>163792</v>
      </c>
      <c r="U2" s="108">
        <v>166620</v>
      </c>
      <c r="V2" s="108">
        <v>171685</v>
      </c>
      <c r="W2" s="108">
        <v>178621</v>
      </c>
      <c r="X2" s="108">
        <v>186022</v>
      </c>
      <c r="Y2" s="108">
        <v>193800</v>
      </c>
      <c r="Z2" s="108">
        <v>201018</v>
      </c>
      <c r="AA2" s="108">
        <v>208514</v>
      </c>
      <c r="AB2" s="108">
        <v>216863</v>
      </c>
      <c r="AC2" s="108">
        <v>223207</v>
      </c>
      <c r="AD2" s="108">
        <v>228779</v>
      </c>
      <c r="AE2" s="108">
        <v>233228</v>
      </c>
      <c r="AF2" s="108">
        <v>237260</v>
      </c>
      <c r="AG2" s="108">
        <v>241796</v>
      </c>
      <c r="AH2" s="108">
        <v>246262</v>
      </c>
      <c r="AI2" s="108">
        <v>250773</v>
      </c>
      <c r="AJ2" s="108">
        <v>255635</v>
      </c>
      <c r="AK2" s="108">
        <v>260997</v>
      </c>
      <c r="AL2" s="108">
        <v>266744</v>
      </c>
      <c r="AM2" s="108">
        <v>269964</v>
      </c>
      <c r="AN2" s="108">
        <v>273223</v>
      </c>
      <c r="AO2" s="108">
        <v>276521</v>
      </c>
      <c r="AP2" s="108">
        <v>279859</v>
      </c>
      <c r="AQ2" s="108">
        <v>283238</v>
      </c>
      <c r="AR2" s="108">
        <v>286657</v>
      </c>
      <c r="AS2" s="108">
        <v>290117</v>
      </c>
      <c r="AT2" s="108">
        <v>293620</v>
      </c>
      <c r="AU2" s="108">
        <v>297164</v>
      </c>
      <c r="AV2" s="108">
        <v>300752</v>
      </c>
      <c r="AW2" s="108">
        <v>304382</v>
      </c>
      <c r="AX2" s="108">
        <v>308057</v>
      </c>
      <c r="AY2" s="108">
        <v>311776</v>
      </c>
      <c r="AZ2" s="108">
        <v>315539</v>
      </c>
      <c r="BA2" s="108">
        <v>319349</v>
      </c>
      <c r="BB2" s="108">
        <v>323204</v>
      </c>
      <c r="BC2" s="108">
        <v>327106</v>
      </c>
      <c r="BD2" s="108">
        <v>331054</v>
      </c>
      <c r="BE2" s="108">
        <v>335051</v>
      </c>
      <c r="BF2" s="108">
        <v>339096</v>
      </c>
    </row>
    <row r="3" spans="1:58" s="108" customFormat="1" ht="33" customHeight="1">
      <c r="A3" s="116"/>
      <c r="B3" s="106"/>
      <c r="D3" s="109">
        <f>(D2-C2)/C2</f>
        <v>8.4620021899336872E-2</v>
      </c>
      <c r="E3" s="109">
        <f t="shared" ref="E3:BF3" si="0">(E2-D2)/D2</f>
        <v>0.10647806803616193</v>
      </c>
      <c r="F3" s="109">
        <f t="shared" si="0"/>
        <v>7.4795481106349829E-2</v>
      </c>
      <c r="G3" s="109">
        <f t="shared" si="0"/>
        <v>9.9025199824497812E-2</v>
      </c>
      <c r="H3" s="109">
        <f t="shared" si="0"/>
        <v>9.5422828577379715E-2</v>
      </c>
      <c r="I3" s="109">
        <f t="shared" si="0"/>
        <v>4.908928132848462E-2</v>
      </c>
      <c r="J3" s="109">
        <f t="shared" si="0"/>
        <v>5.5952875429520828E-2</v>
      </c>
      <c r="K3" s="109">
        <f t="shared" si="0"/>
        <v>4.0400789564023341E-2</v>
      </c>
      <c r="L3" s="109">
        <f t="shared" si="0"/>
        <v>4.3155774611096216E-2</v>
      </c>
      <c r="M3" s="109">
        <f t="shared" si="0"/>
        <v>5.0497196064605836E-2</v>
      </c>
      <c r="N3" s="109">
        <f t="shared" si="0"/>
        <v>5.3345377444891914E-2</v>
      </c>
      <c r="O3" s="109">
        <f t="shared" si="0"/>
        <v>5.5062590073726464E-2</v>
      </c>
      <c r="P3" s="109">
        <f t="shared" si="0"/>
        <v>-2.7618477794585806E-2</v>
      </c>
      <c r="Q3" s="109">
        <f t="shared" si="0"/>
        <v>-6.7771128048249557E-2</v>
      </c>
      <c r="R3" s="109">
        <f t="shared" si="0"/>
        <v>-4.2964955540611225E-3</v>
      </c>
      <c r="S3" s="109">
        <f t="shared" si="0"/>
        <v>1.485247582954986E-2</v>
      </c>
      <c r="T3" s="109">
        <f t="shared" si="0"/>
        <v>9.3110099149006972E-3</v>
      </c>
      <c r="U3" s="109">
        <f t="shared" si="0"/>
        <v>1.7265800527498289E-2</v>
      </c>
      <c r="V3" s="109">
        <f t="shared" si="0"/>
        <v>3.0398511583243307E-2</v>
      </c>
      <c r="W3" s="109">
        <f t="shared" si="0"/>
        <v>4.0399568978070302E-2</v>
      </c>
      <c r="X3" s="109">
        <f t="shared" si="0"/>
        <v>4.143409789442451E-2</v>
      </c>
      <c r="Y3" s="109">
        <f t="shared" si="0"/>
        <v>4.18122587650923E-2</v>
      </c>
      <c r="Z3" s="109">
        <f t="shared" si="0"/>
        <v>3.7244582043343653E-2</v>
      </c>
      <c r="AA3" s="109">
        <f t="shared" si="0"/>
        <v>3.7290192918047138E-2</v>
      </c>
      <c r="AB3" s="109">
        <f t="shared" si="0"/>
        <v>4.004047689843368E-2</v>
      </c>
      <c r="AC3" s="109">
        <f t="shared" si="0"/>
        <v>2.9253491835859506E-2</v>
      </c>
      <c r="AD3" s="109">
        <f t="shared" si="0"/>
        <v>2.4963374804553622E-2</v>
      </c>
      <c r="AE3" s="109">
        <f t="shared" si="0"/>
        <v>1.9446714951984228E-2</v>
      </c>
      <c r="AF3" s="109">
        <f t="shared" si="0"/>
        <v>1.7287804208757095E-2</v>
      </c>
      <c r="AG3" s="109">
        <f t="shared" si="0"/>
        <v>1.9118266880215798E-2</v>
      </c>
      <c r="AH3" s="109">
        <f t="shared" si="0"/>
        <v>1.8470115303809823E-2</v>
      </c>
      <c r="AI3" s="109">
        <f t="shared" si="0"/>
        <v>1.831788907748658E-2</v>
      </c>
      <c r="AJ3" s="109">
        <f t="shared" si="0"/>
        <v>1.9388052142774542E-2</v>
      </c>
      <c r="AK3" s="109">
        <f t="shared" si="0"/>
        <v>2.0975218573356543E-2</v>
      </c>
      <c r="AL3" s="109">
        <f t="shared" si="0"/>
        <v>2.2019410184791397E-2</v>
      </c>
      <c r="AM3" s="109">
        <f t="shared" si="0"/>
        <v>1.2071499265213089E-2</v>
      </c>
      <c r="AN3" s="109">
        <f t="shared" si="0"/>
        <v>1.2071979967699396E-2</v>
      </c>
      <c r="AO3" s="109">
        <f t="shared" si="0"/>
        <v>1.207072611017374E-2</v>
      </c>
      <c r="AP3" s="109">
        <f t="shared" si="0"/>
        <v>1.2071415914162035E-2</v>
      </c>
      <c r="AQ3" s="109">
        <f t="shared" si="0"/>
        <v>1.2073937232677884E-2</v>
      </c>
      <c r="AR3" s="109">
        <f t="shared" si="0"/>
        <v>1.2071120400511231E-2</v>
      </c>
      <c r="AS3" s="109">
        <f t="shared" si="0"/>
        <v>1.2070174459371304E-2</v>
      </c>
      <c r="AT3" s="109">
        <f t="shared" si="0"/>
        <v>1.2074438933257962E-2</v>
      </c>
      <c r="AU3" s="109">
        <f t="shared" si="0"/>
        <v>1.2070022478032832E-2</v>
      </c>
      <c r="AV3" s="109">
        <f t="shared" si="0"/>
        <v>1.2074140878437495E-2</v>
      </c>
      <c r="AW3" s="109">
        <f t="shared" si="0"/>
        <v>1.2069745172101931E-2</v>
      </c>
      <c r="AX3" s="109">
        <f t="shared" si="0"/>
        <v>1.2073644302225493E-2</v>
      </c>
      <c r="AY3" s="109">
        <f t="shared" si="0"/>
        <v>1.2072441139139835E-2</v>
      </c>
      <c r="AZ3" s="109">
        <f t="shared" si="0"/>
        <v>1.206956276300934E-2</v>
      </c>
      <c r="BA3" s="109">
        <f t="shared" si="0"/>
        <v>1.207457715211115E-2</v>
      </c>
      <c r="BB3" s="109">
        <f t="shared" si="0"/>
        <v>1.2071432821145518E-2</v>
      </c>
      <c r="BC3" s="109">
        <f t="shared" si="0"/>
        <v>1.2072870385267508E-2</v>
      </c>
      <c r="BD3" s="109">
        <f t="shared" si="0"/>
        <v>1.2069482063918118E-2</v>
      </c>
      <c r="BE3" s="109">
        <f t="shared" si="0"/>
        <v>1.2073558996417502E-2</v>
      </c>
      <c r="BF3" s="109">
        <f t="shared" si="0"/>
        <v>1.207278891870193E-2</v>
      </c>
    </row>
    <row r="4" spans="1:58" s="108" customFormat="1" ht="33" customHeight="1">
      <c r="A4" s="116"/>
      <c r="B4" s="106" t="s">
        <v>13</v>
      </c>
      <c r="C4" s="108">
        <v>3601000</v>
      </c>
      <c r="D4" s="108">
        <v>3626000</v>
      </c>
      <c r="E4" s="108">
        <v>3661000</v>
      </c>
      <c r="F4" s="108">
        <v>3714000</v>
      </c>
      <c r="G4" s="108">
        <v>3755000</v>
      </c>
      <c r="H4" s="108">
        <v>3804000</v>
      </c>
      <c r="I4" s="108">
        <v>3864000</v>
      </c>
      <c r="J4" s="108">
        <v>3932000</v>
      </c>
      <c r="K4" s="108">
        <v>3997000</v>
      </c>
      <c r="L4" s="108">
        <v>4067000</v>
      </c>
      <c r="M4" s="108">
        <v>4134100</v>
      </c>
      <c r="N4" s="108">
        <v>4232900</v>
      </c>
      <c r="O4" s="108">
        <v>4375800</v>
      </c>
      <c r="P4" s="108">
        <v>4485100</v>
      </c>
      <c r="Q4" s="108">
        <v>4533500</v>
      </c>
      <c r="R4" s="108">
        <v>4554700</v>
      </c>
      <c r="S4" s="108">
        <v>4588152</v>
      </c>
      <c r="T4" s="108">
        <v>4585000</v>
      </c>
      <c r="U4" s="108">
        <v>4595361.2</v>
      </c>
      <c r="V4" s="108">
        <v>4619386.1840000004</v>
      </c>
      <c r="W4" s="108">
        <v>4646919.1749999998</v>
      </c>
      <c r="X4" s="108">
        <v>4688136.2249999996</v>
      </c>
      <c r="Y4" s="108">
        <v>4727956.9359999998</v>
      </c>
      <c r="Z4" s="108">
        <v>4766111.1129999999</v>
      </c>
      <c r="AA4" s="108">
        <v>4802384.1109999996</v>
      </c>
      <c r="AB4" s="108">
        <v>4836753.2479999997</v>
      </c>
      <c r="AC4" s="108">
        <v>4874358.676</v>
      </c>
      <c r="AD4" s="108">
        <v>4910225.0269999998</v>
      </c>
      <c r="AE4" s="108">
        <v>4944797.3049999997</v>
      </c>
      <c r="AF4" s="108">
        <v>4978056.9220000003</v>
      </c>
      <c r="AG4" s="108">
        <v>5010220.4330000002</v>
      </c>
      <c r="AH4" s="108">
        <v>5041229.6569999997</v>
      </c>
      <c r="AI4" s="108">
        <v>5071517.7300000004</v>
      </c>
      <c r="AJ4" s="108">
        <v>5101533.5549999997</v>
      </c>
      <c r="AK4" s="108">
        <v>5131534.4110000003</v>
      </c>
      <c r="AL4" s="108">
        <v>5161500.7640000004</v>
      </c>
      <c r="AM4" s="108">
        <v>5184038.375</v>
      </c>
      <c r="AN4" s="108">
        <v>5206674.3959999997</v>
      </c>
      <c r="AO4" s="108">
        <v>5229409.2570000002</v>
      </c>
      <c r="AP4" s="108">
        <v>5252243.3899999997</v>
      </c>
      <c r="AQ4" s="108">
        <v>5275177.227</v>
      </c>
      <c r="AR4" s="108">
        <v>5298211.2050000001</v>
      </c>
      <c r="AS4" s="108">
        <v>5321345.76</v>
      </c>
      <c r="AT4" s="108">
        <v>5344581.3320000004</v>
      </c>
      <c r="AU4" s="108">
        <v>5367918.3619999997</v>
      </c>
      <c r="AV4" s="108">
        <v>5391357.2920000004</v>
      </c>
      <c r="AW4" s="108">
        <v>5414898.568</v>
      </c>
      <c r="AX4" s="108">
        <v>5438542.6370000001</v>
      </c>
      <c r="AY4" s="108">
        <v>5462289.9469999997</v>
      </c>
      <c r="AZ4" s="108">
        <v>5486140.949</v>
      </c>
      <c r="BA4" s="108">
        <v>5510096.0970000001</v>
      </c>
      <c r="BB4" s="108">
        <v>5534155.8439999996</v>
      </c>
      <c r="BC4" s="108">
        <v>5558320.648</v>
      </c>
      <c r="BD4" s="108">
        <v>5582590.9670000002</v>
      </c>
      <c r="BE4" s="108">
        <v>5606967.2609999999</v>
      </c>
      <c r="BF4" s="108">
        <v>5631449.9950000001</v>
      </c>
    </row>
    <row r="5" spans="1:58" s="108" customFormat="1" ht="33" customHeight="1">
      <c r="A5" s="116"/>
      <c r="B5" s="106" t="s">
        <v>14</v>
      </c>
      <c r="C5" s="108">
        <v>22571.785619999999</v>
      </c>
      <c r="D5" s="108">
        <v>24313.017100000001</v>
      </c>
      <c r="E5" s="108">
        <v>26644.632610000001</v>
      </c>
      <c r="F5" s="108">
        <v>28228.86376</v>
      </c>
      <c r="G5" s="108">
        <v>30685.48602</v>
      </c>
      <c r="H5" s="108">
        <v>33180.599370000004</v>
      </c>
      <c r="I5" s="108">
        <v>34268.892339999999</v>
      </c>
      <c r="J5" s="108">
        <v>35560.528989999999</v>
      </c>
      <c r="K5" s="108">
        <v>36395.54666</v>
      </c>
      <c r="L5" s="108">
        <v>37312.761250000003</v>
      </c>
      <c r="M5" s="108">
        <v>38560.750829999997</v>
      </c>
      <c r="N5" s="108">
        <v>39669.72997</v>
      </c>
      <c r="O5" s="108">
        <v>40487.225189999997</v>
      </c>
      <c r="P5" s="108">
        <v>38409.622969999997</v>
      </c>
      <c r="Q5" s="108">
        <v>35424.28587</v>
      </c>
      <c r="R5" s="108">
        <v>35107.910510000002</v>
      </c>
      <c r="S5" s="108">
        <v>35369.577989999998</v>
      </c>
      <c r="T5" s="108">
        <v>35723.446020000003</v>
      </c>
      <c r="U5" s="108">
        <v>36258.303269999997</v>
      </c>
      <c r="V5" s="108">
        <v>37166.193330000002</v>
      </c>
      <c r="W5" s="108">
        <v>38438.585489999998</v>
      </c>
      <c r="X5" s="108">
        <v>39679.307739999997</v>
      </c>
      <c r="Y5" s="108">
        <v>40990.22107</v>
      </c>
      <c r="Z5" s="108">
        <v>42176.52405</v>
      </c>
      <c r="AA5" s="108">
        <v>43418.85097</v>
      </c>
      <c r="AB5" s="108">
        <v>44836.482020000003</v>
      </c>
      <c r="AC5" s="108">
        <v>45792.075389999998</v>
      </c>
      <c r="AD5" s="108">
        <v>46592.365669999999</v>
      </c>
      <c r="AE5" s="108">
        <v>47166.341840000001</v>
      </c>
      <c r="AF5" s="108">
        <v>47661.166539999998</v>
      </c>
      <c r="AG5" s="108">
        <v>48260.551249999997</v>
      </c>
      <c r="AH5" s="108">
        <v>48849.589630000002</v>
      </c>
      <c r="AI5" s="108">
        <v>49447.327870000001</v>
      </c>
      <c r="AJ5" s="108">
        <v>50109.442049999998</v>
      </c>
      <c r="AK5" s="108">
        <v>50861.395270000001</v>
      </c>
      <c r="AL5" s="108">
        <v>51679.542869999997</v>
      </c>
      <c r="AM5" s="108">
        <v>52076.003389999998</v>
      </c>
      <c r="AN5" s="108">
        <v>52475.530290000002</v>
      </c>
      <c r="AO5" s="108">
        <v>52878.056850000001</v>
      </c>
      <c r="AP5" s="108">
        <v>53283.707399999999</v>
      </c>
      <c r="AQ5" s="108">
        <v>53692.603640000001</v>
      </c>
      <c r="AR5" s="108">
        <v>54104.487139999997</v>
      </c>
      <c r="AS5" s="108">
        <v>54519.479299999999</v>
      </c>
      <c r="AT5" s="108">
        <v>54937.886010000002</v>
      </c>
      <c r="AU5" s="108">
        <v>55359.262190000001</v>
      </c>
      <c r="AV5" s="108">
        <v>55784.09734</v>
      </c>
      <c r="AW5" s="108">
        <v>56211.948600000003</v>
      </c>
      <c r="AX5" s="108">
        <v>56643.299610000002</v>
      </c>
      <c r="AY5" s="108">
        <v>57077.892789999998</v>
      </c>
      <c r="AZ5" s="108">
        <v>57515.656799999997</v>
      </c>
      <c r="BA5" s="108">
        <v>57957.065430000002</v>
      </c>
      <c r="BB5" s="108">
        <v>58401.680240000002</v>
      </c>
      <c r="BC5" s="108">
        <v>58849.789479999999</v>
      </c>
      <c r="BD5" s="108">
        <v>59301.138480000001</v>
      </c>
      <c r="BE5" s="108">
        <v>59756.18982</v>
      </c>
      <c r="BF5" s="108">
        <v>60214.687209999996</v>
      </c>
    </row>
    <row r="6" spans="1:58" s="108" customFormat="1" ht="33" customHeight="1">
      <c r="A6" s="116"/>
      <c r="B6" s="106" t="s">
        <v>15</v>
      </c>
      <c r="C6" s="108">
        <v>2486</v>
      </c>
      <c r="D6" s="108">
        <v>2788</v>
      </c>
      <c r="E6" s="108">
        <v>2918</v>
      </c>
      <c r="F6" s="108">
        <v>2866</v>
      </c>
      <c r="G6" s="108">
        <v>2799</v>
      </c>
      <c r="H6" s="108">
        <v>2782</v>
      </c>
      <c r="I6" s="108">
        <v>2787</v>
      </c>
      <c r="J6" s="108">
        <v>2755</v>
      </c>
      <c r="K6" s="108">
        <v>2871</v>
      </c>
      <c r="L6" s="108">
        <v>2959</v>
      </c>
      <c r="M6" s="108">
        <v>3279</v>
      </c>
      <c r="N6" s="108">
        <v>3061</v>
      </c>
      <c r="O6" s="108">
        <v>3103</v>
      </c>
      <c r="P6" s="108">
        <v>3099</v>
      </c>
      <c r="Q6" s="108">
        <v>3011</v>
      </c>
      <c r="R6" s="108">
        <v>3032</v>
      </c>
      <c r="S6" s="108">
        <v>3673</v>
      </c>
      <c r="T6" s="108">
        <v>3386</v>
      </c>
      <c r="U6" s="108">
        <v>3391</v>
      </c>
      <c r="V6" s="108">
        <v>3394</v>
      </c>
      <c r="W6" s="108">
        <v>3439</v>
      </c>
      <c r="X6" s="108">
        <v>3525</v>
      </c>
      <c r="Y6" s="108">
        <v>3604</v>
      </c>
      <c r="Z6" s="108">
        <v>3690</v>
      </c>
      <c r="AA6" s="108">
        <v>3797</v>
      </c>
      <c r="AB6" s="108">
        <v>3900</v>
      </c>
      <c r="AC6" s="108">
        <v>3966</v>
      </c>
      <c r="AD6" s="108">
        <v>4030</v>
      </c>
      <c r="AE6" s="108">
        <v>4094</v>
      </c>
      <c r="AF6" s="108">
        <v>4158</v>
      </c>
      <c r="AG6" s="108">
        <v>4222</v>
      </c>
      <c r="AH6" s="108">
        <v>4287</v>
      </c>
      <c r="AI6" s="108">
        <v>4351</v>
      </c>
      <c r="AJ6" s="108">
        <v>4416</v>
      </c>
      <c r="AK6" s="108">
        <v>4481</v>
      </c>
      <c r="AL6" s="108">
        <v>4548</v>
      </c>
      <c r="AM6" s="108">
        <v>4603</v>
      </c>
      <c r="AN6" s="108">
        <v>4659</v>
      </c>
      <c r="AO6" s="108">
        <v>4715</v>
      </c>
      <c r="AP6" s="108">
        <v>4772</v>
      </c>
      <c r="AQ6" s="108">
        <v>4830</v>
      </c>
      <c r="AR6" s="108">
        <v>4888</v>
      </c>
      <c r="AS6" s="108">
        <v>4947</v>
      </c>
      <c r="AT6" s="108">
        <v>5007</v>
      </c>
      <c r="AU6" s="108">
        <v>5067</v>
      </c>
      <c r="AV6" s="108">
        <v>5128</v>
      </c>
      <c r="AW6" s="108">
        <v>5190</v>
      </c>
      <c r="AX6" s="108">
        <v>5253</v>
      </c>
      <c r="AY6" s="108">
        <v>5316</v>
      </c>
      <c r="AZ6" s="108">
        <v>5380</v>
      </c>
      <c r="BA6" s="108">
        <v>5445</v>
      </c>
      <c r="BB6" s="108">
        <v>5511</v>
      </c>
      <c r="BC6" s="108">
        <v>5578</v>
      </c>
      <c r="BD6" s="108">
        <v>5645</v>
      </c>
      <c r="BE6" s="108">
        <v>5713</v>
      </c>
      <c r="BF6" s="108">
        <v>5782</v>
      </c>
    </row>
    <row r="7" spans="1:58" s="108" customFormat="1" ht="33" customHeight="1">
      <c r="A7" s="116"/>
      <c r="B7" s="106" t="s">
        <v>14</v>
      </c>
      <c r="C7" s="108">
        <v>22571.785619999999</v>
      </c>
      <c r="D7" s="108">
        <v>24313.017100000001</v>
      </c>
      <c r="E7" s="108">
        <v>26644.632610000001</v>
      </c>
      <c r="F7" s="108">
        <v>28228.86376</v>
      </c>
      <c r="G7" s="108">
        <v>30685.48602</v>
      </c>
      <c r="H7" s="108">
        <v>33180.599370000004</v>
      </c>
      <c r="I7" s="108">
        <v>34268.892339999999</v>
      </c>
      <c r="J7" s="108">
        <v>35560.528989999999</v>
      </c>
      <c r="K7" s="108">
        <v>36395.54666</v>
      </c>
      <c r="L7" s="108">
        <v>37312.761250000003</v>
      </c>
      <c r="M7" s="108">
        <v>38560.750829999997</v>
      </c>
      <c r="N7" s="108">
        <v>39669.72997</v>
      </c>
      <c r="O7" s="108">
        <v>40487.225189999997</v>
      </c>
      <c r="P7" s="108">
        <v>38409.622969999997</v>
      </c>
      <c r="Q7" s="108">
        <v>35424.28587</v>
      </c>
      <c r="R7" s="108">
        <v>35107.910510000002</v>
      </c>
      <c r="S7" s="108">
        <v>35369.577989999998</v>
      </c>
      <c r="T7" s="108">
        <v>35723.446020000003</v>
      </c>
      <c r="U7" s="108">
        <v>36258.303269999997</v>
      </c>
      <c r="V7" s="108">
        <v>37166.193330000002</v>
      </c>
      <c r="W7" s="108">
        <v>38438.585489999998</v>
      </c>
      <c r="X7" s="108">
        <v>39679.307739999997</v>
      </c>
      <c r="Y7" s="108">
        <v>40990.22107</v>
      </c>
      <c r="Z7" s="108">
        <v>42176.52405</v>
      </c>
      <c r="AA7" s="108">
        <v>43418.85097</v>
      </c>
      <c r="AB7" s="108">
        <v>44836.482020000003</v>
      </c>
      <c r="AC7" s="108">
        <v>45792.075389999998</v>
      </c>
      <c r="AD7" s="108">
        <v>46592.365669999999</v>
      </c>
      <c r="AE7" s="108">
        <v>47166.341840000001</v>
      </c>
      <c r="AF7" s="108">
        <v>47661.166539999998</v>
      </c>
      <c r="AG7" s="108">
        <v>48260.551249999997</v>
      </c>
      <c r="AH7" s="108">
        <v>48849.589630000002</v>
      </c>
      <c r="AI7" s="108">
        <v>49447.327870000001</v>
      </c>
      <c r="AJ7" s="108">
        <v>50109.442049999998</v>
      </c>
      <c r="AK7" s="108">
        <v>50861.395270000001</v>
      </c>
      <c r="AL7" s="108">
        <v>51679.542869999997</v>
      </c>
      <c r="AM7" s="108">
        <v>52076.003389999998</v>
      </c>
      <c r="AN7" s="108">
        <v>52475.530290000002</v>
      </c>
      <c r="AO7" s="108">
        <v>52878.056850000001</v>
      </c>
      <c r="AP7" s="108">
        <v>53283.707399999999</v>
      </c>
      <c r="AQ7" s="108">
        <v>53692.603640000001</v>
      </c>
      <c r="AR7" s="108">
        <v>54104.487139999997</v>
      </c>
      <c r="AS7" s="108">
        <v>54519.479299999999</v>
      </c>
      <c r="AT7" s="108">
        <v>54937.886010000002</v>
      </c>
      <c r="AU7" s="108">
        <v>55359.262190000001</v>
      </c>
      <c r="AV7" s="108">
        <v>55784.09734</v>
      </c>
      <c r="AW7" s="108">
        <v>56211.948600000003</v>
      </c>
      <c r="AX7" s="108">
        <v>56643.299610000002</v>
      </c>
      <c r="AY7" s="108">
        <v>57077.892789999998</v>
      </c>
      <c r="AZ7" s="108">
        <v>57515.656799999997</v>
      </c>
      <c r="BA7" s="108">
        <v>57957.065430000002</v>
      </c>
      <c r="BB7" s="108">
        <v>58401.680240000002</v>
      </c>
      <c r="BC7" s="108">
        <v>58849.789479999999</v>
      </c>
      <c r="BD7" s="108">
        <v>59301.138480000001</v>
      </c>
      <c r="BE7" s="108">
        <v>59756.18982</v>
      </c>
      <c r="BF7" s="108">
        <v>60214.687209999996</v>
      </c>
    </row>
    <row r="8" spans="1:58" s="108" customFormat="1" ht="33" customHeight="1">
      <c r="A8" s="116"/>
      <c r="B8" s="106" t="s">
        <v>16</v>
      </c>
      <c r="C8" s="108">
        <v>4326</v>
      </c>
      <c r="D8" s="108">
        <v>4946</v>
      </c>
      <c r="E8" s="108">
        <v>5352</v>
      </c>
      <c r="F8" s="108">
        <v>5972</v>
      </c>
      <c r="G8" s="108">
        <v>6322</v>
      </c>
      <c r="H8" s="108">
        <v>6578</v>
      </c>
      <c r="I8" s="108">
        <v>6705</v>
      </c>
      <c r="J8" s="108">
        <v>7113</v>
      </c>
      <c r="K8" s="108">
        <v>7807</v>
      </c>
      <c r="L8" s="108">
        <v>8648</v>
      </c>
      <c r="M8" s="108">
        <v>8648</v>
      </c>
      <c r="N8" s="108">
        <v>9055</v>
      </c>
      <c r="O8" s="108">
        <v>9133</v>
      </c>
      <c r="P8" s="108">
        <v>8559</v>
      </c>
      <c r="Q8" s="108">
        <v>6206</v>
      </c>
      <c r="R8" s="108">
        <v>4339</v>
      </c>
      <c r="S8" s="108">
        <v>3605</v>
      </c>
      <c r="T8" s="108">
        <v>3404</v>
      </c>
      <c r="U8" s="108">
        <v>3443</v>
      </c>
      <c r="V8" s="108">
        <v>3612</v>
      </c>
      <c r="W8" s="108">
        <v>4220</v>
      </c>
      <c r="X8" s="108">
        <v>5578</v>
      </c>
      <c r="Y8" s="108">
        <v>6513</v>
      </c>
      <c r="Z8" s="108">
        <v>6645</v>
      </c>
      <c r="AA8" s="108">
        <v>6761</v>
      </c>
      <c r="AB8" s="108">
        <v>6954</v>
      </c>
      <c r="AC8" s="108">
        <v>7599</v>
      </c>
      <c r="AD8" s="108">
        <v>7751</v>
      </c>
      <c r="AE8" s="108">
        <v>7823</v>
      </c>
      <c r="AF8" s="108">
        <v>7849</v>
      </c>
      <c r="AG8" s="108">
        <v>7904</v>
      </c>
      <c r="AH8" s="108">
        <v>8466</v>
      </c>
      <c r="AI8" s="108">
        <v>8773</v>
      </c>
      <c r="AJ8" s="108">
        <v>9042</v>
      </c>
      <c r="AK8" s="108">
        <v>9330</v>
      </c>
      <c r="AL8" s="108">
        <v>9647</v>
      </c>
      <c r="AM8" s="108">
        <v>9764</v>
      </c>
      <c r="AN8" s="108">
        <v>9881</v>
      </c>
      <c r="AO8" s="108">
        <v>10001</v>
      </c>
      <c r="AP8" s="108">
        <v>10121</v>
      </c>
      <c r="AQ8" s="108">
        <v>10244</v>
      </c>
      <c r="AR8" s="108">
        <v>10367</v>
      </c>
      <c r="AS8" s="108">
        <v>10492</v>
      </c>
      <c r="AT8" s="108">
        <v>10619</v>
      </c>
      <c r="AU8" s="108">
        <v>10747</v>
      </c>
      <c r="AV8" s="108">
        <v>10877</v>
      </c>
      <c r="AW8" s="108">
        <v>11008</v>
      </c>
      <c r="AX8" s="108">
        <v>11141</v>
      </c>
      <c r="AY8" s="108">
        <v>11276</v>
      </c>
      <c r="AZ8" s="108">
        <v>11412</v>
      </c>
      <c r="BA8" s="108">
        <v>11550</v>
      </c>
      <c r="BB8" s="108">
        <v>11689</v>
      </c>
      <c r="BC8" s="108">
        <v>11830</v>
      </c>
      <c r="BD8" s="108">
        <v>11973</v>
      </c>
      <c r="BE8" s="108">
        <v>12117</v>
      </c>
      <c r="BF8" s="108">
        <v>12264</v>
      </c>
    </row>
    <row r="9" spans="1:58" s="108" customFormat="1" ht="33" customHeight="1">
      <c r="A9" s="116"/>
      <c r="B9" s="106" t="s">
        <v>14</v>
      </c>
      <c r="C9" s="108">
        <v>22571.785619999999</v>
      </c>
      <c r="D9" s="108">
        <v>24313.017100000001</v>
      </c>
      <c r="E9" s="108">
        <v>26644.632610000001</v>
      </c>
      <c r="F9" s="108">
        <v>28228.86376</v>
      </c>
      <c r="G9" s="108">
        <v>30685.48602</v>
      </c>
      <c r="H9" s="108">
        <v>33180.599370000004</v>
      </c>
      <c r="I9" s="108">
        <v>34268.892339999999</v>
      </c>
      <c r="J9" s="108">
        <v>35560.528989999999</v>
      </c>
      <c r="K9" s="108">
        <v>36395.54666</v>
      </c>
      <c r="L9" s="108">
        <v>37312.761250000003</v>
      </c>
      <c r="M9" s="108">
        <v>38560.750829999997</v>
      </c>
      <c r="N9" s="108">
        <v>39669.72997</v>
      </c>
      <c r="O9" s="108">
        <v>40487.225189999997</v>
      </c>
      <c r="P9" s="108">
        <v>38409.622969999997</v>
      </c>
      <c r="Q9" s="108">
        <v>35424.28587</v>
      </c>
      <c r="R9" s="108">
        <v>35107.910510000002</v>
      </c>
      <c r="S9" s="108">
        <v>35369.577989999998</v>
      </c>
      <c r="T9" s="108">
        <v>35723.446020000003</v>
      </c>
      <c r="U9" s="108">
        <v>36258.303269999997</v>
      </c>
      <c r="V9" s="108">
        <v>37166.193330000002</v>
      </c>
      <c r="W9" s="108">
        <v>38438.585489999998</v>
      </c>
      <c r="X9" s="108">
        <v>39679.307739999997</v>
      </c>
      <c r="Y9" s="108">
        <v>40990.22107</v>
      </c>
      <c r="Z9" s="108">
        <v>42176.52405</v>
      </c>
      <c r="AA9" s="108">
        <v>43418.85097</v>
      </c>
      <c r="AB9" s="108">
        <v>44836.482020000003</v>
      </c>
      <c r="AC9" s="108">
        <v>45792.075389999998</v>
      </c>
      <c r="AD9" s="108">
        <v>46592.365669999999</v>
      </c>
      <c r="AE9" s="108">
        <v>47166.341840000001</v>
      </c>
      <c r="AF9" s="108">
        <v>47661.166539999998</v>
      </c>
      <c r="AG9" s="108">
        <v>48260.551249999997</v>
      </c>
      <c r="AH9" s="108">
        <v>48849.589630000002</v>
      </c>
      <c r="AI9" s="108">
        <v>49447.327870000001</v>
      </c>
      <c r="AJ9" s="108">
        <v>50109.442049999998</v>
      </c>
      <c r="AK9" s="108">
        <v>50861.395270000001</v>
      </c>
      <c r="AL9" s="108">
        <v>51679.542869999997</v>
      </c>
      <c r="AM9" s="108">
        <v>52076.003389999998</v>
      </c>
      <c r="AN9" s="108">
        <v>52475.530290000002</v>
      </c>
      <c r="AO9" s="108">
        <v>52878.056850000001</v>
      </c>
      <c r="AP9" s="108">
        <v>53283.707399999999</v>
      </c>
      <c r="AQ9" s="108">
        <v>53692.603640000001</v>
      </c>
      <c r="AR9" s="108">
        <v>54104.487139999997</v>
      </c>
      <c r="AS9" s="108">
        <v>54519.479299999999</v>
      </c>
      <c r="AT9" s="108">
        <v>54937.886010000002</v>
      </c>
      <c r="AU9" s="108">
        <v>55359.262190000001</v>
      </c>
      <c r="AV9" s="108">
        <v>55784.09734</v>
      </c>
      <c r="AW9" s="108">
        <v>56211.948600000003</v>
      </c>
      <c r="AX9" s="108">
        <v>56643.299610000002</v>
      </c>
      <c r="AY9" s="108">
        <v>57077.892789999998</v>
      </c>
      <c r="AZ9" s="108">
        <v>57515.656799999997</v>
      </c>
      <c r="BA9" s="108">
        <v>57957.065430000002</v>
      </c>
      <c r="BB9" s="108">
        <v>58401.680240000002</v>
      </c>
      <c r="BC9" s="108">
        <v>58849.789479999999</v>
      </c>
      <c r="BD9" s="108">
        <v>59301.138480000001</v>
      </c>
      <c r="BE9" s="108">
        <v>59756.18982</v>
      </c>
      <c r="BF9" s="108">
        <v>60214.687209999996</v>
      </c>
    </row>
    <row r="10" spans="1:58" s="108" customFormat="1" ht="33" customHeight="1">
      <c r="A10" s="116"/>
      <c r="B10" s="106" t="s">
        <v>17</v>
      </c>
      <c r="C10" s="108">
        <v>4616</v>
      </c>
      <c r="D10" s="108">
        <v>5039</v>
      </c>
      <c r="E10" s="108">
        <v>5419</v>
      </c>
      <c r="F10" s="108">
        <v>6027</v>
      </c>
      <c r="G10" s="108">
        <v>6671</v>
      </c>
      <c r="H10" s="108">
        <v>7145</v>
      </c>
      <c r="I10" s="108">
        <v>7372</v>
      </c>
      <c r="J10" s="108">
        <v>7670</v>
      </c>
      <c r="K10" s="108">
        <v>7895</v>
      </c>
      <c r="L10" s="108">
        <v>8101</v>
      </c>
      <c r="M10" s="108">
        <v>8356</v>
      </c>
      <c r="N10" s="108">
        <v>8695</v>
      </c>
      <c r="O10" s="108">
        <v>9023</v>
      </c>
      <c r="P10" s="108">
        <v>9002</v>
      </c>
      <c r="Q10" s="108">
        <v>7933</v>
      </c>
      <c r="R10" s="108">
        <v>7360</v>
      </c>
      <c r="S10" s="108">
        <v>7646</v>
      </c>
      <c r="T10" s="108">
        <v>7862</v>
      </c>
      <c r="U10" s="108">
        <v>8007</v>
      </c>
      <c r="V10" s="108">
        <v>8308</v>
      </c>
      <c r="W10" s="108">
        <v>8706</v>
      </c>
      <c r="X10" s="108">
        <v>9122</v>
      </c>
      <c r="Y10" s="108">
        <v>9565</v>
      </c>
      <c r="Z10" s="108">
        <v>9971</v>
      </c>
      <c r="AA10" s="108">
        <v>10347</v>
      </c>
      <c r="AB10" s="108">
        <v>10760</v>
      </c>
      <c r="AC10" s="108">
        <v>10993</v>
      </c>
      <c r="AD10" s="108">
        <v>11228</v>
      </c>
      <c r="AE10" s="108">
        <v>11370</v>
      </c>
      <c r="AF10" s="108">
        <v>11467</v>
      </c>
      <c r="AG10" s="108">
        <v>11566</v>
      </c>
      <c r="AH10" s="108">
        <v>11776</v>
      </c>
      <c r="AI10" s="108">
        <v>11978</v>
      </c>
      <c r="AJ10" s="108">
        <v>12172</v>
      </c>
      <c r="AK10" s="108">
        <v>12379</v>
      </c>
      <c r="AL10" s="108">
        <v>12601</v>
      </c>
      <c r="AM10" s="108">
        <v>12753</v>
      </c>
      <c r="AN10" s="108">
        <v>12907</v>
      </c>
      <c r="AO10" s="108">
        <v>13063</v>
      </c>
      <c r="AP10" s="108">
        <v>13221</v>
      </c>
      <c r="AQ10" s="108">
        <v>13381</v>
      </c>
      <c r="AR10" s="108">
        <v>13542</v>
      </c>
      <c r="AS10" s="108">
        <v>13706</v>
      </c>
      <c r="AT10" s="108">
        <v>13871</v>
      </c>
      <c r="AU10" s="108">
        <v>14038</v>
      </c>
      <c r="AV10" s="108">
        <v>14208</v>
      </c>
      <c r="AW10" s="108">
        <v>14379</v>
      </c>
      <c r="AX10" s="108">
        <v>14553</v>
      </c>
      <c r="AY10" s="108">
        <v>14729</v>
      </c>
      <c r="AZ10" s="108">
        <v>14907</v>
      </c>
      <c r="BA10" s="108">
        <v>15086</v>
      </c>
      <c r="BB10" s="108">
        <v>15269</v>
      </c>
      <c r="BC10" s="108">
        <v>15453</v>
      </c>
      <c r="BD10" s="108">
        <v>15639</v>
      </c>
      <c r="BE10" s="108">
        <v>15828</v>
      </c>
      <c r="BF10" s="108">
        <v>16019</v>
      </c>
    </row>
    <row r="11" spans="1:58" s="108" customFormat="1" ht="33" customHeight="1">
      <c r="A11" s="116"/>
      <c r="B11" s="106"/>
      <c r="D11" s="109">
        <f>(D10-C10)/C10</f>
        <v>9.1637781629116122E-2</v>
      </c>
      <c r="E11" s="109">
        <f t="shared" ref="E11:BF11" si="1">(E10-D10)/D10</f>
        <v>7.5411788053185158E-2</v>
      </c>
      <c r="F11" s="109">
        <f t="shared" si="1"/>
        <v>0.11219782247647167</v>
      </c>
      <c r="G11" s="109">
        <f t="shared" si="1"/>
        <v>0.10685249709639953</v>
      </c>
      <c r="H11" s="109">
        <f t="shared" si="1"/>
        <v>7.1053815020236846E-2</v>
      </c>
      <c r="I11" s="109">
        <f t="shared" si="1"/>
        <v>3.1770468859342198E-2</v>
      </c>
      <c r="J11" s="109">
        <f t="shared" si="1"/>
        <v>4.0423223005968532E-2</v>
      </c>
      <c r="K11" s="109">
        <f t="shared" si="1"/>
        <v>2.9335071707953065E-2</v>
      </c>
      <c r="L11" s="109">
        <f t="shared" si="1"/>
        <v>2.6092463584547181E-2</v>
      </c>
      <c r="M11" s="109">
        <f t="shared" si="1"/>
        <v>3.1477595358597704E-2</v>
      </c>
      <c r="N11" s="109">
        <f t="shared" si="1"/>
        <v>4.0569650550502635E-2</v>
      </c>
      <c r="O11" s="109">
        <f t="shared" si="1"/>
        <v>3.7722829212190917E-2</v>
      </c>
      <c r="P11" s="109">
        <f t="shared" si="1"/>
        <v>-2.3273855702094647E-3</v>
      </c>
      <c r="Q11" s="109">
        <f t="shared" si="1"/>
        <v>-0.11875138858031549</v>
      </c>
      <c r="R11" s="109">
        <f t="shared" si="1"/>
        <v>-7.2229925627127184E-2</v>
      </c>
      <c r="S11" s="109">
        <f t="shared" si="1"/>
        <v>3.8858695652173911E-2</v>
      </c>
      <c r="T11" s="109">
        <f t="shared" si="1"/>
        <v>2.8250065393669893E-2</v>
      </c>
      <c r="U11" s="109">
        <f t="shared" si="1"/>
        <v>1.8443144238107351E-2</v>
      </c>
      <c r="V11" s="109">
        <f t="shared" si="1"/>
        <v>3.7592106906456847E-2</v>
      </c>
      <c r="W11" s="109">
        <f t="shared" si="1"/>
        <v>4.7905633124699087E-2</v>
      </c>
      <c r="X11" s="109">
        <f t="shared" si="1"/>
        <v>4.7783138065701815E-2</v>
      </c>
      <c r="Y11" s="109">
        <f t="shared" si="1"/>
        <v>4.8563911422933564E-2</v>
      </c>
      <c r="Z11" s="109">
        <f t="shared" si="1"/>
        <v>4.2446419236800835E-2</v>
      </c>
      <c r="AA11" s="109">
        <f t="shared" si="1"/>
        <v>3.7709357135693511E-2</v>
      </c>
      <c r="AB11" s="109">
        <f t="shared" si="1"/>
        <v>3.9914951193582682E-2</v>
      </c>
      <c r="AC11" s="109">
        <f t="shared" si="1"/>
        <v>2.1654275092936805E-2</v>
      </c>
      <c r="AD11" s="109">
        <f t="shared" si="1"/>
        <v>2.1377240061857546E-2</v>
      </c>
      <c r="AE11" s="109">
        <f t="shared" si="1"/>
        <v>1.2646954043462772E-2</v>
      </c>
      <c r="AF11" s="109">
        <f t="shared" si="1"/>
        <v>8.5312225153913804E-3</v>
      </c>
      <c r="AG11" s="109">
        <f t="shared" si="1"/>
        <v>8.633469957268684E-3</v>
      </c>
      <c r="AH11" s="109">
        <f t="shared" si="1"/>
        <v>1.8156666090264569E-2</v>
      </c>
      <c r="AI11" s="109">
        <f t="shared" si="1"/>
        <v>1.7153532608695652E-2</v>
      </c>
      <c r="AJ11" s="109">
        <f t="shared" si="1"/>
        <v>1.6196359993321089E-2</v>
      </c>
      <c r="AK11" s="109">
        <f t="shared" si="1"/>
        <v>1.7006243838317451E-2</v>
      </c>
      <c r="AL11" s="109">
        <f t="shared" si="1"/>
        <v>1.7933597221100252E-2</v>
      </c>
      <c r="AM11" s="109">
        <f t="shared" si="1"/>
        <v>1.2062534719466708E-2</v>
      </c>
      <c r="AN11" s="109">
        <f t="shared" si="1"/>
        <v>1.2075590057241433E-2</v>
      </c>
      <c r="AO11" s="109">
        <f t="shared" si="1"/>
        <v>1.2086464709072596E-2</v>
      </c>
      <c r="AP11" s="109">
        <f t="shared" si="1"/>
        <v>1.2095230804562505E-2</v>
      </c>
      <c r="AQ11" s="109">
        <f t="shared" si="1"/>
        <v>1.2101959004613872E-2</v>
      </c>
      <c r="AR11" s="109">
        <f t="shared" si="1"/>
        <v>1.2031985651296614E-2</v>
      </c>
      <c r="AS11" s="109">
        <f t="shared" si="1"/>
        <v>1.211047112686457E-2</v>
      </c>
      <c r="AT11" s="109">
        <f t="shared" si="1"/>
        <v>1.2038523274478331E-2</v>
      </c>
      <c r="AU11" s="109">
        <f t="shared" si="1"/>
        <v>1.2039506884867709E-2</v>
      </c>
      <c r="AV11" s="109">
        <f t="shared" si="1"/>
        <v>1.2109987177660635E-2</v>
      </c>
      <c r="AW11" s="109">
        <f t="shared" si="1"/>
        <v>1.2035472972972973E-2</v>
      </c>
      <c r="AX11" s="109">
        <f t="shared" si="1"/>
        <v>1.2100980596703526E-2</v>
      </c>
      <c r="AY11" s="109">
        <f t="shared" si="1"/>
        <v>1.2093726379440665E-2</v>
      </c>
      <c r="AZ11" s="109">
        <f t="shared" si="1"/>
        <v>1.2085002376264512E-2</v>
      </c>
      <c r="BA11" s="109">
        <f t="shared" si="1"/>
        <v>1.2007781579123902E-2</v>
      </c>
      <c r="BB11" s="109">
        <f t="shared" si="1"/>
        <v>1.2130452074771311E-2</v>
      </c>
      <c r="BC11" s="109">
        <f t="shared" si="1"/>
        <v>1.205055995808501E-2</v>
      </c>
      <c r="BD11" s="109">
        <f t="shared" si="1"/>
        <v>1.2036497767423802E-2</v>
      </c>
      <c r="BE11" s="109">
        <f t="shared" si="1"/>
        <v>1.2085171686169193E-2</v>
      </c>
      <c r="BF11" s="109">
        <f t="shared" si="1"/>
        <v>1.206722264341673E-2</v>
      </c>
    </row>
    <row r="12" spans="1:58" s="108" customFormat="1" ht="33" customHeight="1">
      <c r="A12" s="116"/>
      <c r="B12" s="106" t="s">
        <v>18</v>
      </c>
      <c r="C12" s="108">
        <v>18459</v>
      </c>
      <c r="D12" s="108">
        <v>19965</v>
      </c>
      <c r="E12" s="108">
        <v>23254</v>
      </c>
      <c r="F12" s="108">
        <v>26373</v>
      </c>
      <c r="G12" s="108">
        <v>29570</v>
      </c>
      <c r="H12" s="108">
        <v>32427</v>
      </c>
      <c r="I12" s="108">
        <v>34482</v>
      </c>
      <c r="J12" s="108">
        <v>37662</v>
      </c>
      <c r="K12" s="108">
        <v>38309</v>
      </c>
      <c r="L12" s="108">
        <v>39909</v>
      </c>
      <c r="M12" s="108">
        <v>41387</v>
      </c>
      <c r="N12" s="108">
        <v>43839</v>
      </c>
      <c r="O12" s="108">
        <v>45405</v>
      </c>
      <c r="P12" s="108">
        <v>44009</v>
      </c>
      <c r="Q12" s="108">
        <v>42236</v>
      </c>
      <c r="R12" s="108">
        <v>44420</v>
      </c>
      <c r="S12" s="108">
        <v>45240</v>
      </c>
      <c r="T12" s="108">
        <v>45356</v>
      </c>
      <c r="U12" s="108">
        <v>46014</v>
      </c>
      <c r="V12" s="108">
        <v>48834</v>
      </c>
      <c r="W12" s="108">
        <v>52274</v>
      </c>
      <c r="X12" s="108">
        <v>55675</v>
      </c>
      <c r="Y12" s="108">
        <v>58825</v>
      </c>
      <c r="Z12" s="108">
        <v>61567</v>
      </c>
      <c r="AA12" s="108">
        <v>64681</v>
      </c>
      <c r="AB12" s="108">
        <v>68130</v>
      </c>
      <c r="AC12" s="108">
        <v>71236</v>
      </c>
      <c r="AD12" s="108">
        <v>73779</v>
      </c>
      <c r="AE12" s="108">
        <v>75874</v>
      </c>
      <c r="AF12" s="108">
        <v>77792</v>
      </c>
      <c r="AG12" s="108">
        <v>79925</v>
      </c>
      <c r="AH12" s="108">
        <v>81039</v>
      </c>
      <c r="AI12" s="108">
        <v>82125</v>
      </c>
      <c r="AJ12" s="108">
        <v>83364</v>
      </c>
      <c r="AK12" s="108">
        <v>84770</v>
      </c>
      <c r="AL12" s="108">
        <v>86252</v>
      </c>
      <c r="AM12" s="108">
        <v>87294</v>
      </c>
      <c r="AN12" s="108">
        <v>88348</v>
      </c>
      <c r="AO12" s="108">
        <v>89414</v>
      </c>
      <c r="AP12" s="108">
        <v>90493</v>
      </c>
      <c r="AQ12" s="108">
        <v>91586</v>
      </c>
      <c r="AR12" s="108">
        <v>92692</v>
      </c>
      <c r="AS12" s="108">
        <v>93811</v>
      </c>
      <c r="AT12" s="108">
        <v>94943</v>
      </c>
      <c r="AU12" s="108">
        <v>96089</v>
      </c>
      <c r="AV12" s="108">
        <v>97249</v>
      </c>
      <c r="AW12" s="108">
        <v>98423</v>
      </c>
      <c r="AX12" s="108">
        <v>99611</v>
      </c>
      <c r="AY12" s="108">
        <v>100814</v>
      </c>
      <c r="AZ12" s="108">
        <v>102031</v>
      </c>
      <c r="BA12" s="108">
        <v>103263</v>
      </c>
      <c r="BB12" s="108">
        <v>104509</v>
      </c>
      <c r="BC12" s="108">
        <v>105771</v>
      </c>
      <c r="BD12" s="108">
        <v>107048</v>
      </c>
      <c r="BE12" s="108">
        <v>108340</v>
      </c>
      <c r="BF12" s="108">
        <v>109648</v>
      </c>
    </row>
    <row r="13" spans="1:58" s="108" customFormat="1" ht="33" customHeight="1">
      <c r="A13" s="116"/>
      <c r="B13" s="106" t="s">
        <v>19</v>
      </c>
      <c r="C13" s="108">
        <v>74608</v>
      </c>
      <c r="D13" s="108">
        <v>80674</v>
      </c>
      <c r="E13" s="108">
        <v>88383</v>
      </c>
      <c r="F13" s="108">
        <v>94248</v>
      </c>
      <c r="G13" s="108">
        <v>101871</v>
      </c>
      <c r="H13" s="108">
        <v>111648</v>
      </c>
      <c r="I13" s="108">
        <v>115257</v>
      </c>
      <c r="J13" s="108">
        <v>118490</v>
      </c>
      <c r="K13" s="108">
        <v>124152</v>
      </c>
      <c r="L13" s="108">
        <v>129517</v>
      </c>
      <c r="M13" s="108">
        <v>135830</v>
      </c>
      <c r="N13" s="108">
        <v>144410</v>
      </c>
      <c r="O13" s="108">
        <v>150369</v>
      </c>
      <c r="P13" s="108">
        <v>146591</v>
      </c>
      <c r="Q13" s="108">
        <v>132240</v>
      </c>
      <c r="R13" s="108">
        <v>134037</v>
      </c>
      <c r="S13" s="108">
        <v>131040</v>
      </c>
      <c r="T13" s="108">
        <v>135395</v>
      </c>
      <c r="U13" s="108">
        <v>137041</v>
      </c>
      <c r="V13" s="108">
        <v>137700</v>
      </c>
      <c r="W13" s="108">
        <v>143593</v>
      </c>
      <c r="X13" s="108">
        <v>148739</v>
      </c>
      <c r="Y13" s="108">
        <v>154705</v>
      </c>
      <c r="Z13" s="108">
        <v>159901</v>
      </c>
      <c r="AA13" s="108">
        <v>165079</v>
      </c>
      <c r="AB13" s="108">
        <v>171040</v>
      </c>
      <c r="AC13" s="108">
        <v>176181</v>
      </c>
      <c r="AD13" s="108">
        <v>180505</v>
      </c>
      <c r="AE13" s="108">
        <v>184063</v>
      </c>
      <c r="AF13" s="108">
        <v>187274</v>
      </c>
      <c r="AG13" s="108">
        <v>190857</v>
      </c>
      <c r="AH13" s="108">
        <v>195793</v>
      </c>
      <c r="AI13" s="108">
        <v>200117</v>
      </c>
      <c r="AJ13" s="108">
        <v>204493</v>
      </c>
      <c r="AK13" s="108">
        <v>209161</v>
      </c>
      <c r="AL13" s="108">
        <v>214200</v>
      </c>
      <c r="AM13" s="108">
        <v>216786</v>
      </c>
      <c r="AN13" s="108">
        <v>219403</v>
      </c>
      <c r="AO13" s="108">
        <v>222052</v>
      </c>
      <c r="AP13" s="108">
        <v>224732</v>
      </c>
      <c r="AQ13" s="108">
        <v>227445</v>
      </c>
      <c r="AR13" s="108">
        <v>230191</v>
      </c>
      <c r="AS13" s="108">
        <v>232970</v>
      </c>
      <c r="AT13" s="108">
        <v>235782</v>
      </c>
      <c r="AU13" s="108">
        <v>238629</v>
      </c>
      <c r="AV13" s="108">
        <v>241509</v>
      </c>
      <c r="AW13" s="108">
        <v>244425</v>
      </c>
      <c r="AX13" s="108">
        <v>247376</v>
      </c>
      <c r="AY13" s="108">
        <v>250362</v>
      </c>
      <c r="AZ13" s="108">
        <v>253384</v>
      </c>
      <c r="BA13" s="108">
        <v>256443</v>
      </c>
      <c r="BB13" s="108">
        <v>259539</v>
      </c>
      <c r="BC13" s="108">
        <v>262672</v>
      </c>
      <c r="BD13" s="108">
        <v>265843</v>
      </c>
      <c r="BE13" s="108">
        <v>269052</v>
      </c>
      <c r="BF13" s="108">
        <v>272300</v>
      </c>
    </row>
    <row r="14" spans="1:58">
      <c r="B14" s="15"/>
      <c r="C14" s="1"/>
      <c r="D14" s="1"/>
    </row>
    <row r="15" spans="1:58" s="112" customFormat="1" ht="32">
      <c r="A15" s="139" t="s">
        <v>20</v>
      </c>
      <c r="B15" s="110" t="s">
        <v>21</v>
      </c>
      <c r="C15" s="111">
        <f>SUM('[2]1995'!$B$7:$B$8)</f>
        <v>2311</v>
      </c>
      <c r="D15" s="111">
        <f>SUM('[2]1996'!$B$7:$B$8)</f>
        <v>2815</v>
      </c>
      <c r="E15" s="111">
        <f>SUM('[2]1997'!$B$7:$B$8)</f>
        <v>2872</v>
      </c>
      <c r="F15" s="111">
        <f>SUM('[2]1998'!$B$7:$B$8)</f>
        <v>3044</v>
      </c>
      <c r="G15" s="111">
        <f>SUM('[2]1999'!$B$7:$B$8)</f>
        <v>3774</v>
      </c>
      <c r="H15" s="111">
        <f>SUM('[2]2000'!$B$7:$B$8)</f>
        <v>4163</v>
      </c>
      <c r="I15" s="111">
        <f>SUM('[2]2001'!$B$7:$B$8)</f>
        <v>3972</v>
      </c>
      <c r="J15" s="111">
        <f>SUM('[2]2002'!$B$7:$B$8)</f>
        <v>4761</v>
      </c>
      <c r="K15" s="111">
        <f>SUM('[2]2003'!$B$7:$B$8)</f>
        <v>5158</v>
      </c>
      <c r="L15" s="111">
        <f>SUM('[2]2004'!$B$7:$B$8)</f>
        <v>5563</v>
      </c>
      <c r="M15" s="111">
        <f>SUM('[2]2005'!$B$7:$B$8)</f>
        <v>5571</v>
      </c>
      <c r="N15" s="111">
        <f>SUM('[2]2006'!$B$7:$B$8)</f>
        <v>5227</v>
      </c>
      <c r="O15" s="111">
        <f>SUM('[2]2007'!$B$7:$B$8)</f>
        <v>5677</v>
      </c>
      <c r="P15" s="111">
        <f>SUM('[2]2008'!$B$7:$B$8)</f>
        <v>5666</v>
      </c>
      <c r="Q15" s="111">
        <f>SUM('[2]2009'!$B$7,'[2]2009'!$B$10,'[2]2009'!$B$12,'[2]2009'!$B$15)</f>
        <v>5416</v>
      </c>
      <c r="R15" s="111">
        <f>SUM('[2]2010'!$B$7,'[2]2010'!$B$10,'[2]2010'!$B$12,'[2]2010'!$B$15)</f>
        <v>5314</v>
      </c>
      <c r="S15" s="111">
        <f>SUM('[2]2011'!$B$7,'[2]2011'!$B$10,'[2]2011'!$B$12,'[2]2011'!$B$15)</f>
        <v>4896</v>
      </c>
      <c r="T15" s="111">
        <f>SUM('[2]2012'!$B$7,'[2]2012'!$B$10,'[2]2012'!$B$12,'[2]2012'!$B$15)</f>
        <v>4910</v>
      </c>
      <c r="U15" s="111">
        <f>SUM('[2]2013'!$B$7,'[2]2013'!$B$10,'[2]2013'!$B$12,'[2]2013'!$B$15)</f>
        <v>4518</v>
      </c>
      <c r="V15" s="111">
        <f>SUM('[2]2014'!$B$7,'[2]2014'!$B$10,'[2]2014'!$B$12,'[2]2014'!$B$15)</f>
        <v>4843</v>
      </c>
      <c r="W15" s="111">
        <f>SUM('[2]2015'!$B$7,'[2]2015'!$B$10,'[2]2015'!$B$12,'[2]2015'!$B$15)</f>
        <v>5044</v>
      </c>
      <c r="X15" s="111">
        <f>SUM('[2]2016'!$B$7,'[2]2016'!$B$10,'[2]2016'!$B$12,'[2]2016'!$B$15)</f>
        <v>5633</v>
      </c>
      <c r="Y15" s="111">
        <f>SUM('[2]2017'!$B$7,'[2]2017'!$B$10,'[2]2017'!$B$12,'[2]2017'!$B$15)</f>
        <v>5665</v>
      </c>
      <c r="Z15" s="111">
        <f>SUM('[2]2018'!$B$7,'[2]2018'!$B$10,'[2]2018'!$B$12,'[2]2018'!$B$15)</f>
        <v>5292</v>
      </c>
      <c r="AA15" s="111">
        <f>SUM('[2]2018'!$B$7,'[2]2018'!$B$10,'[2]2018'!$B$12,'[2]2018'!$B$15)</f>
        <v>5292</v>
      </c>
    </row>
    <row r="16" spans="1:58" s="112" customFormat="1" ht="32">
      <c r="A16" s="139"/>
      <c r="B16" s="110" t="s">
        <v>22</v>
      </c>
      <c r="C16" s="111">
        <f>SUM('[2]1995'!$B$13,'[2]1995'!$B$16)</f>
        <v>1668</v>
      </c>
      <c r="D16" s="111">
        <f>SUM('[2]1996'!$B$13,'[2]1996'!$B$16)</f>
        <v>1770</v>
      </c>
      <c r="E16" s="111">
        <f>SUM('[2]1997'!$B$13,'[2]1997'!$B$16)</f>
        <v>2231</v>
      </c>
      <c r="F16" s="111">
        <f>SUM('[2]1998'!$B$13,'[2]1998'!$B$16)</f>
        <v>3000</v>
      </c>
      <c r="G16" s="111">
        <f>SUM('[2]1999'!$B$13,'[2]1999'!$B$16)</f>
        <v>3547</v>
      </c>
      <c r="H16" s="111">
        <f>SUM('[2]2000'!$B$13,'[2]2000'!$B$16)</f>
        <v>4565</v>
      </c>
      <c r="I16" s="111">
        <f>SUM('[2]2001'!$B$13,'[2]2001'!$B$16)</f>
        <v>5103</v>
      </c>
      <c r="J16" s="111">
        <f>SUM('[2]2002'!$B$13,'[2]2002'!$B$16)</f>
        <v>5969</v>
      </c>
      <c r="K16" s="111">
        <f>SUM('[2]2003'!$B$13,'[2]2003'!$B$16)</f>
        <v>6667</v>
      </c>
      <c r="L16" s="111">
        <f>SUM('[2]2004'!$B$13,'[2]2004'!$B$16)</f>
        <v>7564</v>
      </c>
      <c r="M16" s="111">
        <f>SUM('[2]2005'!$B$13,'[2]2005'!$B$16)</f>
        <v>7912</v>
      </c>
      <c r="N16" s="111">
        <f>SUM('[2]2006'!$B$13,'[2]2006'!$B$16)</f>
        <v>8054</v>
      </c>
      <c r="O16" s="111">
        <f>SUM('[2]2007'!$B$13,'[2]2007'!$B$16)</f>
        <v>8554</v>
      </c>
      <c r="P16" s="111">
        <f>SUM('[2]2008'!$B$13,'[2]2008'!$B$16)</f>
        <v>6835</v>
      </c>
      <c r="Q16" s="111">
        <f>SUM('[2]2009'!$B$9,'[2]2009'!$B$11,'[2]2009'!$B$17)</f>
        <v>2176</v>
      </c>
      <c r="R16" s="111">
        <f>SUM('[2]2010'!$B$9,'[2]2010'!$B$11,'[2]2010'!$B$17)</f>
        <v>1587</v>
      </c>
      <c r="S16" s="111">
        <f>SUM('[2]2011'!$B$9,'[2]2011'!$B$11,'[2]2011'!$B$17)</f>
        <v>1279</v>
      </c>
      <c r="T16" s="111">
        <f>SUM('[2]2012'!$B$9,'[2]2012'!$B$11,'[2]2012'!$B$17)</f>
        <v>1228</v>
      </c>
      <c r="U16" s="111">
        <f>SUM('[2]2013'!$B$9,'[2]2013'!$B$11,'[2]2013'!$B$17)</f>
        <v>1147</v>
      </c>
      <c r="V16" s="111">
        <f>SUM('[2]2014'!$B$9,'[2]2014'!$B$11,'[2]2014'!$B$17)</f>
        <v>1186</v>
      </c>
      <c r="W16" s="111">
        <f>SUM('[2]2015'!$B$9,'[2]2015'!$B$11,'[2]2015'!$B$17)</f>
        <v>1248</v>
      </c>
      <c r="X16" s="111">
        <f>SUM('[2]2016'!$B$9,'[2]2016'!$B$11,'[2]2016'!$B$17)</f>
        <v>1455</v>
      </c>
      <c r="Y16" s="111">
        <f>SUM('[2]2017'!$B$9,'[2]2017'!$B$11,'[2]2017'!$B$17)</f>
        <v>1664</v>
      </c>
      <c r="Z16" s="111">
        <f>SUM('[2]2018'!$B$9,'[2]2018'!$B$11,'[2]2018'!$B$17)</f>
        <v>1773</v>
      </c>
      <c r="AA16" s="111">
        <f>SUM('[2]2016'!$B$9,'[2]2016'!$B$11,'[2]2016'!$B$17)</f>
        <v>1455</v>
      </c>
    </row>
    <row r="17" spans="1:58" s="112" customFormat="1" ht="16">
      <c r="A17" s="139"/>
      <c r="B17" s="110" t="s">
        <v>23</v>
      </c>
      <c r="C17" s="111">
        <f>SUM('[2]1995'!$B$9,'[2]1995'!$B$10,'[2]1995'!$B$11,'[2]1995'!$B$12,'[2]1995'!$B$14,'[2]1995'!$B$15,'[2]1995'!$B$17)</f>
        <v>1514</v>
      </c>
      <c r="D17" s="111">
        <f>SUM('[2]1996'!$B$9,'[2]1996'!$B$10,'[2]1996'!$B$11,'[2]1996'!$B$12,'[2]1996'!$B$14,'[2]1996'!$B$15,'[2]1996'!$B$17)</f>
        <v>1731</v>
      </c>
      <c r="E17" s="111">
        <f>SUM('[2]1997'!$B$9,'[2]1997'!$B$10,'[2]1997'!$B$11,'[2]1997'!$B$12,'[2]1997'!$B$14,'[2]1997'!$B$15,'[2]1997'!$B$17)</f>
        <v>1895</v>
      </c>
      <c r="F17" s="111">
        <f>SUM('[2]1998'!$B$9,'[2]1998'!$B$10,'[2]1998'!$B$11,'[2]1998'!$B$12,'[2]1998'!$B$14,'[2]1998'!$B$15,'[2]1998'!$B$17)</f>
        <v>2159</v>
      </c>
      <c r="G17" s="111">
        <f>SUM('[2]1999'!$B$9,'[2]1999'!$B$10,'[2]1999'!$B$11,'[2]1999'!$B$12,'[2]1999'!$B$14,'[2]1999'!$B$15,'[2]1999'!$B$17)</f>
        <v>2954</v>
      </c>
      <c r="H17" s="111">
        <f>SUM('[2]2000'!$B$9,'[2]2000'!$B$10,'[2]2000'!$B$11,'[2]2000'!$B$12,'[2]2000'!$B$14,'[2]2000'!$B$15,'[2]2000'!$B$17)</f>
        <v>3620</v>
      </c>
      <c r="I17" s="111">
        <f>SUM('[2]2001'!$B$9,'[2]2001'!$B$10,'[2]2001'!$B$11,'[2]2001'!$B$12,'[2]2001'!$B$14,'[2]2001'!$B$15,'[2]2001'!$B$17)</f>
        <v>3330</v>
      </c>
      <c r="J17" s="111">
        <f>SUM('[2]2002'!$B$9,'[2]2002'!$B$10,'[2]2002'!$B$11,'[2]2002'!$B$12,'[2]2002'!$B$14,'[2]2002'!$B$15,'[2]2002'!$B$17)</f>
        <v>3719</v>
      </c>
      <c r="K17" s="111">
        <f>SUM('[2]2003'!$B$9,'[2]2003'!$B$10,'[2]2003'!$B$11,'[2]2003'!$B$12,'[2]2003'!$B$14,'[2]2003'!$B$15,'[2]2003'!$B$17)</f>
        <v>4072</v>
      </c>
      <c r="L17" s="111">
        <f>SUM('[2]2004'!$B$9,'[2]2004'!$B$10,'[2]2004'!$B$11,'[2]2004'!$B$12,'[2]2004'!$B$14,'[2]2004'!$B$15,'[2]2004'!$B$17)</f>
        <v>4161</v>
      </c>
      <c r="M17" s="111">
        <f>SUM('[2]2005'!$B$9,'[2]2005'!$B$10,'[2]2005'!$B$11,'[2]2005'!$B$12,'[2]2005'!$B$14,'[2]2005'!$B$15,'[2]2005'!$B$17)</f>
        <v>4670</v>
      </c>
      <c r="N17" s="111">
        <f>SUM('[2]2006'!$B$9,'[2]2006'!$B$10,'[2]2006'!$B$11,'[2]2006'!$B$12,'[2]2006'!$B$14,'[2]2006'!$B$15,'[2]2006'!$B$17)</f>
        <v>4406</v>
      </c>
      <c r="O17" s="111">
        <f>SUM('[2]2007'!$B$9,'[2]2007'!$B$10,'[2]2007'!$B$11,'[2]2007'!$B$12,'[2]2007'!$B$14,'[2]2007'!$B$15,'[2]2007'!$B$17)</f>
        <v>4916</v>
      </c>
      <c r="P17" s="111">
        <f>SUM('[2]2008'!$B$9,'[2]2008'!$B$10,'[2]2008'!$B$11,'[2]2008'!$B$12,'[2]2008'!$B$14,'[2]2008'!$B$15,'[2]2008'!$B$17)</f>
        <v>4787</v>
      </c>
      <c r="Q17" s="111">
        <f>SUM('[2]2009'!$B$8,'[2]2009'!$B$13,'[2]2009'!$B$14,'[2]2009'!$B$16,'[2]2009'!$B$18,'[2]2009'!$B$19,'[2]2009'!$B$20)</f>
        <v>4476</v>
      </c>
      <c r="R17" s="111">
        <f>SUM('[2]2010'!$B$8,'[2]2010'!$B$13,'[2]2010'!$B$14,'[2]2010'!$B$16,'[2]2010'!$B$18,'[2]2010'!$B$19,'[2]2010'!$B$20)</f>
        <v>4023</v>
      </c>
      <c r="S17" s="111">
        <f>SUM('[2]2011'!$B$8,'[2]2011'!$B$13,'[2]2011'!$B$14,'[2]2011'!$B$16,'[2]2011'!$B$18,'[2]2011'!$B$19,'[2]2011'!$B$20)</f>
        <v>3766</v>
      </c>
      <c r="T17" s="111">
        <f>SUM('[2]2012'!$B$8,'[2]2012'!$B$13,'[2]2012'!$B$14,'[2]2012'!$B$16,'[2]2012'!$B$18,'[2]2012'!$B$19,'[2]2012'!$B$20)</f>
        <v>3756</v>
      </c>
      <c r="U17" s="111">
        <f>SUM('[2]2013'!$B$8,'[2]2013'!$B$13,'[2]2013'!$B$14,'[2]2013'!$B$16,'[2]2013'!$B$18,'[2]2013'!$B$19,'[2]2013'!$B$20)</f>
        <v>3472</v>
      </c>
      <c r="V17" s="111">
        <f>SUM('[2]2014'!$B$8,'[2]2014'!$B$13,'[2]2014'!$B$14,'[2]2014'!$B$16,'[2]2014'!$B$18,'[2]2014'!$B$19,'[2]2014'!$B$20)</f>
        <v>3743</v>
      </c>
      <c r="W17" s="111">
        <f>SUM('[2]2015'!$B$8,'[2]2015'!$B$13,'[2]2015'!$B$14,'[2]2015'!$B$16,'[2]2015'!$B$18,'[2]2015'!$B$19,'[2]2015'!$B$20)</f>
        <v>3552</v>
      </c>
      <c r="X17" s="111">
        <f>SUM('[2]2016'!$B$8,'[2]2016'!$B$13,'[2]2016'!$B$14,'[2]2016'!$B$16,'[2]2016'!$B$18,'[2]2016'!$B$19,'[2]2016'!$B$20)</f>
        <v>4476</v>
      </c>
      <c r="Y17" s="111">
        <f>SUM('[2]2017'!$B$8,'[2]2017'!$B$13,'[2]2017'!$B$14,'[2]2017'!$B$16,'[2]2017'!$B$18,'[2]2017'!$B$19,'[2]2017'!$B$20)</f>
        <v>4429</v>
      </c>
      <c r="Z17" s="111">
        <f>SUM('[2]2018'!$B$8,'[2]2018'!$B$13,'[2]2018'!$B$14,'[2]2018'!$B$16,'[2]2018'!$B$18,'[2]2018'!$B$19,'[2]2018'!$B$20)</f>
        <v>4380</v>
      </c>
      <c r="AA17" s="111">
        <f>SUM('[2]2016'!$B$8,'[2]2016'!$B$13,'[2]2016'!$B$14,'[2]2016'!$B$16,'[2]2016'!$B$18,'[2]2016'!$B$19,'[2]2016'!$B$20)</f>
        <v>4476</v>
      </c>
    </row>
    <row r="18" spans="1:58" s="112" customFormat="1" ht="16">
      <c r="A18" s="139"/>
      <c r="B18" s="110" t="s">
        <v>24</v>
      </c>
      <c r="C18" s="111">
        <f t="shared" ref="C18:AA18" si="2">SUM(C15:C17)</f>
        <v>5493</v>
      </c>
      <c r="D18" s="111">
        <f t="shared" si="2"/>
        <v>6316</v>
      </c>
      <c r="E18" s="111">
        <f t="shared" si="2"/>
        <v>6998</v>
      </c>
      <c r="F18" s="111">
        <f t="shared" si="2"/>
        <v>8203</v>
      </c>
      <c r="G18" s="111">
        <f t="shared" si="2"/>
        <v>10275</v>
      </c>
      <c r="H18" s="111">
        <f t="shared" si="2"/>
        <v>12348</v>
      </c>
      <c r="I18" s="111">
        <f t="shared" si="2"/>
        <v>12405</v>
      </c>
      <c r="J18" s="111">
        <f t="shared" si="2"/>
        <v>14449</v>
      </c>
      <c r="K18" s="111">
        <f t="shared" si="2"/>
        <v>15897</v>
      </c>
      <c r="L18" s="111">
        <f t="shared" si="2"/>
        <v>17288</v>
      </c>
      <c r="M18" s="111">
        <f t="shared" si="2"/>
        <v>18153</v>
      </c>
      <c r="N18" s="111">
        <f t="shared" si="2"/>
        <v>17687</v>
      </c>
      <c r="O18" s="111">
        <f t="shared" si="2"/>
        <v>19147</v>
      </c>
      <c r="P18" s="111">
        <f t="shared" si="2"/>
        <v>17288</v>
      </c>
      <c r="Q18" s="111">
        <f t="shared" si="2"/>
        <v>12068</v>
      </c>
      <c r="R18" s="111">
        <f t="shared" si="2"/>
        <v>10924</v>
      </c>
      <c r="S18" s="111">
        <f t="shared" si="2"/>
        <v>9941</v>
      </c>
      <c r="T18" s="111">
        <f t="shared" si="2"/>
        <v>9894</v>
      </c>
      <c r="U18" s="111">
        <f t="shared" si="2"/>
        <v>9137</v>
      </c>
      <c r="V18" s="111">
        <f t="shared" si="2"/>
        <v>9772</v>
      </c>
      <c r="W18" s="111">
        <f t="shared" si="2"/>
        <v>9844</v>
      </c>
      <c r="X18" s="111">
        <f t="shared" si="2"/>
        <v>11564</v>
      </c>
      <c r="Y18" s="111">
        <f t="shared" si="2"/>
        <v>11758</v>
      </c>
      <c r="Z18" s="111">
        <f t="shared" si="2"/>
        <v>11445</v>
      </c>
      <c r="AA18" s="111">
        <f t="shared" si="2"/>
        <v>11223</v>
      </c>
    </row>
    <row r="19" spans="1:58">
      <c r="B19" s="15"/>
      <c r="C19" s="1"/>
      <c r="D19" s="1"/>
    </row>
    <row r="20" spans="1:58">
      <c r="B20" s="15"/>
      <c r="C20" s="1"/>
      <c r="D20" s="1"/>
    </row>
    <row r="21" spans="1:58" s="114" customFormat="1" ht="32">
      <c r="A21" s="138" t="s">
        <v>25</v>
      </c>
      <c r="B21" s="113" t="s">
        <v>26</v>
      </c>
      <c r="C21" s="114">
        <f>'From R Inputs_HERMES'!$D$48 +'From R Inputs_HERMES'!$D$49*'From R Inputs_HERMES'!C5 +'From R Inputs_HERMES'!$D$50*'From R Inputs_HERMES'!C6 -'From R Inputs_HERMES'!$D$54</f>
        <v>1772.9740377202052</v>
      </c>
      <c r="D21" s="114">
        <f>'From R Inputs_HERMES'!$D$48 +'From R Inputs_HERMES'!$D$49*'From R Inputs_HERMES'!D5 +'From R Inputs_HERMES'!$D$50*'From R Inputs_HERMES'!D6 -'From R Inputs_HERMES'!$D$54</f>
        <v>1982.7926155081423</v>
      </c>
      <c r="E21" s="114">
        <f>'From R Inputs_HERMES'!$D$48 +'From R Inputs_HERMES'!$D$49*'From R Inputs_HERMES'!E5 +'From R Inputs_HERMES'!$D$50*'From R Inputs_HERMES'!E6 -'From R Inputs_HERMES'!$D$54</f>
        <v>2383.638514124365</v>
      </c>
      <c r="F21" s="114">
        <f>'From R Inputs_HERMES'!$D$48 +'From R Inputs_HERMES'!$D$49*'From R Inputs_HERMES'!F5 +'From R Inputs_HERMES'!$D$50*'From R Inputs_HERMES'!F6 -'From R Inputs_HERMES'!$D$54</f>
        <v>2717.306828719406</v>
      </c>
      <c r="G21" s="114">
        <f>'From R Inputs_HERMES'!$D$48 +'From R Inputs_HERMES'!$D$49*'From R Inputs_HERMES'!G5 +'From R Inputs_HERMES'!$D$50*'From R Inputs_HERMES'!G6 -'From R Inputs_HERMES'!$D$54</f>
        <v>3228.7596042517398</v>
      </c>
      <c r="H21" s="114">
        <f>'From R Inputs_HERMES'!$D$48 +'From R Inputs_HERMES'!$D$49*'From R Inputs_HERMES'!H5 +'From R Inputs_HERMES'!$D$50*'From R Inputs_HERMES'!H6 -'From R Inputs_HERMES'!$D$54</f>
        <v>3725.9219253986294</v>
      </c>
      <c r="I21" s="114">
        <f>'From R Inputs_HERMES'!$D$48 +'From R Inputs_HERMES'!$D$49*'From R Inputs_HERMES'!I5 +'From R Inputs_HERMES'!$D$50*'From R Inputs_HERMES'!I6 -'From R Inputs_HERMES'!$D$54</f>
        <v>3937.3449301825376</v>
      </c>
      <c r="J21" s="114">
        <f>'From R Inputs_HERMES'!$D$48 +'From R Inputs_HERMES'!$D$49*'From R Inputs_HERMES'!J5 +'From R Inputs_HERMES'!$D$50*'From R Inputs_HERMES'!J6 -'From R Inputs_HERMES'!$D$54</f>
        <v>4204.8453379178891</v>
      </c>
      <c r="K21" s="114">
        <f>'From R Inputs_HERMES'!$D$48 +'From R Inputs_HERMES'!$D$49*'From R Inputs_HERMES'!K5 +'From R Inputs_HERMES'!$D$50*'From R Inputs_HERMES'!K6 -'From R Inputs_HERMES'!$D$54</f>
        <v>4318.0592981794734</v>
      </c>
      <c r="L21" s="114">
        <f>'From R Inputs_HERMES'!$D$48 +'From R Inputs_HERMES'!$D$49*'From R Inputs_HERMES'!L5 +'From R Inputs_HERMES'!$D$50*'From R Inputs_HERMES'!L6 -'From R Inputs_HERMES'!$D$54</f>
        <v>4459.6400939249706</v>
      </c>
      <c r="M21" s="114">
        <f>'From R Inputs_HERMES'!$D$48 +'From R Inputs_HERMES'!$D$49*'From R Inputs_HERMES'!M5 +'From R Inputs_HERMES'!$D$50*'From R Inputs_HERMES'!M6 -'From R Inputs_HERMES'!$D$54</f>
        <v>4564.7819882852373</v>
      </c>
      <c r="N21" s="114">
        <f>'From R Inputs_HERMES'!$D$48 +'From R Inputs_HERMES'!$D$49*'From R Inputs_HERMES'!N5 +'From R Inputs_HERMES'!$D$50*'From R Inputs_HERMES'!N6 -'From R Inputs_HERMES'!$D$54</f>
        <v>4877.6956804300307</v>
      </c>
      <c r="O21" s="114">
        <f>'From R Inputs_HERMES'!$D$48 +'From R Inputs_HERMES'!$D$49*'From R Inputs_HERMES'!O5 +'From R Inputs_HERMES'!$D$50*'From R Inputs_HERMES'!O6 -'From R Inputs_HERMES'!$D$54</f>
        <v>5019.8015585555386</v>
      </c>
      <c r="P21" s="114">
        <f>'From R Inputs_HERMES'!$D$48 +'From R Inputs_HERMES'!$D$49*'From R Inputs_HERMES'!P5 +'From R Inputs_HERMES'!$D$50*'From R Inputs_HERMES'!P6 -'From R Inputs_HERMES'!$D$54</f>
        <v>4613.7623898413522</v>
      </c>
      <c r="Q21" s="114">
        <f>'From R Inputs_HERMES'!$D$48 +'From R Inputs_HERMES'!$D$49*'From R Inputs_HERMES'!Q5 +'From R Inputs_HERMES'!$D$50*'From R Inputs_HERMES'!Q6 -'From R Inputs_HERMES'!$D$54</f>
        <v>4066.2554487269454</v>
      </c>
      <c r="R21" s="114">
        <f>'From R Inputs_HERMES'!$D$48 +'From R Inputs_HERMES'!$D$49*'From R Inputs_HERMES'!R5 +'From R Inputs_HERMES'!$D$50*'From R Inputs_HERMES'!R6 -'From R Inputs_HERMES'!$D$54</f>
        <v>3994.9829836091922</v>
      </c>
      <c r="S21" s="114">
        <f>'From R Inputs_HERMES'!$D$48 +'From R Inputs_HERMES'!$D$49*'From R Inputs_HERMES'!S5 +'From R Inputs_HERMES'!$D$50*'From R Inputs_HERMES'!S6 -'From R Inputs_HERMES'!$D$54</f>
        <v>3766.2845058396806</v>
      </c>
      <c r="T21" s="114">
        <f>'From R Inputs_HERMES'!$D$48 +'From R Inputs_HERMES'!$D$49*'From R Inputs_HERMES'!T5 +'From R Inputs_HERMES'!$D$50*'From R Inputs_HERMES'!T6 -'From R Inputs_HERMES'!$D$54</f>
        <v>3961.1334364588593</v>
      </c>
      <c r="U21" s="114">
        <f>'From R Inputs_HERMES'!$D$48 +'From R Inputs_HERMES'!$D$49*'From R Inputs_HERMES'!U5 +'From R Inputs_HERMES'!$D$50*'From R Inputs_HERMES'!U6 -'From R Inputs_HERMES'!$D$54</f>
        <v>4063.9294003190325</v>
      </c>
      <c r="V21" s="114">
        <f>'From R Inputs_HERMES'!$D$48 +'From R Inputs_HERMES'!$D$49*'From R Inputs_HERMES'!V5 +'From R Inputs_HERMES'!$D$50*'From R Inputs_HERMES'!V6 -'From R Inputs_HERMES'!$D$54</f>
        <v>4240.8171686666183</v>
      </c>
      <c r="W21" s="114">
        <f>'From R Inputs_HERMES'!$D$48 +'From R Inputs_HERMES'!$D$49*'From R Inputs_HERMES'!W5 +'From R Inputs_HERMES'!$D$50*'From R Inputs_HERMES'!W6 -'From R Inputs_HERMES'!$D$54</f>
        <v>4470.8984077793566</v>
      </c>
      <c r="X21" s="114">
        <f>'From R Inputs_HERMES'!$D$48 +'From R Inputs_HERMES'!$D$49*'From R Inputs_HERMES'!X5 +'From R Inputs_HERMES'!$D$50*'From R Inputs_HERMES'!X6 -'From R Inputs_HERMES'!$D$54</f>
        <v>4676.8503298894193</v>
      </c>
      <c r="Y21" s="114">
        <f>'From R Inputs_HERMES'!$D$48 +'From R Inputs_HERMES'!$D$49*'From R Inputs_HERMES'!Y5 +'From R Inputs_HERMES'!$D$50*'From R Inputs_HERMES'!Y6 -'From R Inputs_HERMES'!$D$54</f>
        <v>4899.6375445905005</v>
      </c>
      <c r="Z21" s="114">
        <f>'From R Inputs_HERMES'!$D$48 +'From R Inputs_HERMES'!$D$49*'From R Inputs_HERMES'!Z5 +'From R Inputs_HERMES'!$D$50*'From R Inputs_HERMES'!Z6 -'From R Inputs_HERMES'!$D$54</f>
        <v>5094.9081823965253</v>
      </c>
      <c r="AA21" s="114">
        <f>'From R Inputs_HERMES'!$D$48 +'From R Inputs_HERMES'!$D$49*'From R Inputs_HERMES'!AA5 +'From R Inputs_HERMES'!$D$50*'From R Inputs_HERMES'!AA6 -'From R Inputs_HERMES'!$D$54</f>
        <v>5292</v>
      </c>
      <c r="AB21" s="114">
        <f>'From R Inputs_HERMES'!$D$48 +'From R Inputs_HERMES'!$D$49*'From R Inputs_HERMES'!AB5 +'From R Inputs_HERMES'!$D$50*'From R Inputs_HERMES'!AB6 -'From R Inputs_HERMES'!$D$54</f>
        <v>5525.2477249114763</v>
      </c>
      <c r="AC21" s="114">
        <f>'From R Inputs_HERMES'!$D$48 +'From R Inputs_HERMES'!$D$49*'From R Inputs_HERMES'!AC5 +'From R Inputs_HERMES'!$D$50*'From R Inputs_HERMES'!AC6 -'From R Inputs_HERMES'!$D$54</f>
        <v>5683.9733890776652</v>
      </c>
      <c r="AD21" s="114">
        <f>'From R Inputs_HERMES'!$D$48 +'From R Inputs_HERMES'!$D$49*'From R Inputs_HERMES'!AD5 +'From R Inputs_HERMES'!$D$50*'From R Inputs_HERMES'!AD6 -'From R Inputs_HERMES'!$D$54</f>
        <v>5813.09034951185</v>
      </c>
      <c r="AE21" s="114">
        <f>'From R Inputs_HERMES'!$D$48 +'From R Inputs_HERMES'!$D$49*'From R Inputs_HERMES'!AE5 +'From R Inputs_HERMES'!$D$50*'From R Inputs_HERMES'!AE6 -'From R Inputs_HERMES'!$D$54</f>
        <v>5897.7869171159709</v>
      </c>
      <c r="AF21" s="114">
        <f>'From R Inputs_HERMES'!$D$48 +'From R Inputs_HERMES'!$D$49*'From R Inputs_HERMES'!AF5 +'From R Inputs_HERMES'!$D$50*'From R Inputs_HERMES'!AF6 -'From R Inputs_HERMES'!$D$54</f>
        <v>5966.9478232870651</v>
      </c>
      <c r="AG21" s="114">
        <f>'From R Inputs_HERMES'!$D$48 +'From R Inputs_HERMES'!$D$49*'From R Inputs_HERMES'!AG5 +'From R Inputs_HERMES'!$D$50*'From R Inputs_HERMES'!AG6 -'From R Inputs_HERMES'!$D$54</f>
        <v>6056.6315184195491</v>
      </c>
      <c r="AH21" s="114">
        <f>'From R Inputs_HERMES'!$D$48 +'From R Inputs_HERMES'!$D$49*'From R Inputs_HERMES'!AH5 +'From R Inputs_HERMES'!$D$50*'From R Inputs_HERMES'!AH6 -'From R Inputs_HERMES'!$D$54</f>
        <v>6143.8475527463133</v>
      </c>
      <c r="AI21" s="114">
        <f>'From R Inputs_HERMES'!$D$48 +'From R Inputs_HERMES'!$D$49*'From R Inputs_HERMES'!AI5 +'From R Inputs_HERMES'!$D$50*'From R Inputs_HERMES'!AI6 -'From R Inputs_HERMES'!$D$54</f>
        <v>6233.2080826807332</v>
      </c>
      <c r="AJ21" s="114">
        <f>'From R Inputs_HERMES'!$D$48 +'From R Inputs_HERMES'!$D$49*'From R Inputs_HERMES'!AJ5 +'From R Inputs_HERMES'!$D$50*'From R Inputs_HERMES'!AJ6 -'From R Inputs_HERMES'!$D$54</f>
        <v>6334.7672604481359</v>
      </c>
      <c r="AK21" s="114">
        <f>'From R Inputs_HERMES'!$D$48 +'From R Inputs_HERMES'!$D$49*'From R Inputs_HERMES'!AK5 +'From R Inputs_HERMES'!$D$50*'From R Inputs_HERMES'!AK6 -'From R Inputs_HERMES'!$D$54</f>
        <v>6453.9598303547909</v>
      </c>
      <c r="AL21" s="114">
        <f>'From R Inputs_HERMES'!$D$48 +'From R Inputs_HERMES'!$D$49*'From R Inputs_HERMES'!AL5 +'From R Inputs_HERMES'!$D$50*'From R Inputs_HERMES'!AL6 -'From R Inputs_HERMES'!$D$54</f>
        <v>6585.2710592817893</v>
      </c>
      <c r="AM21" s="114">
        <f>'From R Inputs_HERMES'!$D$48 +'From R Inputs_HERMES'!$D$49*'From R Inputs_HERMES'!AM5 +'From R Inputs_HERMES'!$D$50*'From R Inputs_HERMES'!AM6 -'From R Inputs_HERMES'!$D$54</f>
        <v>6639.0574500446837</v>
      </c>
      <c r="AN21" s="114">
        <f>'From R Inputs_HERMES'!$D$48 +'From R Inputs_HERMES'!$D$49*'From R Inputs_HERMES'!AN5 +'From R Inputs_HERMES'!$D$50*'From R Inputs_HERMES'!AN6 -'From R Inputs_HERMES'!$D$54</f>
        <v>6693.0087946767226</v>
      </c>
      <c r="AO21" s="114">
        <f>'From R Inputs_HERMES'!$D$48 +'From R Inputs_HERMES'!$D$49*'From R Inputs_HERMES'!AO5 +'From R Inputs_HERMES'!$D$50*'From R Inputs_HERMES'!AO6 -'From R Inputs_HERMES'!$D$54</f>
        <v>6747.5489054071568</v>
      </c>
      <c r="AP21" s="114">
        <f>'From R Inputs_HERMES'!$D$48 +'From R Inputs_HERMES'!$D$49*'From R Inputs_HERMES'!AP5 +'From R Inputs_HERMES'!$D$50*'From R Inputs_HERMES'!AP6 -'From R Inputs_HERMES'!$D$54</f>
        <v>6802.265277559899</v>
      </c>
      <c r="AQ21" s="114">
        <f>'From R Inputs_HERMES'!$D$48 +'From R Inputs_HERMES'!$D$49*'From R Inputs_HERMES'!AQ5 +'From R Inputs_HERMES'!$D$50*'From R Inputs_HERMES'!AQ6 -'From R Inputs_HERMES'!$D$54</f>
        <v>6857.1817981202012</v>
      </c>
      <c r="AR21" s="114">
        <f>'From R Inputs_HERMES'!$D$48 +'From R Inputs_HERMES'!$D$49*'From R Inputs_HERMES'!AR5 +'From R Inputs_HERMES'!$D$50*'From R Inputs_HERMES'!AR6 -'From R Inputs_HERMES'!$D$54</f>
        <v>6912.684650936525</v>
      </c>
      <c r="AS21" s="114">
        <f>'From R Inputs_HERMES'!$D$48 +'From R Inputs_HERMES'!$D$49*'From R Inputs_HERMES'!AS5 +'From R Inputs_HERMES'!$D$50*'From R Inputs_HERMES'!AS6 -'From R Inputs_HERMES'!$D$54</f>
        <v>6968.3607562393818</v>
      </c>
      <c r="AT21" s="114">
        <f>'From R Inputs_HERMES'!$D$48 +'From R Inputs_HERMES'!$D$49*'From R Inputs_HERMES'!AT5 +'From R Inputs_HERMES'!$D$50*'From R Inputs_HERMES'!AT6 -'From R Inputs_HERMES'!$D$54</f>
        <v>7024.2701533871787</v>
      </c>
      <c r="AU21" s="114">
        <f>'From R Inputs_HERMES'!$D$48 +'From R Inputs_HERMES'!$D$49*'From R Inputs_HERMES'!AU5 +'From R Inputs_HERMES'!$D$50*'From R Inputs_HERMES'!AU6 -'From R Inputs_HERMES'!$D$54</f>
        <v>7080.7623910122993</v>
      </c>
      <c r="AV21" s="114">
        <f>'From R Inputs_HERMES'!$D$48 +'From R Inputs_HERMES'!$D$49*'From R Inputs_HERMES'!AV5 +'From R Inputs_HERMES'!$D$50*'From R Inputs_HERMES'!AV6 -'From R Inputs_HERMES'!$D$54</f>
        <v>7137.4966391338367</v>
      </c>
      <c r="AW21" s="114">
        <f>'From R Inputs_HERMES'!$D$48 +'From R Inputs_HERMES'!$D$49*'From R Inputs_HERMES'!AW5 +'From R Inputs_HERMES'!$D$50*'From R Inputs_HERMES'!AW6 -'From R Inputs_HERMES'!$D$54</f>
        <v>7194.3859742490167</v>
      </c>
      <c r="AX21" s="114">
        <f>'From R Inputs_HERMES'!$D$48 +'From R Inputs_HERMES'!$D$49*'From R Inputs_HERMES'!AX5 +'From R Inputs_HERMES'!$D$50*'From R Inputs_HERMES'!AX6 -'From R Inputs_HERMES'!$D$54</f>
        <v>7251.5253240615875</v>
      </c>
      <c r="AY21" s="114">
        <f>'From R Inputs_HERMES'!$D$48 +'From R Inputs_HERMES'!$D$49*'From R Inputs_HERMES'!AY5 +'From R Inputs_HERMES'!$D$50*'From R Inputs_HERMES'!AY6 -'From R Inputs_HERMES'!$D$54</f>
        <v>7309.3010392559818</v>
      </c>
      <c r="AZ21" s="114">
        <f>'From R Inputs_HERMES'!$D$48 +'From R Inputs_HERMES'!$D$49*'From R Inputs_HERMES'!AZ5 +'From R Inputs_HERMES'!$D$50*'From R Inputs_HERMES'!AZ6 -'From R Inputs_HERMES'!$D$54</f>
        <v>7367.2622095159795</v>
      </c>
      <c r="BA21" s="114">
        <f>'From R Inputs_HERMES'!$D$48 +'From R Inputs_HERMES'!$D$49*'From R Inputs_HERMES'!BA5 +'From R Inputs_HERMES'!$D$50*'From R Inputs_HERMES'!BA6 -'From R Inputs_HERMES'!$D$54</f>
        <v>7425.5018292108653</v>
      </c>
      <c r="BB21" s="114">
        <f>'From R Inputs_HERMES'!$D$48 +'From R Inputs_HERMES'!$D$49*'From R Inputs_HERMES'!BB5 +'From R Inputs_HERMES'!$D$50*'From R Inputs_HERMES'!BB6 -'From R Inputs_HERMES'!$D$54</f>
        <v>7483.933842384904</v>
      </c>
      <c r="BC21" s="114">
        <f>'From R Inputs_HERMES'!$D$48 +'From R Inputs_HERMES'!$D$49*'From R Inputs_HERMES'!BC5 +'From R Inputs_HERMES'!$D$50*'From R Inputs_HERMES'!BC6 -'From R Inputs_HERMES'!$D$54</f>
        <v>7542.6148260594427</v>
      </c>
      <c r="BD21" s="114">
        <f>'From R Inputs_HERMES'!$D$48 +'From R Inputs_HERMES'!$D$49*'From R Inputs_HERMES'!BD5 +'From R Inputs_HERMES'!$D$50*'From R Inputs_HERMES'!BD6 -'From R Inputs_HERMES'!$D$54</f>
        <v>7601.9317020867611</v>
      </c>
      <c r="BE21" s="114">
        <f>'From R Inputs_HERMES'!$D$48 +'From R Inputs_HERMES'!$D$49*'From R Inputs_HERMES'!BE5 +'From R Inputs_HERMES'!$D$50*'From R Inputs_HERMES'!BE6 -'From R Inputs_HERMES'!$D$54</f>
        <v>7661.5383566926675</v>
      </c>
      <c r="BF21" s="114">
        <f>'From R Inputs_HERMES'!$D$48 +'From R Inputs_HERMES'!$D$49*'From R Inputs_HERMES'!BF5 +'From R Inputs_HERMES'!$D$50*'From R Inputs_HERMES'!BF6 -'From R Inputs_HERMES'!$D$54</f>
        <v>7721.3844858882594</v>
      </c>
    </row>
    <row r="22" spans="1:58" s="114" customFormat="1" ht="48">
      <c r="A22" s="138"/>
      <c r="B22" s="113" t="s">
        <v>27</v>
      </c>
      <c r="C22" s="114">
        <f>'From R Inputs_HERMES'!$N$48 + 'From R Inputs_HERMES'!$N$49*'From R Inputs_HERMES'!C7 + 'From R Inputs_HERMES'!$N$50*'From R Inputs_HERMES'!C8 - 'From R Inputs_HERMES'!$N$54</f>
        <v>-492.65760847381989</v>
      </c>
      <c r="D22" s="114">
        <f>'From R Inputs_HERMES'!$N$48 + 'From R Inputs_HERMES'!$N$49*'From R Inputs_HERMES'!D7 + 'From R Inputs_HERMES'!$N$50*'From R Inputs_HERMES'!D8 - 'From R Inputs_HERMES'!$N$54</f>
        <v>228.72562813460399</v>
      </c>
      <c r="E22" s="114">
        <f>'From R Inputs_HERMES'!$N$48 + 'From R Inputs_HERMES'!$N$49*'From R Inputs_HERMES'!E7 + 'From R Inputs_HERMES'!$N$50*'From R Inputs_HERMES'!E8 - 'From R Inputs_HERMES'!$N$54</f>
        <v>625.80428650873455</v>
      </c>
      <c r="F22" s="114">
        <f>'From R Inputs_HERMES'!$N$48 + 'From R Inputs_HERMES'!$N$49*'From R Inputs_HERMES'!F7 + 'From R Inputs_HERMES'!$N$50*'From R Inputs_HERMES'!F8 - 'From R Inputs_HERMES'!$N$54</f>
        <v>1357.1119441509018</v>
      </c>
      <c r="G22" s="114">
        <f>'From R Inputs_HERMES'!$N$48 + 'From R Inputs_HERMES'!$N$49*'From R Inputs_HERMES'!G7 + 'From R Inputs_HERMES'!$N$50*'From R Inputs_HERMES'!G8 - 'From R Inputs_HERMES'!$N$54</f>
        <v>1671.1897608211775</v>
      </c>
      <c r="H22" s="114">
        <f>'From R Inputs_HERMES'!$N$48 + 'From R Inputs_HERMES'!$N$49*'From R Inputs_HERMES'!H7 + 'From R Inputs_HERMES'!$N$50*'From R Inputs_HERMES'!H8 - 'From R Inputs_HERMES'!$N$54</f>
        <v>1856.7757124220834</v>
      </c>
      <c r="I22" s="114">
        <f>'From R Inputs_HERMES'!$N$48 + 'From R Inputs_HERMES'!$N$49*'From R Inputs_HERMES'!I7 + 'From R Inputs_HERMES'!$N$50*'From R Inputs_HERMES'!I8 - 'From R Inputs_HERMES'!$N$54</f>
        <v>1958.2951329893867</v>
      </c>
      <c r="J22" s="114">
        <f>'From R Inputs_HERMES'!$N$48 + 'From R Inputs_HERMES'!$N$49*'From R Inputs_HERMES'!J7 + 'From R Inputs_HERMES'!$N$50*'From R Inputs_HERMES'!J8 - 'From R Inputs_HERMES'!$N$54</f>
        <v>2423.795805407789</v>
      </c>
      <c r="K22" s="114">
        <f>'From R Inputs_HERMES'!$N$48 + 'From R Inputs_HERMES'!$N$49*'From R Inputs_HERMES'!K7 + 'From R Inputs_HERMES'!$N$50*'From R Inputs_HERMES'!K8 - 'From R Inputs_HERMES'!$N$54</f>
        <v>3301.7010296973958</v>
      </c>
      <c r="L22" s="114">
        <f>'From R Inputs_HERMES'!$N$48 + 'From R Inputs_HERMES'!$N$49*'From R Inputs_HERMES'!L7 + 'From R Inputs_HERMES'!$N$50*'From R Inputs_HERMES'!L8 - 'From R Inputs_HERMES'!$N$54</f>
        <v>4371.54477058051</v>
      </c>
      <c r="M22" s="114">
        <f>'From R Inputs_HERMES'!$N$48 + 'From R Inputs_HERMES'!$N$49*'From R Inputs_HERMES'!M7 + 'From R Inputs_HERMES'!$N$50*'From R Inputs_HERMES'!M8 - 'From R Inputs_HERMES'!$N$54</f>
        <v>4292.6559297886206</v>
      </c>
      <c r="N22" s="114">
        <f>'From R Inputs_HERMES'!$N$48 + 'From R Inputs_HERMES'!$N$49*'From R Inputs_HERMES'!N7 + 'From R Inputs_HERMES'!$N$50*'From R Inputs_HERMES'!N8 - 'From R Inputs_HERMES'!$N$54</f>
        <v>4768.3618334859848</v>
      </c>
      <c r="O22" s="114">
        <f>'From R Inputs_HERMES'!$N$48 + 'From R Inputs_HERMES'!$N$49*'From R Inputs_HERMES'!O7 + 'From R Inputs_HERMES'!$N$50*'From R Inputs_HERMES'!O8 - 'From R Inputs_HERMES'!$N$54</f>
        <v>4821.2876520978516</v>
      </c>
      <c r="P22" s="114">
        <f>'From R Inputs_HERMES'!$N$48 + 'From R Inputs_HERMES'!$N$49*'From R Inputs_HERMES'!P7 + 'From R Inputs_HERMES'!$N$50*'From R Inputs_HERMES'!P8 - 'From R Inputs_HERMES'!$N$54</f>
        <v>4182.8556501078501</v>
      </c>
      <c r="Q22" s="114">
        <f>'From R Inputs_HERMES'!$N$48 + 'From R Inputs_HERMES'!$N$49*'From R Inputs_HERMES'!Q7 + 'From R Inputs_HERMES'!$N$50*'From R Inputs_HERMES'!Q8 - 'From R Inputs_HERMES'!$N$54</f>
        <v>1216.0753915313189</v>
      </c>
      <c r="R22" s="114">
        <f>'From R Inputs_HERMES'!$N$48 + 'From R Inputs_HERMES'!$N$49*'From R Inputs_HERMES'!R7 + 'From R Inputs_HERMES'!$N$50*'From R Inputs_HERMES'!R8 - 'From R Inputs_HERMES'!$N$54</f>
        <v>-1267.6667560084525</v>
      </c>
      <c r="S22" s="114">
        <f>'From R Inputs_HERMES'!$N$48 + 'From R Inputs_HERMES'!$N$49*'From R Inputs_HERMES'!S7 + 'From R Inputs_HERMES'!$N$50*'From R Inputs_HERMES'!S8 - 'From R Inputs_HERMES'!$N$54</f>
        <v>-2268.5384695895991</v>
      </c>
      <c r="T22" s="114">
        <f>'From R Inputs_HERMES'!$N$48 + 'From R Inputs_HERMES'!$N$49*'From R Inputs_HERMES'!T7 + 'From R Inputs_HERMES'!$N$50*'From R Inputs_HERMES'!T8 - 'From R Inputs_HERMES'!$N$54</f>
        <v>-2560.4585681912322</v>
      </c>
      <c r="U22" s="114">
        <f>'From R Inputs_HERMES'!$N$48 + 'From R Inputs_HERMES'!$N$49*'From R Inputs_HERMES'!U7 + 'From R Inputs_HERMES'!$N$50*'From R Inputs_HERMES'!U8 - 'From R Inputs_HERMES'!$N$54</f>
        <v>-2541.9673947649217</v>
      </c>
      <c r="V22" s="114">
        <f>'From R Inputs_HERMES'!$N$48 + 'From R Inputs_HERMES'!$N$49*'From R Inputs_HERMES'!V7 + 'From R Inputs_HERMES'!$N$50*'From R Inputs_HERMES'!V8 - 'From R Inputs_HERMES'!$N$54</f>
        <v>-2372.7200950677179</v>
      </c>
      <c r="W22" s="114">
        <f>'From R Inputs_HERMES'!$N$48 + 'From R Inputs_HERMES'!$N$49*'From R Inputs_HERMES'!W7 + 'From R Inputs_HERMES'!$N$50*'From R Inputs_HERMES'!W8 - 'From R Inputs_HERMES'!$N$54</f>
        <v>-1637.7928452680089</v>
      </c>
      <c r="X22" s="114">
        <f>'From R Inputs_HERMES'!$N$48 + 'From R Inputs_HERMES'!$N$49*'From R Inputs_HERMES'!X7 + 'From R Inputs_HERMES'!$N$50*'From R Inputs_HERMES'!X8 - 'From R Inputs_HERMES'!$N$54</f>
        <v>104.92414796441335</v>
      </c>
      <c r="Y22" s="114">
        <f>'From R Inputs_HERMES'!$N$48 + 'From R Inputs_HERMES'!$N$49*'From R Inputs_HERMES'!Y7 + 'From R Inputs_HERMES'!$N$50*'From R Inputs_HERMES'!Y8 - 'From R Inputs_HERMES'!$N$54</f>
        <v>1275.9398505802519</v>
      </c>
      <c r="Z22" s="114">
        <f>'From R Inputs_HERMES'!$N$48 + 'From R Inputs_HERMES'!$N$49*'From R Inputs_HERMES'!Z7 + 'From R Inputs_HERMES'!$N$50*'From R Inputs_HERMES'!Z8 - 'From R Inputs_HERMES'!$N$54</f>
        <v>1377.9690418830423</v>
      </c>
      <c r="AA22" s="114">
        <f>'From R Inputs_HERMES'!$N$48 + 'From R Inputs_HERMES'!$N$49*'From R Inputs_HERMES'!AA7 + 'From R Inputs_HERMES'!$N$50*'From R Inputs_HERMES'!AA8 - 'From R Inputs_HERMES'!$N$54</f>
        <v>1455</v>
      </c>
      <c r="AB22" s="114">
        <f>'From R Inputs_HERMES'!$N$48 + 'From R Inputs_HERMES'!$N$49*'From R Inputs_HERMES'!AB7 + 'From R Inputs_HERMES'!$N$50*'From R Inputs_HERMES'!AB8 - 'From R Inputs_HERMES'!$N$54</f>
        <v>1624.2103847026874</v>
      </c>
      <c r="AC22" s="114">
        <f>'From R Inputs_HERMES'!$N$48 + 'From R Inputs_HERMES'!$N$49*'From R Inputs_HERMES'!AC7 + 'From R Inputs_HERMES'!$N$50*'From R Inputs_HERMES'!AC8 - 'From R Inputs_HERMES'!$N$54</f>
        <v>2428.782218915213</v>
      </c>
      <c r="AD22" s="114">
        <f>'From R Inputs_HERMES'!$N$48 + 'From R Inputs_HERMES'!$N$49*'From R Inputs_HERMES'!AD7 + 'From R Inputs_HERMES'!$N$50*'From R Inputs_HERMES'!AD8 - 'From R Inputs_HERMES'!$N$54</f>
        <v>2582.0333386878456</v>
      </c>
      <c r="AE22" s="114">
        <f>'From R Inputs_HERMES'!$N$48 + 'From R Inputs_HERMES'!$N$49*'From R Inputs_HERMES'!AE7 + 'From R Inputs_HERMES'!$N$50*'From R Inputs_HERMES'!AE8 - 'From R Inputs_HERMES'!$N$54</f>
        <v>2642.3063612692085</v>
      </c>
      <c r="AF22" s="114">
        <f>'From R Inputs_HERMES'!$N$48 + 'From R Inputs_HERMES'!$N$49*'From R Inputs_HERMES'!AF7 + 'From R Inputs_HERMES'!$N$50*'From R Inputs_HERMES'!AF8 - 'From R Inputs_HERMES'!$N$54</f>
        <v>2645.8944466400026</v>
      </c>
      <c r="AG22" s="114">
        <f>'From R Inputs_HERMES'!$N$48 + 'From R Inputs_HERMES'!$N$49*'From R Inputs_HERMES'!AG7 + 'From R Inputs_HERMES'!$N$50*'From R Inputs_HERMES'!AG8 - 'From R Inputs_HERMES'!$N$54</f>
        <v>2681.763468952272</v>
      </c>
      <c r="AH22" s="114">
        <f>'From R Inputs_HERMES'!$N$48 + 'From R Inputs_HERMES'!$N$49*'From R Inputs_HERMES'!AH7 + 'From R Inputs_HERMES'!$N$50*'From R Inputs_HERMES'!AH8 - 'From R Inputs_HERMES'!$N$54</f>
        <v>3398.1990650459747</v>
      </c>
      <c r="AI22" s="114">
        <f>'From R Inputs_HERMES'!$N$48 + 'From R Inputs_HERMES'!$N$49*'From R Inputs_HERMES'!AI7 + 'From R Inputs_HERMES'!$N$50*'From R Inputs_HERMES'!AI8 - 'From R Inputs_HERMES'!$N$54</f>
        <v>3772.1168665917176</v>
      </c>
      <c r="AJ22" s="114">
        <f>'From R Inputs_HERMES'!$N$48 + 'From R Inputs_HERMES'!$N$49*'From R Inputs_HERMES'!AJ7 + 'From R Inputs_HERMES'!$N$50*'From R Inputs_HERMES'!AJ8 - 'From R Inputs_HERMES'!$N$54</f>
        <v>4091.0053732991664</v>
      </c>
      <c r="AK22" s="114">
        <f>'From R Inputs_HERMES'!$N$48 + 'From R Inputs_HERMES'!$N$49*'From R Inputs_HERMES'!AK7 + 'From R Inputs_HERMES'!$N$50*'From R Inputs_HERMES'!AK8 - 'From R Inputs_HERMES'!$N$54</f>
        <v>4429.6948657746789</v>
      </c>
      <c r="AL22" s="114">
        <f>'From R Inputs_HERMES'!$N$48 + 'From R Inputs_HERMES'!$N$49*'From R Inputs_HERMES'!AL7 + 'From R Inputs_HERMES'!$N$50*'From R Inputs_HERMES'!AL8 - 'From R Inputs_HERMES'!$N$54</f>
        <v>4803.0904917842099</v>
      </c>
      <c r="AM22" s="114">
        <f>'From R Inputs_HERMES'!$N$48 + 'From R Inputs_HERMES'!$N$49*'From R Inputs_HERMES'!AM7 + 'From R Inputs_HERMES'!$N$50*'From R Inputs_HERMES'!AM8 - 'From R Inputs_HERMES'!$N$54</f>
        <v>4934.9320330864894</v>
      </c>
      <c r="AN22" s="114">
        <f>'From R Inputs_HERMES'!$N$48 + 'From R Inputs_HERMES'!$N$49*'From R Inputs_HERMES'!AN7 + 'From R Inputs_HERMES'!$N$50*'From R Inputs_HERMES'!AN8 - 'From R Inputs_HERMES'!$N$54</f>
        <v>5066.579740107215</v>
      </c>
      <c r="AO22" s="114">
        <f>'From R Inputs_HERMES'!$N$48 + 'From R Inputs_HERMES'!$N$49*'From R Inputs_HERMES'!AO7 + 'From R Inputs_HERMES'!$N$50*'From R Inputs_HERMES'!AO8 - 'From R Inputs_HERMES'!$N$54</f>
        <v>5202.0609816069837</v>
      </c>
      <c r="AP22" s="114">
        <f>'From R Inputs_HERMES'!$N$48 + 'From R Inputs_HERMES'!$N$49*'From R Inputs_HERMES'!AP7 + 'From R Inputs_HERMES'!$N$50*'From R Inputs_HERMES'!AP8 - 'From R Inputs_HERMES'!$N$54</f>
        <v>5337.3447471392492</v>
      </c>
      <c r="AQ22" s="114">
        <f>'From R Inputs_HERMES'!$N$48 + 'From R Inputs_HERMES'!$N$49*'From R Inputs_HERMES'!AQ7 + 'From R Inputs_HERMES'!$N$50*'From R Inputs_HERMES'!AQ8 - 'From R Inputs_HERMES'!$N$54</f>
        <v>5476.4464949201474</v>
      </c>
      <c r="AR22" s="114">
        <f>'From R Inputs_HERMES'!$N$48 + 'From R Inputs_HERMES'!$N$49*'From R Inputs_HERMES'!AR7 + 'From R Inputs_HERMES'!$N$50*'From R Inputs_HERMES'!AR8 - 'From R Inputs_HERMES'!$N$54</f>
        <v>5615.3594098114754</v>
      </c>
      <c r="AS22" s="114">
        <f>'From R Inputs_HERMES'!$N$48 + 'From R Inputs_HERMES'!$N$49*'From R Inputs_HERMES'!AS7 + 'From R Inputs_HERMES'!$N$50*'From R Inputs_HERMES'!AS8 - 'From R Inputs_HERMES'!$N$54</f>
        <v>5756.7579185909954</v>
      </c>
      <c r="AT22" s="114">
        <f>'From R Inputs_HERMES'!$N$48 + 'From R Inputs_HERMES'!$N$49*'From R Inputs_HERMES'!AT7 + 'From R Inputs_HERMES'!$N$50*'From R Inputs_HERMES'!AT8 - 'From R Inputs_HERMES'!$N$54</f>
        <v>5900.6226851136826</v>
      </c>
      <c r="AU22" s="114">
        <f>'From R Inputs_HERMES'!$N$48 + 'From R Inputs_HERMES'!$N$49*'From R Inputs_HERMES'!AU7 + 'From R Inputs_HERMES'!$N$50*'From R Inputs_HERMES'!AU8 - 'From R Inputs_HERMES'!$N$54</f>
        <v>6045.6407937036411</v>
      </c>
      <c r="AV22" s="114">
        <f>'From R Inputs_HERMES'!$N$48 + 'From R Inputs_HERMES'!$N$49*'From R Inputs_HERMES'!AV7 + 'From R Inputs_HERMES'!$N$50*'From R Inputs_HERMES'!AV8 - 'From R Inputs_HERMES'!$N$54</f>
        <v>6193.1223521268575</v>
      </c>
      <c r="AW22" s="114">
        <f>'From R Inputs_HERMES'!$N$48 + 'From R Inputs_HERMES'!$N$49*'From R Inputs_HERMES'!AW7 + 'From R Inputs_HERMES'!$N$50*'From R Inputs_HERMES'!AW8 - 'From R Inputs_HERMES'!$N$54</f>
        <v>6341.754304375153</v>
      </c>
      <c r="AX22" s="114">
        <f>'From R Inputs_HERMES'!$N$48 + 'From R Inputs_HERMES'!$N$49*'From R Inputs_HERMES'!AX7 + 'From R Inputs_HERMES'!$N$50*'From R Inputs_HERMES'!AX8 - 'From R Inputs_HERMES'!$N$54</f>
        <v>6492.8471286411686</v>
      </c>
      <c r="AY22" s="114">
        <f>'From R Inputs_HERMES'!$N$48 + 'From R Inputs_HERMES'!$N$49*'From R Inputs_HERMES'!AY7 + 'From R Inputs_HERMES'!$N$50*'From R Inputs_HERMES'!AY8 - 'From R Inputs_HERMES'!$N$54</f>
        <v>6646.4171072624677</v>
      </c>
      <c r="AZ22" s="114">
        <f>'From R Inputs_HERMES'!$N$48 + 'From R Inputs_HERMES'!$N$49*'From R Inputs_HERMES'!AZ7 + 'From R Inputs_HERMES'!$N$50*'From R Inputs_HERMES'!AZ8 - 'From R Inputs_HERMES'!$N$54</f>
        <v>6801.1276994337159</v>
      </c>
      <c r="BA22" s="114">
        <f>'From R Inputs_HERMES'!$N$48 + 'From R Inputs_HERMES'!$N$49*'From R Inputs_HERMES'!BA7 + 'From R Inputs_HERMES'!$N$50*'From R Inputs_HERMES'!BA8 - 'From R Inputs_HERMES'!$N$54</f>
        <v>6958.2900059930516</v>
      </c>
      <c r="BB22" s="114">
        <f>'From R Inputs_HERMES'!$N$48 + 'From R Inputs_HERMES'!$N$49*'From R Inputs_HERMES'!BB7 + 'From R Inputs_HERMES'!$N$50*'From R Inputs_HERMES'!BB8 - 'From R Inputs_HERMES'!$N$54</f>
        <v>7116.5906915319802</v>
      </c>
      <c r="BC22" s="114">
        <f>'From R Inputs_HERMES'!$N$48 + 'From R Inputs_HERMES'!$N$49*'From R Inputs_HERMES'!BC7 + 'From R Inputs_HERMES'!$N$50*'From R Inputs_HERMES'!BC8 - 'From R Inputs_HERMES'!$N$54</f>
        <v>7277.3525853804085</v>
      </c>
      <c r="BD22" s="114">
        <f>'From R Inputs_HERMES'!$N$48 + 'From R Inputs_HERMES'!$N$49*'From R Inputs_HERMES'!BD7 + 'From R Inputs_HERMES'!$N$50*'From R Inputs_HERMES'!BD8 - 'From R Inputs_HERMES'!$N$54</f>
        <v>7440.5917859268202</v>
      </c>
      <c r="BE22" s="114">
        <f>'From R Inputs_HERMES'!$N$48 + 'From R Inputs_HERMES'!$N$49*'From R Inputs_HERMES'!BE7 + 'From R Inputs_HERMES'!$N$50*'From R Inputs_HERMES'!BE8 - 'From R Inputs_HERMES'!$N$54</f>
        <v>7604.9380018197708</v>
      </c>
      <c r="BF22" s="114">
        <f>'From R Inputs_HERMES'!$N$48 + 'From R Inputs_HERMES'!$N$49*'From R Inputs_HERMES'!BF7 + 'From R Inputs_HERMES'!$N$50*'From R Inputs_HERMES'!BF8 - 'From R Inputs_HERMES'!$N$54</f>
        <v>7773.0895346567731</v>
      </c>
    </row>
    <row r="23" spans="1:58" s="114" customFormat="1" ht="16">
      <c r="A23" s="138"/>
      <c r="B23" s="113" t="s">
        <v>28</v>
      </c>
      <c r="C23" s="114">
        <f>'From R Inputs_HERMES'!$X$48 + 'From R Inputs_HERMES'!$X$49*'From R Inputs_HERMES'!C9 + 'From R Inputs_HERMES'!$X$50*'From R Inputs_HERMES'!C10 - 'From R Inputs_HERMES'!$X$54</f>
        <v>1053.8458651120927</v>
      </c>
      <c r="D23" s="114">
        <f>'From R Inputs_HERMES'!$X$48 + 'From R Inputs_HERMES'!$X$49*'From R Inputs_HERMES'!D9 + 'From R Inputs_HERMES'!$X$50*'From R Inputs_HERMES'!D10 - 'From R Inputs_HERMES'!$X$54</f>
        <v>1369.0879310205823</v>
      </c>
      <c r="E23" s="114">
        <f>'From R Inputs_HERMES'!$X$48 + 'From R Inputs_HERMES'!$X$49*'From R Inputs_HERMES'!E9 + 'From R Inputs_HERMES'!$X$50*'From R Inputs_HERMES'!E10 - 'From R Inputs_HERMES'!$X$54</f>
        <v>1889.6903025919592</v>
      </c>
      <c r="F23" s="114">
        <f>'From R Inputs_HERMES'!$X$48 + 'From R Inputs_HERMES'!$X$49*'From R Inputs_HERMES'!F9 + 'From R Inputs_HERMES'!$X$50*'From R Inputs_HERMES'!F10 - 'From R Inputs_HERMES'!$X$54</f>
        <v>2058.6390038540562</v>
      </c>
      <c r="G23" s="114">
        <f>'From R Inputs_HERMES'!$X$48 + 'From R Inputs_HERMES'!$X$49*'From R Inputs_HERMES'!G9 + 'From R Inputs_HERMES'!$X$50*'From R Inputs_HERMES'!G10 - 'From R Inputs_HERMES'!$X$54</f>
        <v>2478.4621516912116</v>
      </c>
      <c r="H23" s="114">
        <f>'From R Inputs_HERMES'!$X$48 + 'From R Inputs_HERMES'!$X$49*'From R Inputs_HERMES'!H9 + 'From R Inputs_HERMES'!$X$50*'From R Inputs_HERMES'!H10 - 'From R Inputs_HERMES'!$X$54</f>
        <v>2999.9921565423178</v>
      </c>
      <c r="I23" s="114">
        <f>'From R Inputs_HERMES'!$X$48 + 'From R Inputs_HERMES'!$X$49*'From R Inputs_HERMES'!I9 + 'From R Inputs_HERMES'!$X$50*'From R Inputs_HERMES'!I10 - 'From R Inputs_HERMES'!$X$54</f>
        <v>3216.7682090654939</v>
      </c>
      <c r="J23" s="114">
        <f>'From R Inputs_HERMES'!$X$48 + 'From R Inputs_HERMES'!$X$49*'From R Inputs_HERMES'!J9 + 'From R Inputs_HERMES'!$X$50*'From R Inputs_HERMES'!J10 - 'From R Inputs_HERMES'!$X$54</f>
        <v>3458.9482232989512</v>
      </c>
      <c r="K23" s="114">
        <f>'From R Inputs_HERMES'!$X$48 + 'From R Inputs_HERMES'!$X$49*'From R Inputs_HERMES'!K9 + 'From R Inputs_HERMES'!$X$50*'From R Inputs_HERMES'!K10 - 'From R Inputs_HERMES'!$X$54</f>
        <v>3598.4252302044533</v>
      </c>
      <c r="L23" s="114">
        <f>'From R Inputs_HERMES'!$X$48 + 'From R Inputs_HERMES'!$X$49*'From R Inputs_HERMES'!L9 + 'From R Inputs_HERMES'!$X$50*'From R Inputs_HERMES'!L10 - 'From R Inputs_HERMES'!$X$54</f>
        <v>3773.3677574397016</v>
      </c>
      <c r="M23" s="114">
        <f>'From R Inputs_HERMES'!$X$48 + 'From R Inputs_HERMES'!$X$49*'From R Inputs_HERMES'!M9 + 'From R Inputs_HERMES'!$X$50*'From R Inputs_HERMES'!M10 - 'From R Inputs_HERMES'!$X$54</f>
        <v>4024.7585672807736</v>
      </c>
      <c r="N23" s="114">
        <f>'From R Inputs_HERMES'!$X$48 + 'From R Inputs_HERMES'!$X$49*'From R Inputs_HERMES'!N9 + 'From R Inputs_HERMES'!$X$50*'From R Inputs_HERMES'!N10 - 'From R Inputs_HERMES'!$X$54</f>
        <v>4188.7726425262908</v>
      </c>
      <c r="O23" s="114">
        <f>'From R Inputs_HERMES'!$X$48 + 'From R Inputs_HERMES'!$X$49*'From R Inputs_HERMES'!O9 + 'From R Inputs_HERMES'!$X$50*'From R Inputs_HERMES'!O10 - 'From R Inputs_HERMES'!$X$54</f>
        <v>4268.4211730138059</v>
      </c>
      <c r="P23" s="114">
        <f>'From R Inputs_HERMES'!$X$48 + 'From R Inputs_HERMES'!$X$49*'From R Inputs_HERMES'!P9 + 'From R Inputs_HERMES'!$X$50*'From R Inputs_HERMES'!P10 - 'From R Inputs_HERMES'!$X$54</f>
        <v>3636.7684462313518</v>
      </c>
      <c r="Q23" s="114">
        <f>'From R Inputs_HERMES'!$X$48 + 'From R Inputs_HERMES'!$X$49*'From R Inputs_HERMES'!Q9 + 'From R Inputs_HERMES'!$X$50*'From R Inputs_HERMES'!Q10 - 'From R Inputs_HERMES'!$X$54</f>
        <v>3277.8746410365538</v>
      </c>
      <c r="R23" s="114">
        <f>'From R Inputs_HERMES'!$X$48 + 'From R Inputs_HERMES'!$X$49*'From R Inputs_HERMES'!R9 + 'From R Inputs_HERMES'!$X$50*'From R Inputs_HERMES'!R10 - 'From R Inputs_HERMES'!$X$54</f>
        <v>3482.6730920689251</v>
      </c>
      <c r="S23" s="114">
        <f>'From R Inputs_HERMES'!$X$48 + 'From R Inputs_HERMES'!$X$49*'From R Inputs_HERMES'!S9 + 'From R Inputs_HERMES'!$X$50*'From R Inputs_HERMES'!S10 - 'From R Inputs_HERMES'!$X$54</f>
        <v>3412.55141388624</v>
      </c>
      <c r="T23" s="114">
        <f>'From R Inputs_HERMES'!$X$48 + 'From R Inputs_HERMES'!$X$49*'From R Inputs_HERMES'!T9 + 'From R Inputs_HERMES'!$X$50*'From R Inputs_HERMES'!T10 - 'From R Inputs_HERMES'!$X$54</f>
        <v>3407.9297412798551</v>
      </c>
      <c r="U23" s="114">
        <f>'From R Inputs_HERMES'!$X$48 + 'From R Inputs_HERMES'!$X$49*'From R Inputs_HERMES'!U9 + 'From R Inputs_HERMES'!$X$50*'From R Inputs_HERMES'!U10 - 'From R Inputs_HERMES'!$X$54</f>
        <v>3496.8047571570341</v>
      </c>
      <c r="V23" s="114">
        <f>'From R Inputs_HERMES'!$X$48 + 'From R Inputs_HERMES'!$X$49*'From R Inputs_HERMES'!V9 + 'From R Inputs_HERMES'!$X$50*'From R Inputs_HERMES'!V10 - 'From R Inputs_HERMES'!$X$54</f>
        <v>3618.6808206266469</v>
      </c>
      <c r="W23" s="114">
        <f>'From R Inputs_HERMES'!$X$48 + 'From R Inputs_HERMES'!$X$49*'From R Inputs_HERMES'!W9 + 'From R Inputs_HERMES'!$X$50*'From R Inputs_HERMES'!W10 - 'From R Inputs_HERMES'!$X$54</f>
        <v>3802.0842994604218</v>
      </c>
      <c r="X23" s="114">
        <f>'From R Inputs_HERMES'!$X$48 + 'From R Inputs_HERMES'!$X$49*'From R Inputs_HERMES'!X9 + 'From R Inputs_HERMES'!$X$50*'From R Inputs_HERMES'!X10 - 'From R Inputs_HERMES'!$X$54</f>
        <v>3966.1819728382925</v>
      </c>
      <c r="Y23" s="114">
        <f>'From R Inputs_HERMES'!$X$48 + 'From R Inputs_HERMES'!$X$49*'From R Inputs_HERMES'!Y9 + 'From R Inputs_HERMES'!$X$50*'From R Inputs_HERMES'!Y10 - 'From R Inputs_HERMES'!$X$54</f>
        <v>4137.7324042005157</v>
      </c>
      <c r="Z23" s="114">
        <f>'From R Inputs_HERMES'!$X$48 + 'From R Inputs_HERMES'!$X$49*'From R Inputs_HERMES'!Z9 + 'From R Inputs_HERMES'!$X$50*'From R Inputs_HERMES'!Z10 - 'From R Inputs_HERMES'!$X$54</f>
        <v>4290.2767362088907</v>
      </c>
      <c r="AA23" s="114">
        <f>'From R Inputs_HERMES'!$X$48 + 'From R Inputs_HERMES'!$X$49*'From R Inputs_HERMES'!AA9 + 'From R Inputs_HERMES'!$X$50*'From R Inputs_HERMES'!AA10 - 'From R Inputs_HERMES'!$X$54</f>
        <v>4476</v>
      </c>
      <c r="AB23" s="114">
        <f>'From R Inputs_HERMES'!$X$48 + 'From R Inputs_HERMES'!$X$49*'From R Inputs_HERMES'!AB9 + 'From R Inputs_HERMES'!$X$50*'From R Inputs_HERMES'!AB10 - 'From R Inputs_HERMES'!$X$54</f>
        <v>4696.4124425867212</v>
      </c>
      <c r="AC23" s="114">
        <f>'From R Inputs_HERMES'!$X$48 + 'From R Inputs_HERMES'!$X$49*'From R Inputs_HERMES'!AC9 + 'From R Inputs_HERMES'!$X$50*'From R Inputs_HERMES'!AC10 - 'From R Inputs_HERMES'!$X$54</f>
        <v>4868.9659912436609</v>
      </c>
      <c r="AD23" s="114">
        <f>'From R Inputs_HERMES'!$X$48 + 'From R Inputs_HERMES'!$X$49*'From R Inputs_HERMES'!AD9 + 'From R Inputs_HERMES'!$X$50*'From R Inputs_HERMES'!AD10 - 'From R Inputs_HERMES'!$X$54</f>
        <v>4992.4171345205696</v>
      </c>
      <c r="AE23" s="114">
        <f>'From R Inputs_HERMES'!$X$48 + 'From R Inputs_HERMES'!$X$49*'From R Inputs_HERMES'!AE9 + 'From R Inputs_HERMES'!$X$50*'From R Inputs_HERMES'!AE10 - 'From R Inputs_HERMES'!$X$54</f>
        <v>5094.9790146780024</v>
      </c>
      <c r="AF23" s="114">
        <f>'From R Inputs_HERMES'!$X$48 + 'From R Inputs_HERMES'!$X$49*'From R Inputs_HERMES'!AF9 + 'From R Inputs_HERMES'!$X$50*'From R Inputs_HERMES'!AF10 - 'From R Inputs_HERMES'!$X$54</f>
        <v>5196.8241906995372</v>
      </c>
      <c r="AG23" s="114">
        <f>'From R Inputs_HERMES'!$X$48 + 'From R Inputs_HERMES'!$X$49*'From R Inputs_HERMES'!AG9 + 'From R Inputs_HERMES'!$X$50*'From R Inputs_HERMES'!AG10 - 'From R Inputs_HERMES'!$X$54</f>
        <v>5329.9605252315896</v>
      </c>
      <c r="AH23" s="114">
        <f>'From R Inputs_HERMES'!$X$48 + 'From R Inputs_HERMES'!$X$49*'From R Inputs_HERMES'!AH9 + 'From R Inputs_HERMES'!$X$50*'From R Inputs_HERMES'!AH10 - 'From R Inputs_HERMES'!$X$54</f>
        <v>5401.2626206841505</v>
      </c>
      <c r="AI23" s="114">
        <f>'From R Inputs_HERMES'!$X$48 + 'From R Inputs_HERMES'!$X$49*'From R Inputs_HERMES'!AI9 + 'From R Inputs_HERMES'!$X$50*'From R Inputs_HERMES'!AI10 - 'From R Inputs_HERMES'!$X$54</f>
        <v>5479.4820134195434</v>
      </c>
      <c r="AJ23" s="114">
        <f>'From R Inputs_HERMES'!$X$48 + 'From R Inputs_HERMES'!$X$49*'From R Inputs_HERMES'!AJ9 + 'From R Inputs_HERMES'!$X$50*'From R Inputs_HERMES'!AJ10 - 'From R Inputs_HERMES'!$X$54</f>
        <v>5581.8431515977982</v>
      </c>
      <c r="AK23" s="114">
        <f>'From R Inputs_HERMES'!$X$48 + 'From R Inputs_HERMES'!$X$49*'From R Inputs_HERMES'!AK9 + 'From R Inputs_HERMES'!$X$50*'From R Inputs_HERMES'!AK10 - 'From R Inputs_HERMES'!$X$54</f>
        <v>5705.130720113114</v>
      </c>
      <c r="AL23" s="114">
        <f>'From R Inputs_HERMES'!$X$48 + 'From R Inputs_HERMES'!$X$49*'From R Inputs_HERMES'!AL9 + 'From R Inputs_HERMES'!$X$50*'From R Inputs_HERMES'!AL10 - 'From R Inputs_HERMES'!$X$54</f>
        <v>5840.973338513335</v>
      </c>
      <c r="AM23" s="114">
        <f>'From R Inputs_HERMES'!$X$48 + 'From R Inputs_HERMES'!$X$49*'From R Inputs_HERMES'!AM9 + 'From R Inputs_HERMES'!$X$50*'From R Inputs_HERMES'!AM10 - 'From R Inputs_HERMES'!$X$54</f>
        <v>5883.3351067432422</v>
      </c>
      <c r="AN23" s="114">
        <f>'From R Inputs_HERMES'!$X$48 + 'From R Inputs_HERMES'!$X$49*'From R Inputs_HERMES'!AN9 + 'From R Inputs_HERMES'!$X$50*'From R Inputs_HERMES'!AN10 - 'From R Inputs_HERMES'!$X$54</f>
        <v>5925.5890598398937</v>
      </c>
      <c r="AO23" s="114">
        <f>'From R Inputs_HERMES'!$X$48 + 'From R Inputs_HERMES'!$X$49*'From R Inputs_HERMES'!AO9 + 'From R Inputs_HERMES'!$X$50*'From R Inputs_HERMES'!AO10 - 'From R Inputs_HERMES'!$X$54</f>
        <v>5967.7145567096422</v>
      </c>
      <c r="AP23" s="114">
        <f>'From R Inputs_HERMES'!$X$48 + 'From R Inputs_HERMES'!$X$49*'From R Inputs_HERMES'!AP9 + 'From R Inputs_HERMES'!$X$50*'From R Inputs_HERMES'!AP10 - 'From R Inputs_HERMES'!$X$54</f>
        <v>6009.7500611890173</v>
      </c>
      <c r="AQ23" s="114">
        <f>'From R Inputs_HERMES'!$X$48 + 'From R Inputs_HERMES'!$X$49*'From R Inputs_HERMES'!AQ9 + 'From R Inputs_HERMES'!$X$50*'From R Inputs_HERMES'!AQ10 - 'From R Inputs_HERMES'!$X$54</f>
        <v>6051.7332234743153</v>
      </c>
      <c r="AR23" s="114">
        <f>'From R Inputs_HERMES'!$X$48 + 'From R Inputs_HERMES'!$X$49*'From R Inputs_HERMES'!AR9 + 'From R Inputs_HERMES'!$X$50*'From R Inputs_HERMES'!AR10 - 'From R Inputs_HERMES'!$X$54</f>
        <v>6094.1123222433598</v>
      </c>
      <c r="AS23" s="114">
        <f>'From R Inputs_HERMES'!$X$48 + 'From R Inputs_HERMES'!$X$49*'From R Inputs_HERMES'!AS9 + 'From R Inputs_HERMES'!$X$50*'From R Inputs_HERMES'!AS10 - 'From R Inputs_HERMES'!$X$54</f>
        <v>6135.8684571115191</v>
      </c>
      <c r="AT23" s="114">
        <f>'From R Inputs_HERMES'!$X$48 + 'From R Inputs_HERMES'!$X$49*'From R Inputs_HERMES'!AT9 + 'From R Inputs_HERMES'!$X$50*'From R Inputs_HERMES'!AT10 - 'From R Inputs_HERMES'!$X$54</f>
        <v>6178.1527187048041</v>
      </c>
      <c r="AU23" s="114">
        <f>'From R Inputs_HERMES'!$X$48 + 'From R Inputs_HERMES'!$X$49*'From R Inputs_HERMES'!AU9 + 'From R Inputs_HERMES'!$X$50*'From R Inputs_HERMES'!AU10 - 'From R Inputs_HERMES'!$X$54</f>
        <v>6220.2991842238052</v>
      </c>
      <c r="AV23" s="114">
        <f>'From R Inputs_HERMES'!$X$48 + 'From R Inputs_HERMES'!$X$49*'From R Inputs_HERMES'!AV9 + 'From R Inputs_HERMES'!$X$50*'From R Inputs_HERMES'!AV10 - 'From R Inputs_HERMES'!$X$54</f>
        <v>6261.9310608646401</v>
      </c>
      <c r="AW23" s="114">
        <f>'From R Inputs_HERMES'!$X$48 + 'From R Inputs_HERMES'!$X$49*'From R Inputs_HERMES'!AW9 + 'From R Inputs_HERMES'!$X$50*'From R Inputs_HERMES'!AW10 - 'From R Inputs_HERMES'!$X$54</f>
        <v>6303.9677992822617</v>
      </c>
      <c r="AX23" s="114">
        <f>'From R Inputs_HERMES'!$X$48 + 'From R Inputs_HERMES'!$X$49*'From R Inputs_HERMES'!AX9 + 'From R Inputs_HERMES'!$X$50*'From R Inputs_HERMES'!AX10 - 'From R Inputs_HERMES'!$X$54</f>
        <v>6345.5025648858536</v>
      </c>
      <c r="AY23" s="114">
        <f>'From R Inputs_HERMES'!$X$48 + 'From R Inputs_HERMES'!$X$49*'From R Inputs_HERMES'!AY9 + 'From R Inputs_HERMES'!$X$50*'From R Inputs_HERMES'!AY10 - 'From R Inputs_HERMES'!$X$54</f>
        <v>6386.983899316805</v>
      </c>
      <c r="AZ23" s="114">
        <f>'From R Inputs_HERMES'!$X$48 + 'From R Inputs_HERMES'!$X$49*'From R Inputs_HERMES'!AZ9 + 'From R Inputs_HERMES'!$X$50*'From R Inputs_HERMES'!AZ10 - 'From R Inputs_HERMES'!$X$54</f>
        <v>6428.3897321971081</v>
      </c>
      <c r="BA23" s="114">
        <f>'From R Inputs_HERMES'!$X$48 + 'From R Inputs_HERMES'!$X$49*'From R Inputs_HERMES'!BA9 + 'From R Inputs_HERMES'!$X$50*'From R Inputs_HERMES'!BA10 - 'From R Inputs_HERMES'!$X$54</f>
        <v>6470.3948683075705</v>
      </c>
      <c r="BB23" s="114">
        <f>'From R Inputs_HERMES'!$X$48 + 'From R Inputs_HERMES'!$X$49*'From R Inputs_HERMES'!BB9 + 'From R Inputs_HERMES'!$X$50*'From R Inputs_HERMES'!BB10 - 'From R Inputs_HERMES'!$X$54</f>
        <v>6511.2789812880837</v>
      </c>
      <c r="BC23" s="114">
        <f>'From R Inputs_HERMES'!$X$48 + 'From R Inputs_HERMES'!$X$49*'From R Inputs_HERMES'!BC9 + 'From R Inputs_HERMES'!$X$50*'From R Inputs_HERMES'!BC10 - 'From R Inputs_HERMES'!$X$54</f>
        <v>6552.7159333822174</v>
      </c>
      <c r="BD23" s="114">
        <f>'From R Inputs_HERMES'!$X$48 + 'From R Inputs_HERMES'!$X$49*'From R Inputs_HERMES'!BD9 + 'From R Inputs_HERMES'!$X$50*'From R Inputs_HERMES'!BD10 - 'From R Inputs_HERMES'!$X$54</f>
        <v>6594.0987087246422</v>
      </c>
      <c r="BE23" s="114">
        <f>'From R Inputs_HERMES'!$X$48 + 'From R Inputs_HERMES'!$X$49*'From R Inputs_HERMES'!BE9 + 'From R Inputs_HERMES'!$X$50*'From R Inputs_HERMES'!BE10 - 'From R Inputs_HERMES'!$X$54</f>
        <v>6635.0421863004276</v>
      </c>
      <c r="BF23" s="114">
        <f>'From R Inputs_HERMES'!$X$48 + 'From R Inputs_HERMES'!$X$49*'From R Inputs_HERMES'!BF9 + 'From R Inputs_HERMES'!$X$50*'From R Inputs_HERMES'!BF10 - 'From R Inputs_HERMES'!$X$54</f>
        <v>6675.9953068368677</v>
      </c>
    </row>
    <row r="24" spans="1:58" s="114" customFormat="1" ht="16">
      <c r="A24" s="138"/>
      <c r="B24" s="113" t="s">
        <v>29</v>
      </c>
      <c r="C24" s="114">
        <f t="shared" ref="C24:AH24" si="3">SUM(C21:C23)</f>
        <v>2334.162294358478</v>
      </c>
      <c r="D24" s="114">
        <f t="shared" si="3"/>
        <v>3580.6061746633286</v>
      </c>
      <c r="E24" s="114">
        <f t="shared" si="3"/>
        <v>4899.1331032250582</v>
      </c>
      <c r="F24" s="114">
        <f t="shared" si="3"/>
        <v>6133.057776724364</v>
      </c>
      <c r="G24" s="114">
        <f t="shared" si="3"/>
        <v>7378.4115167641285</v>
      </c>
      <c r="H24" s="114">
        <f t="shared" si="3"/>
        <v>8582.6897943630302</v>
      </c>
      <c r="I24" s="114">
        <f t="shared" si="3"/>
        <v>9112.4082722374187</v>
      </c>
      <c r="J24" s="114">
        <f t="shared" si="3"/>
        <v>10087.58936662463</v>
      </c>
      <c r="K24" s="114">
        <f t="shared" si="3"/>
        <v>11218.185558081323</v>
      </c>
      <c r="L24" s="114">
        <f t="shared" si="3"/>
        <v>12604.552621945182</v>
      </c>
      <c r="M24" s="114">
        <f t="shared" si="3"/>
        <v>12882.196485354631</v>
      </c>
      <c r="N24" s="114">
        <f t="shared" si="3"/>
        <v>13834.830156442305</v>
      </c>
      <c r="O24" s="114">
        <f t="shared" si="3"/>
        <v>14109.510383667195</v>
      </c>
      <c r="P24" s="114">
        <f t="shared" si="3"/>
        <v>12433.386486180554</v>
      </c>
      <c r="Q24" s="114">
        <f t="shared" si="3"/>
        <v>8560.205481294819</v>
      </c>
      <c r="R24" s="114">
        <f t="shared" si="3"/>
        <v>6209.9893196696648</v>
      </c>
      <c r="S24" s="114">
        <f t="shared" si="3"/>
        <v>4910.2974501363215</v>
      </c>
      <c r="T24" s="114">
        <f t="shared" si="3"/>
        <v>4808.6046095474821</v>
      </c>
      <c r="U24" s="114">
        <f t="shared" si="3"/>
        <v>5018.766762711145</v>
      </c>
      <c r="V24" s="114">
        <f t="shared" si="3"/>
        <v>5486.7778942255472</v>
      </c>
      <c r="W24" s="114">
        <f t="shared" si="3"/>
        <v>6635.1898619717695</v>
      </c>
      <c r="X24" s="114">
        <f t="shared" si="3"/>
        <v>8747.9564506921251</v>
      </c>
      <c r="Y24" s="114">
        <f t="shared" si="3"/>
        <v>10313.309799371269</v>
      </c>
      <c r="Z24" s="114">
        <f t="shared" si="3"/>
        <v>10763.153960488458</v>
      </c>
      <c r="AA24" s="114">
        <f t="shared" si="3"/>
        <v>11223</v>
      </c>
      <c r="AB24" s="114">
        <f t="shared" si="3"/>
        <v>11845.870552200886</v>
      </c>
      <c r="AC24" s="114">
        <f t="shared" si="3"/>
        <v>12981.721599236538</v>
      </c>
      <c r="AD24" s="114">
        <f t="shared" si="3"/>
        <v>13387.540822720264</v>
      </c>
      <c r="AE24" s="114">
        <f t="shared" si="3"/>
        <v>13635.072293063182</v>
      </c>
      <c r="AF24" s="114">
        <f t="shared" si="3"/>
        <v>13809.666460626604</v>
      </c>
      <c r="AG24" s="114">
        <f t="shared" si="3"/>
        <v>14068.355512603412</v>
      </c>
      <c r="AH24" s="114">
        <f t="shared" si="3"/>
        <v>14943.309238476439</v>
      </c>
      <c r="AI24" s="114">
        <f t="shared" ref="AI24:BF24" si="4">SUM(AI21:AI23)</f>
        <v>15484.806962691993</v>
      </c>
      <c r="AJ24" s="114">
        <f t="shared" si="4"/>
        <v>16007.6157853451</v>
      </c>
      <c r="AK24" s="114">
        <f t="shared" si="4"/>
        <v>16588.785416242583</v>
      </c>
      <c r="AL24" s="114">
        <f t="shared" si="4"/>
        <v>17229.334889579332</v>
      </c>
      <c r="AM24" s="114">
        <f t="shared" si="4"/>
        <v>17457.324589874414</v>
      </c>
      <c r="AN24" s="114">
        <f t="shared" si="4"/>
        <v>17685.17759462383</v>
      </c>
      <c r="AO24" s="114">
        <f t="shared" si="4"/>
        <v>17917.324443723781</v>
      </c>
      <c r="AP24" s="114">
        <f t="shared" si="4"/>
        <v>18149.360085888165</v>
      </c>
      <c r="AQ24" s="114">
        <f t="shared" si="4"/>
        <v>18385.361516514662</v>
      </c>
      <c r="AR24" s="114">
        <f t="shared" si="4"/>
        <v>18622.156382991361</v>
      </c>
      <c r="AS24" s="114">
        <f t="shared" si="4"/>
        <v>18860.987131941896</v>
      </c>
      <c r="AT24" s="114">
        <f t="shared" si="4"/>
        <v>19103.045557205667</v>
      </c>
      <c r="AU24" s="114">
        <f t="shared" si="4"/>
        <v>19346.702368939747</v>
      </c>
      <c r="AV24" s="114">
        <f t="shared" si="4"/>
        <v>19592.550052125334</v>
      </c>
      <c r="AW24" s="114">
        <f t="shared" si="4"/>
        <v>19840.108077906432</v>
      </c>
      <c r="AX24" s="114">
        <f t="shared" si="4"/>
        <v>20089.875017588609</v>
      </c>
      <c r="AY24" s="114">
        <f t="shared" si="4"/>
        <v>20342.702045835256</v>
      </c>
      <c r="AZ24" s="114">
        <f t="shared" si="4"/>
        <v>20596.779641146804</v>
      </c>
      <c r="BA24" s="114">
        <f t="shared" si="4"/>
        <v>20854.186703511485</v>
      </c>
      <c r="BB24" s="114">
        <f t="shared" si="4"/>
        <v>21111.803515204967</v>
      </c>
      <c r="BC24" s="114">
        <f t="shared" si="4"/>
        <v>21372.683344822068</v>
      </c>
      <c r="BD24" s="114">
        <f t="shared" si="4"/>
        <v>21636.622196738223</v>
      </c>
      <c r="BE24" s="114">
        <f t="shared" si="4"/>
        <v>21901.518544812865</v>
      </c>
      <c r="BF24" s="114">
        <f t="shared" si="4"/>
        <v>22170.469327381899</v>
      </c>
    </row>
    <row r="25" spans="1:58">
      <c r="B25" s="15"/>
      <c r="C25" s="1"/>
      <c r="D25" s="1"/>
    </row>
    <row r="26" spans="1:58">
      <c r="B26" s="15"/>
      <c r="C26" s="1"/>
      <c r="D26" s="1"/>
    </row>
    <row r="27" spans="1:58">
      <c r="B27" s="15"/>
      <c r="C27" s="1"/>
      <c r="D27" s="1"/>
    </row>
    <row r="28" spans="1:58">
      <c r="B28" s="15"/>
      <c r="C28" s="1"/>
      <c r="D28" s="1"/>
    </row>
    <row r="29" spans="1:58" s="30" customFormat="1">
      <c r="A29" s="118"/>
      <c r="B29" s="119"/>
      <c r="C29" s="29"/>
      <c r="D29" s="29"/>
    </row>
    <row r="30" spans="1:58" s="30" customFormat="1" ht="24">
      <c r="A30" s="118"/>
      <c r="B30" s="119"/>
      <c r="C30" s="120" t="s">
        <v>30</v>
      </c>
    </row>
    <row r="31" spans="1:58" s="30" customFormat="1">
      <c r="A31" s="118"/>
      <c r="B31" s="119"/>
      <c r="C31" s="121" t="s">
        <v>31</v>
      </c>
      <c r="M31" s="121" t="s">
        <v>32</v>
      </c>
      <c r="W31" s="121" t="s">
        <v>33</v>
      </c>
    </row>
    <row r="32" spans="1:58" s="30" customFormat="1">
      <c r="A32" s="118"/>
      <c r="B32" s="119"/>
      <c r="C32" s="30" t="s">
        <v>34</v>
      </c>
      <c r="M32" s="30" t="s">
        <v>34</v>
      </c>
      <c r="W32" s="30" t="s">
        <v>34</v>
      </c>
    </row>
    <row r="33" spans="1:33" s="30" customFormat="1" ht="20" thickBot="1">
      <c r="A33" s="118"/>
      <c r="B33" s="119"/>
    </row>
    <row r="34" spans="1:33" s="30" customFormat="1">
      <c r="A34" s="118"/>
      <c r="B34" s="119"/>
      <c r="C34" s="122" t="s">
        <v>35</v>
      </c>
      <c r="D34" s="122"/>
      <c r="M34" s="122" t="s">
        <v>35</v>
      </c>
      <c r="N34" s="122"/>
      <c r="W34" s="122" t="s">
        <v>35</v>
      </c>
      <c r="X34" s="122"/>
      <c r="AG34" s="30" t="s">
        <v>36</v>
      </c>
    </row>
    <row r="35" spans="1:33" s="30" customFormat="1">
      <c r="A35" s="118"/>
      <c r="B35" s="119"/>
      <c r="C35" s="30" t="s">
        <v>37</v>
      </c>
      <c r="D35" s="30">
        <v>0.93140225550080413</v>
      </c>
      <c r="M35" s="30" t="s">
        <v>37</v>
      </c>
      <c r="N35" s="30">
        <v>0.8943389092059808</v>
      </c>
      <c r="W35" s="30" t="s">
        <v>37</v>
      </c>
      <c r="X35" s="30">
        <v>0.9374445532195691</v>
      </c>
      <c r="AG35" s="30">
        <f>AVERAGE(D36,N36,X36)</f>
        <v>0.84871817881092204</v>
      </c>
    </row>
    <row r="36" spans="1:33" s="30" customFormat="1">
      <c r="A36" s="118"/>
      <c r="B36" s="119"/>
      <c r="C36" s="30" t="s">
        <v>38</v>
      </c>
      <c r="D36" s="30">
        <v>0.86751016155198524</v>
      </c>
      <c r="M36" s="30" t="s">
        <v>38</v>
      </c>
      <c r="N36" s="30">
        <v>0.79984208451974359</v>
      </c>
      <c r="W36" s="30" t="s">
        <v>38</v>
      </c>
      <c r="X36" s="30">
        <v>0.87880229036103752</v>
      </c>
    </row>
    <row r="37" spans="1:33" s="30" customFormat="1">
      <c r="A37" s="118"/>
      <c r="B37" s="119"/>
      <c r="C37" s="30" t="s">
        <v>39</v>
      </c>
      <c r="D37" s="30">
        <v>0.85546563078398385</v>
      </c>
      <c r="M37" s="30" t="s">
        <v>39</v>
      </c>
      <c r="N37" s="30">
        <v>0.78164591038517484</v>
      </c>
      <c r="W37" s="30" t="s">
        <v>39</v>
      </c>
      <c r="X37" s="30">
        <v>0.86778431675749534</v>
      </c>
    </row>
    <row r="38" spans="1:33" s="30" customFormat="1">
      <c r="A38" s="118"/>
      <c r="B38" s="123"/>
      <c r="C38" s="30" t="s">
        <v>40</v>
      </c>
      <c r="D38" s="30">
        <v>384.49965213900145</v>
      </c>
      <c r="M38" s="30" t="s">
        <v>40</v>
      </c>
      <c r="N38" s="30">
        <v>1234.2254062896518</v>
      </c>
      <c r="W38" s="30" t="s">
        <v>40</v>
      </c>
      <c r="X38" s="30">
        <v>351.49546699585682</v>
      </c>
    </row>
    <row r="39" spans="1:33" s="30" customFormat="1" ht="20" thickBot="1">
      <c r="A39" s="118"/>
      <c r="B39" s="121"/>
      <c r="C39" s="124" t="s">
        <v>41</v>
      </c>
      <c r="D39" s="124">
        <v>25</v>
      </c>
      <c r="M39" s="124" t="s">
        <v>41</v>
      </c>
      <c r="N39" s="124">
        <v>25</v>
      </c>
      <c r="W39" s="124" t="s">
        <v>41</v>
      </c>
      <c r="X39" s="124">
        <v>25</v>
      </c>
    </row>
    <row r="40" spans="1:33" s="30" customFormat="1">
      <c r="A40" s="118"/>
      <c r="B40" s="121"/>
    </row>
    <row r="41" spans="1:33" s="30" customFormat="1" ht="20" thickBot="1">
      <c r="A41" s="118"/>
      <c r="B41" s="121"/>
      <c r="C41" s="30" t="s">
        <v>42</v>
      </c>
      <c r="M41" s="30" t="s">
        <v>42</v>
      </c>
      <c r="W41" s="30" t="s">
        <v>42</v>
      </c>
    </row>
    <row r="42" spans="1:33" s="30" customFormat="1">
      <c r="A42" s="118"/>
      <c r="B42" s="121"/>
      <c r="C42" s="125"/>
      <c r="D42" s="125" t="s">
        <v>43</v>
      </c>
      <c r="E42" s="125" t="s">
        <v>44</v>
      </c>
      <c r="F42" s="125" t="s">
        <v>45</v>
      </c>
      <c r="G42" s="125" t="s">
        <v>46</v>
      </c>
      <c r="H42" s="125" t="s">
        <v>47</v>
      </c>
      <c r="M42" s="125"/>
      <c r="N42" s="125" t="s">
        <v>43</v>
      </c>
      <c r="O42" s="125" t="s">
        <v>44</v>
      </c>
      <c r="P42" s="125" t="s">
        <v>45</v>
      </c>
      <c r="Q42" s="125" t="s">
        <v>46</v>
      </c>
      <c r="R42" s="125" t="s">
        <v>47</v>
      </c>
      <c r="W42" s="125"/>
      <c r="X42" s="125" t="s">
        <v>43</v>
      </c>
      <c r="Y42" s="125" t="s">
        <v>44</v>
      </c>
      <c r="Z42" s="125" t="s">
        <v>45</v>
      </c>
      <c r="AA42" s="125" t="s">
        <v>46</v>
      </c>
      <c r="AB42" s="125" t="s">
        <v>47</v>
      </c>
    </row>
    <row r="43" spans="1:33" s="30" customFormat="1">
      <c r="A43" s="118"/>
      <c r="B43" s="121"/>
      <c r="C43" s="30" t="s">
        <v>48</v>
      </c>
      <c r="D43" s="30">
        <v>2</v>
      </c>
      <c r="E43" s="30">
        <v>21296419.025109712</v>
      </c>
      <c r="F43" s="30">
        <v>10648209.512554856</v>
      </c>
      <c r="G43" s="30">
        <v>72.025235209386182</v>
      </c>
      <c r="H43" s="30">
        <v>2.2080468090342334E-10</v>
      </c>
      <c r="M43" s="30" t="s">
        <v>48</v>
      </c>
      <c r="N43" s="30">
        <v>2</v>
      </c>
      <c r="O43" s="30">
        <v>133919286.46232116</v>
      </c>
      <c r="P43" s="30">
        <v>66959643.231160581</v>
      </c>
      <c r="Q43" s="30">
        <v>43.956607504663189</v>
      </c>
      <c r="R43" s="30">
        <v>2.0658579897332783E-8</v>
      </c>
      <c r="W43" s="30" t="s">
        <v>48</v>
      </c>
      <c r="X43" s="30">
        <v>2</v>
      </c>
      <c r="Y43" s="30">
        <v>19708742.046990018</v>
      </c>
      <c r="Z43" s="30">
        <v>9854371.0234950092</v>
      </c>
      <c r="AA43" s="30">
        <v>79.760791047685984</v>
      </c>
      <c r="AB43" s="30">
        <v>8.2877862186526394E-11</v>
      </c>
    </row>
    <row r="44" spans="1:33" s="30" customFormat="1">
      <c r="A44" s="118"/>
      <c r="B44" s="121"/>
      <c r="C44" s="30" t="s">
        <v>49</v>
      </c>
      <c r="D44" s="30">
        <v>22</v>
      </c>
      <c r="E44" s="30">
        <v>3252479.6148902886</v>
      </c>
      <c r="F44" s="30">
        <v>147839.98249501313</v>
      </c>
      <c r="M44" s="30" t="s">
        <v>49</v>
      </c>
      <c r="N44" s="30">
        <v>22</v>
      </c>
      <c r="O44" s="30">
        <v>33512871.77767884</v>
      </c>
      <c r="P44" s="30">
        <v>1523312.3535308563</v>
      </c>
      <c r="W44" s="30" t="s">
        <v>49</v>
      </c>
      <c r="X44" s="30">
        <v>22</v>
      </c>
      <c r="Y44" s="30">
        <v>2718079.3930099807</v>
      </c>
      <c r="Z44" s="30">
        <v>123549.06331863548</v>
      </c>
    </row>
    <row r="45" spans="1:33" s="30" customFormat="1" ht="20" thickBot="1">
      <c r="A45" s="118"/>
      <c r="B45" s="121"/>
      <c r="C45" s="124" t="s">
        <v>29</v>
      </c>
      <c r="D45" s="124">
        <v>24</v>
      </c>
      <c r="E45" s="124">
        <v>24548898.640000001</v>
      </c>
      <c r="F45" s="124"/>
      <c r="G45" s="124"/>
      <c r="H45" s="124"/>
      <c r="M45" s="124" t="s">
        <v>29</v>
      </c>
      <c r="N45" s="124">
        <v>24</v>
      </c>
      <c r="O45" s="124">
        <v>167432158.24000001</v>
      </c>
      <c r="P45" s="124"/>
      <c r="Q45" s="124"/>
      <c r="R45" s="124"/>
      <c r="W45" s="124" t="s">
        <v>29</v>
      </c>
      <c r="X45" s="124">
        <v>24</v>
      </c>
      <c r="Y45" s="124">
        <v>22426821.439999998</v>
      </c>
      <c r="Z45" s="124"/>
      <c r="AA45" s="124"/>
      <c r="AB45" s="124"/>
    </row>
    <row r="46" spans="1:33" s="30" customFormat="1" ht="20" thickBot="1">
      <c r="A46" s="118"/>
      <c r="B46" s="121"/>
    </row>
    <row r="47" spans="1:33" s="30" customFormat="1">
      <c r="A47" s="118"/>
      <c r="B47" s="121"/>
      <c r="C47" s="125"/>
      <c r="D47" s="125" t="s">
        <v>50</v>
      </c>
      <c r="E47" s="125" t="s">
        <v>40</v>
      </c>
      <c r="F47" s="125" t="s">
        <v>51</v>
      </c>
      <c r="G47" s="125" t="s">
        <v>52</v>
      </c>
      <c r="H47" s="125" t="s">
        <v>53</v>
      </c>
      <c r="I47" s="125" t="s">
        <v>54</v>
      </c>
      <c r="J47" s="125" t="s">
        <v>55</v>
      </c>
      <c r="K47" s="125" t="s">
        <v>56</v>
      </c>
      <c r="M47" s="125"/>
      <c r="N47" s="125" t="s">
        <v>50</v>
      </c>
      <c r="O47" s="125" t="s">
        <v>40</v>
      </c>
      <c r="P47" s="125" t="s">
        <v>51</v>
      </c>
      <c r="Q47" s="125" t="s">
        <v>52</v>
      </c>
      <c r="R47" s="125" t="s">
        <v>53</v>
      </c>
      <c r="S47" s="125" t="s">
        <v>54</v>
      </c>
      <c r="T47" s="125" t="s">
        <v>55</v>
      </c>
      <c r="U47" s="125" t="s">
        <v>56</v>
      </c>
      <c r="W47" s="125"/>
      <c r="X47" s="125" t="s">
        <v>50</v>
      </c>
      <c r="Y47" s="125" t="s">
        <v>40</v>
      </c>
      <c r="Z47" s="125" t="s">
        <v>51</v>
      </c>
      <c r="AA47" s="125" t="s">
        <v>52</v>
      </c>
      <c r="AB47" s="125" t="s">
        <v>53</v>
      </c>
      <c r="AC47" s="125" t="s">
        <v>54</v>
      </c>
      <c r="AD47" s="125" t="s">
        <v>55</v>
      </c>
      <c r="AE47" s="125" t="s">
        <v>56</v>
      </c>
    </row>
    <row r="48" spans="1:33" s="30" customFormat="1">
      <c r="A48" s="118"/>
      <c r="B48" s="121"/>
      <c r="C48" s="30" t="s">
        <v>57</v>
      </c>
      <c r="D48" s="30">
        <v>-888.73003816928826</v>
      </c>
      <c r="E48" s="30">
        <v>699.93042220840152</v>
      </c>
      <c r="F48" s="30">
        <v>-1.2697405484465032</v>
      </c>
      <c r="G48" s="30">
        <v>0.21744413707407043</v>
      </c>
      <c r="H48" s="30">
        <v>-2340.2968901939857</v>
      </c>
      <c r="I48" s="30">
        <v>562.83681385540945</v>
      </c>
      <c r="J48" s="30">
        <v>-2340.2968901939857</v>
      </c>
      <c r="K48" s="30">
        <v>562.83681385540945</v>
      </c>
      <c r="M48" s="30" t="s">
        <v>57</v>
      </c>
      <c r="N48" s="30">
        <v>-2407.6657068034601</v>
      </c>
      <c r="O48" s="30">
        <v>1706.9776244869111</v>
      </c>
      <c r="P48" s="30">
        <v>-1.4104846321738775</v>
      </c>
      <c r="Q48" s="30">
        <v>0.17238017778346224</v>
      </c>
      <c r="R48" s="30">
        <v>-5947.720629741656</v>
      </c>
      <c r="S48" s="30">
        <v>1132.3892161347362</v>
      </c>
      <c r="T48" s="30">
        <v>-5947.720629741656</v>
      </c>
      <c r="U48" s="30">
        <v>1132.3892161347362</v>
      </c>
      <c r="W48" s="30" t="s">
        <v>57</v>
      </c>
      <c r="X48" s="30">
        <v>-3126.9278075213315</v>
      </c>
      <c r="Y48" s="30">
        <v>720.30627067760474</v>
      </c>
      <c r="Z48" s="30">
        <v>-4.3411086850316822</v>
      </c>
      <c r="AA48" s="30">
        <v>2.6223699438836635E-4</v>
      </c>
      <c r="AB48" s="30">
        <v>-4620.7515829220029</v>
      </c>
      <c r="AC48" s="30">
        <v>-1633.1040321206597</v>
      </c>
      <c r="AD48" s="30">
        <v>-4620.7515829220029</v>
      </c>
      <c r="AE48" s="30">
        <v>-1633.1040321206597</v>
      </c>
    </row>
    <row r="49" spans="1:31" s="30" customFormat="1">
      <c r="A49" s="118"/>
      <c r="B49" s="121"/>
      <c r="C49" s="30" t="s">
        <v>58</v>
      </c>
      <c r="D49" s="30">
        <v>0.19627761092785079</v>
      </c>
      <c r="E49" s="30">
        <v>2.1387573621339879E-2</v>
      </c>
      <c r="F49" s="30">
        <v>9.177179908431075</v>
      </c>
      <c r="G49" s="30">
        <v>5.6224699476083461E-9</v>
      </c>
      <c r="H49" s="30">
        <v>0.15192249800673943</v>
      </c>
      <c r="I49" s="30">
        <v>0.24063272384896214</v>
      </c>
      <c r="J49" s="30">
        <v>0.15192249800673943</v>
      </c>
      <c r="K49" s="30">
        <v>0.24063272384896214</v>
      </c>
      <c r="M49" s="30" t="s">
        <v>58</v>
      </c>
      <c r="N49" s="30">
        <v>-6.321273995884602E-2</v>
      </c>
      <c r="O49" s="30">
        <v>5.072910320540535E-2</v>
      </c>
      <c r="P49" s="30">
        <v>-1.2460843177710759</v>
      </c>
      <c r="Q49" s="30">
        <v>0.2258400817280474</v>
      </c>
      <c r="R49" s="30">
        <v>-0.16841846085545997</v>
      </c>
      <c r="S49" s="30">
        <v>4.1992980937767918E-2</v>
      </c>
      <c r="T49" s="30">
        <v>-0.16841846085545997</v>
      </c>
      <c r="U49" s="30">
        <v>4.1992980937767918E-2</v>
      </c>
      <c r="W49" s="30" t="s">
        <v>58</v>
      </c>
      <c r="X49" s="30">
        <v>0.30936890959334867</v>
      </c>
      <c r="Y49" s="30">
        <v>8.8672307615640183E-2</v>
      </c>
      <c r="Z49" s="30">
        <v>3.4889010775984546</v>
      </c>
      <c r="AA49" s="30">
        <v>2.0787034859044134E-3</v>
      </c>
      <c r="AB49" s="30">
        <v>0.12547379896037145</v>
      </c>
      <c r="AC49" s="30">
        <v>0.49326402022632587</v>
      </c>
      <c r="AD49" s="30">
        <v>0.12547379896037145</v>
      </c>
      <c r="AE49" s="30">
        <v>0.49326402022632587</v>
      </c>
    </row>
    <row r="50" spans="1:31" s="30" customFormat="1" ht="20" thickBot="1">
      <c r="A50" s="118"/>
      <c r="B50" s="121"/>
      <c r="C50" s="124" t="s">
        <v>59</v>
      </c>
      <c r="D50" s="124">
        <v>-0.43690787145307702</v>
      </c>
      <c r="E50" s="124">
        <v>0.3223695356081186</v>
      </c>
      <c r="F50" s="124">
        <v>-1.3553013644074434</v>
      </c>
      <c r="G50" s="124">
        <v>0.18907427065176097</v>
      </c>
      <c r="H50" s="124">
        <v>-1.105461369263482</v>
      </c>
      <c r="I50" s="124">
        <v>0.23164562635732794</v>
      </c>
      <c r="J50" s="124">
        <v>-1.105461369263482</v>
      </c>
      <c r="K50" s="124">
        <v>0.23164562635732794</v>
      </c>
      <c r="M50" s="124" t="s">
        <v>60</v>
      </c>
      <c r="N50" s="124">
        <v>1.3410504021964846</v>
      </c>
      <c r="O50" s="124">
        <v>0.14739046187937901</v>
      </c>
      <c r="P50" s="124">
        <v>9.0986240567857752</v>
      </c>
      <c r="Q50" s="124">
        <v>6.540888511340612E-9</v>
      </c>
      <c r="R50" s="124">
        <v>1.0353812928389055</v>
      </c>
      <c r="S50" s="124">
        <v>1.6467195115540638</v>
      </c>
      <c r="T50" s="124">
        <v>1.0353812928389055</v>
      </c>
      <c r="U50" s="124">
        <v>1.6467195115540638</v>
      </c>
      <c r="W50" s="124" t="s">
        <v>61</v>
      </c>
      <c r="X50" s="124">
        <v>-0.52822888512700661</v>
      </c>
      <c r="Y50" s="124">
        <v>0.3280996827930252</v>
      </c>
      <c r="Z50" s="124">
        <v>-1.6099646321823136</v>
      </c>
      <c r="AA50" s="124">
        <v>0.12166199700111455</v>
      </c>
      <c r="AB50" s="124">
        <v>-1.2086659808593154</v>
      </c>
      <c r="AC50" s="124">
        <v>0.15220821060530232</v>
      </c>
      <c r="AD50" s="124">
        <v>-1.2086659808593154</v>
      </c>
      <c r="AE50" s="124">
        <v>0.15220821060530232</v>
      </c>
    </row>
    <row r="51" spans="1:31" s="30" customFormat="1">
      <c r="A51" s="118"/>
      <c r="B51" s="121"/>
    </row>
    <row r="52" spans="1:31" s="30" customFormat="1">
      <c r="A52" s="118"/>
      <c r="B52" s="121"/>
      <c r="C52" s="121" t="s">
        <v>62</v>
      </c>
    </row>
    <row r="53" spans="1:31" s="30" customFormat="1">
      <c r="A53" s="118"/>
      <c r="B53" s="121"/>
      <c r="C53" s="30" t="s">
        <v>63</v>
      </c>
      <c r="M53" s="30" t="s">
        <v>63</v>
      </c>
      <c r="W53" s="30" t="s">
        <v>63</v>
      </c>
    </row>
    <row r="54" spans="1:31" s="30" customFormat="1">
      <c r="A54" s="118"/>
      <c r="B54" s="121"/>
      <c r="D54" s="121">
        <f xml:space="preserve"> D48 + D49*'[3]R Inputs_HERMES'!D27 + 'From R Inputs_HERMES'!D50*'[3]R Inputs_HERMES'!E27 - '[3]R Inputs_HERMES'!N27</f>
        <v>682.47911154737358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>
        <f xml:space="preserve"> N48 + N49*'[3]R Inputs_HERMES'!D27 + N50*'[3]R Inputs_HERMES'!G27 - '[3]R Inputs_HERMES'!O27</f>
        <v>2459.5515267684723</v>
      </c>
      <c r="O54" s="121"/>
      <c r="P54" s="121"/>
      <c r="Q54" s="121"/>
      <c r="R54" s="121"/>
      <c r="S54" s="121"/>
      <c r="T54" s="121"/>
      <c r="U54" s="121"/>
      <c r="V54" s="121"/>
      <c r="W54" s="121"/>
      <c r="X54" s="121">
        <f xml:space="preserve"> X48 + X49*'[3]R Inputs_HERMES'!D27 + X50*'[3]R Inputs_HERMES'!I27 - '[3]R Inputs_HERMES'!P27</f>
        <v>363.93049845454061</v>
      </c>
    </row>
  </sheetData>
  <mergeCells count="2">
    <mergeCell ref="A21:A24"/>
    <mergeCell ref="A15:A1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AF8C9-786A-4576-A7D0-2C8F4350CAE8}">
  <dimension ref="A1:AZ71"/>
  <sheetViews>
    <sheetView topLeftCell="AD22" zoomScale="85" zoomScaleNormal="85" workbookViewId="0">
      <selection activeCell="F59" sqref="F59"/>
    </sheetView>
  </sheetViews>
  <sheetFormatPr baseColWidth="10" defaultColWidth="8.83203125" defaultRowHeight="15"/>
  <sheetData>
    <row r="1" spans="1:16">
      <c r="A1" s="121" t="s">
        <v>64</v>
      </c>
      <c r="B1" s="30"/>
      <c r="C1" s="30"/>
      <c r="D1" s="30"/>
      <c r="E1" s="30"/>
      <c r="F1" s="30"/>
      <c r="G1" s="30"/>
      <c r="I1" s="126" t="s">
        <v>65</v>
      </c>
      <c r="J1" s="127" t="s">
        <v>3</v>
      </c>
      <c r="K1" s="127" t="s">
        <v>5</v>
      </c>
      <c r="L1" s="127"/>
      <c r="M1" s="127"/>
      <c r="N1" s="127"/>
      <c r="O1" s="127"/>
      <c r="P1" s="127"/>
    </row>
    <row r="2" spans="1:16">
      <c r="A2" s="121" t="s">
        <v>66</v>
      </c>
      <c r="B2" s="30" t="s">
        <v>67</v>
      </c>
      <c r="C2" s="30" t="s">
        <v>68</v>
      </c>
      <c r="D2" s="30" t="s">
        <v>69</v>
      </c>
      <c r="E2" s="30" t="s">
        <v>70</v>
      </c>
      <c r="F2" s="30" t="s">
        <v>71</v>
      </c>
      <c r="G2" s="30" t="s">
        <v>29</v>
      </c>
      <c r="I2" s="126" t="s">
        <v>72</v>
      </c>
      <c r="J2" s="127" t="s">
        <v>67</v>
      </c>
      <c r="K2" s="127" t="s">
        <v>67</v>
      </c>
      <c r="L2" s="127" t="s">
        <v>68</v>
      </c>
      <c r="M2" s="127" t="s">
        <v>69</v>
      </c>
      <c r="N2" s="127" t="s">
        <v>70</v>
      </c>
      <c r="O2" s="127" t="s">
        <v>71</v>
      </c>
      <c r="P2" s="127" t="s">
        <v>29</v>
      </c>
    </row>
    <row r="3" spans="1:16">
      <c r="A3" s="121">
        <v>1995</v>
      </c>
      <c r="B3" s="30">
        <v>251</v>
      </c>
      <c r="C3" s="30">
        <v>496</v>
      </c>
      <c r="D3" s="30">
        <v>1186</v>
      </c>
      <c r="E3" s="30">
        <v>2536</v>
      </c>
      <c r="F3" s="30">
        <v>1024</v>
      </c>
      <c r="G3" s="30">
        <v>5493</v>
      </c>
      <c r="I3" s="126">
        <v>1995</v>
      </c>
      <c r="J3" s="127">
        <v>264</v>
      </c>
      <c r="K3" s="127"/>
      <c r="L3" s="127">
        <v>157</v>
      </c>
      <c r="M3" s="127">
        <v>175</v>
      </c>
      <c r="N3" s="127">
        <v>273</v>
      </c>
      <c r="O3" s="127">
        <v>105</v>
      </c>
      <c r="P3" s="127">
        <v>974</v>
      </c>
    </row>
    <row r="4" spans="1:16">
      <c r="A4" s="121">
        <v>1996</v>
      </c>
      <c r="B4" s="30">
        <v>278</v>
      </c>
      <c r="C4" s="30">
        <v>558</v>
      </c>
      <c r="D4" s="30">
        <v>1196</v>
      </c>
      <c r="E4" s="30">
        <v>3074</v>
      </c>
      <c r="F4" s="30">
        <v>1210</v>
      </c>
      <c r="G4" s="30">
        <v>6316</v>
      </c>
      <c r="I4" s="126">
        <v>1996</v>
      </c>
      <c r="J4" s="127">
        <v>349</v>
      </c>
      <c r="K4" s="127"/>
      <c r="L4" s="127">
        <v>182</v>
      </c>
      <c r="M4" s="127">
        <v>213</v>
      </c>
      <c r="N4" s="127">
        <v>313</v>
      </c>
      <c r="O4" s="127">
        <v>118</v>
      </c>
      <c r="P4" s="127">
        <v>1175</v>
      </c>
    </row>
    <row r="5" spans="1:16">
      <c r="A5" s="121">
        <v>1997</v>
      </c>
      <c r="B5" s="30">
        <v>340</v>
      </c>
      <c r="C5" s="30">
        <v>486</v>
      </c>
      <c r="D5" s="30">
        <v>1386</v>
      </c>
      <c r="E5" s="30">
        <v>3322</v>
      </c>
      <c r="F5" s="30">
        <v>1465</v>
      </c>
      <c r="G5" s="30">
        <v>6999</v>
      </c>
      <c r="I5" s="126">
        <v>1997</v>
      </c>
      <c r="J5" s="127">
        <v>358</v>
      </c>
      <c r="K5" s="127"/>
      <c r="L5" s="127">
        <v>165</v>
      </c>
      <c r="M5" s="127">
        <v>225</v>
      </c>
      <c r="N5" s="127">
        <v>319</v>
      </c>
      <c r="O5" s="127">
        <v>141</v>
      </c>
      <c r="P5" s="127">
        <v>1208</v>
      </c>
    </row>
    <row r="6" spans="1:16">
      <c r="A6" s="121">
        <v>1998</v>
      </c>
      <c r="B6" s="30">
        <v>401</v>
      </c>
      <c r="C6" s="30">
        <v>555</v>
      </c>
      <c r="D6" s="30">
        <v>1555</v>
      </c>
      <c r="E6" s="30">
        <v>3894</v>
      </c>
      <c r="F6" s="30">
        <v>1798</v>
      </c>
      <c r="G6" s="30">
        <v>8203</v>
      </c>
      <c r="I6" s="126">
        <v>1998</v>
      </c>
      <c r="J6" s="127">
        <v>321</v>
      </c>
      <c r="K6" s="127"/>
      <c r="L6" s="127">
        <v>195</v>
      </c>
      <c r="M6" s="127">
        <v>264</v>
      </c>
      <c r="N6" s="127">
        <v>391</v>
      </c>
      <c r="O6" s="127">
        <v>172</v>
      </c>
      <c r="P6" s="127">
        <v>1343</v>
      </c>
    </row>
    <row r="7" spans="1:16">
      <c r="A7" s="121">
        <v>1999</v>
      </c>
      <c r="B7" s="30">
        <v>388</v>
      </c>
      <c r="C7" s="30">
        <v>627</v>
      </c>
      <c r="D7" s="30">
        <v>1520</v>
      </c>
      <c r="E7" s="30">
        <v>5328</v>
      </c>
      <c r="F7" s="30">
        <v>2411</v>
      </c>
      <c r="G7" s="30">
        <v>10274</v>
      </c>
      <c r="I7" s="126">
        <v>1999</v>
      </c>
      <c r="J7" s="127">
        <v>294</v>
      </c>
      <c r="K7" s="127"/>
      <c r="L7" s="127">
        <v>172</v>
      </c>
      <c r="M7" s="127">
        <v>239</v>
      </c>
      <c r="N7" s="127">
        <v>514</v>
      </c>
      <c r="O7" s="127">
        <v>233</v>
      </c>
      <c r="P7" s="127">
        <v>1452</v>
      </c>
    </row>
    <row r="8" spans="1:16">
      <c r="A8" s="121">
        <v>2000</v>
      </c>
      <c r="B8" s="30">
        <v>383</v>
      </c>
      <c r="C8" s="30">
        <v>669</v>
      </c>
      <c r="D8" s="30">
        <v>1777</v>
      </c>
      <c r="E8" s="30">
        <v>6054</v>
      </c>
      <c r="F8" s="30">
        <v>3465</v>
      </c>
      <c r="G8" s="30">
        <v>12348</v>
      </c>
      <c r="I8" s="126">
        <v>2000</v>
      </c>
      <c r="J8" s="127">
        <v>315</v>
      </c>
      <c r="K8" s="127"/>
      <c r="L8" s="127">
        <v>165</v>
      </c>
      <c r="M8" s="127">
        <v>271</v>
      </c>
      <c r="N8" s="127">
        <v>584</v>
      </c>
      <c r="O8" s="127">
        <v>321</v>
      </c>
      <c r="P8" s="127">
        <v>1656</v>
      </c>
    </row>
    <row r="9" spans="1:16">
      <c r="A9" s="121">
        <v>2001</v>
      </c>
      <c r="B9" s="30">
        <v>439</v>
      </c>
      <c r="C9" s="30">
        <v>736</v>
      </c>
      <c r="D9" s="30">
        <v>1776</v>
      </c>
      <c r="E9" s="30">
        <v>5998</v>
      </c>
      <c r="F9" s="30">
        <v>3456</v>
      </c>
      <c r="G9" s="30">
        <v>12405</v>
      </c>
      <c r="I9" s="126">
        <v>2001</v>
      </c>
      <c r="J9" s="127">
        <v>308</v>
      </c>
      <c r="K9" s="127"/>
      <c r="L9" s="127">
        <v>188</v>
      </c>
      <c r="M9" s="127">
        <v>270</v>
      </c>
      <c r="N9" s="127">
        <v>575</v>
      </c>
      <c r="O9" s="127">
        <v>327</v>
      </c>
      <c r="P9" s="127">
        <v>1668</v>
      </c>
    </row>
    <row r="10" spans="1:16">
      <c r="A10" s="121">
        <v>2002</v>
      </c>
      <c r="B10" s="30">
        <v>382</v>
      </c>
      <c r="C10" s="30">
        <v>1006</v>
      </c>
      <c r="D10" s="30">
        <v>2367</v>
      </c>
      <c r="E10" s="30">
        <v>6586</v>
      </c>
      <c r="F10" s="30">
        <v>4107</v>
      </c>
      <c r="G10" s="30">
        <v>14448</v>
      </c>
      <c r="I10" s="126">
        <v>2002</v>
      </c>
      <c r="J10" s="127">
        <v>346</v>
      </c>
      <c r="K10" s="127"/>
      <c r="L10" s="127">
        <v>229</v>
      </c>
      <c r="M10" s="127">
        <v>371</v>
      </c>
      <c r="N10" s="127">
        <v>644</v>
      </c>
      <c r="O10" s="127">
        <v>382</v>
      </c>
      <c r="P10" s="127">
        <v>1972</v>
      </c>
    </row>
    <row r="11" spans="1:16">
      <c r="A11" s="121">
        <v>2003</v>
      </c>
      <c r="B11" s="30">
        <v>416</v>
      </c>
      <c r="C11" s="30">
        <v>1052</v>
      </c>
      <c r="D11" s="30">
        <v>2747</v>
      </c>
      <c r="E11" s="30">
        <v>6712</v>
      </c>
      <c r="F11" s="30">
        <v>4971</v>
      </c>
      <c r="G11" s="30">
        <v>15898</v>
      </c>
      <c r="I11" s="126">
        <v>2003</v>
      </c>
      <c r="J11" s="127">
        <v>357</v>
      </c>
      <c r="K11" s="127"/>
      <c r="L11" s="127">
        <v>253</v>
      </c>
      <c r="M11" s="127">
        <v>410</v>
      </c>
      <c r="N11" s="127">
        <v>663</v>
      </c>
      <c r="O11" s="127">
        <v>459</v>
      </c>
      <c r="P11" s="127">
        <v>2142</v>
      </c>
    </row>
    <row r="12" spans="1:16">
      <c r="A12" s="121">
        <v>2004</v>
      </c>
      <c r="B12" s="30">
        <v>459</v>
      </c>
      <c r="C12" s="30">
        <v>1165</v>
      </c>
      <c r="D12" s="30">
        <v>2717</v>
      </c>
      <c r="E12" s="30">
        <v>7297</v>
      </c>
      <c r="F12" s="30">
        <v>5650</v>
      </c>
      <c r="G12" s="30">
        <v>17288</v>
      </c>
      <c r="I12" s="126">
        <v>2004</v>
      </c>
      <c r="J12" s="127">
        <v>449</v>
      </c>
      <c r="K12" s="127"/>
      <c r="L12" s="127">
        <v>259</v>
      </c>
      <c r="M12" s="127">
        <v>424</v>
      </c>
      <c r="N12" s="127">
        <v>700</v>
      </c>
      <c r="O12" s="127">
        <v>510</v>
      </c>
      <c r="P12" s="127">
        <v>2342</v>
      </c>
    </row>
    <row r="13" spans="1:16">
      <c r="A13" s="121">
        <v>2005</v>
      </c>
      <c r="B13" s="30">
        <v>595</v>
      </c>
      <c r="C13" s="30">
        <v>1187</v>
      </c>
      <c r="D13" s="30">
        <v>2714</v>
      </c>
      <c r="E13" s="30">
        <v>7506</v>
      </c>
      <c r="F13" s="30">
        <v>6150</v>
      </c>
      <c r="G13" s="30">
        <v>18152</v>
      </c>
      <c r="I13" s="126">
        <v>2005</v>
      </c>
      <c r="J13" s="127">
        <v>581</v>
      </c>
      <c r="K13" s="127"/>
      <c r="L13" s="127">
        <v>255</v>
      </c>
      <c r="M13" s="127">
        <v>433</v>
      </c>
      <c r="N13" s="127">
        <v>734</v>
      </c>
      <c r="O13" s="127">
        <v>564</v>
      </c>
      <c r="P13" s="127">
        <v>2567</v>
      </c>
    </row>
    <row r="14" spans="1:16">
      <c r="A14" s="121">
        <v>2006</v>
      </c>
      <c r="B14" s="30">
        <v>610</v>
      </c>
      <c r="C14" s="30">
        <v>612</v>
      </c>
      <c r="D14" s="30">
        <v>1556</v>
      </c>
      <c r="E14" s="30">
        <v>7723</v>
      </c>
      <c r="F14" s="30">
        <v>7185</v>
      </c>
      <c r="G14" s="30">
        <v>17686</v>
      </c>
      <c r="I14" s="126">
        <v>2006</v>
      </c>
      <c r="J14" s="127">
        <v>621</v>
      </c>
      <c r="K14" s="127"/>
      <c r="L14" s="127">
        <v>197</v>
      </c>
      <c r="M14" s="127">
        <v>285</v>
      </c>
      <c r="N14" s="127">
        <v>758</v>
      </c>
      <c r="O14" s="127">
        <v>662</v>
      </c>
      <c r="P14" s="127">
        <v>2523</v>
      </c>
    </row>
    <row r="15" spans="1:16">
      <c r="A15" s="121">
        <v>2007</v>
      </c>
      <c r="B15" s="30">
        <v>736</v>
      </c>
      <c r="C15" s="30">
        <v>493</v>
      </c>
      <c r="D15" s="30">
        <v>1664</v>
      </c>
      <c r="E15" s="30">
        <v>8363</v>
      </c>
      <c r="F15" s="30">
        <v>7890</v>
      </c>
      <c r="G15" s="30">
        <v>19146</v>
      </c>
      <c r="I15" s="126">
        <v>2007</v>
      </c>
      <c r="J15" s="127">
        <v>706</v>
      </c>
      <c r="K15" s="127"/>
      <c r="L15" s="127">
        <v>171</v>
      </c>
      <c r="M15" s="127">
        <v>298</v>
      </c>
      <c r="N15" s="127">
        <v>774</v>
      </c>
      <c r="O15" s="127">
        <v>714</v>
      </c>
      <c r="P15" s="127">
        <v>2663</v>
      </c>
    </row>
    <row r="16" spans="1:16">
      <c r="A16" s="121">
        <v>2008</v>
      </c>
      <c r="B16" s="30">
        <v>662</v>
      </c>
      <c r="C16" s="30">
        <v>477</v>
      </c>
      <c r="D16" s="30">
        <v>1301</v>
      </c>
      <c r="E16" s="30">
        <v>6577</v>
      </c>
      <c r="F16" s="30">
        <v>8273</v>
      </c>
      <c r="G16" s="30">
        <v>17290</v>
      </c>
      <c r="I16" s="126">
        <v>2008</v>
      </c>
      <c r="J16" s="127">
        <v>532</v>
      </c>
      <c r="K16" s="127">
        <v>1422</v>
      </c>
      <c r="L16" s="127">
        <v>142</v>
      </c>
      <c r="M16" s="127">
        <v>224</v>
      </c>
      <c r="N16" s="127">
        <v>577</v>
      </c>
      <c r="O16" s="127">
        <v>732</v>
      </c>
      <c r="P16" s="127">
        <v>2207</v>
      </c>
    </row>
    <row r="17" spans="1:46">
      <c r="A17" s="121">
        <v>2009</v>
      </c>
      <c r="B17" s="30">
        <v>492</v>
      </c>
      <c r="C17" s="30">
        <v>320</v>
      </c>
      <c r="D17" s="30">
        <v>914</v>
      </c>
      <c r="E17" s="30">
        <v>4392</v>
      </c>
      <c r="F17" s="30">
        <v>5951</v>
      </c>
      <c r="G17" s="30">
        <v>12069</v>
      </c>
      <c r="I17" s="126">
        <v>2009</v>
      </c>
      <c r="J17" s="127">
        <v>404</v>
      </c>
      <c r="K17" s="127">
        <v>1530</v>
      </c>
      <c r="L17" s="127">
        <v>112</v>
      </c>
      <c r="M17" s="127">
        <v>158</v>
      </c>
      <c r="N17" s="127">
        <v>379</v>
      </c>
      <c r="O17" s="127">
        <v>527</v>
      </c>
      <c r="P17" s="127">
        <v>1580</v>
      </c>
    </row>
    <row r="18" spans="1:46">
      <c r="A18" s="121">
        <v>2010</v>
      </c>
      <c r="B18" s="30">
        <v>328</v>
      </c>
      <c r="C18" s="30">
        <v>232</v>
      </c>
      <c r="D18" s="30">
        <v>856</v>
      </c>
      <c r="E18" s="30">
        <v>3656</v>
      </c>
      <c r="F18" s="30">
        <v>5852</v>
      </c>
      <c r="G18" s="30">
        <v>10924</v>
      </c>
      <c r="I18" s="126">
        <v>2010</v>
      </c>
      <c r="J18" s="127">
        <v>351</v>
      </c>
      <c r="K18" s="127">
        <v>1362</v>
      </c>
      <c r="L18" s="127">
        <v>94</v>
      </c>
      <c r="M18" s="127">
        <v>152</v>
      </c>
      <c r="N18" s="127">
        <v>350</v>
      </c>
      <c r="O18" s="127">
        <v>510</v>
      </c>
      <c r="P18" s="127">
        <v>1457</v>
      </c>
    </row>
    <row r="19" spans="1:46">
      <c r="A19" s="121">
        <v>2011</v>
      </c>
      <c r="B19" s="30">
        <v>278</v>
      </c>
      <c r="C19" s="30">
        <v>201</v>
      </c>
      <c r="D19" s="30">
        <v>744</v>
      </c>
      <c r="E19" s="30">
        <v>3056</v>
      </c>
      <c r="F19" s="30">
        <v>5662</v>
      </c>
      <c r="G19" s="30">
        <v>9941</v>
      </c>
      <c r="I19" s="126">
        <v>2011</v>
      </c>
      <c r="J19" s="127"/>
      <c r="K19" s="127">
        <v>1354</v>
      </c>
      <c r="L19" s="127">
        <v>110</v>
      </c>
      <c r="M19" s="127">
        <v>156</v>
      </c>
      <c r="N19" s="127">
        <v>235</v>
      </c>
      <c r="O19" s="127">
        <v>378</v>
      </c>
      <c r="P19" s="127">
        <v>2233</v>
      </c>
    </row>
    <row r="20" spans="1:46">
      <c r="A20" s="121">
        <v>2012</v>
      </c>
      <c r="B20" s="30">
        <v>285</v>
      </c>
      <c r="C20" s="30">
        <v>206</v>
      </c>
      <c r="D20" s="30">
        <v>697</v>
      </c>
      <c r="E20" s="30">
        <v>2898</v>
      </c>
      <c r="F20" s="30">
        <v>5809</v>
      </c>
      <c r="G20" s="30">
        <v>9895</v>
      </c>
      <c r="I20" s="126">
        <v>2012</v>
      </c>
      <c r="J20" s="127"/>
      <c r="K20" s="127">
        <v>1267</v>
      </c>
      <c r="L20" s="127">
        <v>97</v>
      </c>
      <c r="M20" s="127">
        <v>146</v>
      </c>
      <c r="N20" s="127">
        <v>210</v>
      </c>
      <c r="O20" s="127">
        <v>355</v>
      </c>
      <c r="P20" s="127">
        <v>2075</v>
      </c>
    </row>
    <row r="21" spans="1:46">
      <c r="A21" s="121">
        <v>2013</v>
      </c>
      <c r="B21" s="30">
        <v>258</v>
      </c>
      <c r="C21" s="30">
        <v>161</v>
      </c>
      <c r="D21" s="30">
        <v>631</v>
      </c>
      <c r="E21" s="30">
        <v>2566</v>
      </c>
      <c r="F21" s="30">
        <v>5522</v>
      </c>
      <c r="G21" s="30">
        <v>9138</v>
      </c>
      <c r="I21" s="126">
        <v>2013</v>
      </c>
      <c r="J21" s="127"/>
      <c r="K21" s="127">
        <v>1238</v>
      </c>
      <c r="L21" s="127">
        <v>107</v>
      </c>
      <c r="M21" s="127">
        <v>163</v>
      </c>
      <c r="N21" s="127">
        <v>263</v>
      </c>
      <c r="O21" s="127">
        <v>454</v>
      </c>
      <c r="P21" s="127">
        <v>2225</v>
      </c>
    </row>
    <row r="22" spans="1:46">
      <c r="A22" s="121">
        <v>2014</v>
      </c>
      <c r="B22" s="30">
        <v>242</v>
      </c>
      <c r="C22" s="30">
        <v>184</v>
      </c>
      <c r="D22" s="30">
        <v>586</v>
      </c>
      <c r="E22" s="30">
        <v>2563</v>
      </c>
      <c r="F22" s="30">
        <v>6197</v>
      </c>
      <c r="G22" s="30">
        <v>9772</v>
      </c>
      <c r="I22" s="126">
        <v>2014</v>
      </c>
      <c r="J22" s="127"/>
      <c r="K22" s="127">
        <v>1432</v>
      </c>
      <c r="L22" s="127">
        <v>124</v>
      </c>
      <c r="M22" s="127">
        <v>194</v>
      </c>
      <c r="N22" s="127">
        <v>316</v>
      </c>
      <c r="O22" s="127">
        <v>574</v>
      </c>
      <c r="P22" s="127">
        <v>2640</v>
      </c>
    </row>
    <row r="23" spans="1:46">
      <c r="A23" s="121">
        <v>2015</v>
      </c>
      <c r="B23" s="30">
        <v>274</v>
      </c>
      <c r="C23" s="30">
        <v>200</v>
      </c>
      <c r="D23" s="30">
        <v>565</v>
      </c>
      <c r="E23" s="30">
        <v>2619</v>
      </c>
      <c r="F23" s="30">
        <v>6186</v>
      </c>
      <c r="G23" s="30">
        <v>9844</v>
      </c>
      <c r="I23" s="126">
        <v>2015</v>
      </c>
      <c r="J23" s="127"/>
      <c r="K23" s="127">
        <v>1552</v>
      </c>
      <c r="L23" s="127">
        <v>123</v>
      </c>
      <c r="M23" s="127">
        <v>196</v>
      </c>
      <c r="N23" s="127">
        <v>354</v>
      </c>
      <c r="O23" s="127">
        <v>604</v>
      </c>
      <c r="P23" s="127">
        <v>2829</v>
      </c>
    </row>
    <row r="24" spans="1:46">
      <c r="A24" s="121">
        <v>2016</v>
      </c>
      <c r="B24" s="30">
        <v>309</v>
      </c>
      <c r="C24" s="30">
        <v>256</v>
      </c>
      <c r="D24" s="30">
        <v>781</v>
      </c>
      <c r="E24" s="30">
        <v>2913</v>
      </c>
      <c r="F24" s="30">
        <v>7305</v>
      </c>
      <c r="G24" s="30">
        <v>11564</v>
      </c>
      <c r="I24" s="126">
        <v>2016</v>
      </c>
      <c r="J24" s="127"/>
      <c r="K24" s="127">
        <v>1622</v>
      </c>
      <c r="L24" s="127">
        <v>123</v>
      </c>
      <c r="M24" s="127">
        <v>204</v>
      </c>
      <c r="N24" s="127">
        <v>366</v>
      </c>
      <c r="O24" s="127">
        <v>662</v>
      </c>
      <c r="P24" s="127">
        <v>2977</v>
      </c>
    </row>
    <row r="25" spans="1:46">
      <c r="A25" s="121">
        <v>2017</v>
      </c>
      <c r="B25" s="30">
        <v>287</v>
      </c>
      <c r="C25" s="30">
        <v>257</v>
      </c>
      <c r="D25" s="30">
        <v>814</v>
      </c>
      <c r="E25" s="30">
        <v>3081</v>
      </c>
      <c r="F25" s="30">
        <v>7320</v>
      </c>
      <c r="G25" s="30">
        <v>11759</v>
      </c>
      <c r="I25" s="126">
        <v>2017</v>
      </c>
      <c r="J25" s="127"/>
      <c r="K25" s="127">
        <v>1942</v>
      </c>
      <c r="L25" s="127">
        <v>113</v>
      </c>
      <c r="M25" s="127">
        <v>205</v>
      </c>
      <c r="N25" s="127">
        <v>365</v>
      </c>
      <c r="O25" s="127">
        <v>728</v>
      </c>
      <c r="P25" s="127">
        <v>3353</v>
      </c>
    </row>
    <row r="26" spans="1:46">
      <c r="A26" s="121">
        <v>2018</v>
      </c>
      <c r="B26" s="30">
        <v>273</v>
      </c>
      <c r="C26" s="30">
        <v>247</v>
      </c>
      <c r="D26" s="30">
        <v>890</v>
      </c>
      <c r="E26" s="30">
        <v>2599</v>
      </c>
      <c r="F26" s="30">
        <v>7436</v>
      </c>
      <c r="G26" s="30">
        <v>11445</v>
      </c>
      <c r="I26" s="126">
        <v>2018</v>
      </c>
      <c r="J26" s="127"/>
      <c r="K26" s="127">
        <v>2098</v>
      </c>
      <c r="L26" s="127">
        <v>113</v>
      </c>
      <c r="M26" s="127">
        <v>220</v>
      </c>
      <c r="N26" s="127">
        <v>360</v>
      </c>
      <c r="O26" s="127">
        <v>780</v>
      </c>
      <c r="P26" s="127">
        <v>3571</v>
      </c>
    </row>
    <row r="27" spans="1:46">
      <c r="A27" s="121">
        <v>2019</v>
      </c>
      <c r="B27" s="30">
        <v>513</v>
      </c>
      <c r="C27" s="30">
        <v>214</v>
      </c>
      <c r="D27" s="30">
        <v>888</v>
      </c>
      <c r="E27" s="30">
        <v>2778</v>
      </c>
      <c r="F27" s="30">
        <v>8010</v>
      </c>
      <c r="G27" s="30">
        <v>12403</v>
      </c>
      <c r="I27" s="126">
        <v>2019</v>
      </c>
      <c r="J27" s="127"/>
      <c r="K27" s="127">
        <v>2266</v>
      </c>
      <c r="L27" s="127">
        <v>111</v>
      </c>
      <c r="M27" s="127">
        <v>222</v>
      </c>
      <c r="N27" s="127">
        <v>356</v>
      </c>
      <c r="O27" s="127">
        <v>830</v>
      </c>
      <c r="P27" s="127">
        <v>3785</v>
      </c>
    </row>
    <row r="30" spans="1:46" s="129" customFormat="1" ht="24">
      <c r="A30" s="128" t="s">
        <v>73</v>
      </c>
    </row>
    <row r="31" spans="1:46" s="129" customFormat="1" ht="15" customHeight="1">
      <c r="A31" s="129" t="s">
        <v>74</v>
      </c>
      <c r="D31" s="129" t="s">
        <v>63</v>
      </c>
      <c r="F31" s="129">
        <f>B50 +B51*'Tkm, Vkm, &amp; Stock Projections'!R12 -'Tkm, Vkm, &amp; Stock Projections'!Q12</f>
        <v>-63.558421959335078</v>
      </c>
      <c r="K31" s="129" t="s">
        <v>63</v>
      </c>
      <c r="M31" s="129">
        <f>L50 +L51*'Tkm, Vkm, &amp; Stock Projections'!AA13 -'Tkm, Vkm, &amp; Stock Projections'!Z23</f>
        <v>-0.12173729698722013</v>
      </c>
      <c r="U31" s="129" t="s">
        <v>63</v>
      </c>
      <c r="W31" s="129">
        <f>V50 +V51*'Tkm, Vkm, &amp; Stock Projections'!AA14 -'Tkm, Vkm, &amp; Stock Projections'!Z24</f>
        <v>-38.010986340563818</v>
      </c>
      <c r="AE31" s="129" t="s">
        <v>63</v>
      </c>
      <c r="AG31" s="129">
        <f>AF50 +AF51*'Tkm, Vkm, &amp; Stock Projections'!AA15 -'Tkm, Vkm, &amp; Stock Projections'!Z25</f>
        <v>-76.776365880492165</v>
      </c>
      <c r="AR31" s="129" t="s">
        <v>63</v>
      </c>
      <c r="AT31" s="129">
        <f>AS50 +AS51*'Tkm, Vkm, &amp; Stock Projections'!AA16 -'Tkm, Vkm, &amp; Stock Projections'!Z26</f>
        <v>-118.80457729386444</v>
      </c>
    </row>
    <row r="32" spans="1:46" s="129" customFormat="1">
      <c r="A32" s="129" t="s">
        <v>75</v>
      </c>
    </row>
    <row r="33" spans="1:49" s="131" customFormat="1" ht="17.5" customHeight="1">
      <c r="A33" s="130" t="s">
        <v>67</v>
      </c>
      <c r="K33" s="131" t="s">
        <v>68</v>
      </c>
      <c r="U33" s="131" t="s">
        <v>69</v>
      </c>
      <c r="AE33" s="131" t="s">
        <v>70</v>
      </c>
      <c r="AR33" s="131" t="s">
        <v>71</v>
      </c>
    </row>
    <row r="34" spans="1:49" s="129" customFormat="1">
      <c r="A34" s="129" t="s">
        <v>34</v>
      </c>
      <c r="E34" s="129" t="s">
        <v>76</v>
      </c>
      <c r="K34" s="129" t="s">
        <v>34</v>
      </c>
      <c r="U34" s="129" t="s">
        <v>34</v>
      </c>
      <c r="AE34" s="129" t="s">
        <v>34</v>
      </c>
      <c r="AR34" s="129" t="s">
        <v>34</v>
      </c>
    </row>
    <row r="35" spans="1:49" s="129" customFormat="1" ht="16" thickBot="1"/>
    <row r="36" spans="1:49" s="129" customFormat="1">
      <c r="A36" s="132" t="s">
        <v>35</v>
      </c>
      <c r="B36" s="132"/>
      <c r="E36" s="129" t="s">
        <v>77</v>
      </c>
      <c r="K36" s="132" t="s">
        <v>35</v>
      </c>
      <c r="L36" s="132"/>
      <c r="U36" s="132" t="s">
        <v>35</v>
      </c>
      <c r="V36" s="132"/>
      <c r="AE36" s="132" t="s">
        <v>35</v>
      </c>
      <c r="AF36" s="132"/>
      <c r="AR36" s="132" t="s">
        <v>35</v>
      </c>
      <c r="AS36" s="132"/>
    </row>
    <row r="37" spans="1:49" s="129" customFormat="1">
      <c r="A37" s="129" t="s">
        <v>37</v>
      </c>
      <c r="B37" s="129">
        <v>0.90781301248666202</v>
      </c>
      <c r="E37" s="129" t="s">
        <v>78</v>
      </c>
      <c r="K37" s="129" t="s">
        <v>37</v>
      </c>
      <c r="L37" s="129">
        <v>0.96671427199286253</v>
      </c>
      <c r="U37" s="129" t="s">
        <v>37</v>
      </c>
      <c r="V37" s="129">
        <v>0.9501605757413526</v>
      </c>
      <c r="AE37" s="129" t="s">
        <v>37</v>
      </c>
      <c r="AF37" s="129">
        <v>0.96804374346803679</v>
      </c>
      <c r="AR37" s="129" t="s">
        <v>37</v>
      </c>
      <c r="AS37" s="129">
        <v>0.9638416059100936</v>
      </c>
    </row>
    <row r="38" spans="1:49" s="129" customFormat="1">
      <c r="A38" s="129" t="s">
        <v>38</v>
      </c>
      <c r="B38" s="129">
        <v>0.82412446564010833</v>
      </c>
      <c r="K38" s="129" t="s">
        <v>38</v>
      </c>
      <c r="L38" s="129">
        <v>0.93453648367469011</v>
      </c>
      <c r="U38" s="129" t="s">
        <v>38</v>
      </c>
      <c r="V38" s="129">
        <v>0.9028051196931387</v>
      </c>
      <c r="AE38" s="129" t="s">
        <v>38</v>
      </c>
      <c r="AF38" s="129">
        <v>0.93710868926761026</v>
      </c>
      <c r="AR38" s="129" t="s">
        <v>38</v>
      </c>
      <c r="AS38" s="129">
        <v>0.92899064128334818</v>
      </c>
      <c r="AW38" s="129">
        <f>AVERAGE(AS38,V38,AF38,L38,B38)</f>
        <v>0.9055130799117791</v>
      </c>
    </row>
    <row r="39" spans="1:49" s="129" customFormat="1">
      <c r="A39" s="129" t="s">
        <v>39</v>
      </c>
      <c r="B39" s="129">
        <v>0.81156192747154454</v>
      </c>
      <c r="K39" s="129" t="s">
        <v>39</v>
      </c>
      <c r="L39" s="129">
        <v>0.9316902438344592</v>
      </c>
      <c r="U39" s="129" t="s">
        <v>39</v>
      </c>
      <c r="V39" s="129">
        <v>0.89857925533197081</v>
      </c>
      <c r="AE39" s="129" t="s">
        <v>39</v>
      </c>
      <c r="AF39" s="129">
        <v>0.93437428445315851</v>
      </c>
      <c r="AR39" s="129" t="s">
        <v>39</v>
      </c>
      <c r="AS39" s="129">
        <v>0.92590327786088511</v>
      </c>
    </row>
    <row r="40" spans="1:49" s="129" customFormat="1">
      <c r="A40" s="129" t="s">
        <v>40</v>
      </c>
      <c r="B40" s="129">
        <v>56.792994614801707</v>
      </c>
      <c r="K40" s="129" t="s">
        <v>40</v>
      </c>
      <c r="L40" s="129">
        <v>13.439904494830499</v>
      </c>
      <c r="U40" s="129" t="s">
        <v>40</v>
      </c>
      <c r="V40" s="129">
        <v>27.074082136421019</v>
      </c>
      <c r="AE40" s="129" t="s">
        <v>40</v>
      </c>
      <c r="AF40" s="129">
        <v>45.651614892648077</v>
      </c>
      <c r="AR40" s="129" t="s">
        <v>40</v>
      </c>
      <c r="AS40" s="129">
        <v>58.821662119072862</v>
      </c>
    </row>
    <row r="41" spans="1:49" s="129" customFormat="1" ht="16" thickBot="1">
      <c r="A41" s="133" t="s">
        <v>41</v>
      </c>
      <c r="B41" s="133">
        <v>16</v>
      </c>
      <c r="K41" s="133" t="s">
        <v>41</v>
      </c>
      <c r="L41" s="133">
        <v>25</v>
      </c>
      <c r="U41" s="133" t="s">
        <v>41</v>
      </c>
      <c r="V41" s="133">
        <v>25</v>
      </c>
      <c r="AE41" s="133" t="s">
        <v>41</v>
      </c>
      <c r="AF41" s="133">
        <v>25</v>
      </c>
      <c r="AR41" s="133" t="s">
        <v>41</v>
      </c>
      <c r="AS41" s="133">
        <v>25</v>
      </c>
    </row>
    <row r="42" spans="1:49" s="129" customFormat="1"/>
    <row r="43" spans="1:49" s="129" customFormat="1" ht="16" thickBot="1">
      <c r="A43" s="129" t="s">
        <v>42</v>
      </c>
      <c r="K43" s="129" t="s">
        <v>42</v>
      </c>
      <c r="U43" s="129" t="s">
        <v>42</v>
      </c>
      <c r="AE43" s="129" t="s">
        <v>42</v>
      </c>
      <c r="AR43" s="129" t="s">
        <v>42</v>
      </c>
    </row>
    <row r="44" spans="1:49" s="129" customFormat="1">
      <c r="A44" s="134"/>
      <c r="B44" s="134" t="s">
        <v>43</v>
      </c>
      <c r="C44" s="134" t="s">
        <v>44</v>
      </c>
      <c r="D44" s="134" t="s">
        <v>45</v>
      </c>
      <c r="E44" s="134" t="s">
        <v>46</v>
      </c>
      <c r="F44" s="134" t="s">
        <v>47</v>
      </c>
      <c r="K44" s="134"/>
      <c r="L44" s="134" t="s">
        <v>43</v>
      </c>
      <c r="M44" s="134" t="s">
        <v>44</v>
      </c>
      <c r="N44" s="134" t="s">
        <v>45</v>
      </c>
      <c r="O44" s="134" t="s">
        <v>46</v>
      </c>
      <c r="P44" s="134" t="s">
        <v>47</v>
      </c>
      <c r="U44" s="134"/>
      <c r="V44" s="134" t="s">
        <v>43</v>
      </c>
      <c r="W44" s="134" t="s">
        <v>44</v>
      </c>
      <c r="X44" s="134" t="s">
        <v>45</v>
      </c>
      <c r="Y44" s="134" t="s">
        <v>46</v>
      </c>
      <c r="Z44" s="134" t="s">
        <v>47</v>
      </c>
      <c r="AE44" s="134"/>
      <c r="AF44" s="134" t="s">
        <v>43</v>
      </c>
      <c r="AG44" s="134" t="s">
        <v>44</v>
      </c>
      <c r="AH44" s="134" t="s">
        <v>45</v>
      </c>
      <c r="AI44" s="134" t="s">
        <v>46</v>
      </c>
      <c r="AJ44" s="134" t="s">
        <v>47</v>
      </c>
      <c r="AR44" s="134"/>
      <c r="AS44" s="134" t="s">
        <v>43</v>
      </c>
      <c r="AT44" s="134" t="s">
        <v>44</v>
      </c>
      <c r="AU44" s="134" t="s">
        <v>45</v>
      </c>
      <c r="AV44" s="134" t="s">
        <v>46</v>
      </c>
      <c r="AW44" s="134" t="s">
        <v>47</v>
      </c>
    </row>
    <row r="45" spans="1:49" s="129" customFormat="1">
      <c r="A45" s="129" t="s">
        <v>48</v>
      </c>
      <c r="B45" s="129">
        <v>1</v>
      </c>
      <c r="C45" s="129">
        <v>211594.78067756345</v>
      </c>
      <c r="D45" s="129">
        <v>211594.78067756345</v>
      </c>
      <c r="E45" s="129">
        <v>65.60174819626701</v>
      </c>
      <c r="F45" s="129">
        <v>1.1855930801388425E-6</v>
      </c>
      <c r="K45" s="129" t="s">
        <v>48</v>
      </c>
      <c r="L45" s="129">
        <v>1</v>
      </c>
      <c r="M45" s="129">
        <v>59308.526244906214</v>
      </c>
      <c r="N45" s="129">
        <v>59308.526244906214</v>
      </c>
      <c r="O45" s="129">
        <v>328.34073589486667</v>
      </c>
      <c r="P45" s="129">
        <v>4.1100016007390363E-15</v>
      </c>
      <c r="U45" s="129" t="s">
        <v>48</v>
      </c>
      <c r="V45" s="129">
        <v>1</v>
      </c>
      <c r="W45" s="129">
        <v>156597.90375881759</v>
      </c>
      <c r="X45" s="129">
        <v>156597.90375881759</v>
      </c>
      <c r="Y45" s="129">
        <v>213.63797853739797</v>
      </c>
      <c r="Z45" s="129">
        <v>3.931939287130035E-13</v>
      </c>
      <c r="AE45" s="129" t="s">
        <v>48</v>
      </c>
      <c r="AF45" s="129">
        <v>1</v>
      </c>
      <c r="AG45" s="129">
        <v>714232.23132694722</v>
      </c>
      <c r="AH45" s="129">
        <v>714232.23132694722</v>
      </c>
      <c r="AI45" s="129">
        <v>342.710298166114</v>
      </c>
      <c r="AJ45" s="129">
        <v>2.5887831677326651E-15</v>
      </c>
      <c r="AR45" s="129" t="s">
        <v>48</v>
      </c>
      <c r="AS45" s="129">
        <v>1</v>
      </c>
      <c r="AT45" s="129">
        <v>1041113.7175076416</v>
      </c>
      <c r="AU45" s="129">
        <v>1041113.7175076416</v>
      </c>
      <c r="AV45" s="129">
        <v>300.90096764254338</v>
      </c>
      <c r="AW45" s="129">
        <v>1.0499338554439261E-14</v>
      </c>
    </row>
    <row r="46" spans="1:49" s="129" customFormat="1">
      <c r="A46" s="129" t="s">
        <v>49</v>
      </c>
      <c r="B46" s="129">
        <v>14</v>
      </c>
      <c r="C46" s="129">
        <v>45156.219322436533</v>
      </c>
      <c r="D46" s="129">
        <v>3225.4442373168954</v>
      </c>
      <c r="K46" s="129" t="s">
        <v>49</v>
      </c>
      <c r="L46" s="129">
        <v>23</v>
      </c>
      <c r="M46" s="129">
        <v>4154.5137550937961</v>
      </c>
      <c r="N46" s="129">
        <v>180.63103283016505</v>
      </c>
      <c r="U46" s="129" t="s">
        <v>49</v>
      </c>
      <c r="V46" s="129">
        <v>23</v>
      </c>
      <c r="W46" s="129">
        <v>16859.136241182448</v>
      </c>
      <c r="X46" s="129">
        <v>733.00592352967169</v>
      </c>
      <c r="AE46" s="129" t="s">
        <v>49</v>
      </c>
      <c r="AF46" s="129">
        <v>23</v>
      </c>
      <c r="AG46" s="129">
        <v>47933.608673052899</v>
      </c>
      <c r="AH46" s="129">
        <v>2084.0699423066476</v>
      </c>
      <c r="AR46" s="129" t="s">
        <v>49</v>
      </c>
      <c r="AS46" s="129">
        <v>23</v>
      </c>
      <c r="AT46" s="129">
        <v>79579.722492358531</v>
      </c>
      <c r="AU46" s="129">
        <v>3459.9879344503711</v>
      </c>
    </row>
    <row r="47" spans="1:49" s="129" customFormat="1" ht="16" thickBot="1">
      <c r="A47" s="133" t="s">
        <v>29</v>
      </c>
      <c r="B47" s="133">
        <v>15</v>
      </c>
      <c r="C47" s="133">
        <v>256751</v>
      </c>
      <c r="D47" s="133"/>
      <c r="E47" s="133"/>
      <c r="F47" s="133"/>
      <c r="K47" s="133" t="s">
        <v>29</v>
      </c>
      <c r="L47" s="133">
        <v>24</v>
      </c>
      <c r="M47" s="133">
        <v>63463.040000000008</v>
      </c>
      <c r="N47" s="133"/>
      <c r="O47" s="133"/>
      <c r="P47" s="133"/>
      <c r="U47" s="133" t="s">
        <v>29</v>
      </c>
      <c r="V47" s="133">
        <v>24</v>
      </c>
      <c r="W47" s="133">
        <v>173457.04000000004</v>
      </c>
      <c r="X47" s="133"/>
      <c r="Y47" s="133"/>
      <c r="Z47" s="133"/>
      <c r="AE47" s="133" t="s">
        <v>29</v>
      </c>
      <c r="AF47" s="133">
        <v>24</v>
      </c>
      <c r="AG47" s="133">
        <v>762165.84000000008</v>
      </c>
      <c r="AH47" s="133"/>
      <c r="AI47" s="133"/>
      <c r="AJ47" s="133"/>
      <c r="AR47" s="133" t="s">
        <v>29</v>
      </c>
      <c r="AS47" s="133">
        <v>24</v>
      </c>
      <c r="AT47" s="133">
        <v>1120693.4400000002</v>
      </c>
      <c r="AU47" s="133"/>
      <c r="AV47" s="133"/>
      <c r="AW47" s="133"/>
    </row>
    <row r="48" spans="1:49" s="129" customFormat="1" ht="16" thickBot="1"/>
    <row r="49" spans="1:52" s="129" customFormat="1">
      <c r="A49" s="134"/>
      <c r="B49" s="134" t="s">
        <v>50</v>
      </c>
      <c r="C49" s="134" t="s">
        <v>40</v>
      </c>
      <c r="D49" s="134" t="s">
        <v>51</v>
      </c>
      <c r="E49" s="134" t="s">
        <v>52</v>
      </c>
      <c r="F49" s="134" t="s">
        <v>53</v>
      </c>
      <c r="G49" s="134" t="s">
        <v>54</v>
      </c>
      <c r="H49" s="134" t="s">
        <v>55</v>
      </c>
      <c r="I49" s="134" t="s">
        <v>56</v>
      </c>
      <c r="K49" s="134"/>
      <c r="L49" s="134" t="s">
        <v>50</v>
      </c>
      <c r="M49" s="134" t="s">
        <v>40</v>
      </c>
      <c r="N49" s="134" t="s">
        <v>51</v>
      </c>
      <c r="O49" s="134" t="s">
        <v>52</v>
      </c>
      <c r="P49" s="134" t="s">
        <v>53</v>
      </c>
      <c r="Q49" s="134" t="s">
        <v>54</v>
      </c>
      <c r="R49" s="134" t="s">
        <v>55</v>
      </c>
      <c r="S49" s="134" t="s">
        <v>56</v>
      </c>
      <c r="U49" s="134"/>
      <c r="V49" s="134" t="s">
        <v>50</v>
      </c>
      <c r="W49" s="134" t="s">
        <v>40</v>
      </c>
      <c r="X49" s="134" t="s">
        <v>51</v>
      </c>
      <c r="Y49" s="134" t="s">
        <v>52</v>
      </c>
      <c r="Z49" s="134" t="s">
        <v>53</v>
      </c>
      <c r="AA49" s="134" t="s">
        <v>54</v>
      </c>
      <c r="AB49" s="134" t="s">
        <v>55</v>
      </c>
      <c r="AC49" s="134" t="s">
        <v>56</v>
      </c>
      <c r="AE49" s="134"/>
      <c r="AF49" s="134" t="s">
        <v>50</v>
      </c>
      <c r="AG49" s="134" t="s">
        <v>40</v>
      </c>
      <c r="AH49" s="134" t="s">
        <v>51</v>
      </c>
      <c r="AI49" s="134" t="s">
        <v>52</v>
      </c>
      <c r="AJ49" s="134" t="s">
        <v>53</v>
      </c>
      <c r="AK49" s="134" t="s">
        <v>54</v>
      </c>
      <c r="AL49" s="134" t="s">
        <v>55</v>
      </c>
      <c r="AM49" s="134" t="s">
        <v>56</v>
      </c>
      <c r="AR49" s="134"/>
      <c r="AS49" s="134" t="s">
        <v>50</v>
      </c>
      <c r="AT49" s="134" t="s">
        <v>40</v>
      </c>
      <c r="AU49" s="134" t="s">
        <v>51</v>
      </c>
      <c r="AV49" s="134" t="s">
        <v>52</v>
      </c>
      <c r="AW49" s="134" t="s">
        <v>53</v>
      </c>
      <c r="AX49" s="134" t="s">
        <v>54</v>
      </c>
      <c r="AY49" s="134" t="s">
        <v>55</v>
      </c>
      <c r="AZ49" s="134" t="s">
        <v>56</v>
      </c>
    </row>
    <row r="50" spans="1:52" s="129" customFormat="1">
      <c r="A50" s="129" t="s">
        <v>57</v>
      </c>
      <c r="B50" s="129">
        <v>26.118620490840954</v>
      </c>
      <c r="C50" s="129">
        <v>49.447162419254731</v>
      </c>
      <c r="D50" s="129">
        <v>0.52821272673617281</v>
      </c>
      <c r="E50" s="129">
        <v>0.60562398615066471</v>
      </c>
      <c r="F50" s="129">
        <v>-79.93499522128613</v>
      </c>
      <c r="G50" s="129">
        <v>132.17223620296804</v>
      </c>
      <c r="H50" s="129">
        <v>-79.93499522128613</v>
      </c>
      <c r="I50" s="129">
        <v>132.17223620296804</v>
      </c>
      <c r="K50" s="129" t="s">
        <v>57</v>
      </c>
      <c r="L50" s="129">
        <v>79.784556522453059</v>
      </c>
      <c r="M50" s="129">
        <v>5.0981284404691358</v>
      </c>
      <c r="N50" s="129">
        <v>15.649773726593516</v>
      </c>
      <c r="O50" s="129">
        <v>9.3783551360327822E-14</v>
      </c>
      <c r="P50" s="129">
        <v>69.238274325182786</v>
      </c>
      <c r="Q50" s="129">
        <v>90.330838719723332</v>
      </c>
      <c r="R50" s="129">
        <v>69.238274325182786</v>
      </c>
      <c r="S50" s="129">
        <v>90.330838719723332</v>
      </c>
      <c r="U50" s="129" t="s">
        <v>57</v>
      </c>
      <c r="V50" s="129">
        <v>85.610056525535697</v>
      </c>
      <c r="W50" s="129">
        <v>12.158110278621146</v>
      </c>
      <c r="X50" s="129">
        <v>7.0413949671169416</v>
      </c>
      <c r="Y50" s="129">
        <v>3.5625268684513065E-7</v>
      </c>
      <c r="Z50" s="129">
        <v>60.459089169351998</v>
      </c>
      <c r="AA50" s="129">
        <v>110.7610238817194</v>
      </c>
      <c r="AB50" s="129">
        <v>60.459089169351998</v>
      </c>
      <c r="AC50" s="129">
        <v>110.7610238817194</v>
      </c>
      <c r="AE50" s="129" t="s">
        <v>57</v>
      </c>
      <c r="AF50" s="129">
        <v>61.558232048224738</v>
      </c>
      <c r="AG50" s="129">
        <v>23.127087111700057</v>
      </c>
      <c r="AH50" s="129">
        <v>2.6617373710276837</v>
      </c>
      <c r="AI50" s="129">
        <v>1.3935042727732704E-2</v>
      </c>
      <c r="AJ50" s="129">
        <v>13.716207287782112</v>
      </c>
      <c r="AK50" s="129">
        <v>109.40025680866736</v>
      </c>
      <c r="AL50" s="129">
        <v>13.716207287782112</v>
      </c>
      <c r="AM50" s="129">
        <v>109.40025680866736</v>
      </c>
      <c r="AR50" s="129" t="s">
        <v>57</v>
      </c>
      <c r="AS50" s="129">
        <v>-9.5079162770464904</v>
      </c>
      <c r="AT50" s="129">
        <v>30.237468608744468</v>
      </c>
      <c r="AU50" s="129">
        <v>-0.31444154271223834</v>
      </c>
      <c r="AV50" s="129">
        <v>0.75602033581583739</v>
      </c>
      <c r="AW50" s="129">
        <v>-72.058885834332827</v>
      </c>
      <c r="AX50" s="129">
        <v>53.043053280239846</v>
      </c>
      <c r="AY50" s="129">
        <v>-72.058885834332827</v>
      </c>
      <c r="AZ50" s="129">
        <v>53.043053280239846</v>
      </c>
    </row>
    <row r="51" spans="1:52" s="129" customFormat="1" ht="16" thickBot="1">
      <c r="A51" s="133" t="s">
        <v>79</v>
      </c>
      <c r="B51" s="133">
        <v>0.85727682571879116</v>
      </c>
      <c r="C51" s="133">
        <v>0.10584330134321912</v>
      </c>
      <c r="D51" s="133">
        <v>8.0994906133822404</v>
      </c>
      <c r="E51" s="133">
        <v>1.1855930801388406E-6</v>
      </c>
      <c r="F51" s="133">
        <v>0.63026552199258212</v>
      </c>
      <c r="G51" s="133">
        <v>1.0842881294450002</v>
      </c>
      <c r="H51" s="133">
        <v>0.63026552199258212</v>
      </c>
      <c r="I51" s="133">
        <v>1.0842881294450002</v>
      </c>
      <c r="K51" s="133" t="s">
        <v>79</v>
      </c>
      <c r="L51" s="133">
        <v>0.15578201849159909</v>
      </c>
      <c r="M51" s="133">
        <v>8.597158688984044E-3</v>
      </c>
      <c r="N51" s="133">
        <v>18.120174830692626</v>
      </c>
      <c r="O51" s="133">
        <v>4.1100016007390663E-15</v>
      </c>
      <c r="P51" s="133">
        <v>0.13799744074165199</v>
      </c>
      <c r="Q51" s="133">
        <v>0.17356659624154619</v>
      </c>
      <c r="R51" s="133">
        <v>0.13799744074165199</v>
      </c>
      <c r="S51" s="133">
        <v>0.17356659624154619</v>
      </c>
      <c r="U51" s="133" t="s">
        <v>79</v>
      </c>
      <c r="V51" s="133">
        <v>0.1175874597038432</v>
      </c>
      <c r="W51" s="133">
        <v>8.044920897537014E-3</v>
      </c>
      <c r="X51" s="133">
        <v>14.61635996195352</v>
      </c>
      <c r="Y51" s="133">
        <v>3.9319392871300491E-13</v>
      </c>
      <c r="Z51" s="133">
        <v>0.10094527286393401</v>
      </c>
      <c r="AA51" s="133">
        <v>0.13422964654375238</v>
      </c>
      <c r="AB51" s="133">
        <v>0.10094527286393401</v>
      </c>
      <c r="AC51" s="133">
        <v>0.13422964654375238</v>
      </c>
      <c r="AE51" s="133" t="s">
        <v>79</v>
      </c>
      <c r="AF51" s="133">
        <v>8.6194741029479813E-2</v>
      </c>
      <c r="AG51" s="133">
        <v>4.656045243413209E-3</v>
      </c>
      <c r="AH51" s="133">
        <v>18.51243631092661</v>
      </c>
      <c r="AI51" s="133">
        <v>2.5887831677326651E-15</v>
      </c>
      <c r="AJ51" s="133">
        <v>7.6562977602237667E-2</v>
      </c>
      <c r="AK51" s="133">
        <v>9.5826504456721959E-2</v>
      </c>
      <c r="AL51" s="133">
        <v>7.6562977602237667E-2</v>
      </c>
      <c r="AM51" s="133">
        <v>9.5826504456721959E-2</v>
      </c>
      <c r="AR51" s="133" t="s">
        <v>79</v>
      </c>
      <c r="AS51" s="133">
        <v>9.2703257027175953E-2</v>
      </c>
      <c r="AT51" s="133">
        <v>5.3442061280818964E-3</v>
      </c>
      <c r="AU51" s="133">
        <v>17.346497273010002</v>
      </c>
      <c r="AV51" s="133">
        <v>1.0499338554439186E-14</v>
      </c>
      <c r="AW51" s="133">
        <v>8.1647924348671214E-2</v>
      </c>
      <c r="AX51" s="133">
        <v>0.10375858970568069</v>
      </c>
      <c r="AY51" s="133">
        <v>8.1647924348671214E-2</v>
      </c>
      <c r="AZ51" s="133">
        <v>0.10375858970568069</v>
      </c>
    </row>
    <row r="52" spans="1:52" s="129" customFormat="1"/>
    <row r="53" spans="1:52" s="129" customFormat="1"/>
    <row r="54" spans="1:52" s="129" customFormat="1">
      <c r="A54" s="129" t="s">
        <v>34</v>
      </c>
      <c r="D54" s="129" t="s">
        <v>63</v>
      </c>
      <c r="F54" s="129">
        <f>B70 +B71*'Tkm, Vkm, &amp; Stock Projections'!AA17 -'Tkm, Vkm, &amp; Stock Projections'!Z22</f>
        <v>-267.48632882777156</v>
      </c>
    </row>
    <row r="55" spans="1:52" s="129" customFormat="1" ht="16" thickBot="1"/>
    <row r="56" spans="1:52" s="129" customFormat="1">
      <c r="A56" s="132" t="s">
        <v>35</v>
      </c>
      <c r="B56" s="132"/>
      <c r="E56" s="129" t="s">
        <v>80</v>
      </c>
    </row>
    <row r="57" spans="1:52" s="129" customFormat="1">
      <c r="A57" s="129" t="s">
        <v>37</v>
      </c>
      <c r="B57" s="129">
        <v>0.90669449530821056</v>
      </c>
    </row>
    <row r="58" spans="1:52" s="129" customFormat="1">
      <c r="A58" s="129" t="s">
        <v>38</v>
      </c>
      <c r="B58" s="129">
        <v>0.82209490782221073</v>
      </c>
      <c r="E58" s="129" t="s">
        <v>81</v>
      </c>
    </row>
    <row r="59" spans="1:52" s="129" customFormat="1">
      <c r="A59" s="129" t="s">
        <v>39</v>
      </c>
      <c r="B59" s="129">
        <v>0.79667989465395517</v>
      </c>
      <c r="E59" s="129" t="s">
        <v>82</v>
      </c>
    </row>
    <row r="60" spans="1:52" s="129" customFormat="1">
      <c r="A60" s="129" t="s">
        <v>40</v>
      </c>
      <c r="B60" s="129">
        <v>169.21844084202772</v>
      </c>
    </row>
    <row r="61" spans="1:52" s="129" customFormat="1" ht="16" thickBot="1">
      <c r="A61" s="133" t="s">
        <v>41</v>
      </c>
      <c r="B61" s="133">
        <v>9</v>
      </c>
    </row>
    <row r="62" spans="1:52" s="129" customFormat="1"/>
    <row r="63" spans="1:52" s="129" customFormat="1" ht="16" thickBot="1">
      <c r="A63" s="129" t="s">
        <v>42</v>
      </c>
    </row>
    <row r="64" spans="1:52" s="129" customFormat="1">
      <c r="A64" s="134"/>
      <c r="B64" s="134" t="s">
        <v>43</v>
      </c>
      <c r="C64" s="134" t="s">
        <v>44</v>
      </c>
      <c r="D64" s="134" t="s">
        <v>45</v>
      </c>
      <c r="E64" s="134" t="s">
        <v>46</v>
      </c>
      <c r="F64" s="134" t="s">
        <v>47</v>
      </c>
    </row>
    <row r="65" spans="1:9" s="129" customFormat="1">
      <c r="A65" s="129" t="s">
        <v>48</v>
      </c>
      <c r="B65" s="129">
        <v>1</v>
      </c>
      <c r="C65" s="129">
        <v>926247.39050850761</v>
      </c>
      <c r="D65" s="129">
        <v>926247.39050850761</v>
      </c>
      <c r="E65" s="129">
        <v>32.346822029155625</v>
      </c>
      <c r="F65" s="129">
        <v>7.4497815446903379E-4</v>
      </c>
    </row>
    <row r="66" spans="1:9" s="129" customFormat="1">
      <c r="A66" s="129" t="s">
        <v>49</v>
      </c>
      <c r="B66" s="129">
        <v>7</v>
      </c>
      <c r="C66" s="129">
        <v>200444.16504704783</v>
      </c>
      <c r="D66" s="129">
        <v>28634.880721006833</v>
      </c>
    </row>
    <row r="67" spans="1:9" s="129" customFormat="1" ht="16" thickBot="1">
      <c r="A67" s="133" t="s">
        <v>29</v>
      </c>
      <c r="B67" s="133">
        <v>8</v>
      </c>
      <c r="C67" s="133">
        <v>1126691.5555555555</v>
      </c>
      <c r="D67" s="133"/>
      <c r="E67" s="133"/>
      <c r="F67" s="133"/>
    </row>
    <row r="68" spans="1:9" s="129" customFormat="1" ht="16" thickBot="1"/>
    <row r="69" spans="1:9" s="129" customFormat="1">
      <c r="A69" s="134"/>
      <c r="B69" s="134" t="s">
        <v>50</v>
      </c>
      <c r="C69" s="134" t="s">
        <v>40</v>
      </c>
      <c r="D69" s="134" t="s">
        <v>51</v>
      </c>
      <c r="E69" s="134" t="s">
        <v>52</v>
      </c>
      <c r="F69" s="134" t="s">
        <v>53</v>
      </c>
      <c r="G69" s="134" t="s">
        <v>54</v>
      </c>
      <c r="H69" s="134" t="s">
        <v>55</v>
      </c>
      <c r="I69" s="134" t="s">
        <v>56</v>
      </c>
    </row>
    <row r="70" spans="1:9" s="129" customFormat="1">
      <c r="A70" s="129" t="s">
        <v>57</v>
      </c>
      <c r="B70" s="129">
        <v>-1511.6626620479078</v>
      </c>
      <c r="C70" s="129">
        <v>557.22280614216413</v>
      </c>
      <c r="D70" s="129">
        <v>-2.7128513861692833</v>
      </c>
      <c r="E70" s="129">
        <v>3.007476220119254E-2</v>
      </c>
      <c r="F70" s="129">
        <v>-2829.2852229922541</v>
      </c>
      <c r="G70" s="129">
        <v>-194.04010110356148</v>
      </c>
      <c r="H70" s="129">
        <v>-2829.2852229922541</v>
      </c>
      <c r="I70" s="129">
        <v>-194.04010110356148</v>
      </c>
    </row>
    <row r="71" spans="1:9" s="129" customFormat="1" ht="16" thickBot="1">
      <c r="A71" s="133" t="s">
        <v>79</v>
      </c>
      <c r="B71" s="133">
        <v>0.29632067290892083</v>
      </c>
      <c r="C71" s="133">
        <v>5.2101009920428008E-2</v>
      </c>
      <c r="D71" s="133">
        <v>5.687426661430953</v>
      </c>
      <c r="E71" s="133">
        <v>7.4497815446903314E-4</v>
      </c>
      <c r="F71" s="133">
        <v>0.17312136131860051</v>
      </c>
      <c r="G71" s="133">
        <v>0.41951998449924116</v>
      </c>
      <c r="H71" s="133">
        <v>0.17312136131860051</v>
      </c>
      <c r="I71" s="133">
        <v>0.41951998449924116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22E9-2481-48A2-8D77-3F978CB76671}">
  <dimension ref="A1:AR69"/>
  <sheetViews>
    <sheetView topLeftCell="A52" zoomScale="85" zoomScaleNormal="85" workbookViewId="0">
      <selection activeCell="K30" sqref="K30"/>
    </sheetView>
  </sheetViews>
  <sheetFormatPr baseColWidth="10" defaultColWidth="8.83203125" defaultRowHeight="15"/>
  <cols>
    <col min="2" max="2" width="9.5" bestFit="1" customWidth="1"/>
    <col min="3" max="3" width="10.83203125" customWidth="1"/>
    <col min="4" max="4" width="10.5" customWidth="1"/>
    <col min="5" max="5" width="9" bestFit="1" customWidth="1"/>
    <col min="6" max="6" width="9.5" bestFit="1" customWidth="1"/>
    <col min="7" max="7" width="9" bestFit="1" customWidth="1"/>
    <col min="8" max="8" width="9.5" bestFit="1" customWidth="1"/>
    <col min="9" max="14" width="9.5" customWidth="1"/>
    <col min="15" max="19" width="9" bestFit="1" customWidth="1"/>
    <col min="22" max="22" width="9.5" customWidth="1"/>
    <col min="34" max="34" width="9.83203125" customWidth="1"/>
  </cols>
  <sheetData>
    <row r="1" spans="1:43" s="78" customFormat="1" ht="19">
      <c r="A1" s="77" t="s">
        <v>83</v>
      </c>
      <c r="K1" s="77"/>
    </row>
    <row r="2" spans="1:43" s="40" customFormat="1"/>
    <row r="3" spans="1:43" s="40" customFormat="1" ht="18" customHeight="1">
      <c r="I3" s="141" t="s">
        <v>84</v>
      </c>
      <c r="J3" s="141"/>
      <c r="K3" s="141"/>
      <c r="L3" s="141"/>
      <c r="M3" s="141"/>
      <c r="N3" s="141"/>
      <c r="O3" s="141"/>
      <c r="P3" s="141"/>
      <c r="Q3" s="141"/>
    </row>
    <row r="4" spans="1:43" s="40" customFormat="1" ht="18" customHeight="1">
      <c r="G4" s="69">
        <v>2010</v>
      </c>
      <c r="H4" s="69">
        <v>2011</v>
      </c>
      <c r="I4" s="69">
        <v>2012</v>
      </c>
      <c r="J4" s="69">
        <v>2013</v>
      </c>
      <c r="K4" s="69">
        <v>2014</v>
      </c>
      <c r="L4" s="69">
        <v>2015</v>
      </c>
      <c r="M4" s="69">
        <v>2016</v>
      </c>
      <c r="N4" s="69">
        <v>2017</v>
      </c>
      <c r="O4" s="69">
        <v>2018</v>
      </c>
      <c r="P4" s="69" t="s">
        <v>85</v>
      </c>
      <c r="Q4" s="69"/>
    </row>
    <row r="5" spans="1:43" s="40" customFormat="1" ht="18" customHeight="1">
      <c r="B5" s="43"/>
      <c r="C5" s="43"/>
      <c r="D5" s="43"/>
      <c r="E5" s="72" t="s">
        <v>67</v>
      </c>
      <c r="G5" s="62">
        <f t="shared" ref="G5:G9" si="0">-(C13-D13)/C13</f>
        <v>1.1042517243047821E-2</v>
      </c>
      <c r="H5" s="62">
        <f t="shared" ref="H5:H9" si="1">-(D13-E13)/D13</f>
        <v>7.9801527036052061E-3</v>
      </c>
      <c r="I5" s="62">
        <f t="shared" ref="I5:I9" si="2">-(E13-F13)/E13</f>
        <v>-1.4047238367002076E-2</v>
      </c>
      <c r="J5" s="62">
        <f t="shared" ref="J5:J9" si="3">-(F13-G13)/F13</f>
        <v>6.3098051208865759E-3</v>
      </c>
      <c r="K5" s="62">
        <f t="shared" ref="K5:O9" si="4">-(G13-H13)/G13</f>
        <v>1.8702878691546174E-2</v>
      </c>
      <c r="L5" s="62">
        <f t="shared" si="4"/>
        <v>-1.4796838320303072E-2</v>
      </c>
      <c r="M5" s="62">
        <f t="shared" si="4"/>
        <v>9.8188352375195419E-3</v>
      </c>
      <c r="N5" s="62">
        <f t="shared" si="4"/>
        <v>1.3624707076574776E-2</v>
      </c>
      <c r="O5" s="62">
        <f t="shared" si="4"/>
        <v>1.4846609871979912E-2</v>
      </c>
      <c r="P5" s="62">
        <f>AVERAGE(G5:O5)</f>
        <v>5.9423810286505403E-3</v>
      </c>
    </row>
    <row r="6" spans="1:43" s="40" customFormat="1" ht="18" customHeight="1">
      <c r="E6" s="40" t="s">
        <v>68</v>
      </c>
      <c r="G6" s="62">
        <f t="shared" si="0"/>
        <v>-2.5986711551718909E-2</v>
      </c>
      <c r="H6" s="62">
        <f t="shared" si="1"/>
        <v>-1.5041570477592371E-2</v>
      </c>
      <c r="I6" s="62">
        <f t="shared" si="2"/>
        <v>-2.3660413232066142E-2</v>
      </c>
      <c r="J6" s="62">
        <f t="shared" si="3"/>
        <v>-5.1714217331453795E-2</v>
      </c>
      <c r="K6" s="62">
        <f t="shared" si="4"/>
        <v>-9.5460068177285404E-2</v>
      </c>
      <c r="L6" s="62">
        <f t="shared" si="4"/>
        <v>-3.9742203086567111E-2</v>
      </c>
      <c r="M6" s="62">
        <f t="shared" si="4"/>
        <v>-7.6856395341278166E-2</v>
      </c>
      <c r="N6" s="62">
        <f t="shared" si="4"/>
        <v>-7.106899648968458E-2</v>
      </c>
      <c r="O6" s="62">
        <f t="shared" si="4"/>
        <v>-6.1017875013198247E-2</v>
      </c>
      <c r="P6" s="62">
        <f t="shared" ref="P6:P9" si="5">AVERAGE(G6:O6)</f>
        <v>-5.1172050077871636E-2</v>
      </c>
      <c r="S6" s="55" t="s">
        <v>86</v>
      </c>
      <c r="T6" s="56"/>
      <c r="U6" s="57" t="s">
        <v>87</v>
      </c>
      <c r="V6" s="57" t="s">
        <v>88</v>
      </c>
      <c r="W6" s="57" t="s">
        <v>89</v>
      </c>
      <c r="X6" s="57" t="s">
        <v>90</v>
      </c>
      <c r="Y6" s="57" t="s">
        <v>91</v>
      </c>
    </row>
    <row r="7" spans="1:43" s="40" customFormat="1" ht="18" customHeight="1">
      <c r="B7" s="52"/>
      <c r="C7" s="52"/>
      <c r="D7" s="52"/>
      <c r="E7" s="40" t="s">
        <v>69</v>
      </c>
      <c r="G7" s="62">
        <f t="shared" si="0"/>
        <v>-4.3022110362769879E-2</v>
      </c>
      <c r="H7" s="62">
        <f t="shared" si="1"/>
        <v>-5.3194432366340284E-3</v>
      </c>
      <c r="I7" s="62">
        <f t="shared" si="2"/>
        <v>-1.582917360749711E-2</v>
      </c>
      <c r="J7" s="62">
        <f t="shared" si="3"/>
        <v>-1.0464680554478727E-3</v>
      </c>
      <c r="K7" s="62">
        <f t="shared" si="4"/>
        <v>-6.7385256412426695E-2</v>
      </c>
      <c r="L7" s="62">
        <f t="shared" si="4"/>
        <v>6.4796211379627086E-2</v>
      </c>
      <c r="M7" s="62">
        <f t="shared" si="4"/>
        <v>-1.5943281155956553E-2</v>
      </c>
      <c r="N7" s="62">
        <f t="shared" si="4"/>
        <v>-3.7784842838566181E-2</v>
      </c>
      <c r="O7" s="62">
        <f t="shared" si="4"/>
        <v>-4.3692923591155806E-2</v>
      </c>
      <c r="P7" s="62">
        <f t="shared" si="5"/>
        <v>-1.8358587542314116E-2</v>
      </c>
      <c r="S7" s="140" t="s">
        <v>92</v>
      </c>
      <c r="T7" s="140"/>
      <c r="U7" s="73">
        <v>0.01</v>
      </c>
      <c r="V7" s="58">
        <v>-2.5000000000000001E-2</v>
      </c>
      <c r="W7" s="58">
        <v>-1.4999999999999999E-2</v>
      </c>
      <c r="X7" s="58">
        <v>-0.02</v>
      </c>
      <c r="Y7" s="58">
        <v>0.02</v>
      </c>
    </row>
    <row r="8" spans="1:43" s="40" customFormat="1" ht="18" customHeight="1">
      <c r="B8" s="52"/>
      <c r="C8" s="52"/>
      <c r="D8" s="52"/>
      <c r="E8" s="40" t="s">
        <v>70</v>
      </c>
      <c r="G8" s="62">
        <f t="shared" si="0"/>
        <v>-4.1066432065857056E-2</v>
      </c>
      <c r="H8" s="62">
        <f t="shared" si="1"/>
        <v>-3.8884101810553733E-2</v>
      </c>
      <c r="I8" s="62">
        <f t="shared" si="2"/>
        <v>2.6902682129986952E-2</v>
      </c>
      <c r="J8" s="62">
        <f t="shared" si="3"/>
        <v>-1.6839726041685155E-2</v>
      </c>
      <c r="K8" s="62">
        <f t="shared" si="4"/>
        <v>-3.8525053429145688E-2</v>
      </c>
      <c r="L8" s="62">
        <f t="shared" si="4"/>
        <v>3.6711289390527105E-2</v>
      </c>
      <c r="M8" s="62">
        <f t="shared" si="4"/>
        <v>-3.4209988526980713E-2</v>
      </c>
      <c r="N8" s="62">
        <f t="shared" si="4"/>
        <v>-4.9213580651432734E-2</v>
      </c>
      <c r="O8" s="62">
        <f t="shared" si="4"/>
        <v>-4.6277578508806622E-2</v>
      </c>
      <c r="P8" s="62">
        <f t="shared" si="5"/>
        <v>-2.2378054390438627E-2</v>
      </c>
      <c r="S8" s="140" t="s">
        <v>93</v>
      </c>
      <c r="T8" s="140"/>
      <c r="U8" s="73">
        <v>5.0000000000000001E-3</v>
      </c>
      <c r="V8" s="58">
        <v>-0.01</v>
      </c>
      <c r="W8" s="58">
        <v>-5.0000000000000001E-3</v>
      </c>
      <c r="X8" s="58">
        <v>-0.01</v>
      </c>
      <c r="Y8" s="58">
        <v>5.0000000000000001E-3</v>
      </c>
    </row>
    <row r="9" spans="1:43" s="40" customFormat="1" ht="18" customHeight="1">
      <c r="B9" s="52"/>
      <c r="C9" s="52"/>
      <c r="D9" s="52"/>
      <c r="E9" s="40" t="s">
        <v>71</v>
      </c>
      <c r="G9" s="62">
        <f t="shared" si="0"/>
        <v>6.9569012813729325E-3</v>
      </c>
      <c r="H9" s="62">
        <f t="shared" si="1"/>
        <v>1.9676763762955371E-3</v>
      </c>
      <c r="I9" s="62">
        <f t="shared" si="2"/>
        <v>8.48320427797776E-2</v>
      </c>
      <c r="J9" s="62">
        <f t="shared" si="3"/>
        <v>4.8743815219906006E-3</v>
      </c>
      <c r="K9" s="62">
        <f t="shared" si="4"/>
        <v>-1.0509016069416108E-2</v>
      </c>
      <c r="L9" s="62">
        <f t="shared" si="4"/>
        <v>5.5994101484018365E-2</v>
      </c>
      <c r="M9" s="62">
        <f t="shared" si="4"/>
        <v>1.02429774369402E-2</v>
      </c>
      <c r="N9" s="62">
        <f t="shared" si="4"/>
        <v>1.7993798662315713E-3</v>
      </c>
      <c r="O9" s="62">
        <f t="shared" si="4"/>
        <v>-1.5726269913078003E-2</v>
      </c>
      <c r="P9" s="62">
        <f t="shared" si="5"/>
        <v>1.5603574973792519E-2</v>
      </c>
      <c r="S9" s="140" t="s">
        <v>94</v>
      </c>
      <c r="T9" s="140"/>
      <c r="U9" s="73">
        <v>2.5000000000000001E-3</v>
      </c>
      <c r="V9" s="58">
        <v>-5.0000000000000001E-3</v>
      </c>
      <c r="W9" s="58">
        <v>0</v>
      </c>
      <c r="X9" s="58">
        <v>-5.0000000000000001E-3</v>
      </c>
      <c r="Y9" s="58">
        <v>0</v>
      </c>
    </row>
    <row r="10" spans="1:43" s="40" customFormat="1" ht="18" customHeight="1">
      <c r="B10" s="52"/>
      <c r="C10" s="52"/>
      <c r="D10" s="52"/>
      <c r="E10" s="40" t="s">
        <v>29</v>
      </c>
      <c r="Q10" s="62"/>
    </row>
    <row r="11" spans="1:43" s="40" customFormat="1" ht="18" customHeight="1">
      <c r="B11" s="52"/>
      <c r="C11" s="52"/>
      <c r="D11" s="52"/>
      <c r="E11" s="52"/>
      <c r="F11" s="52"/>
      <c r="G11" s="52"/>
    </row>
    <row r="12" spans="1:43" s="43" customFormat="1">
      <c r="A12" s="43" t="s">
        <v>95</v>
      </c>
      <c r="C12" s="59">
        <f>'[4]Vehicle stock'!B45</f>
        <v>2010</v>
      </c>
      <c r="D12" s="59">
        <f>'[4]Vehicle stock'!C45</f>
        <v>2011</v>
      </c>
      <c r="E12" s="59">
        <f>'[4]Vehicle stock'!D45</f>
        <v>2012</v>
      </c>
      <c r="F12" s="59">
        <f>'[4]Vehicle stock'!E45</f>
        <v>2013</v>
      </c>
      <c r="G12" s="59">
        <f>'[4]Vehicle stock'!F45</f>
        <v>2014</v>
      </c>
      <c r="H12" s="59">
        <f>'[4]Vehicle stock'!G45</f>
        <v>2015</v>
      </c>
      <c r="I12" s="59">
        <f>'[4]Vehicle stock'!H45</f>
        <v>2016</v>
      </c>
      <c r="J12" s="59">
        <f>'[4]Vehicle stock'!I45</f>
        <v>2017</v>
      </c>
      <c r="K12" s="59">
        <f>'[4]Vehicle stock'!J45</f>
        <v>2018</v>
      </c>
      <c r="L12" s="59">
        <f>'[4]Vehicle stock'!K45</f>
        <v>2019</v>
      </c>
      <c r="M12" s="59">
        <v>2020</v>
      </c>
      <c r="N12" s="59">
        <v>2021</v>
      </c>
      <c r="O12" s="59">
        <v>2022</v>
      </c>
      <c r="P12" s="59">
        <v>2023</v>
      </c>
      <c r="Q12" s="59">
        <v>2024</v>
      </c>
      <c r="R12" s="59">
        <v>2025</v>
      </c>
      <c r="S12" s="59">
        <v>2026</v>
      </c>
      <c r="T12" s="59">
        <v>2027</v>
      </c>
      <c r="U12" s="59">
        <v>2028</v>
      </c>
      <c r="V12" s="59">
        <v>2029</v>
      </c>
      <c r="W12" s="59">
        <v>2030</v>
      </c>
      <c r="X12" s="59">
        <v>2031</v>
      </c>
      <c r="Y12" s="59">
        <v>2032</v>
      </c>
      <c r="Z12" s="59">
        <v>2033</v>
      </c>
      <c r="AA12" s="59">
        <v>2034</v>
      </c>
      <c r="AB12" s="59">
        <v>2035</v>
      </c>
      <c r="AC12" s="59">
        <v>2036</v>
      </c>
      <c r="AD12" s="59">
        <v>2037</v>
      </c>
      <c r="AE12" s="59">
        <v>2038</v>
      </c>
      <c r="AF12" s="59">
        <v>2039</v>
      </c>
      <c r="AG12" s="59">
        <v>2040</v>
      </c>
      <c r="AH12" s="59">
        <v>2041</v>
      </c>
      <c r="AI12" s="59">
        <v>2042</v>
      </c>
      <c r="AJ12" s="59">
        <v>2043</v>
      </c>
      <c r="AK12" s="59">
        <v>2044</v>
      </c>
      <c r="AL12" s="59">
        <v>2045</v>
      </c>
      <c r="AM12" s="59">
        <v>2046</v>
      </c>
      <c r="AN12" s="59">
        <v>2047</v>
      </c>
      <c r="AO12" s="59">
        <v>2048</v>
      </c>
      <c r="AP12" s="59">
        <v>2049</v>
      </c>
      <c r="AQ12" s="59">
        <v>2050</v>
      </c>
    </row>
    <row r="13" spans="1:43" s="40" customFormat="1">
      <c r="A13" s="43" t="str">
        <f>'[4]Vehicle stock'!A38</f>
        <v>2 to 5 tonnes</v>
      </c>
      <c r="C13" s="61">
        <f>'[4]Vehicle stock'!B46</f>
        <v>0.68075259567972279</v>
      </c>
      <c r="D13" s="61">
        <f>'[4]Vehicle stock'!C46</f>
        <v>0.68826981795576569</v>
      </c>
      <c r="E13" s="61">
        <f>'[4]Vehicle stock'!D46</f>
        <v>0.69376231620433526</v>
      </c>
      <c r="F13" s="61">
        <f>'[4]Vehicle stock'!E46</f>
        <v>0.6840168715785695</v>
      </c>
      <c r="G13" s="61">
        <f>'[4]Vehicle stock'!F46</f>
        <v>0.68833288473762877</v>
      </c>
      <c r="H13" s="61">
        <f>'[4]Vehicle stock'!G46</f>
        <v>0.70120669118027867</v>
      </c>
      <c r="I13" s="61">
        <f>'[4]Vehicle stock'!H46</f>
        <v>0.6908310491417694</v>
      </c>
      <c r="J13" s="61">
        <f>'[4]Vehicle stock'!I46</f>
        <v>0.6976142053902552</v>
      </c>
      <c r="K13" s="61">
        <f>'[4]Vehicle stock'!J46</f>
        <v>0.7071189945911549</v>
      </c>
      <c r="L13" s="61">
        <f>'[4]Vehicle stock'!K46</f>
        <v>0.71761731443691645</v>
      </c>
      <c r="M13" s="54">
        <f>L13*(1+$U$7)</f>
        <v>0.72479348758128559</v>
      </c>
      <c r="N13" s="54">
        <f t="shared" ref="N13:R13" si="6">M13*(1+$U$7)</f>
        <v>0.73204142245709847</v>
      </c>
      <c r="O13" s="54">
        <f t="shared" si="6"/>
        <v>0.73936183668166944</v>
      </c>
      <c r="P13" s="54">
        <f t="shared" si="6"/>
        <v>0.74675545504848617</v>
      </c>
      <c r="Q13" s="54">
        <f t="shared" si="6"/>
        <v>0.75422300959897104</v>
      </c>
      <c r="R13" s="54">
        <f t="shared" si="6"/>
        <v>0.76176523969496079</v>
      </c>
      <c r="S13" s="54">
        <f>R13*(1+$U$8)</f>
        <v>0.76557406589343546</v>
      </c>
      <c r="T13" s="54">
        <f t="shared" ref="T13:AB13" si="7">S13*(1+$U$8)</f>
        <v>0.76940193622290254</v>
      </c>
      <c r="U13" s="54">
        <f t="shared" si="7"/>
        <v>0.77324894590401694</v>
      </c>
      <c r="V13" s="54">
        <f t="shared" si="7"/>
        <v>0.77711519063353696</v>
      </c>
      <c r="W13" s="54">
        <f t="shared" si="7"/>
        <v>0.78100076658670459</v>
      </c>
      <c r="X13" s="54">
        <f t="shared" si="7"/>
        <v>0.78490577041963805</v>
      </c>
      <c r="Y13" s="54">
        <f t="shared" si="7"/>
        <v>0.7888302992717362</v>
      </c>
      <c r="Z13" s="54">
        <f t="shared" si="7"/>
        <v>0.79277445076809483</v>
      </c>
      <c r="AA13" s="54">
        <f t="shared" si="7"/>
        <v>0.79673832302193526</v>
      </c>
      <c r="AB13" s="54">
        <f t="shared" si="7"/>
        <v>0.80072201463704484</v>
      </c>
      <c r="AC13" s="54">
        <f>AB13*(1+$U$9)</f>
        <v>0.80272381967363737</v>
      </c>
      <c r="AD13" s="54">
        <f t="shared" ref="AD13:AQ13" si="8">AC13*(1+$U$9)</f>
        <v>0.80473062922282146</v>
      </c>
      <c r="AE13" s="54">
        <f t="shared" si="8"/>
        <v>0.80674245579587844</v>
      </c>
      <c r="AF13" s="54">
        <f t="shared" si="8"/>
        <v>0.8087593119353681</v>
      </c>
      <c r="AG13" s="54">
        <f t="shared" si="8"/>
        <v>0.81078121021520644</v>
      </c>
      <c r="AH13" s="54">
        <f t="shared" si="8"/>
        <v>0.81280816324074445</v>
      </c>
      <c r="AI13" s="54">
        <f t="shared" si="8"/>
        <v>0.81484018364884625</v>
      </c>
      <c r="AJ13" s="54">
        <f t="shared" si="8"/>
        <v>0.81687728410796834</v>
      </c>
      <c r="AK13" s="54">
        <f t="shared" si="8"/>
        <v>0.81891947731823822</v>
      </c>
      <c r="AL13" s="54">
        <f t="shared" si="8"/>
        <v>0.82096677601153378</v>
      </c>
      <c r="AM13" s="54">
        <f t="shared" si="8"/>
        <v>0.82301919295156256</v>
      </c>
      <c r="AN13" s="54">
        <f t="shared" si="8"/>
        <v>0.82507674093394145</v>
      </c>
      <c r="AO13" s="54">
        <f t="shared" si="8"/>
        <v>0.82713943278627622</v>
      </c>
      <c r="AP13" s="54">
        <f t="shared" si="8"/>
        <v>0.82920728136824184</v>
      </c>
      <c r="AQ13" s="54">
        <f t="shared" si="8"/>
        <v>0.83128029957166238</v>
      </c>
    </row>
    <row r="14" spans="1:43" s="40" customFormat="1">
      <c r="A14" s="43" t="str">
        <f>'[4]Vehicle stock'!A39</f>
        <v>5 to 7.5 Tonnes</v>
      </c>
      <c r="C14" s="61">
        <f>'[4]Vehicle stock'!B47</f>
        <v>5.8310415429907558E-2</v>
      </c>
      <c r="D14" s="61">
        <f>'[4]Vehicle stock'!C47</f>
        <v>5.6795119483669651E-2</v>
      </c>
      <c r="E14" s="61">
        <f>'[4]Vehicle stock'!D47</f>
        <v>5.5940831691172754E-2</v>
      </c>
      <c r="F14" s="61">
        <f>'[4]Vehicle stock'!E47</f>
        <v>5.4617248496814146E-2</v>
      </c>
      <c r="G14" s="61">
        <f>'[4]Vehicle stock'!F47</f>
        <v>5.1792760238003881E-2</v>
      </c>
      <c r="H14" s="61">
        <f>'[4]Vehicle stock'!G47</f>
        <v>4.6848619814594233E-2</v>
      </c>
      <c r="I14" s="61">
        <f>'[4]Vehicle stock'!H47</f>
        <v>4.4986752451597257E-2</v>
      </c>
      <c r="J14" s="61">
        <f>'[4]Vehicle stock'!I47</f>
        <v>4.1529232820057084E-2</v>
      </c>
      <c r="K14" s="61">
        <f>'[4]Vehicle stock'!J47</f>
        <v>3.8577791918549154E-2</v>
      </c>
      <c r="L14" s="61">
        <f>'[4]Vehicle stock'!K47</f>
        <v>3.6223857032977952E-2</v>
      </c>
      <c r="M14" s="54">
        <f>L14*(1+$V$7)</f>
        <v>3.5318260607153505E-2</v>
      </c>
      <c r="N14" s="54">
        <f t="shared" ref="N14:R14" si="9">M14*(1+$V$7)</f>
        <v>3.4435304091974664E-2</v>
      </c>
      <c r="O14" s="54">
        <f t="shared" si="9"/>
        <v>3.3574421489675293E-2</v>
      </c>
      <c r="P14" s="54">
        <f t="shared" si="9"/>
        <v>3.2735060952433413E-2</v>
      </c>
      <c r="Q14" s="54">
        <f t="shared" si="9"/>
        <v>3.1916684428622576E-2</v>
      </c>
      <c r="R14" s="54">
        <f t="shared" si="9"/>
        <v>3.1118767317907012E-2</v>
      </c>
      <c r="S14" s="54">
        <f>R14*(1+$V$8)</f>
        <v>3.0807579644727943E-2</v>
      </c>
      <c r="T14" s="54">
        <f t="shared" ref="T14:AB14" si="10">S14*(1+$V$8)</f>
        <v>3.0499503848280662E-2</v>
      </c>
      <c r="U14" s="54">
        <f t="shared" si="10"/>
        <v>3.0194508809797856E-2</v>
      </c>
      <c r="V14" s="54">
        <f t="shared" si="10"/>
        <v>2.9892563721699877E-2</v>
      </c>
      <c r="W14" s="54">
        <f t="shared" si="10"/>
        <v>2.9593638084482878E-2</v>
      </c>
      <c r="X14" s="54">
        <f t="shared" si="10"/>
        <v>2.929770170363805E-2</v>
      </c>
      <c r="Y14" s="54">
        <f t="shared" si="10"/>
        <v>2.900472468660167E-2</v>
      </c>
      <c r="Z14" s="54">
        <f t="shared" si="10"/>
        <v>2.8714677439735655E-2</v>
      </c>
      <c r="AA14" s="54">
        <f t="shared" si="10"/>
        <v>2.8427530665338298E-2</v>
      </c>
      <c r="AB14" s="54">
        <f t="shared" si="10"/>
        <v>2.8143255358684914E-2</v>
      </c>
      <c r="AC14" s="54">
        <f>AB14*(1+$V$9)</f>
        <v>2.800253908189149E-2</v>
      </c>
      <c r="AD14" s="54">
        <f t="shared" ref="AD14:AQ14" si="11">AC14*(1+$V$9)</f>
        <v>2.7862526386482032E-2</v>
      </c>
      <c r="AE14" s="54">
        <f t="shared" si="11"/>
        <v>2.7723213754549621E-2</v>
      </c>
      <c r="AF14" s="54">
        <f t="shared" si="11"/>
        <v>2.7584597685776872E-2</v>
      </c>
      <c r="AG14" s="54">
        <f t="shared" si="11"/>
        <v>2.7446674697347986E-2</v>
      </c>
      <c r="AH14" s="54">
        <f t="shared" si="11"/>
        <v>2.7309441323861247E-2</v>
      </c>
      <c r="AI14" s="54">
        <f t="shared" si="11"/>
        <v>2.7172894117241941E-2</v>
      </c>
      <c r="AJ14" s="54">
        <f t="shared" si="11"/>
        <v>2.7037029646655733E-2</v>
      </c>
      <c r="AK14" s="54">
        <f t="shared" si="11"/>
        <v>2.6901844498422454E-2</v>
      </c>
      <c r="AL14" s="54">
        <f t="shared" si="11"/>
        <v>2.6767335275930341E-2</v>
      </c>
      <c r="AM14" s="54">
        <f t="shared" si="11"/>
        <v>2.6633498599550689E-2</v>
      </c>
      <c r="AN14" s="54">
        <f t="shared" si="11"/>
        <v>2.6500331106552935E-2</v>
      </c>
      <c r="AO14" s="54">
        <f t="shared" si="11"/>
        <v>2.6367829451020171E-2</v>
      </c>
      <c r="AP14" s="54">
        <f t="shared" si="11"/>
        <v>2.6235990303765069E-2</v>
      </c>
      <c r="AQ14" s="54">
        <f t="shared" si="11"/>
        <v>2.6104810352246245E-2</v>
      </c>
    </row>
    <row r="15" spans="1:43" s="40" customFormat="1">
      <c r="A15" s="43" t="str">
        <f>'[4]Vehicle stock'!A40</f>
        <v>7.5 to 10 Tonnes</v>
      </c>
      <c r="C15" s="61">
        <f>'[4]Vehicle stock'!B48</f>
        <v>3.659999273088526E-2</v>
      </c>
      <c r="D15" s="61">
        <f>'[4]Vehicle stock'!C48</f>
        <v>3.5025383804340539E-2</v>
      </c>
      <c r="E15" s="61">
        <f>'[4]Vehicle stock'!D48</f>
        <v>3.4839068263352028E-2</v>
      </c>
      <c r="F15" s="61">
        <f>'[4]Vehicle stock'!E48</f>
        <v>3.4287594603487986E-2</v>
      </c>
      <c r="G15" s="61">
        <f>'[4]Vehicle stock'!F48</f>
        <v>3.4251713731037289E-2</v>
      </c>
      <c r="H15" s="61">
        <f>'[4]Vehicle stock'!G48</f>
        <v>3.1943653218706305E-2</v>
      </c>
      <c r="I15" s="61">
        <f>'[4]Vehicle stock'!H48</f>
        <v>3.4013480924903104E-2</v>
      </c>
      <c r="J15" s="61">
        <f>'[4]Vehicle stock'!I48</f>
        <v>3.3471194435424609E-2</v>
      </c>
      <c r="K15" s="61">
        <f>'[4]Vehicle stock'!J48</f>
        <v>3.2206490614062999E-2</v>
      </c>
      <c r="L15" s="61">
        <f>'[4]Vehicle stock'!K48</f>
        <v>3.0799294880523468E-2</v>
      </c>
      <c r="M15" s="54">
        <f>L15*(1+$W$7)</f>
        <v>3.0337305457315614E-2</v>
      </c>
      <c r="N15" s="54">
        <f t="shared" ref="N15:R15" si="12">M15*(1+$W$7)</f>
        <v>2.988224587545588E-2</v>
      </c>
      <c r="O15" s="54">
        <f t="shared" si="12"/>
        <v>2.9434012187324041E-2</v>
      </c>
      <c r="P15" s="54">
        <f t="shared" si="12"/>
        <v>2.8992502004514181E-2</v>
      </c>
      <c r="Q15" s="54">
        <f t="shared" si="12"/>
        <v>2.8557614474446467E-2</v>
      </c>
      <c r="R15" s="54">
        <f t="shared" si="12"/>
        <v>2.812925025732977E-2</v>
      </c>
      <c r="S15" s="54">
        <f>R15*(1+$W$8)</f>
        <v>2.7988604006043121E-2</v>
      </c>
      <c r="T15" s="54">
        <f t="shared" ref="T15:AA15" si="13">S15*(1+$W$8)</f>
        <v>2.7848660986012904E-2</v>
      </c>
      <c r="U15" s="54">
        <f t="shared" si="13"/>
        <v>2.770941768108284E-2</v>
      </c>
      <c r="V15" s="54">
        <f t="shared" si="13"/>
        <v>2.7570870592677425E-2</v>
      </c>
      <c r="W15" s="54">
        <f t="shared" si="13"/>
        <v>2.7433016239714038E-2</v>
      </c>
      <c r="X15" s="54">
        <f t="shared" si="13"/>
        <v>2.7295851158515468E-2</v>
      </c>
      <c r="Y15" s="54">
        <f t="shared" si="13"/>
        <v>2.7159371902722891E-2</v>
      </c>
      <c r="Z15" s="54">
        <f t="shared" si="13"/>
        <v>2.7023575043209278E-2</v>
      </c>
      <c r="AA15" s="54">
        <f t="shared" si="13"/>
        <v>2.6888457167993231E-2</v>
      </c>
      <c r="AB15" s="54">
        <f>AA15*(1+$W$8)</f>
        <v>2.6754014882153267E-2</v>
      </c>
      <c r="AC15" s="54">
        <f>AB15*(1+$W$9)</f>
        <v>2.6754014882153267E-2</v>
      </c>
      <c r="AD15" s="54">
        <f t="shared" ref="AD15:AQ15" si="14">AC15*(1+$W$9)</f>
        <v>2.6754014882153267E-2</v>
      </c>
      <c r="AE15" s="54">
        <f t="shared" si="14"/>
        <v>2.6754014882153267E-2</v>
      </c>
      <c r="AF15" s="54">
        <f t="shared" si="14"/>
        <v>2.6754014882153267E-2</v>
      </c>
      <c r="AG15" s="54">
        <f t="shared" si="14"/>
        <v>2.6754014882153267E-2</v>
      </c>
      <c r="AH15" s="54">
        <f t="shared" si="14"/>
        <v>2.6754014882153267E-2</v>
      </c>
      <c r="AI15" s="54">
        <f t="shared" si="14"/>
        <v>2.6754014882153267E-2</v>
      </c>
      <c r="AJ15" s="54">
        <f t="shared" si="14"/>
        <v>2.6754014882153267E-2</v>
      </c>
      <c r="AK15" s="54">
        <f t="shared" si="14"/>
        <v>2.6754014882153267E-2</v>
      </c>
      <c r="AL15" s="54">
        <f t="shared" si="14"/>
        <v>2.6754014882153267E-2</v>
      </c>
      <c r="AM15" s="54">
        <f t="shared" si="14"/>
        <v>2.6754014882153267E-2</v>
      </c>
      <c r="AN15" s="54">
        <f t="shared" si="14"/>
        <v>2.6754014882153267E-2</v>
      </c>
      <c r="AO15" s="54">
        <f t="shared" si="14"/>
        <v>2.6754014882153267E-2</v>
      </c>
      <c r="AP15" s="54">
        <f t="shared" si="14"/>
        <v>2.6754014882153267E-2</v>
      </c>
      <c r="AQ15" s="54">
        <f t="shared" si="14"/>
        <v>2.6754014882153267E-2</v>
      </c>
    </row>
    <row r="16" spans="1:43" s="40" customFormat="1">
      <c r="A16" s="43" t="str">
        <f>'[4]Vehicle stock'!A41</f>
        <v>10 to 12.5 Tonnes</v>
      </c>
      <c r="C16" s="61">
        <f>'[4]Vehicle stock'!B49</f>
        <v>0.12468954822451872</v>
      </c>
      <c r="D16" s="61">
        <f>'[4]Vehicle stock'!C49</f>
        <v>0.11956899336303412</v>
      </c>
      <c r="E16" s="61">
        <f>'[4]Vehicle stock'!D49</f>
        <v>0.11491966045172047</v>
      </c>
      <c r="F16" s="61">
        <f>'[4]Vehicle stock'!E49</f>
        <v>0.11801130754733914</v>
      </c>
      <c r="G16" s="61">
        <f>'[4]Vehicle stock'!F49</f>
        <v>0.1160240294584209</v>
      </c>
      <c r="H16" s="61">
        <f>'[4]Vehicle stock'!G49</f>
        <v>0.11155419752447046</v>
      </c>
      <c r="I16" s="61">
        <f>'[4]Vehicle stock'!H49</f>
        <v>0.11564949595251932</v>
      </c>
      <c r="J16" s="61">
        <f>'[4]Vehicle stock'!I49</f>
        <v>0.11169312802283253</v>
      </c>
      <c r="K16" s="61">
        <f>'[4]Vehicle stock'!J49</f>
        <v>0.10619630925867006</v>
      </c>
      <c r="L16" s="61">
        <f>'[4]Vehicle stock'!K49</f>
        <v>0.10128180121960645</v>
      </c>
      <c r="M16" s="54">
        <f>L16*(1+$X$7)</f>
        <v>9.9256165195214324E-2</v>
      </c>
      <c r="N16" s="54">
        <f t="shared" ref="N16:Q16" si="15">M16*(1+$X$7)</f>
        <v>9.7271041891310042E-2</v>
      </c>
      <c r="O16" s="54">
        <f t="shared" si="15"/>
        <v>9.5325621053483842E-2</v>
      </c>
      <c r="P16" s="54">
        <f t="shared" si="15"/>
        <v>9.3419108632414163E-2</v>
      </c>
      <c r="Q16" s="54">
        <f t="shared" si="15"/>
        <v>9.1550726459765877E-2</v>
      </c>
      <c r="R16" s="54">
        <f>Q16*(1+$X$7)</f>
        <v>8.9719711930570559E-2</v>
      </c>
      <c r="S16" s="54">
        <f>R16*(1+$X$8)</f>
        <v>8.8822514811264852E-2</v>
      </c>
      <c r="T16" s="54">
        <f t="shared" ref="T16:AB16" si="16">S16*(1+$X$8)</f>
        <v>8.7934289663152199E-2</v>
      </c>
      <c r="U16" s="54">
        <f t="shared" si="16"/>
        <v>8.7054946766520674E-2</v>
      </c>
      <c r="V16" s="54">
        <f t="shared" si="16"/>
        <v>8.6184397298855464E-2</v>
      </c>
      <c r="W16" s="54">
        <f t="shared" si="16"/>
        <v>8.5322553325866912E-2</v>
      </c>
      <c r="X16" s="54">
        <f t="shared" si="16"/>
        <v>8.446932779260824E-2</v>
      </c>
      <c r="Y16" s="54">
        <f t="shared" si="16"/>
        <v>8.3624634514682161E-2</v>
      </c>
      <c r="Z16" s="54">
        <f t="shared" si="16"/>
        <v>8.2788388169535335E-2</v>
      </c>
      <c r="AA16" s="54">
        <f t="shared" si="16"/>
        <v>8.1960504287839978E-2</v>
      </c>
      <c r="AB16" s="54">
        <f t="shared" si="16"/>
        <v>8.1140899244961581E-2</v>
      </c>
      <c r="AC16" s="54">
        <f>AB16*(1+$X$9)</f>
        <v>8.0735194748736777E-2</v>
      </c>
      <c r="AD16" s="54">
        <f t="shared" ref="AD16:AQ16" si="17">AC16*(1+$X$9)</f>
        <v>8.0331518774993088E-2</v>
      </c>
      <c r="AE16" s="54">
        <f t="shared" si="17"/>
        <v>7.9929861181118125E-2</v>
      </c>
      <c r="AF16" s="54">
        <f t="shared" si="17"/>
        <v>7.9530211875212531E-2</v>
      </c>
      <c r="AG16" s="54">
        <f t="shared" si="17"/>
        <v>7.9132560815836472E-2</v>
      </c>
      <c r="AH16" s="54">
        <f t="shared" si="17"/>
        <v>7.8736898011757289E-2</v>
      </c>
      <c r="AI16" s="54">
        <f t="shared" si="17"/>
        <v>7.8343213521698499E-2</v>
      </c>
      <c r="AJ16" s="54">
        <f t="shared" si="17"/>
        <v>7.795149745409001E-2</v>
      </c>
      <c r="AK16" s="54">
        <f t="shared" si="17"/>
        <v>7.756173996681956E-2</v>
      </c>
      <c r="AL16" s="54">
        <f t="shared" si="17"/>
        <v>7.7173931266985463E-2</v>
      </c>
      <c r="AM16" s="54">
        <f t="shared" si="17"/>
        <v>7.6788061610650535E-2</v>
      </c>
      <c r="AN16" s="54">
        <f t="shared" si="17"/>
        <v>7.6404121302597286E-2</v>
      </c>
      <c r="AO16" s="54">
        <f t="shared" si="17"/>
        <v>7.6022100696084297E-2</v>
      </c>
      <c r="AP16" s="54">
        <f t="shared" si="17"/>
        <v>7.564199019260387E-2</v>
      </c>
      <c r="AQ16" s="54">
        <f t="shared" si="17"/>
        <v>7.5263780241640849E-2</v>
      </c>
    </row>
    <row r="17" spans="1:43" s="40" customFormat="1">
      <c r="A17" s="43" t="str">
        <f>'[4]Vehicle stock'!A42</f>
        <v>Over 12.5 Tonnes</v>
      </c>
      <c r="C17" s="61">
        <f>'[4]Vehicle stock'!B50</f>
        <v>9.9647447934965647E-2</v>
      </c>
      <c r="D17" s="61">
        <f>'[4]Vehicle stock'!C50</f>
        <v>0.10034068539318995</v>
      </c>
      <c r="E17" s="61">
        <f>'[4]Vehicle stock'!D50</f>
        <v>0.10053812338941943</v>
      </c>
      <c r="F17" s="61">
        <f>'[4]Vehicle stock'!E50</f>
        <v>0.10906697777378922</v>
      </c>
      <c r="G17" s="61">
        <f>'[4]Vehicle stock'!F50</f>
        <v>0.10959861183490914</v>
      </c>
      <c r="H17" s="61">
        <f>'[4]Vehicle stock'!G50</f>
        <v>0.10844683826195038</v>
      </c>
      <c r="I17" s="61">
        <f>'[4]Vehicle stock'!H50</f>
        <v>0.11451922152921096</v>
      </c>
      <c r="J17" s="61">
        <f>'[4]Vehicle stock'!I50</f>
        <v>0.11569223933143062</v>
      </c>
      <c r="K17" s="61">
        <f>'[4]Vehicle stock'!J50</f>
        <v>0.11590041361756284</v>
      </c>
      <c r="L17" s="61">
        <f>'[4]Vehicle stock'!K50</f>
        <v>0.11407773242997567</v>
      </c>
      <c r="M17" s="54">
        <f>L17*(1+$Y$7)</f>
        <v>0.11635928707857518</v>
      </c>
      <c r="N17" s="54">
        <f t="shared" ref="N17:Q17" si="18">M17*(1+$Y$7)</f>
        <v>0.11868647282014669</v>
      </c>
      <c r="O17" s="54">
        <f t="shared" si="18"/>
        <v>0.12106020227654962</v>
      </c>
      <c r="P17" s="54">
        <f t="shared" si="18"/>
        <v>0.12348140632208061</v>
      </c>
      <c r="Q17" s="54">
        <f t="shared" si="18"/>
        <v>0.12595103444852224</v>
      </c>
      <c r="R17" s="54">
        <f>Q17*(1+$Y$7)</f>
        <v>0.12847005513749268</v>
      </c>
      <c r="S17" s="54">
        <f>R17*(1+$Y$8)</f>
        <v>0.12911240541318014</v>
      </c>
      <c r="T17" s="54">
        <f t="shared" ref="T17:AB17" si="19">S17*(1+$Y$8)</f>
        <v>0.12975796744024604</v>
      </c>
      <c r="U17" s="54">
        <f t="shared" si="19"/>
        <v>0.13040675727744724</v>
      </c>
      <c r="V17" s="54">
        <f t="shared" si="19"/>
        <v>0.13105879106383447</v>
      </c>
      <c r="W17" s="54">
        <f t="shared" si="19"/>
        <v>0.13171408501915363</v>
      </c>
      <c r="X17" s="54">
        <f t="shared" si="19"/>
        <v>0.13237265544424939</v>
      </c>
      <c r="Y17" s="54">
        <f t="shared" si="19"/>
        <v>0.13303451872147062</v>
      </c>
      <c r="Z17" s="54">
        <f t="shared" si="19"/>
        <v>0.13369969131507797</v>
      </c>
      <c r="AA17" s="54">
        <f t="shared" si="19"/>
        <v>0.13436818977165335</v>
      </c>
      <c r="AB17" s="54">
        <f t="shared" si="19"/>
        <v>0.1350400307205116</v>
      </c>
      <c r="AC17" s="54">
        <f>AB17*(1+$Y$9)</f>
        <v>0.1350400307205116</v>
      </c>
      <c r="AD17" s="54">
        <f t="shared" ref="AD17:AQ17" si="20">AC17*(1+$Y$9)</f>
        <v>0.1350400307205116</v>
      </c>
      <c r="AE17" s="54">
        <f t="shared" si="20"/>
        <v>0.1350400307205116</v>
      </c>
      <c r="AF17" s="54">
        <f t="shared" si="20"/>
        <v>0.1350400307205116</v>
      </c>
      <c r="AG17" s="54">
        <f t="shared" si="20"/>
        <v>0.1350400307205116</v>
      </c>
      <c r="AH17" s="54">
        <f t="shared" si="20"/>
        <v>0.1350400307205116</v>
      </c>
      <c r="AI17" s="54">
        <f t="shared" si="20"/>
        <v>0.1350400307205116</v>
      </c>
      <c r="AJ17" s="54">
        <f t="shared" si="20"/>
        <v>0.1350400307205116</v>
      </c>
      <c r="AK17" s="54">
        <f t="shared" si="20"/>
        <v>0.1350400307205116</v>
      </c>
      <c r="AL17" s="54">
        <f t="shared" si="20"/>
        <v>0.1350400307205116</v>
      </c>
      <c r="AM17" s="54">
        <f t="shared" si="20"/>
        <v>0.1350400307205116</v>
      </c>
      <c r="AN17" s="54">
        <f t="shared" si="20"/>
        <v>0.1350400307205116</v>
      </c>
      <c r="AO17" s="54">
        <f t="shared" si="20"/>
        <v>0.1350400307205116</v>
      </c>
      <c r="AP17" s="54">
        <f t="shared" si="20"/>
        <v>0.1350400307205116</v>
      </c>
      <c r="AQ17" s="54">
        <f t="shared" si="20"/>
        <v>0.1350400307205116</v>
      </c>
    </row>
    <row r="18" spans="1:43" s="40" customFormat="1">
      <c r="A18" s="43" t="str">
        <f>'[4]Vehicle stock'!A43</f>
        <v>Total</v>
      </c>
      <c r="C18" s="61">
        <f>'[4]Vehicle stock'!B51</f>
        <v>0.99999999999999989</v>
      </c>
      <c r="D18" s="61">
        <f>'[4]Vehicle stock'!C51</f>
        <v>0.99999999999999989</v>
      </c>
      <c r="E18" s="61">
        <f>'[4]Vehicle stock'!D51</f>
        <v>1</v>
      </c>
      <c r="F18" s="61">
        <f>'[4]Vehicle stock'!E51</f>
        <v>1</v>
      </c>
      <c r="G18" s="61">
        <f>'[4]Vehicle stock'!F51</f>
        <v>1</v>
      </c>
      <c r="H18" s="61">
        <f>'[4]Vehicle stock'!G51</f>
        <v>1</v>
      </c>
      <c r="I18" s="61">
        <f>'[4]Vehicle stock'!H51</f>
        <v>1</v>
      </c>
      <c r="J18" s="61">
        <f>'[4]Vehicle stock'!I51</f>
        <v>0.99999999999999989</v>
      </c>
      <c r="K18" s="61">
        <f>'[4]Vehicle stock'!J51</f>
        <v>1</v>
      </c>
      <c r="L18" s="61">
        <f>'[4]Vehicle stock'!K51</f>
        <v>0.99999999999999989</v>
      </c>
      <c r="M18" s="44">
        <f>SUM(M13:M17)</f>
        <v>1.0060645059195441</v>
      </c>
      <c r="N18" s="44">
        <f t="shared" ref="N18:AQ18" si="21">SUM(N13:N17)</f>
        <v>1.0123164871359858</v>
      </c>
      <c r="O18" s="44">
        <f t="shared" si="21"/>
        <v>1.0187560936887021</v>
      </c>
      <c r="P18" s="44">
        <f t="shared" si="21"/>
        <v>1.0253835329599286</v>
      </c>
      <c r="Q18" s="44">
        <f t="shared" si="21"/>
        <v>1.0321990694103282</v>
      </c>
      <c r="R18" s="44">
        <f t="shared" si="21"/>
        <v>1.0392030243382608</v>
      </c>
      <c r="S18" s="44">
        <f t="shared" si="21"/>
        <v>1.0423051697686514</v>
      </c>
      <c r="T18" s="44">
        <f t="shared" si="21"/>
        <v>1.0454423581605945</v>
      </c>
      <c r="U18" s="44">
        <f t="shared" si="21"/>
        <v>1.0486145764388657</v>
      </c>
      <c r="V18" s="44">
        <f t="shared" si="21"/>
        <v>1.0518218133106043</v>
      </c>
      <c r="W18" s="44">
        <f t="shared" si="21"/>
        <v>1.0550640592559222</v>
      </c>
      <c r="X18" s="44">
        <f t="shared" si="21"/>
        <v>1.0583413065186493</v>
      </c>
      <c r="Y18" s="44">
        <f t="shared" si="21"/>
        <v>1.0616535490972134</v>
      </c>
      <c r="Z18" s="44">
        <f t="shared" si="21"/>
        <v>1.0650007827356531</v>
      </c>
      <c r="AA18" s="44">
        <f t="shared" si="21"/>
        <v>1.0683830049147602</v>
      </c>
      <c r="AB18" s="44">
        <f t="shared" si="21"/>
        <v>1.0718002148433561</v>
      </c>
      <c r="AC18" s="44">
        <f t="shared" si="21"/>
        <v>1.0732555991069306</v>
      </c>
      <c r="AD18" s="44">
        <f t="shared" si="21"/>
        <v>1.0747187199869614</v>
      </c>
      <c r="AE18" s="44">
        <f t="shared" si="21"/>
        <v>1.0761895763342111</v>
      </c>
      <c r="AF18" s="44">
        <f t="shared" si="21"/>
        <v>1.0776681670990222</v>
      </c>
      <c r="AG18" s="44">
        <f t="shared" si="21"/>
        <v>1.0791544913310556</v>
      </c>
      <c r="AH18" s="44">
        <f t="shared" si="21"/>
        <v>1.0806485481790278</v>
      </c>
      <c r="AI18" s="44">
        <f t="shared" si="21"/>
        <v>1.0821503368904515</v>
      </c>
      <c r="AJ18" s="44">
        <f t="shared" si="21"/>
        <v>1.0836598568113789</v>
      </c>
      <c r="AK18" s="44">
        <f t="shared" si="21"/>
        <v>1.0851771073861451</v>
      </c>
      <c r="AL18" s="44">
        <f t="shared" si="21"/>
        <v>1.0867020881571143</v>
      </c>
      <c r="AM18" s="44">
        <f t="shared" si="21"/>
        <v>1.0882347987644285</v>
      </c>
      <c r="AN18" s="44">
        <f t="shared" si="21"/>
        <v>1.0897752389457565</v>
      </c>
      <c r="AO18" s="44">
        <f t="shared" si="21"/>
        <v>1.0913234085360455</v>
      </c>
      <c r="AP18" s="44">
        <f t="shared" si="21"/>
        <v>1.0928793074672756</v>
      </c>
      <c r="AQ18" s="44">
        <f t="shared" si="21"/>
        <v>1.0944429357682142</v>
      </c>
    </row>
    <row r="19" spans="1:43" s="40" customFormat="1">
      <c r="A19" s="43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51"/>
      <c r="N19" s="51"/>
      <c r="O19" s="51"/>
      <c r="P19" s="51"/>
      <c r="Q19" s="51"/>
      <c r="R19" s="51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</row>
    <row r="20" spans="1:43" s="40" customFormat="1">
      <c r="A20" s="43" t="s">
        <v>96</v>
      </c>
      <c r="C20" s="65">
        <f t="shared" ref="C20:F20" si="22">C12</f>
        <v>2010</v>
      </c>
      <c r="D20" s="65">
        <f t="shared" si="22"/>
        <v>2011</v>
      </c>
      <c r="E20" s="65">
        <f t="shared" si="22"/>
        <v>2012</v>
      </c>
      <c r="F20" s="65">
        <f t="shared" si="22"/>
        <v>2013</v>
      </c>
      <c r="G20" s="65">
        <f t="shared" ref="G20:L20" si="23">G12</f>
        <v>2014</v>
      </c>
      <c r="H20" s="65">
        <f t="shared" si="23"/>
        <v>2015</v>
      </c>
      <c r="I20" s="65">
        <f t="shared" si="23"/>
        <v>2016</v>
      </c>
      <c r="J20" s="65">
        <f t="shared" si="23"/>
        <v>2017</v>
      </c>
      <c r="K20" s="65">
        <f t="shared" si="23"/>
        <v>2018</v>
      </c>
      <c r="L20" s="65">
        <f t="shared" si="23"/>
        <v>2019</v>
      </c>
      <c r="M20" s="59">
        <v>2020</v>
      </c>
      <c r="N20" s="59">
        <v>2021</v>
      </c>
      <c r="O20" s="59">
        <v>2022</v>
      </c>
      <c r="P20" s="59">
        <v>2023</v>
      </c>
      <c r="Q20" s="59">
        <v>2024</v>
      </c>
      <c r="R20" s="59">
        <v>2025</v>
      </c>
      <c r="S20" s="59">
        <v>2026</v>
      </c>
      <c r="T20" s="59">
        <v>2027</v>
      </c>
      <c r="U20" s="59">
        <v>2028</v>
      </c>
      <c r="V20" s="59">
        <v>2029</v>
      </c>
      <c r="W20" s="59">
        <v>2030</v>
      </c>
      <c r="X20" s="59">
        <v>2031</v>
      </c>
      <c r="Y20" s="59">
        <v>2032</v>
      </c>
      <c r="Z20" s="59">
        <v>2033</v>
      </c>
      <c r="AA20" s="59">
        <v>2034</v>
      </c>
      <c r="AB20" s="59">
        <v>2035</v>
      </c>
      <c r="AC20" s="59">
        <v>2036</v>
      </c>
      <c r="AD20" s="59">
        <v>2037</v>
      </c>
      <c r="AE20" s="59">
        <v>2038</v>
      </c>
      <c r="AF20" s="59">
        <v>2039</v>
      </c>
      <c r="AG20" s="59">
        <v>2040</v>
      </c>
      <c r="AH20" s="59">
        <v>2041</v>
      </c>
      <c r="AI20" s="59">
        <v>2042</v>
      </c>
      <c r="AJ20" s="59">
        <v>2043</v>
      </c>
      <c r="AK20" s="59">
        <v>2044</v>
      </c>
      <c r="AL20" s="59">
        <v>2045</v>
      </c>
      <c r="AM20" s="59">
        <v>2046</v>
      </c>
      <c r="AN20" s="59">
        <v>2047</v>
      </c>
      <c r="AO20" s="59">
        <v>2048</v>
      </c>
      <c r="AP20" s="59">
        <v>2049</v>
      </c>
      <c r="AQ20" s="59">
        <v>2050</v>
      </c>
    </row>
    <row r="21" spans="1:43" s="40" customFormat="1">
      <c r="A21" s="43" t="str">
        <f>'[4]Vehicle stock'!A46</f>
        <v>2 to 5 tonnes</v>
      </c>
      <c r="C21" s="75">
        <f>C13/C$18</f>
        <v>0.6807525956797229</v>
      </c>
      <c r="D21" s="75">
        <f t="shared" ref="D21:AQ21" si="24">D13/D$18</f>
        <v>0.68826981795576581</v>
      </c>
      <c r="E21" s="75">
        <f t="shared" si="24"/>
        <v>0.69376231620433526</v>
      </c>
      <c r="F21" s="75">
        <f t="shared" si="24"/>
        <v>0.6840168715785695</v>
      </c>
      <c r="G21" s="75">
        <f t="shared" si="24"/>
        <v>0.68833288473762877</v>
      </c>
      <c r="H21" s="75">
        <f t="shared" si="24"/>
        <v>0.70120669118027867</v>
      </c>
      <c r="I21" s="75">
        <f t="shared" si="24"/>
        <v>0.6908310491417694</v>
      </c>
      <c r="J21" s="75">
        <f t="shared" si="24"/>
        <v>0.69761420539025532</v>
      </c>
      <c r="K21" s="75">
        <f t="shared" si="24"/>
        <v>0.7071189945911549</v>
      </c>
      <c r="L21" s="75">
        <f t="shared" si="24"/>
        <v>0.71761731443691656</v>
      </c>
      <c r="M21" s="76">
        <f t="shared" si="24"/>
        <v>0.72042446912370051</v>
      </c>
      <c r="N21" s="76">
        <f t="shared" si="24"/>
        <v>0.72313494026770941</v>
      </c>
      <c r="O21" s="76">
        <f t="shared" si="24"/>
        <v>0.72574960902034491</v>
      </c>
      <c r="P21" s="76">
        <f t="shared" si="24"/>
        <v>0.72826940461278988</v>
      </c>
      <c r="Q21" s="76">
        <f t="shared" si="24"/>
        <v>0.73069530088788148</v>
      </c>
      <c r="R21" s="76">
        <f t="shared" si="24"/>
        <v>0.73302831290356796</v>
      </c>
      <c r="S21" s="76">
        <f t="shared" si="24"/>
        <v>0.73450088141015479</v>
      </c>
      <c r="T21" s="76">
        <f t="shared" si="24"/>
        <v>0.73595825749458654</v>
      </c>
      <c r="U21" s="76">
        <f t="shared" si="24"/>
        <v>0.73740053140401618</v>
      </c>
      <c r="V21" s="76">
        <f t="shared" si="24"/>
        <v>0.73882779459343073</v>
      </c>
      <c r="W21" s="76">
        <f t="shared" si="24"/>
        <v>0.74024013967218338</v>
      </c>
      <c r="X21" s="76">
        <f t="shared" si="24"/>
        <v>0.7416376603513084</v>
      </c>
      <c r="Y21" s="76">
        <f t="shared" si="24"/>
        <v>0.74302045139162876</v>
      </c>
      <c r="Z21" s="76">
        <f t="shared" si="24"/>
        <v>0.74438860855266775</v>
      </c>
      <c r="AA21" s="76">
        <f t="shared" si="24"/>
        <v>0.74574222854237759</v>
      </c>
      <c r="AB21" s="76">
        <f t="shared" si="24"/>
        <v>0.74708140896768771</v>
      </c>
      <c r="AC21" s="76">
        <f t="shared" si="24"/>
        <v>0.7479335028315659</v>
      </c>
      <c r="AD21" s="76">
        <f t="shared" si="24"/>
        <v>0.74878255515320746</v>
      </c>
      <c r="AE21" s="76">
        <f t="shared" si="24"/>
        <v>0.74962857245268866</v>
      </c>
      <c r="AF21" s="76">
        <f t="shared" si="24"/>
        <v>0.7504715613085885</v>
      </c>
      <c r="AG21" s="76">
        <f t="shared" si="24"/>
        <v>0.75131152835695381</v>
      </c>
      <c r="AH21" s="76">
        <f t="shared" si="24"/>
        <v>0.75214848029027193</v>
      </c>
      <c r="AI21" s="76">
        <f t="shared" si="24"/>
        <v>0.75298242385645009</v>
      </c>
      <c r="AJ21" s="76">
        <f t="shared" si="24"/>
        <v>0.75381336585780112</v>
      </c>
      <c r="AK21" s="76">
        <f t="shared" si="24"/>
        <v>0.75464131315003602</v>
      </c>
      <c r="AL21" s="76">
        <f t="shared" si="24"/>
        <v>0.75546627264126431</v>
      </c>
      <c r="AM21" s="76">
        <f t="shared" si="24"/>
        <v>0.75628825129099964</v>
      </c>
      <c r="AN21" s="76">
        <f t="shared" si="24"/>
        <v>0.75710725610917429</v>
      </c>
      <c r="AO21" s="76">
        <f t="shared" si="24"/>
        <v>0.75792329415515924</v>
      </c>
      <c r="AP21" s="76">
        <f t="shared" si="24"/>
        <v>0.75873637253679183</v>
      </c>
      <c r="AQ21" s="76">
        <f t="shared" si="24"/>
        <v>0.75954649840941046</v>
      </c>
    </row>
    <row r="22" spans="1:43" s="40" customFormat="1">
      <c r="A22" s="43" t="str">
        <f t="shared" ref="A22:B25" si="25">A14</f>
        <v>5 to 7.5 Tonnes</v>
      </c>
      <c r="B22" s="40">
        <f t="shared" si="25"/>
        <v>0</v>
      </c>
      <c r="C22" s="75">
        <f t="shared" ref="C22:C25" si="26">C14/C$18</f>
        <v>5.8310415429907565E-2</v>
      </c>
      <c r="D22" s="75">
        <f t="shared" ref="D22:AQ22" si="27">D14/D$18</f>
        <v>5.6795119483669658E-2</v>
      </c>
      <c r="E22" s="75">
        <f t="shared" si="27"/>
        <v>5.5940831691172754E-2</v>
      </c>
      <c r="F22" s="75">
        <f t="shared" si="27"/>
        <v>5.4617248496814146E-2</v>
      </c>
      <c r="G22" s="75">
        <f t="shared" si="27"/>
        <v>5.1792760238003881E-2</v>
      </c>
      <c r="H22" s="75">
        <f t="shared" si="27"/>
        <v>4.6848619814594233E-2</v>
      </c>
      <c r="I22" s="75">
        <f t="shared" si="27"/>
        <v>4.4986752451597257E-2</v>
      </c>
      <c r="J22" s="75">
        <f t="shared" si="27"/>
        <v>4.1529232820057091E-2</v>
      </c>
      <c r="K22" s="75">
        <f t="shared" si="27"/>
        <v>3.8577791918549154E-2</v>
      </c>
      <c r="L22" s="75">
        <f t="shared" si="27"/>
        <v>3.6223857032977959E-2</v>
      </c>
      <c r="M22" s="76">
        <f t="shared" si="27"/>
        <v>3.5105363919853805E-2</v>
      </c>
      <c r="N22" s="76">
        <f t="shared" si="27"/>
        <v>3.4016342250236337E-2</v>
      </c>
      <c r="O22" s="76">
        <f t="shared" si="27"/>
        <v>3.2956290222627631E-2</v>
      </c>
      <c r="P22" s="76">
        <f t="shared" si="27"/>
        <v>3.1924699295627058E-2</v>
      </c>
      <c r="Q22" s="76">
        <f t="shared" si="27"/>
        <v>3.0921055225186213E-2</v>
      </c>
      <c r="R22" s="76">
        <f t="shared" si="27"/>
        <v>2.9944839063303037E-2</v>
      </c>
      <c r="S22" s="76">
        <f t="shared" si="27"/>
        <v>2.9557159014730734E-2</v>
      </c>
      <c r="T22" s="76">
        <f t="shared" si="27"/>
        <v>2.9173778554317496E-2</v>
      </c>
      <c r="U22" s="76">
        <f t="shared" si="27"/>
        <v>2.879466821102138E-2</v>
      </c>
      <c r="V22" s="76">
        <f t="shared" si="27"/>
        <v>2.8419798242834658E-2</v>
      </c>
      <c r="W22" s="76">
        <f t="shared" si="27"/>
        <v>2.8049138651688715E-2</v>
      </c>
      <c r="X22" s="76">
        <f t="shared" si="27"/>
        <v>2.7682659198109819E-2</v>
      </c>
      <c r="Y22" s="76">
        <f t="shared" si="27"/>
        <v>2.7320329415623484E-2</v>
      </c>
      <c r="Z22" s="76">
        <f t="shared" si="27"/>
        <v>2.696211862490528E-2</v>
      </c>
      <c r="AA22" s="76">
        <f t="shared" si="27"/>
        <v>2.6607995947676422E-2</v>
      </c>
      <c r="AB22" s="76">
        <f t="shared" si="27"/>
        <v>2.6257930320342453E-2</v>
      </c>
      <c r="AC22" s="76">
        <f t="shared" si="27"/>
        <v>2.6091211734830689E-2</v>
      </c>
      <c r="AD22" s="76">
        <f t="shared" si="27"/>
        <v>2.5925412732012394E-2</v>
      </c>
      <c r="AE22" s="76">
        <f t="shared" si="27"/>
        <v>2.5760529895654895E-2</v>
      </c>
      <c r="AF22" s="76">
        <f t="shared" si="27"/>
        <v>2.5596559801921145E-2</v>
      </c>
      <c r="AG22" s="76">
        <f t="shared" si="27"/>
        <v>2.5433499019676585E-2</v>
      </c>
      <c r="AH22" s="76">
        <f t="shared" si="27"/>
        <v>2.5271344110793157E-2</v>
      </c>
      <c r="AI22" s="76">
        <f t="shared" si="27"/>
        <v>2.5110091630450339E-2</v>
      </c>
      <c r="AJ22" s="76">
        <f t="shared" si="27"/>
        <v>2.4949738127433264E-2</v>
      </c>
      <c r="AK22" s="76">
        <f t="shared" si="27"/>
        <v>2.4790280144427898E-2</v>
      </c>
      <c r="AL22" s="76">
        <f t="shared" si="27"/>
        <v>2.4631714218313294E-2</v>
      </c>
      <c r="AM22" s="76">
        <f t="shared" si="27"/>
        <v>2.4474036880450901E-2</v>
      </c>
      <c r="AN22" s="76">
        <f t="shared" si="27"/>
        <v>2.4317244656970948E-2</v>
      </c>
      <c r="AO22" s="76">
        <f t="shared" si="27"/>
        <v>2.4161334069055906E-2</v>
      </c>
      <c r="AP22" s="76">
        <f t="shared" si="27"/>
        <v>2.400630163322098E-2</v>
      </c>
      <c r="AQ22" s="76">
        <f t="shared" si="27"/>
        <v>2.3852143861591735E-2</v>
      </c>
    </row>
    <row r="23" spans="1:43" s="40" customFormat="1">
      <c r="A23" s="43" t="str">
        <f t="shared" si="25"/>
        <v>7.5 to 10 Tonnes</v>
      </c>
      <c r="B23" s="40">
        <f t="shared" si="25"/>
        <v>0</v>
      </c>
      <c r="C23" s="75">
        <f t="shared" si="26"/>
        <v>3.6599992730885267E-2</v>
      </c>
      <c r="D23" s="75">
        <f t="shared" ref="D23:AQ23" si="28">D15/D$18</f>
        <v>3.5025383804340546E-2</v>
      </c>
      <c r="E23" s="75">
        <f t="shared" si="28"/>
        <v>3.4839068263352028E-2</v>
      </c>
      <c r="F23" s="75">
        <f t="shared" si="28"/>
        <v>3.4287594603487986E-2</v>
      </c>
      <c r="G23" s="75">
        <f t="shared" si="28"/>
        <v>3.4251713731037289E-2</v>
      </c>
      <c r="H23" s="75">
        <f t="shared" si="28"/>
        <v>3.1943653218706305E-2</v>
      </c>
      <c r="I23" s="75">
        <f t="shared" si="28"/>
        <v>3.4013480924903104E-2</v>
      </c>
      <c r="J23" s="75">
        <f t="shared" si="28"/>
        <v>3.3471194435424616E-2</v>
      </c>
      <c r="K23" s="75">
        <f t="shared" si="28"/>
        <v>3.2206490614062999E-2</v>
      </c>
      <c r="L23" s="75">
        <f t="shared" si="28"/>
        <v>3.0799294880523471E-2</v>
      </c>
      <c r="M23" s="76">
        <f t="shared" si="28"/>
        <v>3.0154433715547178E-2</v>
      </c>
      <c r="N23" s="76">
        <f t="shared" si="28"/>
        <v>2.9518679439863513E-2</v>
      </c>
      <c r="O23" s="76">
        <f t="shared" si="28"/>
        <v>2.8892109082508312E-2</v>
      </c>
      <c r="P23" s="76">
        <f t="shared" si="28"/>
        <v>2.8274787991594549E-2</v>
      </c>
      <c r="Q23" s="76">
        <f t="shared" si="28"/>
        <v>2.7666770219780163E-2</v>
      </c>
      <c r="R23" s="76">
        <f t="shared" si="28"/>
        <v>2.7068098916707629E-2</v>
      </c>
      <c r="S23" s="76">
        <f t="shared" si="28"/>
        <v>2.6852600196020742E-2</v>
      </c>
      <c r="T23" s="76">
        <f t="shared" si="28"/>
        <v>2.6638160170792468E-2</v>
      </c>
      <c r="U23" s="76">
        <f t="shared" si="28"/>
        <v>2.642478781401748E-2</v>
      </c>
      <c r="V23" s="76">
        <f t="shared" si="28"/>
        <v>2.6212491739354821E-2</v>
      </c>
      <c r="W23" s="76">
        <f t="shared" si="28"/>
        <v>2.6001280205735579E-2</v>
      </c>
      <c r="X23" s="76">
        <f t="shared" si="28"/>
        <v>2.5791161122023617E-2</v>
      </c>
      <c r="Y23" s="76">
        <f t="shared" si="28"/>
        <v>2.5582142051724977E-2</v>
      </c>
      <c r="Z23" s="76">
        <f t="shared" si="28"/>
        <v>2.5374230217741423E-2</v>
      </c>
      <c r="AA23" s="76">
        <f t="shared" si="28"/>
        <v>2.5167432507163943E-2</v>
      </c>
      <c r="AB23" s="76">
        <f t="shared" si="28"/>
        <v>2.4961755476101834E-2</v>
      </c>
      <c r="AC23" s="76">
        <f t="shared" si="28"/>
        <v>2.4927906180424883E-2</v>
      </c>
      <c r="AD23" s="76">
        <f t="shared" si="28"/>
        <v>2.4893969356445049E-2</v>
      </c>
      <c r="AE23" s="76">
        <f t="shared" si="28"/>
        <v>2.4859946119608945E-2</v>
      </c>
      <c r="AF23" s="76">
        <f t="shared" si="28"/>
        <v>2.4825837580572198E-2</v>
      </c>
      <c r="AG23" s="76">
        <f t="shared" si="28"/>
        <v>2.4791644845173381E-2</v>
      </c>
      <c r="AH23" s="76">
        <f t="shared" si="28"/>
        <v>2.4757369014408753E-2</v>
      </c>
      <c r="AI23" s="76">
        <f t="shared" si="28"/>
        <v>2.472301118440777E-2</v>
      </c>
      <c r="AJ23" s="76">
        <f t="shared" si="28"/>
        <v>2.4688572446409311E-2</v>
      </c>
      <c r="AK23" s="76">
        <f t="shared" si="28"/>
        <v>2.4654053886738712E-2</v>
      </c>
      <c r="AL23" s="76">
        <f t="shared" si="28"/>
        <v>2.4619456586785538E-2</v>
      </c>
      <c r="AM23" s="76">
        <f t="shared" si="28"/>
        <v>2.4584781622982027E-2</v>
      </c>
      <c r="AN23" s="76">
        <f t="shared" si="28"/>
        <v>2.4550030066782375E-2</v>
      </c>
      <c r="AO23" s="76">
        <f t="shared" si="28"/>
        <v>2.4515202984642662E-2</v>
      </c>
      <c r="AP23" s="76">
        <f t="shared" si="28"/>
        <v>2.4480301438001534E-2</v>
      </c>
      <c r="AQ23" s="76">
        <f t="shared" si="28"/>
        <v>2.444532648326157E-2</v>
      </c>
    </row>
    <row r="24" spans="1:43" s="40" customFormat="1">
      <c r="A24" s="43" t="str">
        <f t="shared" si="25"/>
        <v>10 to 12.5 Tonnes</v>
      </c>
      <c r="B24" s="40">
        <f t="shared" si="25"/>
        <v>0</v>
      </c>
      <c r="C24" s="75">
        <f t="shared" si="26"/>
        <v>0.12468954822451873</v>
      </c>
      <c r="D24" s="75">
        <f t="shared" ref="D24:AQ24" si="29">D16/D$18</f>
        <v>0.11956899336303413</v>
      </c>
      <c r="E24" s="75">
        <f t="shared" si="29"/>
        <v>0.11491966045172047</v>
      </c>
      <c r="F24" s="75">
        <f t="shared" si="29"/>
        <v>0.11801130754733914</v>
      </c>
      <c r="G24" s="75">
        <f t="shared" si="29"/>
        <v>0.1160240294584209</v>
      </c>
      <c r="H24" s="75">
        <f t="shared" si="29"/>
        <v>0.11155419752447046</v>
      </c>
      <c r="I24" s="75">
        <f t="shared" si="29"/>
        <v>0.11564949595251932</v>
      </c>
      <c r="J24" s="75">
        <f t="shared" si="29"/>
        <v>0.11169312802283254</v>
      </c>
      <c r="K24" s="75">
        <f t="shared" si="29"/>
        <v>0.10619630925867006</v>
      </c>
      <c r="L24" s="75">
        <f t="shared" si="29"/>
        <v>0.10128180121960646</v>
      </c>
      <c r="M24" s="76">
        <f t="shared" si="29"/>
        <v>9.8657854055286515E-2</v>
      </c>
      <c r="N24" s="76">
        <f t="shared" si="29"/>
        <v>9.608758044285759E-2</v>
      </c>
      <c r="O24" s="76">
        <f t="shared" si="29"/>
        <v>9.357060207446688E-2</v>
      </c>
      <c r="P24" s="76">
        <f t="shared" si="29"/>
        <v>9.1106503693057589E-2</v>
      </c>
      <c r="Q24" s="76">
        <f t="shared" si="29"/>
        <v>8.8694835301553518E-2</v>
      </c>
      <c r="R24" s="76">
        <f t="shared" si="29"/>
        <v>8.6335114341783106E-2</v>
      </c>
      <c r="S24" s="76">
        <f t="shared" si="29"/>
        <v>8.5217379120339373E-2</v>
      </c>
      <c r="T24" s="76">
        <f t="shared" si="29"/>
        <v>8.4112040206471395E-2</v>
      </c>
      <c r="U24" s="76">
        <f t="shared" si="29"/>
        <v>8.3019012631087519E-2</v>
      </c>
      <c r="V24" s="76">
        <f t="shared" si="29"/>
        <v>8.1938210643864168E-2</v>
      </c>
      <c r="W24" s="76">
        <f t="shared" si="29"/>
        <v>8.0869547756218851E-2</v>
      </c>
      <c r="X24" s="76">
        <f t="shared" si="29"/>
        <v>7.9812936783564714E-2</v>
      </c>
      <c r="Y24" s="76">
        <f t="shared" si="29"/>
        <v>7.8768289886840315E-2</v>
      </c>
      <c r="Z24" s="76">
        <f t="shared" si="29"/>
        <v>7.7735518613308352E-2</v>
      </c>
      <c r="AA24" s="76">
        <f t="shared" si="29"/>
        <v>7.6714533936618645E-2</v>
      </c>
      <c r="AB24" s="76">
        <f t="shared" si="29"/>
        <v>7.5705246296130249E-2</v>
      </c>
      <c r="AC24" s="76">
        <f t="shared" si="29"/>
        <v>7.5224573546057008E-2</v>
      </c>
      <c r="AD24" s="76">
        <f t="shared" si="29"/>
        <v>7.4746552080127232E-2</v>
      </c>
      <c r="AE24" s="76">
        <f t="shared" si="29"/>
        <v>7.427117204886946E-2</v>
      </c>
      <c r="AF24" s="76">
        <f t="shared" si="29"/>
        <v>7.3798423580887715E-2</v>
      </c>
      <c r="AG24" s="76">
        <f t="shared" si="29"/>
        <v>7.3328296783746347E-2</v>
      </c>
      <c r="AH24" s="76">
        <f t="shared" si="29"/>
        <v>7.286078174484642E-2</v>
      </c>
      <c r="AI24" s="76">
        <f t="shared" si="29"/>
        <v>7.2395868532293739E-2</v>
      </c>
      <c r="AJ24" s="76">
        <f t="shared" si="29"/>
        <v>7.1933547195758299E-2</v>
      </c>
      <c r="AK24" s="76">
        <f t="shared" si="29"/>
        <v>7.1473807767325384E-2</v>
      </c>
      <c r="AL24" s="76">
        <f t="shared" si="29"/>
        <v>7.1016640262338143E-2</v>
      </c>
      <c r="AM24" s="76">
        <f t="shared" si="29"/>
        <v>7.0562034680231672E-2</v>
      </c>
      <c r="AN24" s="76">
        <f t="shared" si="29"/>
        <v>7.0109981005358757E-2</v>
      </c>
      <c r="AO24" s="76">
        <f t="shared" si="29"/>
        <v>6.9660469207807107E-2</v>
      </c>
      <c r="AP24" s="76">
        <f t="shared" si="29"/>
        <v>6.9213489244208101E-2</v>
      </c>
      <c r="AQ24" s="76">
        <f t="shared" si="29"/>
        <v>6.87690310585371E-2</v>
      </c>
    </row>
    <row r="25" spans="1:43" s="40" customFormat="1">
      <c r="A25" s="43" t="str">
        <f t="shared" si="25"/>
        <v>Over 12.5 Tonnes</v>
      </c>
      <c r="B25" s="40">
        <f t="shared" si="25"/>
        <v>0</v>
      </c>
      <c r="C25" s="75">
        <f t="shared" si="26"/>
        <v>9.9647447934965661E-2</v>
      </c>
      <c r="D25" s="75">
        <f t="shared" ref="D25:AQ25" si="30">D17/D$18</f>
        <v>0.10034068539318997</v>
      </c>
      <c r="E25" s="75">
        <f t="shared" si="30"/>
        <v>0.10053812338941943</v>
      </c>
      <c r="F25" s="75">
        <f t="shared" si="30"/>
        <v>0.10906697777378922</v>
      </c>
      <c r="G25" s="75">
        <f t="shared" si="30"/>
        <v>0.10959861183490914</v>
      </c>
      <c r="H25" s="75">
        <f t="shared" si="30"/>
        <v>0.10844683826195038</v>
      </c>
      <c r="I25" s="75">
        <f t="shared" si="30"/>
        <v>0.11451922152921096</v>
      </c>
      <c r="J25" s="75">
        <f t="shared" si="30"/>
        <v>0.11569223933143064</v>
      </c>
      <c r="K25" s="75">
        <f t="shared" si="30"/>
        <v>0.11590041361756284</v>
      </c>
      <c r="L25" s="75">
        <f t="shared" si="30"/>
        <v>0.11407773242997568</v>
      </c>
      <c r="M25" s="76">
        <f t="shared" si="30"/>
        <v>0.11565787918561211</v>
      </c>
      <c r="N25" s="76">
        <f t="shared" si="30"/>
        <v>0.11724245759933315</v>
      </c>
      <c r="O25" s="76">
        <f t="shared" si="30"/>
        <v>0.11883138960005238</v>
      </c>
      <c r="P25" s="76">
        <f t="shared" si="30"/>
        <v>0.12042460440693092</v>
      </c>
      <c r="Q25" s="76">
        <f t="shared" si="30"/>
        <v>0.12202203836559859</v>
      </c>
      <c r="R25" s="76">
        <f t="shared" si="30"/>
        <v>0.12362363477463827</v>
      </c>
      <c r="S25" s="76">
        <f t="shared" si="30"/>
        <v>0.1238719802587545</v>
      </c>
      <c r="T25" s="76">
        <f t="shared" si="30"/>
        <v>0.12411776357383197</v>
      </c>
      <c r="U25" s="76">
        <f t="shared" si="30"/>
        <v>0.12436099993985728</v>
      </c>
      <c r="V25" s="76">
        <f t="shared" si="30"/>
        <v>0.12460170478051556</v>
      </c>
      <c r="W25" s="76">
        <f t="shared" si="30"/>
        <v>0.12483989371417337</v>
      </c>
      <c r="X25" s="76">
        <f t="shared" si="30"/>
        <v>0.12507558254499332</v>
      </c>
      <c r="Y25" s="76">
        <f t="shared" si="30"/>
        <v>0.1253087872541826</v>
      </c>
      <c r="Z25" s="76">
        <f t="shared" si="30"/>
        <v>0.12553952399137716</v>
      </c>
      <c r="AA25" s="76">
        <f t="shared" si="30"/>
        <v>0.12576780906616328</v>
      </c>
      <c r="AB25" s="76">
        <f t="shared" si="30"/>
        <v>0.12599365893973788</v>
      </c>
      <c r="AC25" s="76">
        <f t="shared" si="30"/>
        <v>0.12582280570712148</v>
      </c>
      <c r="AD25" s="76">
        <f t="shared" si="30"/>
        <v>0.1256515106782079</v>
      </c>
      <c r="AE25" s="76">
        <f t="shared" si="30"/>
        <v>0.12547977948317804</v>
      </c>
      <c r="AF25" s="76">
        <f t="shared" si="30"/>
        <v>0.12530761772803053</v>
      </c>
      <c r="AG25" s="76">
        <f t="shared" si="30"/>
        <v>0.12513503099445003</v>
      </c>
      <c r="AH25" s="76">
        <f t="shared" si="30"/>
        <v>0.12496202483967982</v>
      </c>
      <c r="AI25" s="76">
        <f t="shared" si="30"/>
        <v>0.12478860479639808</v>
      </c>
      <c r="AJ25" s="76">
        <f t="shared" si="30"/>
        <v>0.12461477637259805</v>
      </c>
      <c r="AK25" s="76">
        <f t="shared" si="30"/>
        <v>0.12444054505147194</v>
      </c>
      <c r="AL25" s="76">
        <f t="shared" si="30"/>
        <v>0.12426591629129882</v>
      </c>
      <c r="AM25" s="76">
        <f t="shared" si="30"/>
        <v>0.12409089552533586</v>
      </c>
      <c r="AN25" s="76">
        <f t="shared" si="30"/>
        <v>0.1239154881617137</v>
      </c>
      <c r="AO25" s="76">
        <f t="shared" si="30"/>
        <v>0.12373969958333515</v>
      </c>
      <c r="AP25" s="76">
        <f t="shared" si="30"/>
        <v>0.12356353514777765</v>
      </c>
      <c r="AQ25" s="76">
        <f t="shared" si="30"/>
        <v>0.12338700018719931</v>
      </c>
    </row>
    <row r="26" spans="1:43" s="40" customFormat="1">
      <c r="A26" s="40" t="s">
        <v>29</v>
      </c>
      <c r="C26" s="61">
        <f>SUM(C21:C25)</f>
        <v>1</v>
      </c>
      <c r="D26" s="61">
        <f t="shared" ref="D26:AQ26" si="31">SUM(D21:D25)</f>
        <v>1</v>
      </c>
      <c r="E26" s="61">
        <f t="shared" si="31"/>
        <v>1</v>
      </c>
      <c r="F26" s="61">
        <f t="shared" si="31"/>
        <v>1</v>
      </c>
      <c r="G26" s="61">
        <f t="shared" si="31"/>
        <v>1</v>
      </c>
      <c r="H26" s="61">
        <f t="shared" si="31"/>
        <v>1</v>
      </c>
      <c r="I26" s="61">
        <f t="shared" si="31"/>
        <v>1</v>
      </c>
      <c r="J26" s="61">
        <f t="shared" si="31"/>
        <v>1</v>
      </c>
      <c r="K26" s="61">
        <f t="shared" si="31"/>
        <v>1</v>
      </c>
      <c r="L26" s="61">
        <f t="shared" si="31"/>
        <v>1.0000000000000002</v>
      </c>
      <c r="M26" s="51">
        <f t="shared" si="31"/>
        <v>1</v>
      </c>
      <c r="N26" s="51">
        <f t="shared" si="31"/>
        <v>1</v>
      </c>
      <c r="O26" s="51">
        <f t="shared" si="31"/>
        <v>1</v>
      </c>
      <c r="P26" s="51">
        <f t="shared" si="31"/>
        <v>1</v>
      </c>
      <c r="Q26" s="51">
        <f t="shared" si="31"/>
        <v>0.99999999999999989</v>
      </c>
      <c r="R26" s="51">
        <f t="shared" si="31"/>
        <v>0.99999999999999989</v>
      </c>
      <c r="S26" s="51">
        <f t="shared" si="31"/>
        <v>1.0000000000000002</v>
      </c>
      <c r="T26" s="51">
        <f t="shared" si="31"/>
        <v>0.99999999999999978</v>
      </c>
      <c r="U26" s="51">
        <f t="shared" si="31"/>
        <v>0.99999999999999989</v>
      </c>
      <c r="V26" s="51">
        <f t="shared" si="31"/>
        <v>1</v>
      </c>
      <c r="W26" s="51">
        <f t="shared" si="31"/>
        <v>0.99999999999999989</v>
      </c>
      <c r="X26" s="51">
        <f t="shared" si="31"/>
        <v>0.99999999999999989</v>
      </c>
      <c r="Y26" s="51">
        <f t="shared" si="31"/>
        <v>1</v>
      </c>
      <c r="Z26" s="51">
        <f t="shared" si="31"/>
        <v>0.99999999999999989</v>
      </c>
      <c r="AA26" s="51">
        <f t="shared" si="31"/>
        <v>0.99999999999999978</v>
      </c>
      <c r="AB26" s="51">
        <f t="shared" si="31"/>
        <v>1</v>
      </c>
      <c r="AC26" s="51">
        <f t="shared" si="31"/>
        <v>0.99999999999999989</v>
      </c>
      <c r="AD26" s="51">
        <f t="shared" si="31"/>
        <v>1</v>
      </c>
      <c r="AE26" s="51">
        <f t="shared" si="31"/>
        <v>1</v>
      </c>
      <c r="AF26" s="51">
        <f t="shared" si="31"/>
        <v>1</v>
      </c>
      <c r="AG26" s="51">
        <f t="shared" si="31"/>
        <v>1.0000000000000002</v>
      </c>
      <c r="AH26" s="51">
        <f t="shared" si="31"/>
        <v>1</v>
      </c>
      <c r="AI26" s="51">
        <f t="shared" si="31"/>
        <v>1</v>
      </c>
      <c r="AJ26" s="51">
        <f t="shared" si="31"/>
        <v>1</v>
      </c>
      <c r="AK26" s="51">
        <f t="shared" si="31"/>
        <v>0.99999999999999989</v>
      </c>
      <c r="AL26" s="51">
        <f t="shared" si="31"/>
        <v>1.0000000000000002</v>
      </c>
      <c r="AM26" s="51">
        <f t="shared" si="31"/>
        <v>1.0000000000000002</v>
      </c>
      <c r="AN26" s="51">
        <f t="shared" si="31"/>
        <v>1</v>
      </c>
      <c r="AO26" s="51">
        <f t="shared" si="31"/>
        <v>1</v>
      </c>
      <c r="AP26" s="51">
        <f t="shared" si="31"/>
        <v>1</v>
      </c>
      <c r="AQ26" s="51">
        <f t="shared" si="31"/>
        <v>1.0000000000000002</v>
      </c>
    </row>
    <row r="27" spans="1:43" s="40" customFormat="1">
      <c r="A27" s="43"/>
    </row>
    <row r="28" spans="1:43" s="45" customFormat="1">
      <c r="A28" s="46"/>
      <c r="F28" s="48"/>
    </row>
    <row r="31" spans="1:43" s="78" customFormat="1" ht="19">
      <c r="A31" s="77" t="s">
        <v>97</v>
      </c>
    </row>
    <row r="32" spans="1:43" s="40" customFormat="1" ht="16.75" customHeight="1">
      <c r="A32" s="41"/>
    </row>
    <row r="33" spans="1:43" s="40" customFormat="1" ht="16.75" customHeight="1">
      <c r="A33" s="41"/>
      <c r="I33" s="141" t="s">
        <v>84</v>
      </c>
      <c r="J33" s="141"/>
      <c r="K33" s="141"/>
      <c r="L33" s="141"/>
      <c r="M33" s="141"/>
      <c r="N33" s="141"/>
      <c r="O33" s="141"/>
      <c r="P33" s="141"/>
      <c r="Q33" s="141"/>
    </row>
    <row r="34" spans="1:43" s="40" customFormat="1" ht="16.75" customHeight="1">
      <c r="A34" s="41"/>
      <c r="G34" s="69">
        <v>2010</v>
      </c>
      <c r="H34" s="69">
        <v>2011</v>
      </c>
      <c r="I34" s="69">
        <v>2012</v>
      </c>
      <c r="J34" s="69">
        <v>2013</v>
      </c>
      <c r="K34" s="69">
        <v>2014</v>
      </c>
      <c r="L34" s="69">
        <v>2015</v>
      </c>
      <c r="M34" s="69">
        <v>2016</v>
      </c>
      <c r="N34" s="69">
        <v>2017</v>
      </c>
      <c r="O34" s="69">
        <v>2018</v>
      </c>
      <c r="P34" s="69" t="s">
        <v>85</v>
      </c>
      <c r="Q34" s="69"/>
    </row>
    <row r="35" spans="1:43" s="40" customFormat="1" ht="16.75" customHeight="1">
      <c r="A35" s="41"/>
      <c r="E35" s="72" t="s">
        <v>67</v>
      </c>
      <c r="G35" s="62">
        <f t="shared" ref="G35:J35" si="32">-(C43-D43)/C43</f>
        <v>-6.8629303132383454E-2</v>
      </c>
      <c r="H35" s="62">
        <f t="shared" si="32"/>
        <v>2.994572507734081E-2</v>
      </c>
      <c r="I35" s="62">
        <f t="shared" si="32"/>
        <v>-1.9744041653707502E-2</v>
      </c>
      <c r="J35" s="62">
        <f t="shared" si="32"/>
        <v>-0.12287123152052855</v>
      </c>
      <c r="K35" s="62">
        <f t="shared" ref="K35:O39" si="33">-(G43-H43)/G43</f>
        <v>0.12395015128567646</v>
      </c>
      <c r="L35" s="62">
        <f t="shared" si="33"/>
        <v>-3.9999545531437919E-2</v>
      </c>
      <c r="M35" s="62">
        <f t="shared" si="33"/>
        <v>-8.6599784066793403E-2</v>
      </c>
      <c r="N35" s="62">
        <f t="shared" si="33"/>
        <v>-2.2683246491704716E-2</v>
      </c>
      <c r="O35" s="62">
        <f t="shared" si="33"/>
        <v>0.73397875203889862</v>
      </c>
      <c r="P35" s="62">
        <f>AVERAGE(G35:O35)</f>
        <v>5.8594164000595597E-2</v>
      </c>
    </row>
    <row r="36" spans="1:43" s="40" customFormat="1" ht="16.75" customHeight="1">
      <c r="A36" s="41"/>
      <c r="E36" s="40" t="s">
        <v>68</v>
      </c>
      <c r="G36" s="62">
        <f t="shared" ref="G36:J36" si="34">-(C44-D44)/C44</f>
        <v>-4.795014724807397E-2</v>
      </c>
      <c r="H36" s="62">
        <f t="shared" si="34"/>
        <v>2.964007652490467E-2</v>
      </c>
      <c r="I36" s="62">
        <f t="shared" si="34"/>
        <v>-0.1537020273816582</v>
      </c>
      <c r="J36" s="62">
        <f t="shared" si="34"/>
        <v>6.8709432196947529E-2</v>
      </c>
      <c r="K36" s="62">
        <f t="shared" si="33"/>
        <v>7.9006413087645416E-2</v>
      </c>
      <c r="L36" s="62">
        <f t="shared" si="33"/>
        <v>8.9616049809754558E-2</v>
      </c>
      <c r="M36" s="62">
        <f t="shared" si="33"/>
        <v>-1.2741570286589071E-2</v>
      </c>
      <c r="N36" s="62">
        <f t="shared" si="33"/>
        <v>-1.2542476027286666E-2</v>
      </c>
      <c r="O36" s="62">
        <f t="shared" si="33"/>
        <v>-0.20052318542497066</v>
      </c>
      <c r="P36" s="62">
        <f t="shared" ref="P36:P39" si="35">AVERAGE(G36:O36)</f>
        <v>-1.7831937194369596E-2</v>
      </c>
      <c r="S36" s="55" t="s">
        <v>86</v>
      </c>
      <c r="T36" s="56"/>
      <c r="U36" s="57" t="s">
        <v>87</v>
      </c>
      <c r="V36" s="57" t="s">
        <v>88</v>
      </c>
      <c r="W36" s="57" t="s">
        <v>89</v>
      </c>
      <c r="X36" s="57" t="s">
        <v>90</v>
      </c>
      <c r="Y36" s="57" t="s">
        <v>91</v>
      </c>
    </row>
    <row r="37" spans="1:43" s="40" customFormat="1" ht="16.75" customHeight="1">
      <c r="A37" s="41"/>
      <c r="E37" s="40" t="s">
        <v>69</v>
      </c>
      <c r="G37" s="62">
        <f t="shared" ref="G37:J37" si="36">-(C45-D45)/C45</f>
        <v>-4.4895725904330767E-2</v>
      </c>
      <c r="H37" s="62">
        <f t="shared" si="36"/>
        <v>-5.8816905464365146E-2</v>
      </c>
      <c r="I37" s="62">
        <f t="shared" si="36"/>
        <v>-1.9694981430908219E-2</v>
      </c>
      <c r="J37" s="62">
        <f t="shared" si="36"/>
        <v>-0.13156773160224267</v>
      </c>
      <c r="K37" s="62">
        <f t="shared" si="33"/>
        <v>-4.2888168049559403E-2</v>
      </c>
      <c r="L37" s="62">
        <f t="shared" si="33"/>
        <v>0.17670096087032383</v>
      </c>
      <c r="M37" s="62">
        <f t="shared" si="33"/>
        <v>2.4969786402743218E-2</v>
      </c>
      <c r="N37" s="62">
        <f t="shared" si="33"/>
        <v>0.12336320593201344</v>
      </c>
      <c r="O37" s="62">
        <f t="shared" si="33"/>
        <v>-7.9312996946190192E-2</v>
      </c>
      <c r="P37" s="62">
        <f t="shared" si="35"/>
        <v>-5.7936173547239872E-3</v>
      </c>
      <c r="S37" s="140" t="s">
        <v>92</v>
      </c>
      <c r="T37" s="140"/>
      <c r="U37" s="73">
        <v>0.05</v>
      </c>
      <c r="V37" s="58">
        <v>-1.4999999999999999E-2</v>
      </c>
      <c r="W37" s="58">
        <v>-5.0000000000000001E-3</v>
      </c>
      <c r="X37" s="58">
        <v>-0.04</v>
      </c>
      <c r="Y37" s="58">
        <v>2.5000000000000001E-2</v>
      </c>
    </row>
    <row r="38" spans="1:43" s="40" customFormat="1" ht="16.75" customHeight="1">
      <c r="A38" s="41"/>
      <c r="E38" s="40" t="s">
        <v>70</v>
      </c>
      <c r="G38" s="62">
        <f t="shared" ref="G38:J38" si="37">-(C46-D46)/C46</f>
        <v>-8.1458504520214095E-2</v>
      </c>
      <c r="H38" s="62">
        <f t="shared" si="37"/>
        <v>-4.7293109058729133E-2</v>
      </c>
      <c r="I38" s="62">
        <f t="shared" si="37"/>
        <v>-4.1211280570097542E-2</v>
      </c>
      <c r="J38" s="62">
        <f t="shared" si="37"/>
        <v>-6.597252908001594E-2</v>
      </c>
      <c r="K38" s="62">
        <f t="shared" si="33"/>
        <v>1.4375486619750482E-2</v>
      </c>
      <c r="L38" s="62">
        <f t="shared" si="33"/>
        <v>-5.3177634266473803E-2</v>
      </c>
      <c r="M38" s="62">
        <f t="shared" si="33"/>
        <v>4.0133074221739014E-2</v>
      </c>
      <c r="N38" s="62">
        <f t="shared" si="33"/>
        <v>-0.13329924569037335</v>
      </c>
      <c r="O38" s="62">
        <f t="shared" si="33"/>
        <v>-1.3686414347557031E-2</v>
      </c>
      <c r="P38" s="62">
        <f t="shared" si="35"/>
        <v>-4.2398906299107933E-2</v>
      </c>
      <c r="S38" s="140" t="s">
        <v>93</v>
      </c>
      <c r="T38" s="140"/>
      <c r="U38" s="73">
        <v>2.5000000000000001E-2</v>
      </c>
      <c r="V38" s="58">
        <v>-0.01</v>
      </c>
      <c r="W38" s="58">
        <v>-2.5000000000000001E-3</v>
      </c>
      <c r="X38" s="58">
        <v>-1.4999999999999999E-2</v>
      </c>
      <c r="Y38" s="58">
        <v>0.01</v>
      </c>
    </row>
    <row r="39" spans="1:43" s="40" customFormat="1" ht="16.75" customHeight="1">
      <c r="A39" s="41"/>
      <c r="E39" s="40" t="s">
        <v>71</v>
      </c>
      <c r="G39" s="62">
        <f t="shared" ref="G39:J39" si="38">-(C47-D47)/C47</f>
        <v>6.3205379270161566E-2</v>
      </c>
      <c r="H39" s="62">
        <f t="shared" si="38"/>
        <v>3.0732064993987413E-2</v>
      </c>
      <c r="I39" s="62">
        <f t="shared" si="38"/>
        <v>2.934194571551281E-2</v>
      </c>
      <c r="J39" s="62">
        <f t="shared" si="38"/>
        <v>4.9428342522441854E-2</v>
      </c>
      <c r="K39" s="62">
        <f t="shared" si="33"/>
        <v>-9.0761694930836263E-3</v>
      </c>
      <c r="L39" s="62">
        <f t="shared" si="33"/>
        <v>5.249409435148027E-3</v>
      </c>
      <c r="M39" s="62">
        <f t="shared" si="33"/>
        <v>-1.4563706107934766E-2</v>
      </c>
      <c r="N39" s="62">
        <f t="shared" si="33"/>
        <v>4.371732710731073E-2</v>
      </c>
      <c r="O39" s="62">
        <f t="shared" si="33"/>
        <v>-6.0096038643412978E-3</v>
      </c>
      <c r="P39" s="62">
        <f t="shared" si="35"/>
        <v>2.1336109953244746E-2</v>
      </c>
      <c r="S39" s="140" t="s">
        <v>94</v>
      </c>
      <c r="T39" s="140"/>
      <c r="U39" s="73">
        <v>0.01</v>
      </c>
      <c r="V39" s="58">
        <v>-5.0000000000000001E-3</v>
      </c>
      <c r="W39" s="58">
        <v>0</v>
      </c>
      <c r="X39" s="58">
        <v>0</v>
      </c>
      <c r="Y39" s="58">
        <v>5.0000000000000001E-3</v>
      </c>
    </row>
    <row r="40" spans="1:43" s="40" customFormat="1" ht="16.75" customHeight="1">
      <c r="A40" s="41"/>
      <c r="E40" s="40" t="s">
        <v>29</v>
      </c>
      <c r="Q40" s="62"/>
    </row>
    <row r="41" spans="1:43" s="40" customFormat="1" ht="16.75" customHeight="1">
      <c r="A41" s="41"/>
    </row>
    <row r="42" spans="1:43" s="40" customFormat="1" ht="16.25" customHeight="1">
      <c r="A42" s="43" t="s">
        <v>98</v>
      </c>
      <c r="C42" s="64">
        <v>2010</v>
      </c>
      <c r="D42" s="60">
        <v>2011</v>
      </c>
      <c r="E42" s="60">
        <v>2012</v>
      </c>
      <c r="F42" s="64">
        <v>2013</v>
      </c>
      <c r="G42" s="60">
        <v>2014</v>
      </c>
      <c r="H42" s="64">
        <v>2015</v>
      </c>
      <c r="I42" s="60">
        <v>2016</v>
      </c>
      <c r="J42" s="64">
        <v>2017</v>
      </c>
      <c r="K42" s="60">
        <v>2018</v>
      </c>
      <c r="L42" s="64">
        <v>2019</v>
      </c>
      <c r="M42" s="60">
        <v>2020</v>
      </c>
      <c r="N42" s="60">
        <v>2021</v>
      </c>
      <c r="O42" s="64">
        <v>2022</v>
      </c>
      <c r="P42" s="60">
        <v>2023</v>
      </c>
      <c r="Q42" s="60">
        <v>2024</v>
      </c>
      <c r="R42" s="64">
        <v>2025</v>
      </c>
      <c r="S42" s="60">
        <v>2026</v>
      </c>
      <c r="T42" s="60">
        <v>2027</v>
      </c>
      <c r="U42" s="64">
        <v>2028</v>
      </c>
      <c r="V42" s="60">
        <v>2029</v>
      </c>
      <c r="W42" s="60">
        <v>2030</v>
      </c>
      <c r="X42" s="64">
        <v>2031</v>
      </c>
      <c r="Y42" s="60">
        <v>2032</v>
      </c>
      <c r="Z42" s="60">
        <v>2033</v>
      </c>
      <c r="AA42" s="64">
        <v>2034</v>
      </c>
      <c r="AB42" s="60">
        <v>2035</v>
      </c>
      <c r="AC42" s="60">
        <v>2036</v>
      </c>
      <c r="AD42" s="64">
        <v>2037</v>
      </c>
      <c r="AE42" s="60">
        <v>2038</v>
      </c>
      <c r="AF42" s="60">
        <v>2039</v>
      </c>
      <c r="AG42" s="64">
        <v>2040</v>
      </c>
      <c r="AH42" s="60">
        <v>2041</v>
      </c>
      <c r="AI42" s="60">
        <v>2042</v>
      </c>
      <c r="AJ42" s="64">
        <v>2043</v>
      </c>
      <c r="AK42" s="60">
        <v>2044</v>
      </c>
      <c r="AL42" s="60">
        <v>2045</v>
      </c>
      <c r="AM42" s="64">
        <v>2046</v>
      </c>
      <c r="AN42" s="60">
        <v>2047</v>
      </c>
      <c r="AO42" s="60">
        <v>2048</v>
      </c>
      <c r="AP42" s="64">
        <v>2049</v>
      </c>
      <c r="AQ42" s="60">
        <v>2050</v>
      </c>
    </row>
    <row r="43" spans="1:43" s="40" customFormat="1" ht="16.25" customHeight="1">
      <c r="A43" s="43" t="str">
        <f>'[5]Survey Summary'!A42</f>
        <v>2 to 5 Tonnes</v>
      </c>
      <c r="C43" s="66">
        <f>'[5]Survey Summary'!Q50</f>
        <v>3.0025631636763091E-2</v>
      </c>
      <c r="D43" s="66">
        <f>'[5]Survey Summary'!R50</f>
        <v>2.7964993461422394E-2</v>
      </c>
      <c r="E43" s="66">
        <f>'[5]Survey Summary'!S50</f>
        <v>2.8802425467407782E-2</v>
      </c>
      <c r="F43" s="66">
        <f>'[5]Survey Summary'!T50</f>
        <v>2.8233749179251477E-2</v>
      </c>
      <c r="G43" s="66">
        <f>'[5]Survey Summary'!U50</f>
        <v>2.4764633647155136E-2</v>
      </c>
      <c r="H43" s="66">
        <f>'[5]Survey Summary'!V50</f>
        <v>2.7834213734254369E-2</v>
      </c>
      <c r="I43" s="66">
        <f>'[5]Survey Summary'!W50</f>
        <v>2.6720857834659287E-2</v>
      </c>
      <c r="J43" s="66">
        <f>'[5]Survey Summary'!X50</f>
        <v>2.4406837316098308E-2</v>
      </c>
      <c r="K43" s="66">
        <f>'[5]Survey Summary'!Y50</f>
        <v>2.3853211009174313E-2</v>
      </c>
      <c r="L43" s="66">
        <f>'[5]Survey Summary'!Z50</f>
        <v>4.1360961057808593E-2</v>
      </c>
      <c r="M43" s="54">
        <f t="shared" ref="M43:R43" si="39">L43*(1+$U$37)</f>
        <v>4.3429009110699024E-2</v>
      </c>
      <c r="N43" s="54">
        <f t="shared" si="39"/>
        <v>4.5600459566233979E-2</v>
      </c>
      <c r="O43" s="54">
        <f t="shared" si="39"/>
        <v>4.7880482544545681E-2</v>
      </c>
      <c r="P43" s="54">
        <f t="shared" si="39"/>
        <v>5.0274506671772967E-2</v>
      </c>
      <c r="Q43" s="54">
        <f t="shared" si="39"/>
        <v>5.2788232005361618E-2</v>
      </c>
      <c r="R43" s="54">
        <f t="shared" si="39"/>
        <v>5.5427643605629705E-2</v>
      </c>
      <c r="S43" s="54">
        <f>R43*(1+$U$38)</f>
        <v>5.6813334695770441E-2</v>
      </c>
      <c r="T43" s="54">
        <f t="shared" ref="T43:AB43" si="40">S43*(1+$U$38)</f>
        <v>5.8233668063164698E-2</v>
      </c>
      <c r="U43" s="54">
        <f t="shared" si="40"/>
        <v>5.9689509764743812E-2</v>
      </c>
      <c r="V43" s="54">
        <f t="shared" si="40"/>
        <v>6.1181747508862398E-2</v>
      </c>
      <c r="W43" s="54">
        <f t="shared" si="40"/>
        <v>6.2711291196583946E-2</v>
      </c>
      <c r="X43" s="54">
        <f t="shared" si="40"/>
        <v>6.4279073476498541E-2</v>
      </c>
      <c r="Y43" s="54">
        <f t="shared" si="40"/>
        <v>6.5886050313410993E-2</v>
      </c>
      <c r="Z43" s="54">
        <f t="shared" si="40"/>
        <v>6.753320157124626E-2</v>
      </c>
      <c r="AA43" s="54">
        <f t="shared" si="40"/>
        <v>6.9221531610527409E-2</v>
      </c>
      <c r="AB43" s="54">
        <f t="shared" si="40"/>
        <v>7.0952069900790588E-2</v>
      </c>
      <c r="AC43" s="54">
        <f>AB43*(1+$U$39)</f>
        <v>7.16615905997985E-2</v>
      </c>
      <c r="AD43" s="54">
        <f t="shared" ref="AD43:AQ43" si="41">AC43*(1+$U$39)</f>
        <v>7.2378206505796489E-2</v>
      </c>
      <c r="AE43" s="54">
        <f t="shared" si="41"/>
        <v>7.3101988570854454E-2</v>
      </c>
      <c r="AF43" s="54">
        <f t="shared" si="41"/>
        <v>7.3833008456563001E-2</v>
      </c>
      <c r="AG43" s="54">
        <f t="shared" si="41"/>
        <v>7.4571338541128629E-2</v>
      </c>
      <c r="AH43" s="54">
        <f t="shared" si="41"/>
        <v>7.531705192653991E-2</v>
      </c>
      <c r="AI43" s="54">
        <f t="shared" si="41"/>
        <v>7.6070222445805316E-2</v>
      </c>
      <c r="AJ43" s="54">
        <f t="shared" si="41"/>
        <v>7.6830924670263367E-2</v>
      </c>
      <c r="AK43" s="54">
        <f t="shared" si="41"/>
        <v>7.7599233916966007E-2</v>
      </c>
      <c r="AL43" s="54">
        <f t="shared" si="41"/>
        <v>7.8375226256135661E-2</v>
      </c>
      <c r="AM43" s="54">
        <f t="shared" si="41"/>
        <v>7.9158978518697021E-2</v>
      </c>
      <c r="AN43" s="54">
        <f t="shared" si="41"/>
        <v>7.9950568303883987E-2</v>
      </c>
      <c r="AO43" s="54">
        <f t="shared" si="41"/>
        <v>8.0750073986922827E-2</v>
      </c>
      <c r="AP43" s="54">
        <f t="shared" si="41"/>
        <v>8.1557574726792051E-2</v>
      </c>
      <c r="AQ43" s="54">
        <f t="shared" si="41"/>
        <v>8.2373150474059978E-2</v>
      </c>
    </row>
    <row r="44" spans="1:43" s="54" customFormat="1" ht="16.25" customHeight="1">
      <c r="A44" s="43" t="str">
        <f>'[5]Survey Summary'!A43</f>
        <v>5 to 7.5 Tonnes</v>
      </c>
      <c r="B44" s="40"/>
      <c r="C44" s="66">
        <f>'[5]Survey Summary'!Q51</f>
        <v>2.1237641889417794E-2</v>
      </c>
      <c r="D44" s="66">
        <f>'[5]Survey Summary'!R51</f>
        <v>2.0219293833618347E-2</v>
      </c>
      <c r="E44" s="66">
        <f>'[5]Survey Summary'!S51</f>
        <v>2.0818595250126328E-2</v>
      </c>
      <c r="F44" s="66">
        <f>'[5]Survey Summary'!T51</f>
        <v>1.7618734952943752E-2</v>
      </c>
      <c r="G44" s="66">
        <f>'[5]Survey Summary'!U51</f>
        <v>1.882930822758903E-2</v>
      </c>
      <c r="H44" s="66">
        <f>'[5]Survey Summary'!V51</f>
        <v>2.031694433157253E-2</v>
      </c>
      <c r="I44" s="66">
        <f>'[5]Survey Summary'!W51</f>
        <v>2.2137668626772744E-2</v>
      </c>
      <c r="J44" s="66">
        <f>'[5]Survey Summary'!X51</f>
        <v>2.1855599965983501E-2</v>
      </c>
      <c r="K44" s="66">
        <f>'[5]Survey Summary'!Y51</f>
        <v>2.1581476627348186E-2</v>
      </c>
      <c r="L44" s="66">
        <f>'[5]Survey Summary'!Z51</f>
        <v>1.7253890187857775E-2</v>
      </c>
      <c r="M44" s="54">
        <f t="shared" ref="M44:R44" si="42">L44*(1+$V$37)</f>
        <v>1.6995081835039907E-2</v>
      </c>
      <c r="N44" s="54">
        <f t="shared" si="42"/>
        <v>1.6740155607514309E-2</v>
      </c>
      <c r="O44" s="54">
        <f t="shared" si="42"/>
        <v>1.6489053273401593E-2</v>
      </c>
      <c r="P44" s="54">
        <f t="shared" si="42"/>
        <v>1.624171747430057E-2</v>
      </c>
      <c r="Q44" s="54">
        <f t="shared" si="42"/>
        <v>1.5998091712186063E-2</v>
      </c>
      <c r="R44" s="54">
        <f t="shared" si="42"/>
        <v>1.575812033650327E-2</v>
      </c>
      <c r="S44" s="54">
        <f>R44*(1+$V$38)</f>
        <v>1.5600539133138237E-2</v>
      </c>
      <c r="T44" s="54">
        <f t="shared" ref="T44:AB44" si="43">S44*(1+$V$38)</f>
        <v>1.5444533741806854E-2</v>
      </c>
      <c r="U44" s="54">
        <f t="shared" si="43"/>
        <v>1.5290088404388785E-2</v>
      </c>
      <c r="V44" s="54">
        <f t="shared" si="43"/>
        <v>1.5137187520344897E-2</v>
      </c>
      <c r="W44" s="54">
        <f t="shared" si="43"/>
        <v>1.4985815645141448E-2</v>
      </c>
      <c r="X44" s="54">
        <f t="shared" si="43"/>
        <v>1.4835957488690033E-2</v>
      </c>
      <c r="Y44" s="54">
        <f t="shared" si="43"/>
        <v>1.4687597913803132E-2</v>
      </c>
      <c r="Z44" s="54">
        <f t="shared" si="43"/>
        <v>1.45407219346651E-2</v>
      </c>
      <c r="AA44" s="54">
        <f t="shared" si="43"/>
        <v>1.439531471531845E-2</v>
      </c>
      <c r="AB44" s="54">
        <f t="shared" si="43"/>
        <v>1.4251361568165265E-2</v>
      </c>
      <c r="AC44" s="54">
        <f>AB44*(1+$V$39)</f>
        <v>1.4180104760324439E-2</v>
      </c>
      <c r="AD44" s="54">
        <f t="shared" ref="AD44:AQ44" si="44">AC44*(1+$V$39)</f>
        <v>1.4109204236522817E-2</v>
      </c>
      <c r="AE44" s="54">
        <f t="shared" si="44"/>
        <v>1.4038658215340203E-2</v>
      </c>
      <c r="AF44" s="54">
        <f t="shared" si="44"/>
        <v>1.3968464924263502E-2</v>
      </c>
      <c r="AG44" s="54">
        <f t="shared" si="44"/>
        <v>1.3898622599642184E-2</v>
      </c>
      <c r="AH44" s="54">
        <f t="shared" si="44"/>
        <v>1.3829129486643972E-2</v>
      </c>
      <c r="AI44" s="54">
        <f t="shared" si="44"/>
        <v>1.3759983839210753E-2</v>
      </c>
      <c r="AJ44" s="54">
        <f t="shared" si="44"/>
        <v>1.3691183920014699E-2</v>
      </c>
      <c r="AK44" s="54">
        <f t="shared" si="44"/>
        <v>1.3622728000414626E-2</v>
      </c>
      <c r="AL44" s="54">
        <f t="shared" si="44"/>
        <v>1.3554614360412552E-2</v>
      </c>
      <c r="AM44" s="54">
        <f t="shared" si="44"/>
        <v>1.3486841288610489E-2</v>
      </c>
      <c r="AN44" s="54">
        <f t="shared" si="44"/>
        <v>1.3419407082167437E-2</v>
      </c>
      <c r="AO44" s="54">
        <f t="shared" si="44"/>
        <v>1.33523100467566E-2</v>
      </c>
      <c r="AP44" s="54">
        <f t="shared" si="44"/>
        <v>1.3285548496522817E-2</v>
      </c>
      <c r="AQ44" s="54">
        <f t="shared" si="44"/>
        <v>1.3219120754040203E-2</v>
      </c>
    </row>
    <row r="45" spans="1:43" s="54" customFormat="1" ht="16.25" customHeight="1">
      <c r="A45" s="43" t="str">
        <f>'[5]Survey Summary'!A44</f>
        <v>7.5 to 10 Tonnes</v>
      </c>
      <c r="B45" s="40"/>
      <c r="C45" s="66">
        <f>'[5]Survey Summary'!Q52</f>
        <v>7.8359575247162208E-2</v>
      </c>
      <c r="D45" s="66">
        <f>'[5]Survey Summary'!R52</f>
        <v>7.4841565234885832E-2</v>
      </c>
      <c r="E45" s="66">
        <f>'[5]Survey Summary'!S52</f>
        <v>7.0439615967660435E-2</v>
      </c>
      <c r="F45" s="66">
        <f>'[5]Survey Summary'!T52</f>
        <v>6.9052309039177057E-2</v>
      </c>
      <c r="G45" s="66">
        <f>'[5]Survey Summary'!U52</f>
        <v>5.9967253376995495E-2</v>
      </c>
      <c r="H45" s="66">
        <f>'[5]Survey Summary'!V52</f>
        <v>5.7395367736692404E-2</v>
      </c>
      <c r="I45" s="66">
        <f>'[5]Survey Summary'!W52</f>
        <v>6.7537184365271535E-2</v>
      </c>
      <c r="J45" s="66">
        <f>'[5]Survey Summary'!X52</f>
        <v>6.9223573433115054E-2</v>
      </c>
      <c r="K45" s="66">
        <f>'[5]Survey Summary'!Y52</f>
        <v>7.7763215377894282E-2</v>
      </c>
      <c r="L45" s="66">
        <f>'[5]Survey Summary'!$Z$52</f>
        <v>7.1595581714101422E-2</v>
      </c>
      <c r="M45" s="54">
        <f t="shared" ref="M45:R45" si="45">L45*(1+$W$37)</f>
        <v>7.1237603805530916E-2</v>
      </c>
      <c r="N45" s="54">
        <f t="shared" si="45"/>
        <v>7.0881415786503255E-2</v>
      </c>
      <c r="O45" s="54">
        <f t="shared" si="45"/>
        <v>7.052700870757074E-2</v>
      </c>
      <c r="P45" s="54">
        <f t="shared" si="45"/>
        <v>7.0174373664032882E-2</v>
      </c>
      <c r="Q45" s="54">
        <f t="shared" si="45"/>
        <v>6.9823501795712714E-2</v>
      </c>
      <c r="R45" s="54">
        <f t="shared" si="45"/>
        <v>6.947438428673415E-2</v>
      </c>
      <c r="S45" s="54">
        <f t="shared" ref="S45:AB45" si="46">R45*(1+$W$38)</f>
        <v>6.9300698326017318E-2</v>
      </c>
      <c r="T45" s="54">
        <f t="shared" si="46"/>
        <v>6.9127446580202284E-2</v>
      </c>
      <c r="U45" s="54">
        <f t="shared" si="46"/>
        <v>6.8954627963751777E-2</v>
      </c>
      <c r="V45" s="54">
        <f t="shared" si="46"/>
        <v>6.8782241393842397E-2</v>
      </c>
      <c r="W45" s="54">
        <f t="shared" si="46"/>
        <v>6.86102857903578E-2</v>
      </c>
      <c r="X45" s="54">
        <f t="shared" si="46"/>
        <v>6.8438760075881913E-2</v>
      </c>
      <c r="Y45" s="54">
        <f t="shared" si="46"/>
        <v>6.8267663175692217E-2</v>
      </c>
      <c r="Z45" s="54">
        <f t="shared" si="46"/>
        <v>6.8096994017752988E-2</v>
      </c>
      <c r="AA45" s="54">
        <f t="shared" si="46"/>
        <v>6.7926751532708607E-2</v>
      </c>
      <c r="AB45" s="54">
        <f t="shared" si="46"/>
        <v>6.7756934653876832E-2</v>
      </c>
      <c r="AC45" s="54">
        <f>AB45*(1+$V$39)</f>
        <v>6.7418149980607453E-2</v>
      </c>
      <c r="AD45" s="54">
        <f t="shared" ref="AD45:AQ45" si="47">AC45*(1+$V$39)</f>
        <v>6.7081059230704412E-2</v>
      </c>
      <c r="AE45" s="54">
        <f t="shared" si="47"/>
        <v>6.6745653934550883E-2</v>
      </c>
      <c r="AF45" s="54">
        <f t="shared" si="47"/>
        <v>6.6411925664878135E-2</v>
      </c>
      <c r="AG45" s="54">
        <f t="shared" si="47"/>
        <v>6.6079866036553747E-2</v>
      </c>
      <c r="AH45" s="54">
        <f t="shared" si="47"/>
        <v>6.5749466706370982E-2</v>
      </c>
      <c r="AI45" s="54">
        <f t="shared" si="47"/>
        <v>6.5420719372839123E-2</v>
      </c>
      <c r="AJ45" s="54">
        <f t="shared" si="47"/>
        <v>6.5093615775974931E-2</v>
      </c>
      <c r="AK45" s="54">
        <f t="shared" si="47"/>
        <v>6.476814769709506E-2</v>
      </c>
      <c r="AL45" s="54">
        <f t="shared" si="47"/>
        <v>6.4444306958609587E-2</v>
      </c>
      <c r="AM45" s="54">
        <f t="shared" si="47"/>
        <v>6.4122085423816533E-2</v>
      </c>
      <c r="AN45" s="54">
        <f t="shared" si="47"/>
        <v>6.3801474996697444E-2</v>
      </c>
      <c r="AO45" s="54">
        <f t="shared" si="47"/>
        <v>6.3482467621713959E-2</v>
      </c>
      <c r="AP45" s="54">
        <f t="shared" si="47"/>
        <v>6.3165055283605387E-2</v>
      </c>
      <c r="AQ45" s="54">
        <f t="shared" si="47"/>
        <v>6.2849230007187354E-2</v>
      </c>
    </row>
    <row r="46" spans="1:43" s="54" customFormat="1" ht="16.25" customHeight="1">
      <c r="A46" s="43" t="str">
        <f>'[5]Survey Summary'!A45</f>
        <v>10 to 12.5 Tonnes</v>
      </c>
      <c r="B46" s="40"/>
      <c r="C46" s="66">
        <f>'[5]Survey Summary'!Q53</f>
        <v>0.33467594287806662</v>
      </c>
      <c r="D46" s="66">
        <f>'[5]Survey Summary'!R53</f>
        <v>0.30741374107232672</v>
      </c>
      <c r="E46" s="66">
        <f>'[5]Survey Summary'!S53</f>
        <v>0.29287518948964125</v>
      </c>
      <c r="F46" s="66">
        <f>'[5]Survey Summary'!T53</f>
        <v>0.28080542788356316</v>
      </c>
      <c r="G46" s="66">
        <f>'[5]Survey Summary'!U53</f>
        <v>0.26227998362668847</v>
      </c>
      <c r="H46" s="66">
        <f>'[5]Survey Summary'!V53</f>
        <v>0.26605038602194231</v>
      </c>
      <c r="I46" s="66">
        <f>'[5]Survey Summary'!W53</f>
        <v>0.25190245589761329</v>
      </c>
      <c r="J46" s="66">
        <f>'[5]Survey Summary'!X53</f>
        <v>0.26201207585679054</v>
      </c>
      <c r="K46" s="66">
        <f>'[5]Survey Summary'!Y53</f>
        <v>0.22708606378331148</v>
      </c>
      <c r="L46" s="66">
        <f>'[5]Survey Summary'!$Z$53</f>
        <v>0.22397806982181731</v>
      </c>
      <c r="M46" s="54">
        <f t="shared" ref="M46:R46" si="48">L46*(1+$X$37)</f>
        <v>0.21501894702894461</v>
      </c>
      <c r="N46" s="54">
        <f t="shared" si="48"/>
        <v>0.20641818914778681</v>
      </c>
      <c r="O46" s="54">
        <f t="shared" si="48"/>
        <v>0.19816146158187534</v>
      </c>
      <c r="P46" s="54">
        <f t="shared" si="48"/>
        <v>0.19023500311860031</v>
      </c>
      <c r="Q46" s="54">
        <f t="shared" si="48"/>
        <v>0.1826256029938563</v>
      </c>
      <c r="R46" s="54">
        <f t="shared" si="48"/>
        <v>0.17532057887410205</v>
      </c>
      <c r="S46" s="54">
        <f t="shared" ref="S46:AB46" si="49">R46*(1+$X$38)</f>
        <v>0.17269077019099052</v>
      </c>
      <c r="T46" s="54">
        <f t="shared" si="49"/>
        <v>0.17010040863812567</v>
      </c>
      <c r="U46" s="54">
        <f t="shared" si="49"/>
        <v>0.16754890250855378</v>
      </c>
      <c r="V46" s="54">
        <f t="shared" si="49"/>
        <v>0.16503566897092548</v>
      </c>
      <c r="W46" s="54">
        <f t="shared" si="49"/>
        <v>0.16256013393636159</v>
      </c>
      <c r="X46" s="54">
        <f t="shared" si="49"/>
        <v>0.16012173192731616</v>
      </c>
      <c r="Y46" s="54">
        <f t="shared" si="49"/>
        <v>0.1577199059484064</v>
      </c>
      <c r="Z46" s="54">
        <f t="shared" si="49"/>
        <v>0.15535410735918032</v>
      </c>
      <c r="AA46" s="54">
        <f t="shared" si="49"/>
        <v>0.1530237957487926</v>
      </c>
      <c r="AB46" s="54">
        <f t="shared" si="49"/>
        <v>0.15072843881256071</v>
      </c>
      <c r="AC46" s="54">
        <f>AB46*(1+$X$39)</f>
        <v>0.15072843881256071</v>
      </c>
      <c r="AD46" s="54">
        <f t="shared" ref="AD46:AQ46" si="50">AC46*(1+$X$39)</f>
        <v>0.15072843881256071</v>
      </c>
      <c r="AE46" s="54">
        <f t="shared" si="50"/>
        <v>0.15072843881256071</v>
      </c>
      <c r="AF46" s="54">
        <f t="shared" si="50"/>
        <v>0.15072843881256071</v>
      </c>
      <c r="AG46" s="54">
        <f t="shared" si="50"/>
        <v>0.15072843881256071</v>
      </c>
      <c r="AH46" s="54">
        <f t="shared" si="50"/>
        <v>0.15072843881256071</v>
      </c>
      <c r="AI46" s="54">
        <f t="shared" si="50"/>
        <v>0.15072843881256071</v>
      </c>
      <c r="AJ46" s="54">
        <f t="shared" si="50"/>
        <v>0.15072843881256071</v>
      </c>
      <c r="AK46" s="54">
        <f t="shared" si="50"/>
        <v>0.15072843881256071</v>
      </c>
      <c r="AL46" s="54">
        <f t="shared" si="50"/>
        <v>0.15072843881256071</v>
      </c>
      <c r="AM46" s="54">
        <f t="shared" si="50"/>
        <v>0.15072843881256071</v>
      </c>
      <c r="AN46" s="54">
        <f t="shared" si="50"/>
        <v>0.15072843881256071</v>
      </c>
      <c r="AO46" s="54">
        <f t="shared" si="50"/>
        <v>0.15072843881256071</v>
      </c>
      <c r="AP46" s="54">
        <f t="shared" si="50"/>
        <v>0.15072843881256071</v>
      </c>
      <c r="AQ46" s="54">
        <f t="shared" si="50"/>
        <v>0.15072843881256071</v>
      </c>
    </row>
    <row r="47" spans="1:43" s="54" customFormat="1" ht="16.25" customHeight="1">
      <c r="A47" s="43" t="str">
        <f>'[5]Survey Summary'!A46</f>
        <v>Over 12.5 Tonnes</v>
      </c>
      <c r="B47" s="40"/>
      <c r="C47" s="66">
        <f>'[5]Survey Summary'!Q54</f>
        <v>0.53570120834859025</v>
      </c>
      <c r="D47" s="66">
        <f>'[5]Survey Summary'!R54</f>
        <v>0.56956040639774674</v>
      </c>
      <c r="E47" s="66">
        <f>'[5]Survey Summary'!S54</f>
        <v>0.58706417382516418</v>
      </c>
      <c r="F47" s="66">
        <f>'[5]Survey Summary'!T54</f>
        <v>0.60428977894506453</v>
      </c>
      <c r="G47" s="66">
        <f>'[5]Survey Summary'!U54</f>
        <v>0.63415882112157185</v>
      </c>
      <c r="H47" s="66">
        <f>'[5]Survey Summary'!V54</f>
        <v>0.62840308817553836</v>
      </c>
      <c r="I47" s="66">
        <f>'[5]Survey Summary'!W54</f>
        <v>0.63170183327568319</v>
      </c>
      <c r="J47" s="66">
        <f>'[5]Survey Summary'!X54</f>
        <v>0.62250191342801253</v>
      </c>
      <c r="K47" s="66">
        <f>'[5]Survey Summary'!Y54</f>
        <v>0.64971603320227178</v>
      </c>
      <c r="L47" s="66">
        <f>'[5]Survey Summary'!Z54</f>
        <v>0.64581149721841491</v>
      </c>
      <c r="M47" s="54">
        <f t="shared" ref="M47:R47" si="51">L47*(1+$Y$37)</f>
        <v>0.6619567846488752</v>
      </c>
      <c r="N47" s="54">
        <f t="shared" si="51"/>
        <v>0.67850570426509704</v>
      </c>
      <c r="O47" s="54">
        <f t="shared" si="51"/>
        <v>0.69546834687172443</v>
      </c>
      <c r="P47" s="54">
        <f t="shared" si="51"/>
        <v>0.71285505554351747</v>
      </c>
      <c r="Q47" s="54">
        <f t="shared" si="51"/>
        <v>0.7306764319321053</v>
      </c>
      <c r="R47" s="54">
        <f t="shared" si="51"/>
        <v>0.74894334273040786</v>
      </c>
      <c r="S47" s="54">
        <f>R47*(1+$Y$38)</f>
        <v>0.75643277615771198</v>
      </c>
      <c r="T47" s="54">
        <f t="shared" ref="T47:AB47" si="52">S47*(1+$Y$38)</f>
        <v>0.7639971039192891</v>
      </c>
      <c r="U47" s="54">
        <f t="shared" si="52"/>
        <v>0.77163707495848199</v>
      </c>
      <c r="V47" s="54">
        <f t="shared" si="52"/>
        <v>0.77935344570806686</v>
      </c>
      <c r="W47" s="54">
        <f t="shared" si="52"/>
        <v>0.7871469801651475</v>
      </c>
      <c r="X47" s="54">
        <f t="shared" si="52"/>
        <v>0.79501844996679893</v>
      </c>
      <c r="Y47" s="54">
        <f t="shared" si="52"/>
        <v>0.80296863446646694</v>
      </c>
      <c r="Z47" s="54">
        <f t="shared" si="52"/>
        <v>0.81099832081113166</v>
      </c>
      <c r="AA47" s="54">
        <f t="shared" si="52"/>
        <v>0.81910830401924295</v>
      </c>
      <c r="AB47" s="54">
        <f t="shared" si="52"/>
        <v>0.8272993870594354</v>
      </c>
      <c r="AC47" s="54">
        <f>AB47*(1+$Y$39)</f>
        <v>0.83143588399473245</v>
      </c>
      <c r="AD47" s="54">
        <f t="shared" ref="AD47:AQ47" si="53">AC47*(1+$Y$39)</f>
        <v>0.83559306341470607</v>
      </c>
      <c r="AE47" s="54">
        <f t="shared" si="53"/>
        <v>0.83977102873177956</v>
      </c>
      <c r="AF47" s="54">
        <f t="shared" si="53"/>
        <v>0.84396988387543836</v>
      </c>
      <c r="AG47" s="54">
        <f t="shared" si="53"/>
        <v>0.84818973329481551</v>
      </c>
      <c r="AH47" s="54">
        <f t="shared" si="53"/>
        <v>0.85243068196128946</v>
      </c>
      <c r="AI47" s="54">
        <f t="shared" si="53"/>
        <v>0.85669283537109586</v>
      </c>
      <c r="AJ47" s="54">
        <f t="shared" si="53"/>
        <v>0.8609762995479513</v>
      </c>
      <c r="AK47" s="54">
        <f t="shared" si="53"/>
        <v>0.86528118104569096</v>
      </c>
      <c r="AL47" s="54">
        <f t="shared" si="53"/>
        <v>0.86960758695091933</v>
      </c>
      <c r="AM47" s="54">
        <f t="shared" si="53"/>
        <v>0.8739556248856738</v>
      </c>
      <c r="AN47" s="54">
        <f t="shared" si="53"/>
        <v>0.87832540301010209</v>
      </c>
      <c r="AO47" s="54">
        <f t="shared" si="53"/>
        <v>0.88271703002515256</v>
      </c>
      <c r="AP47" s="54">
        <f t="shared" si="53"/>
        <v>0.88713061517527825</v>
      </c>
      <c r="AQ47" s="54">
        <f t="shared" si="53"/>
        <v>0.89156626825115459</v>
      </c>
    </row>
    <row r="48" spans="1:43" s="40" customFormat="1" ht="16.25" customHeight="1">
      <c r="A48" s="43" t="str">
        <f>'[5]Survey Summary'!A47</f>
        <v>Total</v>
      </c>
      <c r="C48" s="63">
        <f>'[5]Survey Summary'!Q55</f>
        <v>1</v>
      </c>
      <c r="D48" s="63">
        <f>'[5]Survey Summary'!R55</f>
        <v>1</v>
      </c>
      <c r="E48" s="63">
        <f>'[5]Survey Summary'!S55</f>
        <v>1</v>
      </c>
      <c r="F48" s="63">
        <f>'[5]Survey Summary'!T55</f>
        <v>1</v>
      </c>
      <c r="G48" s="63">
        <f>'[5]Survey Summary'!U55</f>
        <v>1</v>
      </c>
      <c r="H48" s="63">
        <f>'[5]Survey Summary'!V55</f>
        <v>1</v>
      </c>
      <c r="I48" s="63">
        <f>'[5]Survey Summary'!W55</f>
        <v>1</v>
      </c>
      <c r="J48" s="63">
        <f>'[5]Survey Summary'!X55</f>
        <v>1</v>
      </c>
      <c r="K48" s="63">
        <f>'[5]Survey Summary'!Y55</f>
        <v>1</v>
      </c>
      <c r="L48" s="63">
        <f>'[5]Survey Summary'!Z55</f>
        <v>1</v>
      </c>
      <c r="M48" s="44">
        <f>SUM(M43:M47)</f>
        <v>1.0086374264290896</v>
      </c>
      <c r="N48" s="44">
        <f t="shared" ref="N48:AQ48" si="54">SUM(N43:N47)</f>
        <v>1.0181459243731354</v>
      </c>
      <c r="O48" s="44">
        <f t="shared" si="54"/>
        <v>1.0285263529791178</v>
      </c>
      <c r="P48" s="44">
        <f t="shared" si="54"/>
        <v>1.0397806564722241</v>
      </c>
      <c r="Q48" s="44">
        <f t="shared" si="54"/>
        <v>1.0519118604392221</v>
      </c>
      <c r="R48" s="44">
        <f t="shared" si="54"/>
        <v>1.0649240698333771</v>
      </c>
      <c r="S48" s="44">
        <f t="shared" si="54"/>
        <v>1.0708381185036284</v>
      </c>
      <c r="T48" s="44">
        <f t="shared" si="54"/>
        <v>1.0769031609425888</v>
      </c>
      <c r="U48" s="44">
        <f t="shared" si="54"/>
        <v>1.0831202035999201</v>
      </c>
      <c r="V48" s="44">
        <f t="shared" si="54"/>
        <v>1.0894902911020421</v>
      </c>
      <c r="W48" s="44">
        <f t="shared" si="54"/>
        <v>1.0960145067335922</v>
      </c>
      <c r="X48" s="44">
        <f t="shared" si="54"/>
        <v>1.1026939729351857</v>
      </c>
      <c r="Y48" s="44">
        <f t="shared" si="54"/>
        <v>1.1095298518177796</v>
      </c>
      <c r="Z48" s="44">
        <f t="shared" si="54"/>
        <v>1.1165233456939763</v>
      </c>
      <c r="AA48" s="44">
        <f t="shared" si="54"/>
        <v>1.12367569762659</v>
      </c>
      <c r="AB48" s="44">
        <f t="shared" si="54"/>
        <v>1.1309881919948288</v>
      </c>
      <c r="AC48" s="44">
        <f t="shared" si="54"/>
        <v>1.1354241681480235</v>
      </c>
      <c r="AD48" s="44">
        <f t="shared" si="54"/>
        <v>1.1398899722002904</v>
      </c>
      <c r="AE48" s="44">
        <f t="shared" si="54"/>
        <v>1.1443857682650858</v>
      </c>
      <c r="AF48" s="44">
        <f t="shared" si="54"/>
        <v>1.1489117217337037</v>
      </c>
      <c r="AG48" s="44">
        <f t="shared" si="54"/>
        <v>1.1534679992847008</v>
      </c>
      <c r="AH48" s="44">
        <f t="shared" si="54"/>
        <v>1.1580547688934051</v>
      </c>
      <c r="AI48" s="44">
        <f t="shared" si="54"/>
        <v>1.1626721998415117</v>
      </c>
      <c r="AJ48" s="44">
        <f t="shared" si="54"/>
        <v>1.167320462726765</v>
      </c>
      <c r="AK48" s="44">
        <f t="shared" si="54"/>
        <v>1.1719997294727273</v>
      </c>
      <c r="AL48" s="44">
        <f t="shared" si="54"/>
        <v>1.1767101733386378</v>
      </c>
      <c r="AM48" s="44">
        <f t="shared" si="54"/>
        <v>1.1814519689293586</v>
      </c>
      <c r="AN48" s="44">
        <f t="shared" si="54"/>
        <v>1.1862252922054117</v>
      </c>
      <c r="AO48" s="44">
        <f t="shared" si="54"/>
        <v>1.1910303204931068</v>
      </c>
      <c r="AP48" s="44">
        <f t="shared" si="54"/>
        <v>1.1958672324947592</v>
      </c>
      <c r="AQ48" s="44">
        <f t="shared" si="54"/>
        <v>1.200736208299003</v>
      </c>
    </row>
    <row r="49" spans="1:44" s="40" customFormat="1" ht="16.25" customHeight="1">
      <c r="A49" s="41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</row>
    <row r="50" spans="1:44" s="40" customFormat="1">
      <c r="A50" s="43" t="s">
        <v>96</v>
      </c>
      <c r="C50" s="60">
        <v>2010</v>
      </c>
      <c r="D50" s="64">
        <v>2011</v>
      </c>
      <c r="E50" s="60">
        <v>2012</v>
      </c>
      <c r="F50" s="64">
        <v>2013</v>
      </c>
      <c r="G50" s="60">
        <v>2014</v>
      </c>
      <c r="H50" s="64">
        <v>2015</v>
      </c>
      <c r="I50" s="60">
        <v>2016</v>
      </c>
      <c r="J50" s="64">
        <v>2017</v>
      </c>
      <c r="K50" s="60">
        <v>2018</v>
      </c>
      <c r="L50" s="64">
        <v>2019</v>
      </c>
      <c r="M50" s="60">
        <v>2020</v>
      </c>
      <c r="N50" s="60">
        <v>2021</v>
      </c>
      <c r="O50" s="64">
        <v>2022</v>
      </c>
      <c r="P50" s="60">
        <v>2023</v>
      </c>
      <c r="Q50" s="60">
        <v>2024</v>
      </c>
      <c r="R50" s="64">
        <v>2025</v>
      </c>
      <c r="S50" s="60">
        <v>2026</v>
      </c>
      <c r="T50" s="60">
        <v>2027</v>
      </c>
      <c r="U50" s="64">
        <v>2028</v>
      </c>
      <c r="V50" s="60">
        <v>2029</v>
      </c>
      <c r="W50" s="60">
        <v>2030</v>
      </c>
      <c r="X50" s="64">
        <v>2031</v>
      </c>
      <c r="Y50" s="60">
        <v>2032</v>
      </c>
      <c r="Z50" s="60">
        <v>2033</v>
      </c>
      <c r="AA50" s="64">
        <v>2034</v>
      </c>
      <c r="AB50" s="60">
        <v>2035</v>
      </c>
      <c r="AC50" s="60">
        <v>2036</v>
      </c>
      <c r="AD50" s="64">
        <v>2037</v>
      </c>
      <c r="AE50" s="60">
        <v>2038</v>
      </c>
      <c r="AF50" s="60">
        <v>2039</v>
      </c>
      <c r="AG50" s="64">
        <v>2040</v>
      </c>
      <c r="AH50" s="60">
        <v>2041</v>
      </c>
      <c r="AI50" s="60">
        <v>2042</v>
      </c>
      <c r="AJ50" s="64">
        <v>2043</v>
      </c>
      <c r="AK50" s="60">
        <v>2044</v>
      </c>
      <c r="AL50" s="60">
        <v>2045</v>
      </c>
      <c r="AM50" s="64">
        <v>2046</v>
      </c>
      <c r="AN50" s="60">
        <v>2047</v>
      </c>
      <c r="AO50" s="60">
        <v>2048</v>
      </c>
      <c r="AP50" s="64">
        <v>2049</v>
      </c>
      <c r="AQ50" s="60">
        <v>2050</v>
      </c>
    </row>
    <row r="51" spans="1:44" s="40" customFormat="1">
      <c r="A51" s="43" t="str">
        <f>'[5]Survey Summary'!A50</f>
        <v>2 to 5 Tonnes</v>
      </c>
      <c r="C51" s="67">
        <f t="shared" ref="C51:L52" si="55">C43</f>
        <v>3.0025631636763091E-2</v>
      </c>
      <c r="D51" s="67">
        <f t="shared" si="55"/>
        <v>2.7964993461422394E-2</v>
      </c>
      <c r="E51" s="67">
        <f t="shared" si="55"/>
        <v>2.8802425467407782E-2</v>
      </c>
      <c r="F51" s="67">
        <f t="shared" si="55"/>
        <v>2.8233749179251477E-2</v>
      </c>
      <c r="G51" s="67">
        <f t="shared" si="55"/>
        <v>2.4764633647155136E-2</v>
      </c>
      <c r="H51" s="67">
        <f t="shared" si="55"/>
        <v>2.7834213734254369E-2</v>
      </c>
      <c r="I51" s="67">
        <f t="shared" si="55"/>
        <v>2.6720857834659287E-2</v>
      </c>
      <c r="J51" s="67">
        <f t="shared" si="55"/>
        <v>2.4406837316098308E-2</v>
      </c>
      <c r="K51" s="67">
        <f t="shared" si="55"/>
        <v>2.3853211009174313E-2</v>
      </c>
      <c r="L51" s="67">
        <f t="shared" si="55"/>
        <v>4.1360961057808593E-2</v>
      </c>
      <c r="M51" s="54">
        <f>M43/M$48</f>
        <v>4.3057106520875486E-2</v>
      </c>
      <c r="N51" s="54">
        <f t="shared" ref="N51:AQ51" si="56">N43/N$48</f>
        <v>4.478774454095058E-2</v>
      </c>
      <c r="O51" s="54">
        <f t="shared" si="56"/>
        <v>4.6552509234070935E-2</v>
      </c>
      <c r="P51" s="54">
        <f t="shared" si="56"/>
        <v>4.8351069390293051E-2</v>
      </c>
      <c r="Q51" s="54">
        <f t="shared" si="56"/>
        <v>5.0183132247715201E-2</v>
      </c>
      <c r="R51" s="54">
        <f t="shared" si="56"/>
        <v>5.2048446622398319E-2</v>
      </c>
      <c r="S51" s="54">
        <f t="shared" si="56"/>
        <v>5.3055017106750424E-2</v>
      </c>
      <c r="T51" s="54">
        <f t="shared" si="56"/>
        <v>5.4075120377763679E-2</v>
      </c>
      <c r="U51" s="54">
        <f t="shared" si="56"/>
        <v>5.5108850861018334E-2</v>
      </c>
      <c r="V51" s="54">
        <f t="shared" si="56"/>
        <v>5.6156303556386712E-2</v>
      </c>
      <c r="W51" s="54">
        <f t="shared" si="56"/>
        <v>5.7217574047883614E-2</v>
      </c>
      <c r="X51" s="54">
        <f t="shared" si="56"/>
        <v>5.8292758511591818E-2</v>
      </c>
      <c r="Y51" s="54">
        <f t="shared" si="56"/>
        <v>5.9381953721630548E-2</v>
      </c>
      <c r="Z51" s="54">
        <f t="shared" si="56"/>
        <v>6.0485257054137931E-2</v>
      </c>
      <c r="AA51" s="54">
        <f t="shared" si="56"/>
        <v>6.1602766489242428E-2</v>
      </c>
      <c r="AB51" s="54">
        <f t="shared" si="56"/>
        <v>6.2734580611001636E-2</v>
      </c>
      <c r="AC51" s="54">
        <f t="shared" si="56"/>
        <v>6.3114378405987992E-2</v>
      </c>
      <c r="AD51" s="54">
        <f t="shared" si="56"/>
        <v>6.3495783164130598E-2</v>
      </c>
      <c r="AE51" s="54">
        <f t="shared" si="56"/>
        <v>6.3878799088596408E-2</v>
      </c>
      <c r="AF51" s="54">
        <f t="shared" si="56"/>
        <v>6.4263430392327486E-2</v>
      </c>
      <c r="AG51" s="54">
        <f t="shared" si="56"/>
        <v>6.4649681297940201E-2</v>
      </c>
      <c r="AH51" s="54">
        <f t="shared" si="56"/>
        <v>6.5037556037621722E-2</v>
      </c>
      <c r="AI51" s="54">
        <f t="shared" si="56"/>
        <v>6.542705885302387E-2</v>
      </c>
      <c r="AJ51" s="54">
        <f t="shared" si="56"/>
        <v>6.5818193995154178E-2</v>
      </c>
      <c r="AK51" s="54">
        <f t="shared" si="56"/>
        <v>6.6210965724264492E-2</v>
      </c>
      <c r="AL51" s="54">
        <f t="shared" si="56"/>
        <v>6.6605378309736563E-2</v>
      </c>
      <c r="AM51" s="54">
        <f t="shared" si="56"/>
        <v>6.7001436029965347E-2</v>
      </c>
      <c r="AN51" s="54">
        <f t="shared" si="56"/>
        <v>6.7399143172239342E-2</v>
      </c>
      <c r="AO51" s="54">
        <f t="shared" si="56"/>
        <v>6.7798504032618515E-2</v>
      </c>
      <c r="AP51" s="54">
        <f t="shared" si="56"/>
        <v>6.8199522915809524E-2</v>
      </c>
      <c r="AQ51" s="54">
        <f t="shared" si="56"/>
        <v>6.8602204135038217E-2</v>
      </c>
    </row>
    <row r="52" spans="1:44" s="40" customFormat="1">
      <c r="A52" s="43" t="str">
        <f>'[5]Survey Summary'!A51</f>
        <v>5 to 7.5 Tonnes</v>
      </c>
      <c r="C52" s="67">
        <f t="shared" si="55"/>
        <v>2.1237641889417794E-2</v>
      </c>
      <c r="D52" s="67">
        <f t="shared" si="55"/>
        <v>2.0219293833618347E-2</v>
      </c>
      <c r="E52" s="67">
        <f t="shared" si="55"/>
        <v>2.0818595250126328E-2</v>
      </c>
      <c r="F52" s="67">
        <f t="shared" si="55"/>
        <v>1.7618734952943752E-2</v>
      </c>
      <c r="G52" s="67">
        <f t="shared" ref="G52:L56" si="57">G44</f>
        <v>1.882930822758903E-2</v>
      </c>
      <c r="H52" s="67">
        <f t="shared" si="57"/>
        <v>2.031694433157253E-2</v>
      </c>
      <c r="I52" s="67">
        <f t="shared" si="57"/>
        <v>2.2137668626772744E-2</v>
      </c>
      <c r="J52" s="67">
        <f t="shared" si="57"/>
        <v>2.1855599965983501E-2</v>
      </c>
      <c r="K52" s="67">
        <f t="shared" si="57"/>
        <v>2.1581476627348186E-2</v>
      </c>
      <c r="L52" s="67">
        <f t="shared" si="57"/>
        <v>1.7253890187857775E-2</v>
      </c>
      <c r="M52" s="54">
        <f>M44/M$48</f>
        <v>1.6849545128627762E-2</v>
      </c>
      <c r="N52" s="54">
        <f t="shared" ref="N52:AQ56" si="58">N44/N$48</f>
        <v>1.6441803877790005E-2</v>
      </c>
      <c r="O52" s="54">
        <f t="shared" si="58"/>
        <v>1.6031726582057128E-2</v>
      </c>
      <c r="P52" s="54">
        <f t="shared" si="58"/>
        <v>1.5620330473742026E-2</v>
      </c>
      <c r="Q52" s="54">
        <f t="shared" si="58"/>
        <v>1.5208585732179229E-2</v>
      </c>
      <c r="R52" s="54">
        <f t="shared" si="58"/>
        <v>1.4797412118752146E-2</v>
      </c>
      <c r="S52" s="54">
        <f t="shared" si="58"/>
        <v>1.4568531754303045E-2</v>
      </c>
      <c r="T52" s="54">
        <f t="shared" si="58"/>
        <v>1.4341617985677195E-2</v>
      </c>
      <c r="U52" s="54">
        <f t="shared" si="58"/>
        <v>1.4116705009813107E-2</v>
      </c>
      <c r="V52" s="54">
        <f t="shared" si="58"/>
        <v>1.3893825070284305E-2</v>
      </c>
      <c r="W52" s="54">
        <f t="shared" si="58"/>
        <v>1.3673008480337609E-2</v>
      </c>
      <c r="X52" s="54">
        <f t="shared" si="58"/>
        <v>1.3454283647891184E-2</v>
      </c>
      <c r="Y52" s="54">
        <f t="shared" si="58"/>
        <v>1.3237677102369037E-2</v>
      </c>
      <c r="Z52" s="54">
        <f t="shared" si="58"/>
        <v>1.302321352324908E-2</v>
      </c>
      <c r="AA52" s="54">
        <f t="shared" si="58"/>
        <v>1.2810915770203098E-2</v>
      </c>
      <c r="AB52" s="54">
        <f t="shared" si="58"/>
        <v>1.2600804914708099E-2</v>
      </c>
      <c r="AC52" s="54">
        <f t="shared" si="58"/>
        <v>1.248881709419083E-2</v>
      </c>
      <c r="AD52" s="54">
        <f t="shared" si="58"/>
        <v>1.2377689584625703E-2</v>
      </c>
      <c r="AE52" s="54">
        <f t="shared" si="58"/>
        <v>1.2267417687851117E-2</v>
      </c>
      <c r="AF52" s="54">
        <f t="shared" si="58"/>
        <v>1.2157996702466521E-2</v>
      </c>
      <c r="AG52" s="54">
        <f t="shared" si="58"/>
        <v>1.2049421924371657E-2</v>
      </c>
      <c r="AH52" s="54">
        <f t="shared" si="58"/>
        <v>1.1941688647298249E-2</v>
      </c>
      <c r="AI52" s="54">
        <f t="shared" si="58"/>
        <v>1.183479216333411E-2</v>
      </c>
      <c r="AJ52" s="54">
        <f t="shared" si="58"/>
        <v>1.172872776343971E-2</v>
      </c>
      <c r="AK52" s="54">
        <f t="shared" si="58"/>
        <v>1.162349073795723E-2</v>
      </c>
      <c r="AL52" s="54">
        <f t="shared" si="58"/>
        <v>1.151907637711207E-2</v>
      </c>
      <c r="AM52" s="54">
        <f t="shared" si="58"/>
        <v>1.1415479971506904E-2</v>
      </c>
      <c r="AN52" s="54">
        <f t="shared" si="58"/>
        <v>1.1312696812608238E-2</v>
      </c>
      <c r="AO52" s="54">
        <f t="shared" si="58"/>
        <v>1.1210722193225539E-2</v>
      </c>
      <c r="AP52" s="54">
        <f t="shared" si="58"/>
        <v>1.1109551407982943E-2</v>
      </c>
      <c r="AQ52" s="54">
        <f t="shared" si="58"/>
        <v>1.1009179753783543E-2</v>
      </c>
      <c r="AR52" s="50"/>
    </row>
    <row r="53" spans="1:44" s="40" customFormat="1">
      <c r="A53" s="43" t="str">
        <f>'[5]Survey Summary'!A52</f>
        <v>7.5 to 10 Tonnes</v>
      </c>
      <c r="C53" s="67">
        <f t="shared" ref="C53:F53" si="59">C45</f>
        <v>7.8359575247162208E-2</v>
      </c>
      <c r="D53" s="67">
        <f t="shared" si="59"/>
        <v>7.4841565234885832E-2</v>
      </c>
      <c r="E53" s="67">
        <f t="shared" si="59"/>
        <v>7.0439615967660435E-2</v>
      </c>
      <c r="F53" s="67">
        <f t="shared" si="59"/>
        <v>6.9052309039177057E-2</v>
      </c>
      <c r="G53" s="67">
        <f t="shared" si="57"/>
        <v>5.9967253376995495E-2</v>
      </c>
      <c r="H53" s="67">
        <f t="shared" si="57"/>
        <v>5.7395367736692404E-2</v>
      </c>
      <c r="I53" s="67">
        <f t="shared" si="57"/>
        <v>6.7537184365271535E-2</v>
      </c>
      <c r="J53" s="67">
        <f t="shared" si="57"/>
        <v>6.9223573433115054E-2</v>
      </c>
      <c r="K53" s="67">
        <f t="shared" si="57"/>
        <v>7.7763215377894282E-2</v>
      </c>
      <c r="L53" s="67">
        <f t="shared" si="57"/>
        <v>7.1595581714101422E-2</v>
      </c>
      <c r="M53" s="54">
        <f t="shared" ref="M53:AB56" si="60">M45/M$48</f>
        <v>7.0627563422602332E-2</v>
      </c>
      <c r="N53" s="54">
        <f t="shared" si="60"/>
        <v>6.9618130456245153E-2</v>
      </c>
      <c r="O53" s="54">
        <f t="shared" si="60"/>
        <v>6.857093015000526E-2</v>
      </c>
      <c r="P53" s="54">
        <f t="shared" si="60"/>
        <v>6.7489593336080178E-2</v>
      </c>
      <c r="Q53" s="54">
        <f t="shared" si="60"/>
        <v>6.6377711309917306E-2</v>
      </c>
      <c r="R53" s="54">
        <f t="shared" si="60"/>
        <v>6.5238814911568702E-2</v>
      </c>
      <c r="S53" s="54">
        <f t="shared" si="60"/>
        <v>6.47163162466209E-2</v>
      </c>
      <c r="T53" s="54">
        <f t="shared" si="60"/>
        <v>6.419095893422451E-2</v>
      </c>
      <c r="U53" s="54">
        <f t="shared" si="60"/>
        <v>6.3662950552090383E-2</v>
      </c>
      <c r="V53" s="54">
        <f t="shared" si="60"/>
        <v>6.3132495953009113E-2</v>
      </c>
      <c r="W53" s="54">
        <f t="shared" si="60"/>
        <v>6.2599797145782551E-2</v>
      </c>
      <c r="X53" s="54">
        <f t="shared" si="60"/>
        <v>6.2065053183984906E-2</v>
      </c>
      <c r="Y53" s="54">
        <f t="shared" si="60"/>
        <v>6.1528460062473339E-2</v>
      </c>
      <c r="Z53" s="54">
        <f t="shared" si="60"/>
        <v>6.0990210621549724E-2</v>
      </c>
      <c r="AA53" s="54">
        <f t="shared" si="60"/>
        <v>6.0450494458661352E-2</v>
      </c>
      <c r="AB53" s="54">
        <f t="shared" si="60"/>
        <v>5.9909497847513017E-2</v>
      </c>
      <c r="AC53" s="54">
        <f t="shared" si="58"/>
        <v>5.9377060901013211E-2</v>
      </c>
      <c r="AD53" s="54">
        <f t="shared" si="58"/>
        <v>5.8848714232672954E-2</v>
      </c>
      <c r="AE53" s="54">
        <f t="shared" si="58"/>
        <v>5.8324435505466635E-2</v>
      </c>
      <c r="AF53" s="54">
        <f t="shared" si="58"/>
        <v>5.7804202366969308E-2</v>
      </c>
      <c r="AG53" s="54">
        <f t="shared" si="58"/>
        <v>5.7287992451920469E-2</v>
      </c>
      <c r="AH53" s="54">
        <f t="shared" si="58"/>
        <v>5.6775783384751977E-2</v>
      </c>
      <c r="AI53" s="54">
        <f t="shared" si="58"/>
        <v>5.6267552782079823E-2</v>
      </c>
      <c r="AJ53" s="54">
        <f t="shared" si="58"/>
        <v>5.5763278255160177E-2</v>
      </c>
      <c r="AK53" s="54">
        <f t="shared" si="58"/>
        <v>5.5262937412309553E-2</v>
      </c>
      <c r="AL53" s="54">
        <f t="shared" si="58"/>
        <v>5.4766507861289289E-2</v>
      </c>
      <c r="AM53" s="54">
        <f t="shared" si="58"/>
        <v>5.4273967211654395E-2</v>
      </c>
      <c r="AN53" s="54">
        <f t="shared" si="58"/>
        <v>5.3785293077066941E-2</v>
      </c>
      <c r="AO53" s="54">
        <f t="shared" si="58"/>
        <v>5.3300463077573995E-2</v>
      </c>
      <c r="AP53" s="54">
        <f t="shared" si="58"/>
        <v>5.2819454841850265E-2</v>
      </c>
      <c r="AQ53" s="54">
        <f t="shared" si="58"/>
        <v>5.2342246009405645E-2</v>
      </c>
    </row>
    <row r="54" spans="1:44" s="40" customFormat="1">
      <c r="A54" s="43" t="str">
        <f>'[5]Survey Summary'!A53</f>
        <v>10 to 12.5 Tonnes</v>
      </c>
      <c r="C54" s="67">
        <f t="shared" ref="C54:F54" si="61">C46</f>
        <v>0.33467594287806662</v>
      </c>
      <c r="D54" s="67">
        <f t="shared" si="61"/>
        <v>0.30741374107232672</v>
      </c>
      <c r="E54" s="67">
        <f t="shared" si="61"/>
        <v>0.29287518948964125</v>
      </c>
      <c r="F54" s="67">
        <f t="shared" si="61"/>
        <v>0.28080542788356316</v>
      </c>
      <c r="G54" s="67">
        <f t="shared" si="57"/>
        <v>0.26227998362668847</v>
      </c>
      <c r="H54" s="67">
        <f t="shared" si="57"/>
        <v>0.26605038602194231</v>
      </c>
      <c r="I54" s="67">
        <f t="shared" si="57"/>
        <v>0.25190245589761329</v>
      </c>
      <c r="J54" s="67">
        <f t="shared" si="57"/>
        <v>0.26201207585679054</v>
      </c>
      <c r="K54" s="67">
        <f t="shared" si="57"/>
        <v>0.22708606378331148</v>
      </c>
      <c r="L54" s="67">
        <f t="shared" si="57"/>
        <v>0.22397806982181731</v>
      </c>
      <c r="M54" s="54">
        <f t="shared" si="60"/>
        <v>0.2131776408398634</v>
      </c>
      <c r="N54" s="54">
        <f t="shared" si="58"/>
        <v>0.2027392971934518</v>
      </c>
      <c r="O54" s="54">
        <f t="shared" si="58"/>
        <v>0.1926654198095191</v>
      </c>
      <c r="P54" s="54">
        <f t="shared" si="58"/>
        <v>0.18295685915530599</v>
      </c>
      <c r="Q54" s="54">
        <f t="shared" si="58"/>
        <v>0.1736130277280091</v>
      </c>
      <c r="R54" s="54">
        <f t="shared" si="58"/>
        <v>0.16463199944530649</v>
      </c>
      <c r="S54" s="54">
        <f t="shared" si="58"/>
        <v>0.16126692467046819</v>
      </c>
      <c r="T54" s="54">
        <f t="shared" si="58"/>
        <v>0.15795330054490755</v>
      </c>
      <c r="U54" s="54">
        <f t="shared" si="58"/>
        <v>0.15469095853966963</v>
      </c>
      <c r="V54" s="54">
        <f t="shared" si="58"/>
        <v>0.15147970598617125</v>
      </c>
      <c r="W54" s="54">
        <f t="shared" si="58"/>
        <v>0.14831932692280961</v>
      </c>
      <c r="X54" s="54">
        <f t="shared" si="58"/>
        <v>0.14520958294629929</v>
      </c>
      <c r="Y54" s="54">
        <f t="shared" si="58"/>
        <v>0.14215021406590245</v>
      </c>
      <c r="Z54" s="54">
        <f t="shared" si="58"/>
        <v>0.13914093955878712</v>
      </c>
      <c r="AA54" s="54">
        <f t="shared" si="58"/>
        <v>0.13618145882482555</v>
      </c>
      <c r="AB54" s="54">
        <f t="shared" si="58"/>
        <v>0.1332714522392201</v>
      </c>
      <c r="AC54" s="54">
        <f t="shared" si="58"/>
        <v>0.13275077547310976</v>
      </c>
      <c r="AD54" s="54">
        <f t="shared" si="58"/>
        <v>0.132230691109261</v>
      </c>
      <c r="AE54" s="54">
        <f t="shared" si="58"/>
        <v>0.13171121399129979</v>
      </c>
      <c r="AF54" s="54">
        <f t="shared" si="58"/>
        <v>0.13119235878724608</v>
      </c>
      <c r="AG54" s="54">
        <f t="shared" si="58"/>
        <v>0.13067413999004032</v>
      </c>
      <c r="AH54" s="54">
        <f t="shared" si="58"/>
        <v>0.13015657191808924</v>
      </c>
      <c r="AI54" s="54">
        <f t="shared" si="58"/>
        <v>0.12963966871583157</v>
      </c>
      <c r="AJ54" s="54">
        <f t="shared" si="58"/>
        <v>0.12912344435432188</v>
      </c>
      <c r="AK54" s="54">
        <f t="shared" si="58"/>
        <v>0.12860791263183324</v>
      </c>
      <c r="AL54" s="54">
        <f t="shared" si="58"/>
        <v>0.12809308717447754</v>
      </c>
      <c r="AM54" s="54">
        <f t="shared" si="58"/>
        <v>0.12757898143684337</v>
      </c>
      <c r="AN54" s="54">
        <f t="shared" si="58"/>
        <v>0.12706560870265102</v>
      </c>
      <c r="AO54" s="54">
        <f t="shared" si="58"/>
        <v>0.12655298208542379</v>
      </c>
      <c r="AP54" s="54">
        <f t="shared" si="58"/>
        <v>0.12604111452917602</v>
      </c>
      <c r="AQ54" s="54">
        <f t="shared" si="58"/>
        <v>0.12553001880911618</v>
      </c>
    </row>
    <row r="55" spans="1:44" s="40" customFormat="1">
      <c r="A55" s="43" t="str">
        <f>'[5]Survey Summary'!A54</f>
        <v>Over 12.5 Tonnes</v>
      </c>
      <c r="C55" s="67">
        <f t="shared" ref="C55:F55" si="62">C47</f>
        <v>0.53570120834859025</v>
      </c>
      <c r="D55" s="67">
        <f t="shared" si="62"/>
        <v>0.56956040639774674</v>
      </c>
      <c r="E55" s="67">
        <f t="shared" si="62"/>
        <v>0.58706417382516418</v>
      </c>
      <c r="F55" s="67">
        <f t="shared" si="62"/>
        <v>0.60428977894506453</v>
      </c>
      <c r="G55" s="67">
        <f t="shared" si="57"/>
        <v>0.63415882112157185</v>
      </c>
      <c r="H55" s="67">
        <f t="shared" si="57"/>
        <v>0.62840308817553836</v>
      </c>
      <c r="I55" s="67">
        <f t="shared" si="57"/>
        <v>0.63170183327568319</v>
      </c>
      <c r="J55" s="67">
        <f t="shared" si="57"/>
        <v>0.62250191342801253</v>
      </c>
      <c r="K55" s="67">
        <f t="shared" si="57"/>
        <v>0.64971603320227178</v>
      </c>
      <c r="L55" s="67">
        <f t="shared" si="57"/>
        <v>0.64581149721841491</v>
      </c>
      <c r="M55" s="54">
        <f t="shared" si="60"/>
        <v>0.65628814408803104</v>
      </c>
      <c r="N55" s="54">
        <f t="shared" si="58"/>
        <v>0.66641302393156243</v>
      </c>
      <c r="O55" s="54">
        <f t="shared" si="58"/>
        <v>0.67617941422434757</v>
      </c>
      <c r="P55" s="54">
        <f t="shared" si="58"/>
        <v>0.68558214764457892</v>
      </c>
      <c r="Q55" s="54">
        <f t="shared" si="58"/>
        <v>0.69461754298217904</v>
      </c>
      <c r="R55" s="54">
        <f t="shared" si="58"/>
        <v>0.70328332690197437</v>
      </c>
      <c r="S55" s="54">
        <f t="shared" si="58"/>
        <v>0.70639321022185753</v>
      </c>
      <c r="T55" s="54">
        <f t="shared" si="58"/>
        <v>0.70943900215742695</v>
      </c>
      <c r="U55" s="54">
        <f t="shared" si="58"/>
        <v>0.71242053503740854</v>
      </c>
      <c r="V55" s="54">
        <f t="shared" si="58"/>
        <v>0.71533766943414856</v>
      </c>
      <c r="W55" s="54">
        <f t="shared" si="58"/>
        <v>0.71819029340318663</v>
      </c>
      <c r="X55" s="54">
        <f t="shared" si="58"/>
        <v>0.72097832171023268</v>
      </c>
      <c r="Y55" s="54">
        <f t="shared" si="58"/>
        <v>0.72370169504762472</v>
      </c>
      <c r="Z55" s="54">
        <f t="shared" si="58"/>
        <v>0.72636037924227626</v>
      </c>
      <c r="AA55" s="54">
        <f t="shared" si="58"/>
        <v>0.72895436445706752</v>
      </c>
      <c r="AB55" s="54">
        <f t="shared" si="58"/>
        <v>0.73148366438755719</v>
      </c>
      <c r="AC55" s="54">
        <f t="shared" si="58"/>
        <v>0.73226896812569819</v>
      </c>
      <c r="AD55" s="54">
        <f t="shared" si="58"/>
        <v>0.73304712190930976</v>
      </c>
      <c r="AE55" s="54">
        <f t="shared" si="58"/>
        <v>0.73381813372678606</v>
      </c>
      <c r="AF55" s="54">
        <f t="shared" si="58"/>
        <v>0.73458201175099058</v>
      </c>
      <c r="AG55" s="54">
        <f t="shared" si="58"/>
        <v>0.73533876433572731</v>
      </c>
      <c r="AH55" s="54">
        <f t="shared" si="58"/>
        <v>0.73608840001223874</v>
      </c>
      <c r="AI55" s="54">
        <f t="shared" si="58"/>
        <v>0.73683092748573065</v>
      </c>
      <c r="AJ55" s="54">
        <f t="shared" si="58"/>
        <v>0.73756635563192408</v>
      </c>
      <c r="AK55" s="54">
        <f t="shared" si="58"/>
        <v>0.73829469349363552</v>
      </c>
      <c r="AL55" s="54">
        <f t="shared" si="58"/>
        <v>0.73901595027738454</v>
      </c>
      <c r="AM55" s="54">
        <f t="shared" si="58"/>
        <v>0.73973013535002996</v>
      </c>
      <c r="AN55" s="54">
        <f t="shared" si="58"/>
        <v>0.74043725823543438</v>
      </c>
      <c r="AO55" s="54">
        <f t="shared" si="58"/>
        <v>0.74113732861115811</v>
      </c>
      <c r="AP55" s="54">
        <f t="shared" si="58"/>
        <v>0.74183035630518124</v>
      </c>
      <c r="AQ55" s="54">
        <f t="shared" si="58"/>
        <v>0.74251635129265625</v>
      </c>
    </row>
    <row r="56" spans="1:44" s="40" customFormat="1">
      <c r="A56" s="43" t="str">
        <f>'[5]Survey Summary'!A55</f>
        <v>Total</v>
      </c>
      <c r="C56" s="67">
        <f t="shared" ref="C56:F56" si="63">C48</f>
        <v>1</v>
      </c>
      <c r="D56" s="67">
        <f t="shared" si="63"/>
        <v>1</v>
      </c>
      <c r="E56" s="67">
        <f t="shared" si="63"/>
        <v>1</v>
      </c>
      <c r="F56" s="67">
        <f t="shared" si="63"/>
        <v>1</v>
      </c>
      <c r="G56" s="67">
        <f t="shared" si="57"/>
        <v>1</v>
      </c>
      <c r="H56" s="67">
        <f t="shared" si="57"/>
        <v>1</v>
      </c>
      <c r="I56" s="67">
        <f t="shared" si="57"/>
        <v>1</v>
      </c>
      <c r="J56" s="67">
        <f t="shared" si="57"/>
        <v>1</v>
      </c>
      <c r="K56" s="67">
        <f t="shared" si="57"/>
        <v>1</v>
      </c>
      <c r="L56" s="67">
        <f t="shared" si="57"/>
        <v>1</v>
      </c>
      <c r="M56" s="54">
        <f t="shared" si="60"/>
        <v>1</v>
      </c>
      <c r="N56" s="54">
        <f t="shared" si="58"/>
        <v>1</v>
      </c>
      <c r="O56" s="54">
        <f t="shared" si="58"/>
        <v>1</v>
      </c>
      <c r="P56" s="54">
        <f t="shared" si="58"/>
        <v>1</v>
      </c>
      <c r="Q56" s="54">
        <f t="shared" si="58"/>
        <v>1</v>
      </c>
      <c r="R56" s="54">
        <f t="shared" si="58"/>
        <v>1</v>
      </c>
      <c r="S56" s="54">
        <f t="shared" si="58"/>
        <v>1</v>
      </c>
      <c r="T56" s="54">
        <f t="shared" si="58"/>
        <v>1</v>
      </c>
      <c r="U56" s="54">
        <f t="shared" si="58"/>
        <v>1</v>
      </c>
      <c r="V56" s="54">
        <f t="shared" si="58"/>
        <v>1</v>
      </c>
      <c r="W56" s="54">
        <f t="shared" si="58"/>
        <v>1</v>
      </c>
      <c r="X56" s="54">
        <f t="shared" si="58"/>
        <v>1</v>
      </c>
      <c r="Y56" s="54">
        <f t="shared" si="58"/>
        <v>1</v>
      </c>
      <c r="Z56" s="54">
        <f t="shared" si="58"/>
        <v>1</v>
      </c>
      <c r="AA56" s="54">
        <f t="shared" si="58"/>
        <v>1</v>
      </c>
      <c r="AB56" s="54">
        <f t="shared" si="58"/>
        <v>1</v>
      </c>
      <c r="AC56" s="54">
        <f t="shared" si="58"/>
        <v>1</v>
      </c>
      <c r="AD56" s="54">
        <f t="shared" si="58"/>
        <v>1</v>
      </c>
      <c r="AE56" s="54">
        <f t="shared" si="58"/>
        <v>1</v>
      </c>
      <c r="AF56" s="54">
        <f t="shared" si="58"/>
        <v>1</v>
      </c>
      <c r="AG56" s="54">
        <f t="shared" si="58"/>
        <v>1</v>
      </c>
      <c r="AH56" s="54">
        <f t="shared" si="58"/>
        <v>1</v>
      </c>
      <c r="AI56" s="54">
        <f t="shared" si="58"/>
        <v>1</v>
      </c>
      <c r="AJ56" s="54">
        <f t="shared" si="58"/>
        <v>1</v>
      </c>
      <c r="AK56" s="54">
        <f t="shared" si="58"/>
        <v>1</v>
      </c>
      <c r="AL56" s="54">
        <f t="shared" si="58"/>
        <v>1</v>
      </c>
      <c r="AM56" s="54">
        <f t="shared" si="58"/>
        <v>1</v>
      </c>
      <c r="AN56" s="54">
        <f t="shared" si="58"/>
        <v>1</v>
      </c>
      <c r="AO56" s="54">
        <f t="shared" si="58"/>
        <v>1</v>
      </c>
      <c r="AP56" s="54">
        <f t="shared" si="58"/>
        <v>1</v>
      </c>
      <c r="AQ56" s="54">
        <f t="shared" si="58"/>
        <v>1</v>
      </c>
      <c r="AR56" s="50"/>
    </row>
    <row r="57" spans="1:44" s="40" customFormat="1">
      <c r="A57" s="43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</row>
    <row r="58" spans="1:44" s="45" customFormat="1"/>
    <row r="60" spans="1:44">
      <c r="AB60" s="74"/>
    </row>
    <row r="61" spans="1:44">
      <c r="A61" t="s">
        <v>99</v>
      </c>
    </row>
    <row r="63" spans="1:44">
      <c r="F63">
        <v>2013</v>
      </c>
      <c r="G63">
        <v>2014</v>
      </c>
      <c r="H63">
        <v>2015</v>
      </c>
      <c r="I63">
        <v>2016</v>
      </c>
      <c r="J63">
        <v>2017</v>
      </c>
      <c r="K63">
        <v>2018</v>
      </c>
      <c r="L63">
        <v>2019</v>
      </c>
      <c r="M63">
        <v>2020</v>
      </c>
    </row>
    <row r="64" spans="1:44">
      <c r="D64" t="s">
        <v>67</v>
      </c>
      <c r="E64" s="68"/>
      <c r="F64" s="68">
        <f>'Tkm, Vkm, &amp; Stock Projections'!T22/'Tkm, Vkm, &amp; Stock Projections'!T$27</f>
        <v>0.55640449438202244</v>
      </c>
      <c r="G64" s="68">
        <f>'Tkm, Vkm, &amp; Stock Projections'!U22/'Tkm, Vkm, &amp; Stock Projections'!U$27</f>
        <v>0.54242424242424248</v>
      </c>
      <c r="H64" s="68">
        <f>'Tkm, Vkm, &amp; Stock Projections'!V22/'Tkm, Vkm, &amp; Stock Projections'!V$27</f>
        <v>0.54860374690703428</v>
      </c>
      <c r="I64" s="68">
        <f>'Tkm, Vkm, &amp; Stock Projections'!W22/'Tkm, Vkm, &amp; Stock Projections'!W$27</f>
        <v>0.54484380248572384</v>
      </c>
      <c r="J64" s="68">
        <f>'Tkm, Vkm, &amp; Stock Projections'!X22/'Tkm, Vkm, &amp; Stock Projections'!X$27</f>
        <v>0.57918282135401133</v>
      </c>
      <c r="K64" s="68">
        <f>'Tkm, Vkm, &amp; Stock Projections'!Y22/'Tkm, Vkm, &amp; Stock Projections'!Y$27</f>
        <v>0.58751050126015125</v>
      </c>
      <c r="L64" s="68">
        <f>'Tkm, Vkm, &amp; Stock Projections'!Z22/'Tkm, Vkm, &amp; Stock Projections'!Z$27</f>
        <v>0.59867899603698815</v>
      </c>
      <c r="M64" s="68">
        <f>'Tkm, Vkm, &amp; Stock Projections'!AA22/'Tkm, Vkm, &amp; Stock Projections'!AA$27</f>
        <v>0.59867899603698815</v>
      </c>
    </row>
    <row r="65" spans="4:13">
      <c r="D65" t="s">
        <v>68</v>
      </c>
      <c r="E65" s="68"/>
      <c r="F65" s="68">
        <f>'Tkm, Vkm, &amp; Stock Projections'!T23/'Tkm, Vkm, &amp; Stock Projections'!T$27</f>
        <v>4.8089887640449441E-2</v>
      </c>
      <c r="G65" s="68">
        <f>'Tkm, Vkm, &amp; Stock Projections'!U23/'Tkm, Vkm, &amp; Stock Projections'!U$27</f>
        <v>4.6969696969696967E-2</v>
      </c>
      <c r="H65" s="68">
        <f>'Tkm, Vkm, &amp; Stock Projections'!V23/'Tkm, Vkm, &amp; Stock Projections'!V$27</f>
        <v>4.3478260869565216E-2</v>
      </c>
      <c r="I65" s="68">
        <f>'Tkm, Vkm, &amp; Stock Projections'!W23/'Tkm, Vkm, &amp; Stock Projections'!W$27</f>
        <v>4.1316761840779308E-2</v>
      </c>
      <c r="J65" s="68">
        <f>'Tkm, Vkm, &amp; Stock Projections'!X23/'Tkm, Vkm, &amp; Stock Projections'!X$27</f>
        <v>3.3701163137488818E-2</v>
      </c>
      <c r="K65" s="68">
        <f>'Tkm, Vkm, &amp; Stock Projections'!Y23/'Tkm, Vkm, &amp; Stock Projections'!Y$27</f>
        <v>3.164379725567068E-2</v>
      </c>
      <c r="L65" s="68">
        <f>'Tkm, Vkm, &amp; Stock Projections'!Z23/'Tkm, Vkm, &amp; Stock Projections'!Z$27</f>
        <v>2.9326287978863937E-2</v>
      </c>
      <c r="M65" s="68">
        <f>'Tkm, Vkm, &amp; Stock Projections'!AA23/'Tkm, Vkm, &amp; Stock Projections'!AA$27</f>
        <v>2.9326287978863937E-2</v>
      </c>
    </row>
    <row r="66" spans="4:13">
      <c r="D66" t="s">
        <v>69</v>
      </c>
      <c r="E66" s="68"/>
      <c r="F66" s="68">
        <f>'Tkm, Vkm, &amp; Stock Projections'!T24/'Tkm, Vkm, &amp; Stock Projections'!T$27</f>
        <v>7.3258426966292131E-2</v>
      </c>
      <c r="G66" s="68">
        <f>'Tkm, Vkm, &amp; Stock Projections'!U24/'Tkm, Vkm, &amp; Stock Projections'!U$27</f>
        <v>7.3484848484848486E-2</v>
      </c>
      <c r="H66" s="68">
        <f>'Tkm, Vkm, &amp; Stock Projections'!V24/'Tkm, Vkm, &amp; Stock Projections'!V$27</f>
        <v>6.9282431954754337E-2</v>
      </c>
      <c r="I66" s="68">
        <f>'Tkm, Vkm, &amp; Stock Projections'!W24/'Tkm, Vkm, &amp; Stock Projections'!W$27</f>
        <v>6.8525361101780313E-2</v>
      </c>
      <c r="J66" s="68">
        <f>'Tkm, Vkm, &amp; Stock Projections'!X24/'Tkm, Vkm, &amp; Stock Projections'!X$27</f>
        <v>6.113927825827617E-2</v>
      </c>
      <c r="K66" s="68">
        <f>'Tkm, Vkm, &amp; Stock Projections'!Y24/'Tkm, Vkm, &amp; Stock Projections'!Y$27</f>
        <v>6.1607392887146457E-2</v>
      </c>
      <c r="L66" s="68">
        <f>'Tkm, Vkm, &amp; Stock Projections'!Z24/'Tkm, Vkm, &amp; Stock Projections'!Z$27</f>
        <v>5.8652575957727875E-2</v>
      </c>
      <c r="M66" s="68">
        <f>'Tkm, Vkm, &amp; Stock Projections'!AA24/'Tkm, Vkm, &amp; Stock Projections'!AA$27</f>
        <v>5.8652575957727875E-2</v>
      </c>
    </row>
    <row r="67" spans="4:13">
      <c r="D67" t="s">
        <v>70</v>
      </c>
      <c r="E67" s="68"/>
      <c r="F67" s="68">
        <f>'Tkm, Vkm, &amp; Stock Projections'!T25/'Tkm, Vkm, &amp; Stock Projections'!T$27</f>
        <v>0.11820224719101123</v>
      </c>
      <c r="G67" s="68">
        <f>'Tkm, Vkm, &amp; Stock Projections'!U25/'Tkm, Vkm, &amp; Stock Projections'!U$27</f>
        <v>0.11969696969696969</v>
      </c>
      <c r="H67" s="68">
        <f>'Tkm, Vkm, &amp; Stock Projections'!V25/'Tkm, Vkm, &amp; Stock Projections'!V$27</f>
        <v>0.12513255567338283</v>
      </c>
      <c r="I67" s="68">
        <f>'Tkm, Vkm, &amp; Stock Projections'!W25/'Tkm, Vkm, &amp; Stock Projections'!W$27</f>
        <v>0.12294255962378232</v>
      </c>
      <c r="J67" s="68">
        <f>'Tkm, Vkm, &amp; Stock Projections'!X25/'Tkm, Vkm, &amp; Stock Projections'!X$27</f>
        <v>0.10885773933790635</v>
      </c>
      <c r="K67" s="68">
        <f>'Tkm, Vkm, &amp; Stock Projections'!Y25/'Tkm, Vkm, &amp; Stock Projections'!Y$27</f>
        <v>0.1008120974516942</v>
      </c>
      <c r="L67" s="68">
        <f>'Tkm, Vkm, &amp; Stock Projections'!Z25/'Tkm, Vkm, &amp; Stock Projections'!Z$27</f>
        <v>9.4055482166446505E-2</v>
      </c>
      <c r="M67" s="68">
        <f>'Tkm, Vkm, &amp; Stock Projections'!AA25/'Tkm, Vkm, &amp; Stock Projections'!AA$27</f>
        <v>9.4055482166446505E-2</v>
      </c>
    </row>
    <row r="68" spans="4:13">
      <c r="D68" t="s">
        <v>71</v>
      </c>
      <c r="E68" s="68"/>
      <c r="F68" s="68">
        <f>'Tkm, Vkm, &amp; Stock Projections'!T26/'Tkm, Vkm, &amp; Stock Projections'!T$27</f>
        <v>0.20404494382022473</v>
      </c>
      <c r="G68" s="68">
        <f>'Tkm, Vkm, &amp; Stock Projections'!U26/'Tkm, Vkm, &amp; Stock Projections'!U$27</f>
        <v>0.21742424242424244</v>
      </c>
      <c r="H68" s="68">
        <f>'Tkm, Vkm, &amp; Stock Projections'!V26/'Tkm, Vkm, &amp; Stock Projections'!V$27</f>
        <v>0.21350300459526333</v>
      </c>
      <c r="I68" s="68">
        <f>'Tkm, Vkm, &amp; Stock Projections'!W26/'Tkm, Vkm, &amp; Stock Projections'!W$27</f>
        <v>0.22237151494793417</v>
      </c>
      <c r="J68" s="68">
        <f>'Tkm, Vkm, &amp; Stock Projections'!X26/'Tkm, Vkm, &amp; Stock Projections'!X$27</f>
        <v>0.21711899791231734</v>
      </c>
      <c r="K68" s="68">
        <f>'Tkm, Vkm, &amp; Stock Projections'!Y26/'Tkm, Vkm, &amp; Stock Projections'!Y$27</f>
        <v>0.21842621114533745</v>
      </c>
      <c r="L68" s="68">
        <f>'Tkm, Vkm, &amp; Stock Projections'!Z26/'Tkm, Vkm, &amp; Stock Projections'!Z$27</f>
        <v>0.21928665785997359</v>
      </c>
      <c r="M68" s="68">
        <f>'Tkm, Vkm, &amp; Stock Projections'!AA26/'Tkm, Vkm, &amp; Stock Projections'!AA$27</f>
        <v>0.21928665785997359</v>
      </c>
    </row>
    <row r="69" spans="4:13">
      <c r="D69" t="s">
        <v>29</v>
      </c>
      <c r="F69" s="68">
        <f>'Tkm, Vkm, &amp; Stock Projections'!T27/'Tkm, Vkm, &amp; Stock Projections'!T$27</f>
        <v>1</v>
      </c>
      <c r="G69" s="68">
        <f>'Tkm, Vkm, &amp; Stock Projections'!U27/'Tkm, Vkm, &amp; Stock Projections'!U$27</f>
        <v>1</v>
      </c>
      <c r="H69" s="68">
        <f>'Tkm, Vkm, &amp; Stock Projections'!V27/'Tkm, Vkm, &amp; Stock Projections'!V$27</f>
        <v>1</v>
      </c>
      <c r="I69" s="68">
        <f>'Tkm, Vkm, &amp; Stock Projections'!W27/'Tkm, Vkm, &amp; Stock Projections'!W$27</f>
        <v>1</v>
      </c>
      <c r="J69" s="68">
        <f>'Tkm, Vkm, &amp; Stock Projections'!X27/'Tkm, Vkm, &amp; Stock Projections'!X$27</f>
        <v>1</v>
      </c>
      <c r="K69" s="68">
        <f>'Tkm, Vkm, &amp; Stock Projections'!Y27/'Tkm, Vkm, &amp; Stock Projections'!Y$27</f>
        <v>1</v>
      </c>
      <c r="L69" s="68">
        <f>'Tkm, Vkm, &amp; Stock Projections'!Z27/'Tkm, Vkm, &amp; Stock Projections'!Z$27</f>
        <v>1</v>
      </c>
      <c r="M69" s="68">
        <f>'Tkm, Vkm, &amp; Stock Projections'!AA27/'Tkm, Vkm, &amp; Stock Projections'!AA$27</f>
        <v>1</v>
      </c>
    </row>
  </sheetData>
  <mergeCells count="8">
    <mergeCell ref="S38:T38"/>
    <mergeCell ref="S39:T39"/>
    <mergeCell ref="I33:Q33"/>
    <mergeCell ref="I3:Q3"/>
    <mergeCell ref="S7:T7"/>
    <mergeCell ref="S8:T8"/>
    <mergeCell ref="S9:T9"/>
    <mergeCell ref="S37:T37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168"/>
  <sheetViews>
    <sheetView zoomScale="70" zoomScaleNormal="70" workbookViewId="0">
      <pane xSplit="1" topLeftCell="U1" activePane="topRight" state="frozen"/>
      <selection pane="topRight" activeCell="AK28" sqref="AK28"/>
    </sheetView>
  </sheetViews>
  <sheetFormatPr baseColWidth="10" defaultColWidth="8.83203125" defaultRowHeight="15"/>
  <cols>
    <col min="1" max="1" width="31" customWidth="1"/>
    <col min="15" max="15" width="8.83203125" customWidth="1"/>
    <col min="17" max="22" width="9" bestFit="1" customWidth="1"/>
    <col min="23" max="23" width="9.83203125" bestFit="1" customWidth="1"/>
    <col min="24" max="25" width="9" bestFit="1" customWidth="1"/>
    <col min="26" max="26" width="9.83203125" style="13" bestFit="1" customWidth="1"/>
    <col min="58" max="58" width="13.5" customWidth="1"/>
  </cols>
  <sheetData>
    <row r="1" spans="1:63" ht="14.5" customHeight="1"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142" t="s">
        <v>100</v>
      </c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BI1" t="s">
        <v>101</v>
      </c>
    </row>
    <row r="2" spans="1:63" ht="15" customHeight="1" thickBot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</row>
    <row r="3" spans="1:63" ht="16">
      <c r="A3" s="27" t="s">
        <v>102</v>
      </c>
      <c r="B3" s="2">
        <v>1995</v>
      </c>
      <c r="C3" s="2">
        <v>1996</v>
      </c>
      <c r="D3" s="2">
        <v>1997</v>
      </c>
      <c r="E3" s="2">
        <v>1998</v>
      </c>
      <c r="F3" s="2">
        <v>1999</v>
      </c>
      <c r="G3" s="2">
        <v>2000</v>
      </c>
      <c r="H3" s="2">
        <v>2001</v>
      </c>
      <c r="I3" s="2">
        <v>2002</v>
      </c>
      <c r="J3" s="2">
        <v>2003</v>
      </c>
      <c r="K3" s="2">
        <v>2004</v>
      </c>
      <c r="L3" s="2">
        <v>2005</v>
      </c>
      <c r="M3" s="2">
        <v>2006</v>
      </c>
      <c r="N3" s="2">
        <v>2007</v>
      </c>
      <c r="O3" s="2">
        <v>2008</v>
      </c>
      <c r="P3" s="2">
        <v>2009</v>
      </c>
      <c r="Q3" s="2">
        <v>2010</v>
      </c>
      <c r="R3" s="2">
        <v>2011</v>
      </c>
      <c r="S3" s="2">
        <v>2012</v>
      </c>
      <c r="T3" s="2">
        <v>2013</v>
      </c>
      <c r="U3" s="2">
        <v>2014</v>
      </c>
      <c r="V3" s="2">
        <v>2015</v>
      </c>
      <c r="W3" s="2">
        <v>2016</v>
      </c>
      <c r="X3" s="2">
        <v>2017</v>
      </c>
      <c r="Y3" s="2">
        <v>2018</v>
      </c>
      <c r="Z3" s="10">
        <v>2019</v>
      </c>
      <c r="AA3" s="2">
        <v>2020</v>
      </c>
      <c r="AB3" s="2">
        <v>2021</v>
      </c>
      <c r="AC3" s="2">
        <v>2022</v>
      </c>
      <c r="AD3" s="2">
        <v>2023</v>
      </c>
      <c r="AE3" s="2">
        <v>2024</v>
      </c>
      <c r="AF3" s="2">
        <v>2025</v>
      </c>
      <c r="AG3" s="2">
        <v>2026</v>
      </c>
      <c r="AH3" s="2">
        <v>2027</v>
      </c>
      <c r="AI3" s="2">
        <v>2028</v>
      </c>
      <c r="AJ3" s="2">
        <v>2029</v>
      </c>
      <c r="AK3" s="2">
        <v>2030</v>
      </c>
      <c r="AL3" s="2">
        <v>2031</v>
      </c>
      <c r="AM3" s="2">
        <v>2032</v>
      </c>
      <c r="AN3" s="2">
        <v>2033</v>
      </c>
      <c r="AO3" s="2">
        <v>2034</v>
      </c>
      <c r="AP3" s="2">
        <v>2035</v>
      </c>
      <c r="AQ3" s="2">
        <v>2036</v>
      </c>
      <c r="AR3" s="2">
        <v>2037</v>
      </c>
      <c r="AS3" s="2">
        <v>2038</v>
      </c>
      <c r="AT3" s="2">
        <v>2039</v>
      </c>
      <c r="AU3" s="2">
        <v>2040</v>
      </c>
      <c r="AV3" s="2">
        <v>2041</v>
      </c>
      <c r="AW3" s="2">
        <v>2042</v>
      </c>
      <c r="AX3" s="2">
        <v>2043</v>
      </c>
      <c r="AY3" s="2">
        <v>2044</v>
      </c>
      <c r="AZ3" s="2">
        <v>2045</v>
      </c>
      <c r="BA3" s="2">
        <v>2046</v>
      </c>
      <c r="BB3" s="2">
        <v>2047</v>
      </c>
      <c r="BC3" s="2">
        <v>2048</v>
      </c>
      <c r="BD3" s="2">
        <v>2049</v>
      </c>
      <c r="BE3" s="3">
        <v>2050</v>
      </c>
    </row>
    <row r="4" spans="1:63">
      <c r="A4" s="4" t="s">
        <v>103</v>
      </c>
      <c r="B4" s="100">
        <f>[2]Summary!B2</f>
        <v>2311</v>
      </c>
      <c r="C4" s="100">
        <f>[2]Summary!C2</f>
        <v>2815</v>
      </c>
      <c r="D4" s="100">
        <f>[2]Summary!D2</f>
        <v>2872</v>
      </c>
      <c r="E4" s="100">
        <f>[2]Summary!E2</f>
        <v>3044</v>
      </c>
      <c r="F4" s="100">
        <f>[2]Summary!F2</f>
        <v>3774</v>
      </c>
      <c r="G4" s="100">
        <f>[2]Summary!G2</f>
        <v>4163</v>
      </c>
      <c r="H4" s="100">
        <f>[2]Summary!H2</f>
        <v>3972</v>
      </c>
      <c r="I4" s="100">
        <f>[2]Summary!I2</f>
        <v>4761</v>
      </c>
      <c r="J4" s="100">
        <f>[2]Summary!J2</f>
        <v>5158</v>
      </c>
      <c r="K4" s="100">
        <f>[2]Summary!K2</f>
        <v>5563</v>
      </c>
      <c r="L4" s="100">
        <f>[2]Summary!L2</f>
        <v>5571</v>
      </c>
      <c r="M4" s="100">
        <f>[2]Summary!M2</f>
        <v>5227</v>
      </c>
      <c r="N4" s="100">
        <f>[2]Summary!N2</f>
        <v>5677</v>
      </c>
      <c r="O4" s="100">
        <f>[2]Summary!O2</f>
        <v>5666</v>
      </c>
      <c r="P4" s="100">
        <f>[2]Summary!P2</f>
        <v>5416</v>
      </c>
      <c r="Q4" s="100">
        <f>[2]Summary!Q2</f>
        <v>5314</v>
      </c>
      <c r="R4" s="100">
        <f>[2]Summary!R2</f>
        <v>4896</v>
      </c>
      <c r="S4" s="100">
        <f>[2]Summary!S2</f>
        <v>4910</v>
      </c>
      <c r="T4" s="100">
        <f>[2]Summary!T2</f>
        <v>4518</v>
      </c>
      <c r="U4" s="100">
        <f>[2]Summary!U2</f>
        <v>4843</v>
      </c>
      <c r="V4" s="100">
        <f>[2]Summary!V2</f>
        <v>5044</v>
      </c>
      <c r="W4" s="100">
        <f>[2]Summary!W2</f>
        <v>5633</v>
      </c>
      <c r="X4" s="100">
        <f>[2]Summary!X2</f>
        <v>5665</v>
      </c>
      <c r="Y4" s="100">
        <f>[2]Summary!Y2</f>
        <v>5292</v>
      </c>
      <c r="Z4" s="101">
        <f>[2]Summary!Z2</f>
        <v>5988</v>
      </c>
      <c r="AA4" s="17">
        <f>'From R Inputs_HERMES'!AB21</f>
        <v>5525.2477249114763</v>
      </c>
      <c r="AB4" s="17">
        <f>'From R Inputs_HERMES'!AC21</f>
        <v>5683.9733890776652</v>
      </c>
      <c r="AC4" s="17">
        <f>'From R Inputs_HERMES'!AD21</f>
        <v>5813.09034951185</v>
      </c>
      <c r="AD4" s="17">
        <f>'From R Inputs_HERMES'!AE21</f>
        <v>5897.7869171159709</v>
      </c>
      <c r="AE4" s="17">
        <f>'From R Inputs_HERMES'!AF21</f>
        <v>5966.9478232870651</v>
      </c>
      <c r="AF4" s="17">
        <f>'From R Inputs_HERMES'!AG21</f>
        <v>6056.6315184195491</v>
      </c>
      <c r="AG4" s="17">
        <f>'From R Inputs_HERMES'!AH21</f>
        <v>6143.8475527463133</v>
      </c>
      <c r="AH4" s="17">
        <f>'From R Inputs_HERMES'!AI21</f>
        <v>6233.2080826807332</v>
      </c>
      <c r="AI4" s="17">
        <f>'From R Inputs_HERMES'!AJ21</f>
        <v>6334.7672604481359</v>
      </c>
      <c r="AJ4" s="17">
        <f>'From R Inputs_HERMES'!AK21</f>
        <v>6453.9598303547909</v>
      </c>
      <c r="AK4" s="17">
        <f>'From R Inputs_HERMES'!AL21</f>
        <v>6585.2710592817893</v>
      </c>
      <c r="AL4" s="17">
        <f>'From R Inputs_HERMES'!AM21</f>
        <v>6639.0574500446837</v>
      </c>
      <c r="AM4" s="17">
        <f>'From R Inputs_HERMES'!AN21</f>
        <v>6693.0087946767226</v>
      </c>
      <c r="AN4" s="17">
        <f>'From R Inputs_HERMES'!AO21</f>
        <v>6747.5489054071568</v>
      </c>
      <c r="AO4" s="17">
        <f>'From R Inputs_HERMES'!AP21</f>
        <v>6802.265277559899</v>
      </c>
      <c r="AP4" s="17">
        <f>'From R Inputs_HERMES'!AQ21</f>
        <v>6857.1817981202012</v>
      </c>
      <c r="AQ4" s="17">
        <f>'From R Inputs_HERMES'!AR21</f>
        <v>6912.684650936525</v>
      </c>
      <c r="AR4" s="17">
        <f>'From R Inputs_HERMES'!AS21</f>
        <v>6968.3607562393818</v>
      </c>
      <c r="AS4" s="17">
        <f>'From R Inputs_HERMES'!AT21</f>
        <v>7024.2701533871787</v>
      </c>
      <c r="AT4" s="17">
        <f>'From R Inputs_HERMES'!AU21</f>
        <v>7080.7623910122993</v>
      </c>
      <c r="AU4" s="17">
        <f>'From R Inputs_HERMES'!AV21</f>
        <v>7137.4966391338367</v>
      </c>
      <c r="AV4" s="17">
        <f>'From R Inputs_HERMES'!AW21</f>
        <v>7194.3859742490167</v>
      </c>
      <c r="AW4" s="17">
        <f>'From R Inputs_HERMES'!AX21</f>
        <v>7251.5253240615875</v>
      </c>
      <c r="AX4" s="17">
        <f>'From R Inputs_HERMES'!AY21</f>
        <v>7309.3010392559818</v>
      </c>
      <c r="AY4" s="17">
        <f>'From R Inputs_HERMES'!AZ21</f>
        <v>7367.2622095159795</v>
      </c>
      <c r="AZ4" s="17">
        <f>'From R Inputs_HERMES'!BA21</f>
        <v>7425.5018292108653</v>
      </c>
      <c r="BA4" s="17">
        <f>'From R Inputs_HERMES'!BB21</f>
        <v>7483.933842384904</v>
      </c>
      <c r="BB4" s="17">
        <f>'From R Inputs_HERMES'!BC21</f>
        <v>7542.6148260594427</v>
      </c>
      <c r="BC4" s="17">
        <f>'From R Inputs_HERMES'!BD21</f>
        <v>7601.9317020867611</v>
      </c>
      <c r="BD4" s="17">
        <f>'From R Inputs_HERMES'!BE21</f>
        <v>7661.5383566926675</v>
      </c>
      <c r="BE4" s="17">
        <f>'From R Inputs_HERMES'!BF21</f>
        <v>7721.3844858882594</v>
      </c>
      <c r="BK4" t="s">
        <v>104</v>
      </c>
    </row>
    <row r="5" spans="1:63">
      <c r="A5" s="4" t="s">
        <v>105</v>
      </c>
      <c r="B5" s="100">
        <f>[2]Summary!B3</f>
        <v>1668</v>
      </c>
      <c r="C5" s="100">
        <f>[2]Summary!C3</f>
        <v>1770</v>
      </c>
      <c r="D5" s="100">
        <f>[2]Summary!D3</f>
        <v>2231</v>
      </c>
      <c r="E5" s="100">
        <f>[2]Summary!E3</f>
        <v>3000</v>
      </c>
      <c r="F5" s="100">
        <f>[2]Summary!F3</f>
        <v>3547</v>
      </c>
      <c r="G5" s="100">
        <f>[2]Summary!G3</f>
        <v>4565</v>
      </c>
      <c r="H5" s="100">
        <f>[2]Summary!H3</f>
        <v>5103</v>
      </c>
      <c r="I5" s="100">
        <f>[2]Summary!I3</f>
        <v>5969</v>
      </c>
      <c r="J5" s="100">
        <f>[2]Summary!J3</f>
        <v>6667</v>
      </c>
      <c r="K5" s="100">
        <f>[2]Summary!K3</f>
        <v>7564</v>
      </c>
      <c r="L5" s="100">
        <f>[2]Summary!L3</f>
        <v>7912</v>
      </c>
      <c r="M5" s="100">
        <f>[2]Summary!M3</f>
        <v>8054</v>
      </c>
      <c r="N5" s="100">
        <f>[2]Summary!N3</f>
        <v>8554</v>
      </c>
      <c r="O5" s="100">
        <f>[2]Summary!O3</f>
        <v>6835</v>
      </c>
      <c r="P5" s="100">
        <f>[2]Summary!P3</f>
        <v>2176</v>
      </c>
      <c r="Q5" s="100">
        <f>[2]Summary!Q3</f>
        <v>1587</v>
      </c>
      <c r="R5" s="100">
        <f>[2]Summary!R3</f>
        <v>1279</v>
      </c>
      <c r="S5" s="100">
        <f>[2]Summary!S3</f>
        <v>1228</v>
      </c>
      <c r="T5" s="100">
        <f>[2]Summary!T3</f>
        <v>1147</v>
      </c>
      <c r="U5" s="100">
        <f>[2]Summary!U3</f>
        <v>1186</v>
      </c>
      <c r="V5" s="100">
        <f>[2]Summary!V3</f>
        <v>1248</v>
      </c>
      <c r="W5" s="100">
        <f>[2]Summary!W3</f>
        <v>1455</v>
      </c>
      <c r="X5" s="100">
        <f>[2]Summary!X3</f>
        <v>1664</v>
      </c>
      <c r="Y5" s="100">
        <f>[2]Summary!Y3</f>
        <v>1773</v>
      </c>
      <c r="Z5" s="101">
        <f>[2]Summary!Z3</f>
        <v>1800</v>
      </c>
      <c r="AA5" s="17">
        <f>'From R Inputs_HERMES'!AB22</f>
        <v>1624.2103847026874</v>
      </c>
      <c r="AB5" s="17">
        <f>'From R Inputs_HERMES'!AC22</f>
        <v>2428.782218915213</v>
      </c>
      <c r="AC5" s="17">
        <f>'From R Inputs_HERMES'!AD22</f>
        <v>2582.0333386878456</v>
      </c>
      <c r="AD5" s="17">
        <f>'From R Inputs_HERMES'!AE22</f>
        <v>2642.3063612692085</v>
      </c>
      <c r="AE5" s="17">
        <f>'From R Inputs_HERMES'!AF22</f>
        <v>2645.8944466400026</v>
      </c>
      <c r="AF5" s="17">
        <f>'From R Inputs_HERMES'!AG22</f>
        <v>2681.763468952272</v>
      </c>
      <c r="AG5" s="17">
        <f>'From R Inputs_HERMES'!AH22</f>
        <v>3398.1990650459747</v>
      </c>
      <c r="AH5" s="17">
        <f>'From R Inputs_HERMES'!AI22</f>
        <v>3772.1168665917176</v>
      </c>
      <c r="AI5" s="17">
        <f>'From R Inputs_HERMES'!AJ22</f>
        <v>4091.0053732991664</v>
      </c>
      <c r="AJ5" s="17">
        <f>'From R Inputs_HERMES'!AK22</f>
        <v>4429.6948657746789</v>
      </c>
      <c r="AK5" s="17">
        <f>'From R Inputs_HERMES'!AL22</f>
        <v>4803.0904917842099</v>
      </c>
      <c r="AL5" s="17">
        <f>'From R Inputs_HERMES'!AM22</f>
        <v>4934.9320330864894</v>
      </c>
      <c r="AM5" s="17">
        <f>'From R Inputs_HERMES'!AN22</f>
        <v>5066.579740107215</v>
      </c>
      <c r="AN5" s="17">
        <f>'From R Inputs_HERMES'!AO22</f>
        <v>5202.0609816069837</v>
      </c>
      <c r="AO5" s="17">
        <f>'From R Inputs_HERMES'!AP22</f>
        <v>5337.3447471392492</v>
      </c>
      <c r="AP5" s="17">
        <f>'From R Inputs_HERMES'!AQ22</f>
        <v>5476.4464949201474</v>
      </c>
      <c r="AQ5" s="17">
        <f>'From R Inputs_HERMES'!AR22</f>
        <v>5615.3594098114754</v>
      </c>
      <c r="AR5" s="17">
        <f>'From R Inputs_HERMES'!AS22</f>
        <v>5756.7579185909954</v>
      </c>
      <c r="AS5" s="17">
        <f>'From R Inputs_HERMES'!AT22</f>
        <v>5900.6226851136826</v>
      </c>
      <c r="AT5" s="17">
        <f>'From R Inputs_HERMES'!AU22</f>
        <v>6045.6407937036411</v>
      </c>
      <c r="AU5" s="17">
        <f>'From R Inputs_HERMES'!AV22</f>
        <v>6193.1223521268575</v>
      </c>
      <c r="AV5" s="17">
        <f>'From R Inputs_HERMES'!AW22</f>
        <v>6341.754304375153</v>
      </c>
      <c r="AW5" s="17">
        <f>'From R Inputs_HERMES'!AX22</f>
        <v>6492.8471286411686</v>
      </c>
      <c r="AX5" s="17">
        <f>'From R Inputs_HERMES'!AY22</f>
        <v>6646.4171072624677</v>
      </c>
      <c r="AY5" s="17">
        <f>'From R Inputs_HERMES'!AZ22</f>
        <v>6801.1276994337159</v>
      </c>
      <c r="AZ5" s="17">
        <f>'From R Inputs_HERMES'!BA22</f>
        <v>6958.2900059930516</v>
      </c>
      <c r="BA5" s="17">
        <f>'From R Inputs_HERMES'!BB22</f>
        <v>7116.5906915319802</v>
      </c>
      <c r="BB5" s="17">
        <f>'From R Inputs_HERMES'!BC22</f>
        <v>7277.3525853804085</v>
      </c>
      <c r="BC5" s="17">
        <f>'From R Inputs_HERMES'!BD22</f>
        <v>7440.5917859268202</v>
      </c>
      <c r="BD5" s="17">
        <f>'From R Inputs_HERMES'!BE22</f>
        <v>7604.9380018197708</v>
      </c>
      <c r="BE5" s="17">
        <f>'From R Inputs_HERMES'!BF22</f>
        <v>7773.0895346567731</v>
      </c>
      <c r="BJ5" t="s">
        <v>106</v>
      </c>
      <c r="BK5">
        <f>((BE17-AA17)/AA17)/(BE11-AA11)*100</f>
        <v>2.905259609156309</v>
      </c>
    </row>
    <row r="6" spans="1:63" ht="16" thickBot="1">
      <c r="A6" s="4" t="s">
        <v>107</v>
      </c>
      <c r="B6" s="100">
        <f>[2]Summary!B4</f>
        <v>1514</v>
      </c>
      <c r="C6" s="100">
        <f>[2]Summary!C4</f>
        <v>1731</v>
      </c>
      <c r="D6" s="100">
        <f>[2]Summary!D4</f>
        <v>1895</v>
      </c>
      <c r="E6" s="100">
        <f>[2]Summary!E4</f>
        <v>2159</v>
      </c>
      <c r="F6" s="100">
        <f>[2]Summary!F4</f>
        <v>2954</v>
      </c>
      <c r="G6" s="100">
        <f>[2]Summary!G4</f>
        <v>3620</v>
      </c>
      <c r="H6" s="100">
        <f>[2]Summary!H4</f>
        <v>3330</v>
      </c>
      <c r="I6" s="100">
        <f>[2]Summary!I4</f>
        <v>3719</v>
      </c>
      <c r="J6" s="100">
        <f>[2]Summary!J4</f>
        <v>4072</v>
      </c>
      <c r="K6" s="100">
        <f>[2]Summary!K4</f>
        <v>4161</v>
      </c>
      <c r="L6" s="100">
        <f>[2]Summary!L4</f>
        <v>4670</v>
      </c>
      <c r="M6" s="100">
        <f>[2]Summary!M4</f>
        <v>4406</v>
      </c>
      <c r="N6" s="100">
        <f>[2]Summary!N4</f>
        <v>4916</v>
      </c>
      <c r="O6" s="100">
        <f>[2]Summary!O4</f>
        <v>4787</v>
      </c>
      <c r="P6" s="100">
        <f>[2]Summary!P4</f>
        <v>4476</v>
      </c>
      <c r="Q6" s="100">
        <f>[2]Summary!Q4</f>
        <v>4023</v>
      </c>
      <c r="R6" s="100">
        <f>[2]Summary!R4</f>
        <v>3766</v>
      </c>
      <c r="S6" s="100">
        <f>[2]Summary!S4</f>
        <v>3756</v>
      </c>
      <c r="T6" s="100">
        <f>[2]Summary!T4</f>
        <v>3472</v>
      </c>
      <c r="U6" s="100">
        <f>[2]Summary!U4</f>
        <v>3743</v>
      </c>
      <c r="V6" s="100">
        <f>[2]Summary!V4</f>
        <v>3552</v>
      </c>
      <c r="W6" s="100">
        <f>[2]Summary!W4</f>
        <v>4476</v>
      </c>
      <c r="X6" s="100">
        <f>[2]Summary!X4</f>
        <v>4429</v>
      </c>
      <c r="Y6" s="100">
        <f>[2]Summary!Y4</f>
        <v>4380</v>
      </c>
      <c r="Z6" s="101">
        <f>[2]Summary!Z4</f>
        <v>4614</v>
      </c>
      <c r="AA6" s="17">
        <f>'From R Inputs_HERMES'!AB23</f>
        <v>4696.4124425867212</v>
      </c>
      <c r="AB6" s="17">
        <f>'From R Inputs_HERMES'!AC23</f>
        <v>4868.9659912436609</v>
      </c>
      <c r="AC6" s="17">
        <f>'From R Inputs_HERMES'!AD23</f>
        <v>4992.4171345205696</v>
      </c>
      <c r="AD6" s="17">
        <f>'From R Inputs_HERMES'!AE23</f>
        <v>5094.9790146780024</v>
      </c>
      <c r="AE6" s="17">
        <f>'From R Inputs_HERMES'!AF23</f>
        <v>5196.8241906995372</v>
      </c>
      <c r="AF6" s="17">
        <f>'From R Inputs_HERMES'!AG23</f>
        <v>5329.9605252315896</v>
      </c>
      <c r="AG6" s="17">
        <f>'From R Inputs_HERMES'!AH23</f>
        <v>5401.2626206841505</v>
      </c>
      <c r="AH6" s="17">
        <f>'From R Inputs_HERMES'!AI23</f>
        <v>5479.4820134195434</v>
      </c>
      <c r="AI6" s="17">
        <f>'From R Inputs_HERMES'!AJ23</f>
        <v>5581.8431515977982</v>
      </c>
      <c r="AJ6" s="17">
        <f>'From R Inputs_HERMES'!AK23</f>
        <v>5705.130720113114</v>
      </c>
      <c r="AK6" s="17">
        <f>'From R Inputs_HERMES'!AL23</f>
        <v>5840.973338513335</v>
      </c>
      <c r="AL6" s="17">
        <f>'From R Inputs_HERMES'!AM23</f>
        <v>5883.3351067432422</v>
      </c>
      <c r="AM6" s="17">
        <f>'From R Inputs_HERMES'!AN23</f>
        <v>5925.5890598398937</v>
      </c>
      <c r="AN6" s="17">
        <f>'From R Inputs_HERMES'!AO23</f>
        <v>5967.7145567096422</v>
      </c>
      <c r="AO6" s="17">
        <f>'From R Inputs_HERMES'!AP23</f>
        <v>6009.7500611890173</v>
      </c>
      <c r="AP6" s="17">
        <f>'From R Inputs_HERMES'!AQ23</f>
        <v>6051.7332234743153</v>
      </c>
      <c r="AQ6" s="17">
        <f>'From R Inputs_HERMES'!AR23</f>
        <v>6094.1123222433598</v>
      </c>
      <c r="AR6" s="17">
        <f>'From R Inputs_HERMES'!AS23</f>
        <v>6135.8684571115191</v>
      </c>
      <c r="AS6" s="17">
        <f>'From R Inputs_HERMES'!AT23</f>
        <v>6178.1527187048041</v>
      </c>
      <c r="AT6" s="17">
        <f>'From R Inputs_HERMES'!AU23</f>
        <v>6220.2991842238052</v>
      </c>
      <c r="AU6" s="17">
        <f>'From R Inputs_HERMES'!AV23</f>
        <v>6261.9310608646401</v>
      </c>
      <c r="AV6" s="17">
        <f>'From R Inputs_HERMES'!AW23</f>
        <v>6303.9677992822617</v>
      </c>
      <c r="AW6" s="17">
        <f>'From R Inputs_HERMES'!AX23</f>
        <v>6345.5025648858536</v>
      </c>
      <c r="AX6" s="17">
        <f>'From R Inputs_HERMES'!AY23</f>
        <v>6386.983899316805</v>
      </c>
      <c r="AY6" s="17">
        <f>'From R Inputs_HERMES'!AZ23</f>
        <v>6428.3897321971081</v>
      </c>
      <c r="AZ6" s="17">
        <f>'From R Inputs_HERMES'!BA23</f>
        <v>6470.3948683075705</v>
      </c>
      <c r="BA6" s="17">
        <f>'From R Inputs_HERMES'!BB23</f>
        <v>6511.2789812880837</v>
      </c>
      <c r="BB6" s="17">
        <f>'From R Inputs_HERMES'!BC23</f>
        <v>6552.7159333822174</v>
      </c>
      <c r="BC6" s="17">
        <f>'From R Inputs_HERMES'!BD23</f>
        <v>6594.0987087246422</v>
      </c>
      <c r="BD6" s="17">
        <f>'From R Inputs_HERMES'!BE23</f>
        <v>6635.0421863004276</v>
      </c>
      <c r="BE6" s="17">
        <f>'From R Inputs_HERMES'!BF23</f>
        <v>6675.9953068368677</v>
      </c>
      <c r="BJ6" t="s">
        <v>108</v>
      </c>
      <c r="BK6">
        <f>((BE27-AA27)/AA27)/(BE21-AA21)*100</f>
        <v>3.4627816062456835</v>
      </c>
    </row>
    <row r="7" spans="1:63" ht="17" thickTop="1" thickBot="1">
      <c r="A7" s="6" t="s">
        <v>29</v>
      </c>
      <c r="B7" s="7">
        <f t="shared" ref="B7:AG7" si="0">SUM(B4:B6)</f>
        <v>5493</v>
      </c>
      <c r="C7" s="7">
        <f t="shared" si="0"/>
        <v>6316</v>
      </c>
      <c r="D7" s="7">
        <f t="shared" si="0"/>
        <v>6998</v>
      </c>
      <c r="E7" s="7">
        <f t="shared" si="0"/>
        <v>8203</v>
      </c>
      <c r="F7" s="7">
        <f t="shared" si="0"/>
        <v>10275</v>
      </c>
      <c r="G7" s="7">
        <f t="shared" si="0"/>
        <v>12348</v>
      </c>
      <c r="H7" s="7">
        <f t="shared" si="0"/>
        <v>12405</v>
      </c>
      <c r="I7" s="7">
        <f t="shared" si="0"/>
        <v>14449</v>
      </c>
      <c r="J7" s="7">
        <f t="shared" si="0"/>
        <v>15897</v>
      </c>
      <c r="K7" s="7">
        <f t="shared" si="0"/>
        <v>17288</v>
      </c>
      <c r="L7" s="7">
        <f t="shared" si="0"/>
        <v>18153</v>
      </c>
      <c r="M7" s="7">
        <f t="shared" si="0"/>
        <v>17687</v>
      </c>
      <c r="N7" s="7">
        <f t="shared" si="0"/>
        <v>19147</v>
      </c>
      <c r="O7" s="7">
        <f t="shared" si="0"/>
        <v>17288</v>
      </c>
      <c r="P7" s="7">
        <f t="shared" si="0"/>
        <v>12068</v>
      </c>
      <c r="Q7" s="7">
        <f t="shared" si="0"/>
        <v>10924</v>
      </c>
      <c r="R7" s="7">
        <f t="shared" si="0"/>
        <v>9941</v>
      </c>
      <c r="S7" s="7">
        <f t="shared" si="0"/>
        <v>9894</v>
      </c>
      <c r="T7" s="7">
        <f t="shared" si="0"/>
        <v>9137</v>
      </c>
      <c r="U7" s="7">
        <f t="shared" si="0"/>
        <v>9772</v>
      </c>
      <c r="V7" s="7">
        <f t="shared" si="0"/>
        <v>9844</v>
      </c>
      <c r="W7" s="7">
        <f t="shared" si="0"/>
        <v>11564</v>
      </c>
      <c r="X7" s="7">
        <f t="shared" si="0"/>
        <v>11758</v>
      </c>
      <c r="Y7" s="7">
        <f t="shared" si="0"/>
        <v>11445</v>
      </c>
      <c r="Z7" s="12">
        <f t="shared" si="0"/>
        <v>12402</v>
      </c>
      <c r="AA7" s="7">
        <f t="shared" si="0"/>
        <v>11845.870552200886</v>
      </c>
      <c r="AB7" s="7">
        <f t="shared" si="0"/>
        <v>12981.721599236538</v>
      </c>
      <c r="AC7" s="7">
        <f t="shared" si="0"/>
        <v>13387.540822720264</v>
      </c>
      <c r="AD7" s="7">
        <f t="shared" si="0"/>
        <v>13635.072293063182</v>
      </c>
      <c r="AE7" s="7">
        <f t="shared" si="0"/>
        <v>13809.666460626604</v>
      </c>
      <c r="AF7" s="7">
        <f t="shared" si="0"/>
        <v>14068.355512603412</v>
      </c>
      <c r="AG7" s="7">
        <f t="shared" si="0"/>
        <v>14943.309238476439</v>
      </c>
      <c r="AH7" s="7">
        <f t="shared" ref="AH7:BE7" si="1">SUM(AH4:AH6)</f>
        <v>15484.806962691993</v>
      </c>
      <c r="AI7" s="7">
        <f t="shared" si="1"/>
        <v>16007.6157853451</v>
      </c>
      <c r="AJ7" s="7">
        <f t="shared" si="1"/>
        <v>16588.785416242583</v>
      </c>
      <c r="AK7" s="7">
        <f t="shared" si="1"/>
        <v>17229.334889579332</v>
      </c>
      <c r="AL7" s="7">
        <f t="shared" si="1"/>
        <v>17457.324589874414</v>
      </c>
      <c r="AM7" s="7">
        <f t="shared" si="1"/>
        <v>17685.17759462383</v>
      </c>
      <c r="AN7" s="7">
        <f t="shared" si="1"/>
        <v>17917.324443723781</v>
      </c>
      <c r="AO7" s="7">
        <f t="shared" si="1"/>
        <v>18149.360085888165</v>
      </c>
      <c r="AP7" s="7">
        <f t="shared" si="1"/>
        <v>18385.361516514662</v>
      </c>
      <c r="AQ7" s="7">
        <f t="shared" si="1"/>
        <v>18622.156382991361</v>
      </c>
      <c r="AR7" s="7">
        <f t="shared" si="1"/>
        <v>18860.987131941896</v>
      </c>
      <c r="AS7" s="7">
        <f t="shared" si="1"/>
        <v>19103.045557205667</v>
      </c>
      <c r="AT7" s="7">
        <f t="shared" si="1"/>
        <v>19346.702368939747</v>
      </c>
      <c r="AU7" s="7">
        <f t="shared" si="1"/>
        <v>19592.550052125334</v>
      </c>
      <c r="AV7" s="7">
        <f t="shared" si="1"/>
        <v>19840.108077906432</v>
      </c>
      <c r="AW7" s="7">
        <f t="shared" si="1"/>
        <v>20089.875017588609</v>
      </c>
      <c r="AX7" s="7">
        <f t="shared" si="1"/>
        <v>20342.702045835256</v>
      </c>
      <c r="AY7" s="7">
        <f t="shared" si="1"/>
        <v>20596.779641146804</v>
      </c>
      <c r="AZ7" s="7">
        <f t="shared" si="1"/>
        <v>20854.186703511485</v>
      </c>
      <c r="BA7" s="7">
        <f t="shared" si="1"/>
        <v>21111.803515204967</v>
      </c>
      <c r="BB7" s="7">
        <f t="shared" si="1"/>
        <v>21372.683344822068</v>
      </c>
      <c r="BC7" s="7">
        <f t="shared" si="1"/>
        <v>21636.622196738223</v>
      </c>
      <c r="BD7" s="7">
        <f t="shared" si="1"/>
        <v>21901.518544812865</v>
      </c>
      <c r="BE7" s="8">
        <f t="shared" si="1"/>
        <v>22170.469327381899</v>
      </c>
      <c r="BI7" s="47">
        <f>(BE7-AA7)/AA7</f>
        <v>0.87157788274689274</v>
      </c>
    </row>
    <row r="8" spans="1:63">
      <c r="B8" s="1"/>
      <c r="AK8">
        <f>(AK7-AA7)/AA7</f>
        <v>0.45445915634948697</v>
      </c>
    </row>
    <row r="9" spans="1:63" ht="14.5" customHeight="1"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142" t="s">
        <v>109</v>
      </c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</row>
    <row r="10" spans="1:63" ht="15" customHeight="1" thickBot="1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</row>
    <row r="11" spans="1:63" ht="16">
      <c r="A11" s="27" t="s">
        <v>66</v>
      </c>
      <c r="B11" s="2">
        <v>1995</v>
      </c>
      <c r="C11" s="2">
        <v>1996</v>
      </c>
      <c r="D11" s="2">
        <v>1997</v>
      </c>
      <c r="E11" s="2">
        <v>1998</v>
      </c>
      <c r="F11" s="2">
        <v>1999</v>
      </c>
      <c r="G11" s="2">
        <v>2000</v>
      </c>
      <c r="H11" s="2">
        <v>2001</v>
      </c>
      <c r="I11" s="2">
        <v>2002</v>
      </c>
      <c r="J11" s="2">
        <v>2003</v>
      </c>
      <c r="K11" s="2">
        <v>2004</v>
      </c>
      <c r="L11" s="2">
        <v>2005</v>
      </c>
      <c r="M11" s="2">
        <v>2006</v>
      </c>
      <c r="N11" s="2">
        <v>2007</v>
      </c>
      <c r="O11" s="2">
        <v>2008</v>
      </c>
      <c r="P11" s="2">
        <v>2009</v>
      </c>
      <c r="Q11" s="2">
        <v>2010</v>
      </c>
      <c r="R11" s="2">
        <v>2011</v>
      </c>
      <c r="S11" s="2">
        <v>2012</v>
      </c>
      <c r="T11" s="2">
        <v>2013</v>
      </c>
      <c r="U11" s="2">
        <v>2014</v>
      </c>
      <c r="V11" s="2">
        <v>2015</v>
      </c>
      <c r="W11" s="2">
        <v>2016</v>
      </c>
      <c r="X11" s="2">
        <v>2017</v>
      </c>
      <c r="Y11" s="2">
        <v>2018</v>
      </c>
      <c r="Z11" s="10">
        <v>2019</v>
      </c>
      <c r="AA11" s="2">
        <v>2020</v>
      </c>
      <c r="AB11" s="2">
        <v>2021</v>
      </c>
      <c r="AC11" s="2">
        <v>2022</v>
      </c>
      <c r="AD11" s="2">
        <v>2023</v>
      </c>
      <c r="AE11" s="2">
        <v>2024</v>
      </c>
      <c r="AF11" s="2">
        <v>2025</v>
      </c>
      <c r="AG11" s="2">
        <v>2026</v>
      </c>
      <c r="AH11" s="2">
        <v>2027</v>
      </c>
      <c r="AI11" s="2">
        <v>2028</v>
      </c>
      <c r="AJ11" s="2">
        <v>2029</v>
      </c>
      <c r="AK11" s="2">
        <v>2030</v>
      </c>
      <c r="AL11" s="2">
        <v>2031</v>
      </c>
      <c r="AM11" s="2">
        <v>2032</v>
      </c>
      <c r="AN11" s="2">
        <v>2033</v>
      </c>
      <c r="AO11" s="2">
        <v>2034</v>
      </c>
      <c r="AP11" s="2">
        <v>2035</v>
      </c>
      <c r="AQ11" s="2">
        <v>2036</v>
      </c>
      <c r="AR11" s="2">
        <v>2037</v>
      </c>
      <c r="AS11" s="2">
        <v>2038</v>
      </c>
      <c r="AT11" s="2">
        <v>2039</v>
      </c>
      <c r="AU11" s="2">
        <v>2040</v>
      </c>
      <c r="AV11" s="2">
        <v>2041</v>
      </c>
      <c r="AW11" s="2">
        <v>2042</v>
      </c>
      <c r="AX11" s="2">
        <v>2043</v>
      </c>
      <c r="AY11" s="2">
        <v>2044</v>
      </c>
      <c r="AZ11" s="2">
        <v>2045</v>
      </c>
      <c r="BA11" s="2">
        <v>2046</v>
      </c>
      <c r="BB11" s="2">
        <v>2047</v>
      </c>
      <c r="BC11" s="2">
        <v>2048</v>
      </c>
      <c r="BD11" s="2">
        <v>2049</v>
      </c>
      <c r="BE11" s="3">
        <v>2050</v>
      </c>
      <c r="BF11" t="s">
        <v>110</v>
      </c>
      <c r="BG11" t="s">
        <v>111</v>
      </c>
    </row>
    <row r="12" spans="1:63">
      <c r="A12" s="4" t="s">
        <v>67</v>
      </c>
      <c r="B12" s="86">
        <f>'[5]Survey Summary'!B10</f>
        <v>251</v>
      </c>
      <c r="C12" s="86">
        <f>'[5]Survey Summary'!C10</f>
        <v>278</v>
      </c>
      <c r="D12" s="86">
        <f>'[5]Survey Summary'!D10</f>
        <v>340</v>
      </c>
      <c r="E12" s="86">
        <f>'[5]Survey Summary'!E10</f>
        <v>401</v>
      </c>
      <c r="F12" s="86">
        <f>'[5]Survey Summary'!F10</f>
        <v>388</v>
      </c>
      <c r="G12" s="86">
        <f>'[5]Survey Summary'!G10</f>
        <v>383</v>
      </c>
      <c r="H12" s="86">
        <f>'[5]Survey Summary'!H10</f>
        <v>439</v>
      </c>
      <c r="I12" s="86">
        <f>'[5]Survey Summary'!I10</f>
        <v>382</v>
      </c>
      <c r="J12" s="86">
        <f>'[5]Survey Summary'!J10</f>
        <v>416</v>
      </c>
      <c r="K12" s="86">
        <f>'[5]Survey Summary'!K10</f>
        <v>459</v>
      </c>
      <c r="L12" s="86">
        <f>'[5]Survey Summary'!L10</f>
        <v>595</v>
      </c>
      <c r="M12" s="86">
        <f>'[5]Survey Summary'!M10</f>
        <v>610</v>
      </c>
      <c r="N12" s="86">
        <f>'[5]Survey Summary'!N10</f>
        <v>736</v>
      </c>
      <c r="O12" s="86">
        <f>'[5]Survey Summary'!O10</f>
        <v>662</v>
      </c>
      <c r="P12" s="86">
        <f>'[5]Survey Summary'!P10</f>
        <v>492</v>
      </c>
      <c r="Q12" s="86">
        <f>'[5]Survey Summary'!Q10</f>
        <v>328</v>
      </c>
      <c r="R12" s="86">
        <f>'[5]Survey Summary'!R10</f>
        <v>278</v>
      </c>
      <c r="S12" s="86">
        <f>'[5]Survey Summary'!S10</f>
        <v>285</v>
      </c>
      <c r="T12" s="86">
        <f>'[5]Survey Summary'!T10</f>
        <v>258</v>
      </c>
      <c r="U12" s="86">
        <f>'[5]Survey Summary'!U10</f>
        <v>242</v>
      </c>
      <c r="V12" s="86">
        <f>'[5]Survey Summary'!V10</f>
        <v>274</v>
      </c>
      <c r="W12" s="86">
        <f>'[5]Survey Summary'!W10</f>
        <v>309</v>
      </c>
      <c r="X12" s="86">
        <f>'[5]Survey Summary'!X10</f>
        <v>287</v>
      </c>
      <c r="Y12" s="86">
        <f>'[5]Survey Summary'!Y10</f>
        <v>273</v>
      </c>
      <c r="Z12" s="87">
        <f>'[5]Survey Summary'!Z10</f>
        <v>513</v>
      </c>
      <c r="AA12" s="18">
        <f>AA7*'Share by weight band'!M51</f>
        <v>510.04891019861566</v>
      </c>
      <c r="AB12" s="18">
        <f>AB7*'Share by weight band'!N51</f>
        <v>581.42203068834647</v>
      </c>
      <c r="AC12" s="18">
        <f>AC7*'Share by weight band'!O51</f>
        <v>623.2236177711867</v>
      </c>
      <c r="AD12" s="18">
        <f>AD7*'Share by weight band'!P51</f>
        <v>659.27032658356006</v>
      </c>
      <c r="AE12" s="18">
        <f>AE7*'Share by weight band'!Q51</f>
        <v>693.01231829046196</v>
      </c>
      <c r="AF12" s="18">
        <f>AF7*'Share by weight band'!R51</f>
        <v>732.23605096266181</v>
      </c>
      <c r="AG12" s="18">
        <f>AG7*'Share by weight band'!S51</f>
        <v>792.81752727882906</v>
      </c>
      <c r="AH12" s="18">
        <f>AH7*'Share by weight band'!T51</f>
        <v>837.34280053400266</v>
      </c>
      <c r="AI12" s="18">
        <f>AI7*'Share by weight band'!U51</f>
        <v>882.16131095506603</v>
      </c>
      <c r="AJ12" s="18">
        <f>AJ7*'Share by weight band'!V51</f>
        <v>931.56486946627933</v>
      </c>
      <c r="AK12" s="18">
        <f>AK7*'Share by weight band'!W51</f>
        <v>985.8207448402901</v>
      </c>
      <c r="AL12" s="18">
        <f>AL7*'Share by weight band'!X51</f>
        <v>1017.6356065760228</v>
      </c>
      <c r="AM12" s="18">
        <f>AM7*'Share by weight band'!Y51</f>
        <v>1050.1803974827696</v>
      </c>
      <c r="AN12" s="18">
        <f>AN7*'Share by weight band'!Z51</f>
        <v>1083.7339747010219</v>
      </c>
      <c r="AO12" s="18">
        <f>AO7*'Share by weight band'!AA51</f>
        <v>1118.0507913001456</v>
      </c>
      <c r="AP12" s="18">
        <f>AP7*'Share by weight band'!AB51</f>
        <v>1153.3979441201964</v>
      </c>
      <c r="AQ12" s="18">
        <f>AQ7*'Share by weight band'!AC51</f>
        <v>1175.3258246916014</v>
      </c>
      <c r="AR12" s="18">
        <f>AR7*'Share by weight band'!AD51</f>
        <v>1197.5931491912402</v>
      </c>
      <c r="AS12" s="18">
        <f>AS7*'Share by weight band'!AE51</f>
        <v>1220.279609129045</v>
      </c>
      <c r="AT12" s="18">
        <f>AT7*'Share by weight band'!AF51</f>
        <v>1243.2854610074367</v>
      </c>
      <c r="AU12" s="18">
        <f>AU7*'Share by weight band'!AG51</f>
        <v>1266.6521166838445</v>
      </c>
      <c r="AV12" s="18">
        <f>AV7*'Share by weight band'!AH51</f>
        <v>1290.3521409093109</v>
      </c>
      <c r="AW12" s="18">
        <f>AW7*'Share by weight band'!AI51</f>
        <v>1314.4214351256639</v>
      </c>
      <c r="AX12" s="18">
        <f>AX7*'Share by weight band'!AJ51</f>
        <v>1338.9199096384048</v>
      </c>
      <c r="AY12" s="18">
        <f>AY7*'Share by weight band'!AK51</f>
        <v>1363.7326708501998</v>
      </c>
      <c r="AZ12" s="18">
        <f>AZ7*'Share by weight band'!AL51</f>
        <v>1389.0009947292604</v>
      </c>
      <c r="BA12" s="18">
        <f>BA7*'Share by weight band'!AM51</f>
        <v>1414.5211527012032</v>
      </c>
      <c r="BB12" s="18">
        <f>BB7*'Share by weight band'!AN51</f>
        <v>1440.5005447325977</v>
      </c>
      <c r="BC12" s="18">
        <f>BC7*'Share by weight band'!AO51</f>
        <v>1466.9306172577997</v>
      </c>
      <c r="BD12" s="18">
        <f>BD7*'Share by weight band'!AP51</f>
        <v>1493.6731158879923</v>
      </c>
      <c r="BE12" s="18">
        <f>BE7*'Share by weight band'!AQ51</f>
        <v>1520.9430625666564</v>
      </c>
      <c r="BF12" s="1">
        <f>SUM(B12:BE12)</f>
        <v>43667.05102685171</v>
      </c>
      <c r="BG12" s="70">
        <f>BF12/$BF$17</f>
        <v>5.1029672510499474E-2</v>
      </c>
      <c r="BI12" s="47">
        <f>(BE12-AA12)/AA12</f>
        <v>1.9819553226265956</v>
      </c>
    </row>
    <row r="13" spans="1:63">
      <c r="A13" s="4" t="s">
        <v>68</v>
      </c>
      <c r="B13" s="86">
        <f>'[5]Survey Summary'!B11</f>
        <v>496</v>
      </c>
      <c r="C13" s="86">
        <f>'[5]Survey Summary'!C11</f>
        <v>558</v>
      </c>
      <c r="D13" s="86">
        <f>'[5]Survey Summary'!D11</f>
        <v>486</v>
      </c>
      <c r="E13" s="86">
        <f>'[5]Survey Summary'!E11</f>
        <v>555</v>
      </c>
      <c r="F13" s="86">
        <f>'[5]Survey Summary'!F11</f>
        <v>627</v>
      </c>
      <c r="G13" s="86">
        <f>'[5]Survey Summary'!G11</f>
        <v>669</v>
      </c>
      <c r="H13" s="86">
        <f>'[5]Survey Summary'!H11</f>
        <v>736</v>
      </c>
      <c r="I13" s="86">
        <f>'[5]Survey Summary'!I11</f>
        <v>1006</v>
      </c>
      <c r="J13" s="86">
        <f>'[5]Survey Summary'!J11</f>
        <v>1052</v>
      </c>
      <c r="K13" s="86">
        <f>'[5]Survey Summary'!K11</f>
        <v>1165</v>
      </c>
      <c r="L13" s="86">
        <f>'[5]Survey Summary'!L11</f>
        <v>1187</v>
      </c>
      <c r="M13" s="86">
        <f>'[5]Survey Summary'!M11</f>
        <v>612</v>
      </c>
      <c r="N13" s="86">
        <f>'[5]Survey Summary'!N11</f>
        <v>493</v>
      </c>
      <c r="O13" s="86">
        <f>'[5]Survey Summary'!O11</f>
        <v>477</v>
      </c>
      <c r="P13" s="86">
        <f>'[5]Survey Summary'!P11</f>
        <v>320</v>
      </c>
      <c r="Q13" s="86">
        <f>'[5]Survey Summary'!Q11</f>
        <v>232</v>
      </c>
      <c r="R13" s="86">
        <f>'[5]Survey Summary'!R11</f>
        <v>201</v>
      </c>
      <c r="S13" s="86">
        <f>'[5]Survey Summary'!S11</f>
        <v>206</v>
      </c>
      <c r="T13" s="86">
        <f>'[5]Survey Summary'!T11</f>
        <v>161</v>
      </c>
      <c r="U13" s="86">
        <f>'[5]Survey Summary'!U11</f>
        <v>184</v>
      </c>
      <c r="V13" s="86">
        <f>'[5]Survey Summary'!V11</f>
        <v>200</v>
      </c>
      <c r="W13" s="86">
        <f>'[5]Survey Summary'!W11</f>
        <v>256</v>
      </c>
      <c r="X13" s="86">
        <f>'[5]Survey Summary'!X11</f>
        <v>257</v>
      </c>
      <c r="Y13" s="86">
        <f>'[5]Survey Summary'!Y11</f>
        <v>247</v>
      </c>
      <c r="Z13" s="87">
        <f>'[5]Survey Summary'!Z11</f>
        <v>214</v>
      </c>
      <c r="AA13" s="18">
        <f>(AA7)*'Share by weight band'!M52</f>
        <v>199.59753045719148</v>
      </c>
      <c r="AB13" s="18">
        <f>(AB7)*'Share by weight band'!N52</f>
        <v>213.44292053071757</v>
      </c>
      <c r="AC13" s="18">
        <f>(AC7)*'Share by weight band'!O52</f>
        <v>214.62539407597941</v>
      </c>
      <c r="AD13" s="18">
        <f>(AD7)*'Share by weight band'!P52</f>
        <v>212.98433525101038</v>
      </c>
      <c r="AE13" s="18">
        <f>(AE7)*'Share by weight band'!Q52</f>
        <v>210.02549629923979</v>
      </c>
      <c r="AF13" s="18">
        <f>(AF7)*'Share by weight band'!R52</f>
        <v>208.17525435311128</v>
      </c>
      <c r="AG13" s="18">
        <f>(AG7)*'Share by weight band'!S52</f>
        <v>217.70207515511404</v>
      </c>
      <c r="AH13" s="18">
        <f>(AH7)*'Share by weight band'!T52</f>
        <v>222.07718604088296</v>
      </c>
      <c r="AI13" s="18">
        <f>(AI7)*'Share by weight band'!U52</f>
        <v>225.97478995214456</v>
      </c>
      <c r="AJ13" s="18">
        <f>(AJ7)*'Share by weight band'!V52</f>
        <v>230.48168270175785</v>
      </c>
      <c r="AK13" s="18">
        <f>(AK7)*'Share by weight band'!W52</f>
        <v>235.57684205579483</v>
      </c>
      <c r="AL13" s="18">
        <f>(AL7)*'Share by weight band'!X52</f>
        <v>234.875796765476</v>
      </c>
      <c r="AM13" s="18">
        <f>(AM7)*'Share by weight band'!Y52</f>
        <v>234.1106704956818</v>
      </c>
      <c r="AN13" s="18">
        <f>(AN7)*'Share by weight band'!Z52</f>
        <v>233.34114199594484</v>
      </c>
      <c r="AO13" s="18">
        <f>(AO7)*'Share by weight band'!AA52</f>
        <v>232.50992334339935</v>
      </c>
      <c r="AP13" s="18">
        <f>(AP7)*'Share by weight band'!AB52</f>
        <v>231.67035375598311</v>
      </c>
      <c r="AQ13" s="18">
        <f>(AQ7)*'Share by weight band'!AC52</f>
        <v>232.56870496659738</v>
      </c>
      <c r="AR13" s="18">
        <f>(AR7)*'Share by weight band'!AD52</f>
        <v>233.45544397879661</v>
      </c>
      <c r="AS13" s="18">
        <f>(AS7)*'Share by weight band'!AE52</f>
        <v>234.34503896029051</v>
      </c>
      <c r="AT13" s="18">
        <f>(AT7)*'Share by weight band'!AF52</f>
        <v>235.21714360517069</v>
      </c>
      <c r="AU13" s="18">
        <f>(AU7)*'Share by weight band'!AG52</f>
        <v>236.07890215242804</v>
      </c>
      <c r="AV13" s="18">
        <f>(AV7)*'Share by weight band'!AH52</f>
        <v>236.92439339510551</v>
      </c>
      <c r="AW13" s="18">
        <f>(AW7)*'Share by weight band'!AI52</f>
        <v>237.75949542051939</v>
      </c>
      <c r="AX13" s="18">
        <f>(AX7)*'Share by weight band'!AJ52</f>
        <v>238.59401426836976</v>
      </c>
      <c r="AY13" s="18">
        <f>(AY7)*'Share by weight band'!AK52</f>
        <v>239.40647739061592</v>
      </c>
      <c r="AZ13" s="18">
        <f>(AZ7)*'Share by weight band'!AL52</f>
        <v>240.22096942030379</v>
      </c>
      <c r="BA13" s="18">
        <f>(BA7)*'Share by weight band'!AM52</f>
        <v>241.00137019021133</v>
      </c>
      <c r="BB13" s="18">
        <f>(BB7)*'Share by weight band'!AN52</f>
        <v>241.78268675185379</v>
      </c>
      <c r="BC13" s="18">
        <f>(BC7)*'Share by weight band'!AO52</f>
        <v>242.56216064740951</v>
      </c>
      <c r="BD13" s="18">
        <f>(BD7)*'Share by weight band'!AP52</f>
        <v>243.3160461864903</v>
      </c>
      <c r="BE13" s="18">
        <f>(BE7)*'Share by weight band'!AQ52</f>
        <v>244.07868205089187</v>
      </c>
      <c r="BF13" s="29">
        <f>SUM(B13:BE13)</f>
        <v>19731.482922614479</v>
      </c>
      <c r="BG13" s="53">
        <f>BF13/$BF$17</f>
        <v>2.3058372113756276E-2</v>
      </c>
      <c r="BI13" s="47">
        <f t="shared" ref="BI13:BI15" si="2">(BE13-AA13)/AA13</f>
        <v>0.22285421814495068</v>
      </c>
    </row>
    <row r="14" spans="1:63">
      <c r="A14" s="4" t="s">
        <v>69</v>
      </c>
      <c r="B14" s="86">
        <f>'[5]Survey Summary'!B12</f>
        <v>1186</v>
      </c>
      <c r="C14" s="86">
        <f>'[5]Survey Summary'!C12</f>
        <v>1196</v>
      </c>
      <c r="D14" s="86">
        <f>'[5]Survey Summary'!D12</f>
        <v>1386</v>
      </c>
      <c r="E14" s="86">
        <f>'[5]Survey Summary'!E12</f>
        <v>1555</v>
      </c>
      <c r="F14" s="86">
        <f>'[5]Survey Summary'!F12</f>
        <v>1520</v>
      </c>
      <c r="G14" s="86">
        <f>'[5]Survey Summary'!G12</f>
        <v>1777</v>
      </c>
      <c r="H14" s="86">
        <f>'[5]Survey Summary'!H12</f>
        <v>1776</v>
      </c>
      <c r="I14" s="86">
        <f>'[5]Survey Summary'!I12</f>
        <v>2367</v>
      </c>
      <c r="J14" s="86">
        <f>'[5]Survey Summary'!J12</f>
        <v>2747</v>
      </c>
      <c r="K14" s="86">
        <f>'[5]Survey Summary'!K12</f>
        <v>2717</v>
      </c>
      <c r="L14" s="86">
        <f>'[5]Survey Summary'!L12</f>
        <v>2714</v>
      </c>
      <c r="M14" s="86">
        <f>'[5]Survey Summary'!M12</f>
        <v>1556</v>
      </c>
      <c r="N14" s="86">
        <f>'[5]Survey Summary'!N12</f>
        <v>1664</v>
      </c>
      <c r="O14" s="86">
        <f>'[5]Survey Summary'!O12</f>
        <v>1301</v>
      </c>
      <c r="P14" s="86">
        <f>'[5]Survey Summary'!P12</f>
        <v>914</v>
      </c>
      <c r="Q14" s="86">
        <f>'[5]Survey Summary'!Q12</f>
        <v>856</v>
      </c>
      <c r="R14" s="86">
        <f>'[5]Survey Summary'!R12</f>
        <v>744</v>
      </c>
      <c r="S14" s="86">
        <f>'[5]Survey Summary'!S12</f>
        <v>697</v>
      </c>
      <c r="T14" s="86">
        <f>'[5]Survey Summary'!T12</f>
        <v>631</v>
      </c>
      <c r="U14" s="86">
        <f>'[5]Survey Summary'!U12</f>
        <v>586</v>
      </c>
      <c r="V14" s="86">
        <f>'[5]Survey Summary'!V12</f>
        <v>565</v>
      </c>
      <c r="W14" s="86">
        <f>'[5]Survey Summary'!W12</f>
        <v>781</v>
      </c>
      <c r="X14" s="86">
        <f>'[5]Survey Summary'!X12</f>
        <v>814</v>
      </c>
      <c r="Y14" s="86">
        <f>'[5]Survey Summary'!Y12</f>
        <v>890</v>
      </c>
      <c r="Z14" s="87">
        <f>'[5]Survey Summary'!Z12</f>
        <v>888</v>
      </c>
      <c r="AA14" s="18">
        <f>(AA7)*'Share by weight band'!M53</f>
        <v>836.64497372150538</v>
      </c>
      <c r="AB14" s="18">
        <f>(AB7)*'Share by weight band'!N53</f>
        <v>903.76318784230477</v>
      </c>
      <c r="AC14" s="18">
        <f>(AC7)*'Share by weight band'!O53</f>
        <v>917.99612663509515</v>
      </c>
      <c r="AD14" s="18">
        <f>(AD7)*'Share by weight band'!P53</f>
        <v>920.22548416688835</v>
      </c>
      <c r="AE14" s="18">
        <f>(AE7)*'Share by weight band'!Q53</f>
        <v>916.65405360972022</v>
      </c>
      <c r="AF14" s="18">
        <f>(AF7)*'Share by weight band'!R53</f>
        <v>917.80284139688115</v>
      </c>
      <c r="AG14" s="18">
        <f>(AG7)*'Share by weight band'!S53</f>
        <v>967.07592644829299</v>
      </c>
      <c r="AH14" s="18">
        <f>(AH7)*'Share by weight band'!T53</f>
        <v>993.98460784655549</v>
      </c>
      <c r="AI14" s="18">
        <f>(AI7)*'Share by weight band'!U53</f>
        <v>1019.0920521992866</v>
      </c>
      <c r="AJ14" s="18">
        <f>(AJ7)*'Share by weight band'!V53</f>
        <v>1047.2914281562714</v>
      </c>
      <c r="AK14" s="18">
        <f>(AK7)*'Share by weight band'!W53</f>
        <v>1078.55286904442</v>
      </c>
      <c r="AL14" s="18">
        <f>(AL7)*'Share by weight band'!X53</f>
        <v>1083.4897791206429</v>
      </c>
      <c r="AM14" s="18">
        <f>(AM7)*'Share by weight band'!Y53</f>
        <v>1088.1417433285606</v>
      </c>
      <c r="AN14" s="18">
        <f>(AN7)*'Share by weight band'!Z53</f>
        <v>1092.7813915973547</v>
      </c>
      <c r="AO14" s="18">
        <f>(AO7)*'Share by weight band'!AA53</f>
        <v>1097.137791300232</v>
      </c>
      <c r="AP14" s="18">
        <f>(AP7)*'Share by weight band'!AB53</f>
        <v>1101.4577761993837</v>
      </c>
      <c r="AQ14" s="18">
        <f>(AQ7)*'Share by weight band'!AC53</f>
        <v>1105.72891366107</v>
      </c>
      <c r="AR14" s="18">
        <f>(AR7)*'Share by weight band'!AD53</f>
        <v>1109.9448418737704</v>
      </c>
      <c r="AS14" s="18">
        <f>(AS7)*'Share by weight band'!AE53</f>
        <v>1114.1743485592328</v>
      </c>
      <c r="AT14" s="18">
        <f>(AT7)*'Share by weight band'!AF53</f>
        <v>1118.3206988677175</v>
      </c>
      <c r="AU14" s="18">
        <f>(AU7)*'Share by weight band'!AG53</f>
        <v>1122.4178595000301</v>
      </c>
      <c r="AV14" s="18">
        <f>(AV7)*'Share by weight band'!AH53</f>
        <v>1126.4376785612835</v>
      </c>
      <c r="AW14" s="18">
        <f>(AW7)*'Share by weight band'!AI53</f>
        <v>1130.4081029375538</v>
      </c>
      <c r="AX14" s="18">
        <f>(AX7)*'Share by weight band'!AJ53</f>
        <v>1134.3757546437275</v>
      </c>
      <c r="AY14" s="18">
        <f>(AY7)*'Share by weight band'!AK53</f>
        <v>1138.2385442038274</v>
      </c>
      <c r="AZ14" s="18">
        <f>(AZ7)*'Share by weight band'!AL53</f>
        <v>1142.1109800386562</v>
      </c>
      <c r="BA14" s="18">
        <f>(BA7)*'Share by weight band'!AM53</f>
        <v>1145.8213317631244</v>
      </c>
      <c r="BB14" s="18">
        <f>(BB7)*'Share by weight band'!AN53</f>
        <v>1149.5360375446023</v>
      </c>
      <c r="BC14" s="18">
        <f>(BC7)*'Share by weight band'!AO53</f>
        <v>1153.2419825206637</v>
      </c>
      <c r="BD14" s="18">
        <f>(BD7)*'Share by weight band'!AP53</f>
        <v>1156.8262697456892</v>
      </c>
      <c r="BE14" s="18">
        <f>(BE7)*'Share by weight band'!AQ53</f>
        <v>1160.4521596778054</v>
      </c>
      <c r="BF14" s="29">
        <f t="shared" ref="BF14:BF17" si="3">SUM(B14:BE14)</f>
        <v>66818.127536712156</v>
      </c>
      <c r="BG14" s="53">
        <f t="shared" ref="BG14:BG16" si="4">BF14/$BF$17</f>
        <v>7.808420962218203E-2</v>
      </c>
      <c r="BI14" s="47">
        <f t="shared" si="2"/>
        <v>0.38703057584385364</v>
      </c>
    </row>
    <row r="15" spans="1:63">
      <c r="A15" s="4" t="s">
        <v>70</v>
      </c>
      <c r="B15" s="86">
        <f>'[5]Survey Summary'!B13</f>
        <v>2536</v>
      </c>
      <c r="C15" s="86">
        <f>'[5]Survey Summary'!C13</f>
        <v>3074</v>
      </c>
      <c r="D15" s="86">
        <f>'[5]Survey Summary'!D13</f>
        <v>3322</v>
      </c>
      <c r="E15" s="86">
        <f>'[5]Survey Summary'!E13</f>
        <v>3894</v>
      </c>
      <c r="F15" s="86">
        <f>'[5]Survey Summary'!F13</f>
        <v>5328</v>
      </c>
      <c r="G15" s="86">
        <f>'[5]Survey Summary'!G13</f>
        <v>6054</v>
      </c>
      <c r="H15" s="86">
        <f>'[5]Survey Summary'!H13</f>
        <v>5998</v>
      </c>
      <c r="I15" s="86">
        <f>'[5]Survey Summary'!I13</f>
        <v>6586</v>
      </c>
      <c r="J15" s="86">
        <f>'[5]Survey Summary'!J13</f>
        <v>6712</v>
      </c>
      <c r="K15" s="86">
        <f>'[5]Survey Summary'!K13</f>
        <v>7297</v>
      </c>
      <c r="L15" s="86">
        <f>'[5]Survey Summary'!L13</f>
        <v>7506</v>
      </c>
      <c r="M15" s="86">
        <f>'[5]Survey Summary'!M13</f>
        <v>7723</v>
      </c>
      <c r="N15" s="86">
        <f>'[5]Survey Summary'!N13</f>
        <v>8363</v>
      </c>
      <c r="O15" s="86">
        <f>'[5]Survey Summary'!O13</f>
        <v>6577</v>
      </c>
      <c r="P15" s="86">
        <f>'[5]Survey Summary'!P13</f>
        <v>4392</v>
      </c>
      <c r="Q15" s="86">
        <f>'[5]Survey Summary'!Q13</f>
        <v>3656</v>
      </c>
      <c r="R15" s="86">
        <f>'[5]Survey Summary'!R13</f>
        <v>3056</v>
      </c>
      <c r="S15" s="86">
        <f>'[5]Survey Summary'!S13</f>
        <v>2898</v>
      </c>
      <c r="T15" s="86">
        <f>'[5]Survey Summary'!T13</f>
        <v>2566</v>
      </c>
      <c r="U15" s="86">
        <f>'[5]Survey Summary'!U13</f>
        <v>2563</v>
      </c>
      <c r="V15" s="86">
        <f>'[5]Survey Summary'!V13</f>
        <v>2619</v>
      </c>
      <c r="W15" s="86">
        <f>'[5]Survey Summary'!W13</f>
        <v>2913</v>
      </c>
      <c r="X15" s="86">
        <f>'[5]Survey Summary'!X13</f>
        <v>3081</v>
      </c>
      <c r="Y15" s="86">
        <f>'[5]Survey Summary'!Y13</f>
        <v>2599</v>
      </c>
      <c r="Z15" s="87">
        <f>'[5]Survey Summary'!Z13</f>
        <v>2778</v>
      </c>
      <c r="AA15" s="18">
        <f>(AA7)*'Share by weight band'!M54</f>
        <v>2525.2747380125948</v>
      </c>
      <c r="AB15" s="18">
        <f>(AB7)*'Share by weight band'!N54</f>
        <v>2631.905113390269</v>
      </c>
      <c r="AC15" s="18">
        <f>(AC7)*'Share by weight band'!O54</f>
        <v>2579.3161728264745</v>
      </c>
      <c r="AD15" s="18">
        <f>(AD7)*'Share by weight band'!P54</f>
        <v>2494.6300010943755</v>
      </c>
      <c r="AE15" s="18">
        <f>(AE7)*'Share by weight band'!Q54</f>
        <v>2397.5380061433239</v>
      </c>
      <c r="AF15" s="18">
        <f>(AF7)*'Share by weight band'!R54</f>
        <v>2316.1014969472994</v>
      </c>
      <c r="AG15" s="18">
        <f>(AG7)*'Share by weight band'!S54</f>
        <v>2409.8615252888912</v>
      </c>
      <c r="AH15" s="18">
        <f>(AH7)*'Share by weight band'!T54</f>
        <v>2445.8763680579655</v>
      </c>
      <c r="AI15" s="18">
        <f>(AI7)*'Share by weight band'!U54</f>
        <v>2476.2334297697803</v>
      </c>
      <c r="AJ15" s="18">
        <f>(AJ7)*'Share by weight band'!V54</f>
        <v>2512.8643375201118</v>
      </c>
      <c r="AK15" s="18">
        <f>(AK7)*'Share by weight band'!W54</f>
        <v>2555.4433541500866</v>
      </c>
      <c r="AL15" s="18">
        <f>(AL7)*'Share by weight band'!X54</f>
        <v>2534.970823053839</v>
      </c>
      <c r="AM15" s="18">
        <f>(AM7)*'Share by weight band'!Y54</f>
        <v>2513.951780869279</v>
      </c>
      <c r="AN15" s="18">
        <f>(AN7)*'Share by weight band'!Z54</f>
        <v>2493.0333574793494</v>
      </c>
      <c r="AO15" s="18">
        <f>(AO7)*'Share by weight band'!AA54</f>
        <v>2471.6063332333115</v>
      </c>
      <c r="AP15" s="18">
        <f>(AP7)*'Share by weight band'!AB54</f>
        <v>2450.2438292489792</v>
      </c>
      <c r="AQ15" s="18">
        <f>(AQ7)*'Share by weight band'!AC54</f>
        <v>2472.1057008236239</v>
      </c>
      <c r="AR15" s="18">
        <f>(AR7)*'Share by weight band'!AD54</f>
        <v>2494.0013634595553</v>
      </c>
      <c r="AS15" s="18">
        <f>(AS7)*'Share by weight band'!AE54</f>
        <v>2516.0853212706643</v>
      </c>
      <c r="AT15" s="18">
        <f>(AT7)*'Share by weight band'!AF54</f>
        <v>2538.139518536007</v>
      </c>
      <c r="AU15" s="18">
        <f>(AU7)*'Share by weight band'!AG54</f>
        <v>2560.239628273298</v>
      </c>
      <c r="AV15" s="18">
        <f>(AV7)*'Share by weight band'!AH54</f>
        <v>2582.3204539046919</v>
      </c>
      <c r="AW15" s="18">
        <f>(AW7)*'Share by weight band'!AI54</f>
        <v>2604.4447418226482</v>
      </c>
      <c r="AX15" s="18">
        <f>(AX7)*'Share by weight band'!AJ54</f>
        <v>2626.7197556319588</v>
      </c>
      <c r="AY15" s="18">
        <f>(AY7)*'Share by weight band'!AK54</f>
        <v>2648.9088365857297</v>
      </c>
      <c r="AZ15" s="18">
        <f>(AZ7)*'Share by weight band'!AL54</f>
        <v>2671.2771553657271</v>
      </c>
      <c r="BA15" s="18">
        <f>(BA7)*'Share by weight band'!AM54</f>
        <v>2693.422388764619</v>
      </c>
      <c r="BB15" s="18">
        <f>(BB7)*'Share by weight band'!AN54</f>
        <v>2715.7330188188275</v>
      </c>
      <c r="BC15" s="18">
        <f>(BC7)*'Share by weight band'!AO54</f>
        <v>2738.1790612528948</v>
      </c>
      <c r="BD15" s="18">
        <f>(BD7)*'Share by weight band'!AP54</f>
        <v>2760.491807269631</v>
      </c>
      <c r="BE15" s="18">
        <f>(BE7)*'Share by weight band'!AQ54</f>
        <v>2783.0594316731831</v>
      </c>
      <c r="BF15" s="29">
        <f t="shared" si="3"/>
        <v>193304.97885053902</v>
      </c>
      <c r="BG15" s="53">
        <f t="shared" si="4"/>
        <v>0.22589777723543297</v>
      </c>
      <c r="BI15" s="47">
        <f t="shared" si="2"/>
        <v>0.1020818407518963</v>
      </c>
    </row>
    <row r="16" spans="1:63" ht="16" thickBot="1">
      <c r="A16" s="4" t="s">
        <v>71</v>
      </c>
      <c r="B16" s="86">
        <f>'[5]Survey Summary'!B14</f>
        <v>1024</v>
      </c>
      <c r="C16" s="86">
        <f>'[5]Survey Summary'!C14</f>
        <v>1210</v>
      </c>
      <c r="D16" s="86">
        <f>'[5]Survey Summary'!D14</f>
        <v>1465</v>
      </c>
      <c r="E16" s="86">
        <f>'[5]Survey Summary'!E14</f>
        <v>1798</v>
      </c>
      <c r="F16" s="86">
        <f>'[5]Survey Summary'!F14</f>
        <v>2411</v>
      </c>
      <c r="G16" s="86">
        <f>'[5]Survey Summary'!G14</f>
        <v>3465</v>
      </c>
      <c r="H16" s="86">
        <f>'[5]Survey Summary'!H14</f>
        <v>3456</v>
      </c>
      <c r="I16" s="86">
        <f>'[5]Survey Summary'!I14</f>
        <v>4107</v>
      </c>
      <c r="J16" s="86">
        <f>'[5]Survey Summary'!J14</f>
        <v>4971</v>
      </c>
      <c r="K16" s="86">
        <f>'[5]Survey Summary'!K14</f>
        <v>5650</v>
      </c>
      <c r="L16" s="86">
        <f>'[5]Survey Summary'!L14</f>
        <v>6150</v>
      </c>
      <c r="M16" s="86">
        <f>'[5]Survey Summary'!M14</f>
        <v>7185</v>
      </c>
      <c r="N16" s="86">
        <f>'[5]Survey Summary'!N14</f>
        <v>7890</v>
      </c>
      <c r="O16" s="86">
        <f>'[5]Survey Summary'!O14</f>
        <v>8273</v>
      </c>
      <c r="P16" s="86">
        <f>'[5]Survey Summary'!P14</f>
        <v>5951</v>
      </c>
      <c r="Q16" s="86">
        <f>'[5]Survey Summary'!Q14</f>
        <v>5852</v>
      </c>
      <c r="R16" s="86">
        <f>'[5]Survey Summary'!R14</f>
        <v>5662</v>
      </c>
      <c r="S16" s="86">
        <f>'[5]Survey Summary'!S14</f>
        <v>5809</v>
      </c>
      <c r="T16" s="86">
        <f>'[5]Survey Summary'!T14</f>
        <v>5522</v>
      </c>
      <c r="U16" s="86">
        <f>'[5]Survey Summary'!U14</f>
        <v>6197</v>
      </c>
      <c r="V16" s="86">
        <f>'[5]Survey Summary'!V14</f>
        <v>6186</v>
      </c>
      <c r="W16" s="86">
        <f>'[5]Survey Summary'!W14</f>
        <v>7305</v>
      </c>
      <c r="X16" s="86">
        <f>'[5]Survey Summary'!X14</f>
        <v>7320</v>
      </c>
      <c r="Y16" s="86">
        <f>'[5]Survey Summary'!Y14</f>
        <v>7436</v>
      </c>
      <c r="Z16" s="87">
        <f>'[5]Survey Summary'!Z14</f>
        <v>8010</v>
      </c>
      <c r="AA16" s="18">
        <f>(AA7)*'Share by weight band'!M55</f>
        <v>7774.3043998109788</v>
      </c>
      <c r="AB16" s="18">
        <f>(AB7)*'Share by weight band'!N55</f>
        <v>8651.1883467849002</v>
      </c>
      <c r="AC16" s="18">
        <f>(AC7)*'Share by weight band'!O55</f>
        <v>9052.3795114115292</v>
      </c>
      <c r="AD16" s="18">
        <f>(AD7)*'Share by weight band'!P55</f>
        <v>9347.962145967349</v>
      </c>
      <c r="AE16" s="18">
        <f>(AE7)*'Share by weight band'!Q55</f>
        <v>9592.4365862838567</v>
      </c>
      <c r="AF16" s="18">
        <f>(AF7)*'Share by weight band'!R55</f>
        <v>9894.0398689434587</v>
      </c>
      <c r="AG16" s="18">
        <f>(AG7)*'Share by weight band'!S55</f>
        <v>10555.852184305313</v>
      </c>
      <c r="AH16" s="18">
        <f>(AH7)*'Share by weight band'!T55</f>
        <v>10985.526000212585</v>
      </c>
      <c r="AI16" s="18">
        <f>(AI7)*'Share by weight band'!U55</f>
        <v>11404.154202468822</v>
      </c>
      <c r="AJ16" s="18">
        <f>(AJ7)*'Share by weight band'!V55</f>
        <v>11866.583098398161</v>
      </c>
      <c r="AK16" s="18">
        <f>(AK7)*'Share by weight band'!W55</f>
        <v>12373.941079488741</v>
      </c>
      <c r="AL16" s="18">
        <f>(AL7)*'Share by weight band'!X55</f>
        <v>12586.35258435843</v>
      </c>
      <c r="AM16" s="18">
        <f>(AM7)*'Share by weight band'!Y55</f>
        <v>12798.793002447541</v>
      </c>
      <c r="AN16" s="18">
        <f>(AN7)*'Share by weight band'!Z55</f>
        <v>13014.434577950113</v>
      </c>
      <c r="AO16" s="18">
        <f>(AO7)*'Share by weight band'!AA55</f>
        <v>13230.055246711076</v>
      </c>
      <c r="AP16" s="18">
        <f>(AP7)*'Share by weight band'!AB55</f>
        <v>13448.591613190121</v>
      </c>
      <c r="AQ16" s="18">
        <f>(AQ7)*'Share by weight band'!AC55</f>
        <v>13636.427238848468</v>
      </c>
      <c r="AR16" s="18">
        <f>(AR7)*'Share by weight band'!AD55</f>
        <v>13825.992333438533</v>
      </c>
      <c r="AS16" s="18">
        <f>(AS7)*'Share by weight band'!AE55</f>
        <v>14018.161239286435</v>
      </c>
      <c r="AT16" s="18">
        <f>(AT7)*'Share by weight band'!AF55</f>
        <v>14211.739546923414</v>
      </c>
      <c r="AU16" s="18">
        <f>(AU7)*'Share by weight band'!AG55</f>
        <v>14407.161545515733</v>
      </c>
      <c r="AV16" s="18">
        <f>(AV7)*'Share by weight band'!AH55</f>
        <v>14604.07341113604</v>
      </c>
      <c r="AW16" s="18">
        <f>(AW7)*'Share by weight band'!AI55</f>
        <v>14802.841242282224</v>
      </c>
      <c r="AX16" s="18">
        <f>(AX7)*'Share by weight band'!AJ55</f>
        <v>15004.092611652795</v>
      </c>
      <c r="AY16" s="18">
        <f>(AY7)*'Share by weight band'!AK55</f>
        <v>15206.493112116432</v>
      </c>
      <c r="AZ16" s="18">
        <f>(AZ7)*'Share by weight band'!AL55</f>
        <v>15411.576603957537</v>
      </c>
      <c r="BA16" s="18">
        <f>(BA7)*'Share by weight band'!AM55</f>
        <v>15617.037271785808</v>
      </c>
      <c r="BB16" s="18">
        <f>(BB7)*'Share by weight band'!AN55</f>
        <v>15825.131056974185</v>
      </c>
      <c r="BC16" s="18">
        <f>(BC7)*'Share by weight band'!AO55</f>
        <v>16035.708375059454</v>
      </c>
      <c r="BD16" s="18">
        <f>(BD7)*'Share by weight band'!AP55</f>
        <v>16247.211305723062</v>
      </c>
      <c r="BE16" s="18">
        <f>(BE7)*'Share by weight band'!AQ55</f>
        <v>16461.93599141336</v>
      </c>
      <c r="BF16" s="29">
        <f t="shared" si="3"/>
        <v>532197.17733484646</v>
      </c>
      <c r="BG16" s="53">
        <f t="shared" si="4"/>
        <v>0.62192996851812921</v>
      </c>
      <c r="BI16" s="47">
        <f>(BE16-AA16)/AA16</f>
        <v>1.1174802457971171</v>
      </c>
    </row>
    <row r="17" spans="1:62" ht="17" thickTop="1" thickBot="1">
      <c r="A17" s="6" t="s">
        <v>29</v>
      </c>
      <c r="B17" s="7">
        <f t="shared" ref="B17:AG17" si="5">SUM(B12:B16)</f>
        <v>5493</v>
      </c>
      <c r="C17" s="7">
        <f t="shared" si="5"/>
        <v>6316</v>
      </c>
      <c r="D17" s="7">
        <f t="shared" si="5"/>
        <v>6999</v>
      </c>
      <c r="E17" s="7">
        <f t="shared" si="5"/>
        <v>8203</v>
      </c>
      <c r="F17" s="7">
        <f t="shared" si="5"/>
        <v>10274</v>
      </c>
      <c r="G17" s="7">
        <f t="shared" si="5"/>
        <v>12348</v>
      </c>
      <c r="H17" s="7">
        <f t="shared" si="5"/>
        <v>12405</v>
      </c>
      <c r="I17" s="7">
        <f t="shared" si="5"/>
        <v>14448</v>
      </c>
      <c r="J17" s="7">
        <f t="shared" si="5"/>
        <v>15898</v>
      </c>
      <c r="K17" s="7">
        <f t="shared" si="5"/>
        <v>17288</v>
      </c>
      <c r="L17" s="7">
        <f t="shared" si="5"/>
        <v>18152</v>
      </c>
      <c r="M17" s="7">
        <f t="shared" si="5"/>
        <v>17686</v>
      </c>
      <c r="N17" s="7">
        <f t="shared" si="5"/>
        <v>19146</v>
      </c>
      <c r="O17" s="7">
        <f t="shared" si="5"/>
        <v>17290</v>
      </c>
      <c r="P17" s="7">
        <f t="shared" si="5"/>
        <v>12069</v>
      </c>
      <c r="Q17" s="7">
        <f t="shared" si="5"/>
        <v>10924</v>
      </c>
      <c r="R17" s="7">
        <f t="shared" si="5"/>
        <v>9941</v>
      </c>
      <c r="S17" s="7">
        <f t="shared" si="5"/>
        <v>9895</v>
      </c>
      <c r="T17" s="7">
        <f t="shared" si="5"/>
        <v>9138</v>
      </c>
      <c r="U17" s="7">
        <f t="shared" si="5"/>
        <v>9772</v>
      </c>
      <c r="V17" s="7">
        <f t="shared" si="5"/>
        <v>9844</v>
      </c>
      <c r="W17" s="7">
        <f t="shared" si="5"/>
        <v>11564</v>
      </c>
      <c r="X17" s="7">
        <f t="shared" si="5"/>
        <v>11759</v>
      </c>
      <c r="Y17" s="7">
        <f t="shared" si="5"/>
        <v>11445</v>
      </c>
      <c r="Z17" s="12">
        <f t="shared" si="5"/>
        <v>12403</v>
      </c>
      <c r="AA17" s="7">
        <f t="shared" si="5"/>
        <v>11845.870552200886</v>
      </c>
      <c r="AB17" s="7">
        <f t="shared" si="5"/>
        <v>12981.721599236538</v>
      </c>
      <c r="AC17" s="7">
        <f t="shared" si="5"/>
        <v>13387.540822720264</v>
      </c>
      <c r="AD17" s="7">
        <f t="shared" si="5"/>
        <v>13635.072293063184</v>
      </c>
      <c r="AE17" s="7">
        <f t="shared" si="5"/>
        <v>13809.666460626602</v>
      </c>
      <c r="AF17" s="7">
        <f t="shared" si="5"/>
        <v>14068.355512603412</v>
      </c>
      <c r="AG17" s="7">
        <f t="shared" si="5"/>
        <v>14943.30923847644</v>
      </c>
      <c r="AH17" s="7">
        <f t="shared" ref="AH17:BE17" si="6">SUM(AH12:AH16)</f>
        <v>15484.806962691991</v>
      </c>
      <c r="AI17" s="7">
        <f t="shared" si="6"/>
        <v>16007.6157853451</v>
      </c>
      <c r="AJ17" s="7">
        <f t="shared" si="6"/>
        <v>16588.785416242583</v>
      </c>
      <c r="AK17" s="7">
        <f t="shared" si="6"/>
        <v>17229.334889579332</v>
      </c>
      <c r="AL17" s="7">
        <f t="shared" si="6"/>
        <v>17457.32458987441</v>
      </c>
      <c r="AM17" s="7">
        <f t="shared" si="6"/>
        <v>17685.177594623834</v>
      </c>
      <c r="AN17" s="7">
        <f t="shared" si="6"/>
        <v>17917.324443723784</v>
      </c>
      <c r="AO17" s="7">
        <f t="shared" si="6"/>
        <v>18149.360085888162</v>
      </c>
      <c r="AP17" s="7">
        <f t="shared" si="6"/>
        <v>18385.361516514662</v>
      </c>
      <c r="AQ17" s="7">
        <f t="shared" si="6"/>
        <v>18622.156382991361</v>
      </c>
      <c r="AR17" s="7">
        <f t="shared" si="6"/>
        <v>18860.987131941896</v>
      </c>
      <c r="AS17" s="7">
        <f t="shared" si="6"/>
        <v>19103.045557205667</v>
      </c>
      <c r="AT17" s="7">
        <f t="shared" si="6"/>
        <v>19346.702368939747</v>
      </c>
      <c r="AU17" s="7">
        <f t="shared" si="6"/>
        <v>19592.550052125334</v>
      </c>
      <c r="AV17" s="7">
        <f t="shared" si="6"/>
        <v>19840.108077906432</v>
      </c>
      <c r="AW17" s="7">
        <f t="shared" si="6"/>
        <v>20089.875017588609</v>
      </c>
      <c r="AX17" s="7">
        <f t="shared" si="6"/>
        <v>20342.702045835256</v>
      </c>
      <c r="AY17" s="7">
        <f t="shared" si="6"/>
        <v>20596.779641146804</v>
      </c>
      <c r="AZ17" s="7">
        <f t="shared" si="6"/>
        <v>20854.186703511485</v>
      </c>
      <c r="BA17" s="7">
        <f t="shared" si="6"/>
        <v>21111.803515204967</v>
      </c>
      <c r="BB17" s="7">
        <f t="shared" si="6"/>
        <v>21372.683344822068</v>
      </c>
      <c r="BC17" s="7">
        <f t="shared" si="6"/>
        <v>21636.622196738223</v>
      </c>
      <c r="BD17" s="7">
        <f t="shared" si="6"/>
        <v>21901.518544812865</v>
      </c>
      <c r="BE17" s="7">
        <f t="shared" si="6"/>
        <v>22170.469327381899</v>
      </c>
      <c r="BF17" s="29">
        <f t="shared" si="3"/>
        <v>855718.81767156383</v>
      </c>
      <c r="BI17" s="47">
        <f>(BE17-AA17)/AA17</f>
        <v>0.87157788274689274</v>
      </c>
    </row>
    <row r="18" spans="1:62">
      <c r="B18" s="1"/>
      <c r="V18" s="1"/>
      <c r="AA18" s="1">
        <f>SUM(AA12:AA16)</f>
        <v>11845.870552200886</v>
      </c>
      <c r="AK18">
        <f>(AK17-AA17)/AA17</f>
        <v>0.45445915634948697</v>
      </c>
      <c r="AP18">
        <f>(AP17-V17)/V17</f>
        <v>0.86767183223432165</v>
      </c>
    </row>
    <row r="19" spans="1:62" ht="14.5" customHeight="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142" t="s">
        <v>112</v>
      </c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</row>
    <row r="20" spans="1:62" ht="15" customHeight="1" thickBot="1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</row>
    <row r="21" spans="1:62" ht="32">
      <c r="A21" s="27" t="s">
        <v>72</v>
      </c>
      <c r="B21" s="2">
        <v>1995</v>
      </c>
      <c r="C21" s="2">
        <v>1996</v>
      </c>
      <c r="D21" s="2">
        <v>1997</v>
      </c>
      <c r="E21" s="2">
        <v>1998</v>
      </c>
      <c r="F21" s="2">
        <v>1999</v>
      </c>
      <c r="G21" s="2">
        <v>2000</v>
      </c>
      <c r="H21" s="2">
        <v>2001</v>
      </c>
      <c r="I21" s="2">
        <v>2002</v>
      </c>
      <c r="J21" s="2">
        <v>2003</v>
      </c>
      <c r="K21" s="2">
        <v>2004</v>
      </c>
      <c r="L21" s="2">
        <v>2005</v>
      </c>
      <c r="M21" s="2">
        <v>2006</v>
      </c>
      <c r="N21" s="2">
        <v>2007</v>
      </c>
      <c r="O21" s="2">
        <v>2008</v>
      </c>
      <c r="P21" s="2">
        <v>2009</v>
      </c>
      <c r="Q21" s="2">
        <v>2010</v>
      </c>
      <c r="R21" s="2">
        <v>2011</v>
      </c>
      <c r="S21" s="2">
        <v>2012</v>
      </c>
      <c r="T21" s="2">
        <v>2013</v>
      </c>
      <c r="U21" s="2">
        <v>2014</v>
      </c>
      <c r="V21" s="2">
        <v>2015</v>
      </c>
      <c r="W21" s="2">
        <v>2016</v>
      </c>
      <c r="X21" s="2">
        <v>2017</v>
      </c>
      <c r="Y21" s="2">
        <v>2018</v>
      </c>
      <c r="Z21" s="10">
        <v>2019</v>
      </c>
      <c r="AA21" s="2">
        <v>2020</v>
      </c>
      <c r="AB21" s="2">
        <v>2021</v>
      </c>
      <c r="AC21" s="2">
        <v>2022</v>
      </c>
      <c r="AD21" s="2">
        <v>2023</v>
      </c>
      <c r="AE21" s="2">
        <v>2024</v>
      </c>
      <c r="AF21" s="2">
        <v>2025</v>
      </c>
      <c r="AG21" s="2">
        <v>2026</v>
      </c>
      <c r="AH21" s="2">
        <v>2027</v>
      </c>
      <c r="AI21" s="2">
        <v>2028</v>
      </c>
      <c r="AJ21" s="2">
        <v>2029</v>
      </c>
      <c r="AK21" s="2">
        <v>2030</v>
      </c>
      <c r="AL21" s="2">
        <v>2031</v>
      </c>
      <c r="AM21" s="2">
        <v>2032</v>
      </c>
      <c r="AN21" s="2">
        <v>2033</v>
      </c>
      <c r="AO21" s="2">
        <v>2034</v>
      </c>
      <c r="AP21" s="2">
        <v>2035</v>
      </c>
      <c r="AQ21" s="2">
        <v>2036</v>
      </c>
      <c r="AR21" s="2">
        <v>2037</v>
      </c>
      <c r="AS21" s="2">
        <v>2038</v>
      </c>
      <c r="AT21" s="2">
        <v>2039</v>
      </c>
      <c r="AU21" s="2">
        <v>2040</v>
      </c>
      <c r="AV21" s="2">
        <v>2041</v>
      </c>
      <c r="AW21" s="2">
        <v>2042</v>
      </c>
      <c r="AX21" s="2">
        <v>2043</v>
      </c>
      <c r="AY21" s="2">
        <v>2044</v>
      </c>
      <c r="AZ21" s="2">
        <v>2045</v>
      </c>
      <c r="BA21" s="2">
        <v>2046</v>
      </c>
      <c r="BB21" s="2">
        <v>2047</v>
      </c>
      <c r="BC21" s="2">
        <v>2048</v>
      </c>
      <c r="BD21" s="2">
        <v>2049</v>
      </c>
      <c r="BE21" s="3">
        <v>2050</v>
      </c>
      <c r="BI21" s="47">
        <f t="shared" ref="BI21:BI25" si="7">(BE21-AA21)/AA21</f>
        <v>1.4851485148514851E-2</v>
      </c>
    </row>
    <row r="22" spans="1:62" ht="16">
      <c r="A22" s="71" t="s">
        <v>67</v>
      </c>
      <c r="B22" s="86">
        <f>'[5]Survey Summary'!B26</f>
        <v>264</v>
      </c>
      <c r="C22" s="86">
        <f>'[5]Survey Summary'!C26</f>
        <v>349</v>
      </c>
      <c r="D22" s="86">
        <f>'[5]Survey Summary'!D26</f>
        <v>358</v>
      </c>
      <c r="E22" s="86">
        <f>'[5]Survey Summary'!E26</f>
        <v>321</v>
      </c>
      <c r="F22" s="86">
        <f>'[5]Survey Summary'!F26</f>
        <v>294</v>
      </c>
      <c r="G22" s="86">
        <f>'[5]Survey Summary'!G26</f>
        <v>315</v>
      </c>
      <c r="H22" s="86">
        <f>'[5]Survey Summary'!H26</f>
        <v>308</v>
      </c>
      <c r="I22" s="86">
        <f>'[5]Survey Summary'!I26</f>
        <v>346</v>
      </c>
      <c r="J22" s="86">
        <f>'[5]Survey Summary'!J26</f>
        <v>357</v>
      </c>
      <c r="K22" s="86">
        <f>'[5]Survey Summary'!K26</f>
        <v>449</v>
      </c>
      <c r="L22" s="86">
        <f>'[5]Survey Summary'!L26</f>
        <v>581</v>
      </c>
      <c r="M22" s="86">
        <f>'[5]Survey Summary'!M26</f>
        <v>621</v>
      </c>
      <c r="N22" s="86">
        <f>'[5]Survey Summary'!N26</f>
        <v>706</v>
      </c>
      <c r="O22" s="98">
        <f>[6]Summary!B4</f>
        <v>1422</v>
      </c>
      <c r="P22" s="98">
        <f>[6]Summary!C4</f>
        <v>1530</v>
      </c>
      <c r="Q22" s="98">
        <f>[6]Summary!D4</f>
        <v>1362</v>
      </c>
      <c r="R22" s="98">
        <f>[6]Summary!E4</f>
        <v>1354</v>
      </c>
      <c r="S22" s="98">
        <f>[6]Summary!F4</f>
        <v>1267</v>
      </c>
      <c r="T22" s="98">
        <f>[6]Summary!G4</f>
        <v>1238</v>
      </c>
      <c r="U22" s="98">
        <f>[6]Summary!H4</f>
        <v>1432</v>
      </c>
      <c r="V22" s="98">
        <f>[6]Summary!I4</f>
        <v>1552</v>
      </c>
      <c r="W22" s="98">
        <f>[6]Summary!J4</f>
        <v>1622</v>
      </c>
      <c r="X22" s="98">
        <f>[6]Summary!K4</f>
        <v>1942</v>
      </c>
      <c r="Y22" s="98">
        <f>[6]Summary!L4</f>
        <v>2098</v>
      </c>
      <c r="Z22" s="99">
        <f>[6]Summary!M4</f>
        <v>2266</v>
      </c>
      <c r="AA22" s="18">
        <f>'TKm to VKm'!$B$70 + 'TKm to VKm'!$B$71*'Tkm, Vkm, &amp; Stock Projections'!AA17 - 'TKm to VKm'!$F$54</f>
        <v>2266</v>
      </c>
      <c r="AB22" s="18">
        <f>'TKm to VKm'!$B$70 + 'TKm to VKm'!$B$71*'Tkm, Vkm, &amp; Stock Projections'!AB17 - 'TKm to VKm'!$F$54</f>
        <v>2602.5761465819069</v>
      </c>
      <c r="AC22" s="18">
        <f>'TKm to VKm'!$B$70 + 'TKm to VKm'!$B$71*'Tkm, Vkm, &amp; Stock Projections'!AC17 - 'TKm to VKm'!$F$54</f>
        <v>2722.8287719639802</v>
      </c>
      <c r="AD22" s="18">
        <f>'TKm to VKm'!$B$70 + 'TKm to VKm'!$B$71*'Tkm, Vkm, &amp; Stock Projections'!AD17 - 'TKm to VKm'!$F$54</f>
        <v>2796.1774638221286</v>
      </c>
      <c r="AE22" s="18">
        <f>'TKm to VKm'!$B$70 + 'TKm to VKm'!$B$71*'Tkm, Vkm, &amp; Stock Projections'!AE17 - 'TKm to VKm'!$F$54</f>
        <v>2847.9133250404934</v>
      </c>
      <c r="AF22" s="18">
        <f>'TKm to VKm'!$B$70 + 'TKm to VKm'!$B$71*'Tkm, Vkm, &amp; Stock Projections'!AF17 - 'TKm to VKm'!$F$54</f>
        <v>2924.5682389964322</v>
      </c>
      <c r="AG22" s="18">
        <f>'TKm to VKm'!$B$70 + 'TKm to VKm'!$B$71*'Tkm, Vkm, &amp; Stock Projections'!AG17 - 'TKm to VKm'!$F$54</f>
        <v>3183.8351158112955</v>
      </c>
      <c r="AH22" s="18">
        <f>'TKm to VKm'!$B$70 + 'TKm to VKm'!$B$71*'Tkm, Vkm, &amp; Stock Projections'!AH17 - 'TKm to VKm'!$F$54</f>
        <v>3344.2920858294974</v>
      </c>
      <c r="AI22" s="18">
        <f>'TKm to VKm'!$B$70 + 'TKm to VKm'!$B$71*'Tkm, Vkm, &amp; Stock Projections'!AI17 - 'TKm to VKm'!$F$54</f>
        <v>3499.2111479607875</v>
      </c>
      <c r="AJ22" s="18">
        <f>'TKm to VKm'!$B$70 + 'TKm to VKm'!$B$71*'Tkm, Vkm, &amp; Stock Projections'!AJ17 - 'TKm to VKm'!$F$54</f>
        <v>3671.423724062558</v>
      </c>
      <c r="AK22" s="18">
        <f>'TKm to VKm'!$B$70 + 'TKm to VKm'!$B$71*'Tkm, Vkm, &amp; Stock Projections'!AK17 - 'TKm to VKm'!$F$54</f>
        <v>3861.2317750331586</v>
      </c>
      <c r="AL22" s="18">
        <f>'TKm to VKm'!$B$70 + 'TKm to VKm'!$B$71*'Tkm, Vkm, &amp; Stock Projections'!AL17 - 'TKm to VKm'!$F$54</f>
        <v>3928.7898364408993</v>
      </c>
      <c r="AM22" s="18">
        <f>'TKm to VKm'!$B$70 + 'TKm to VKm'!$B$71*'Tkm, Vkm, &amp; Stock Projections'!AM17 - 'TKm to VKm'!$F$54</f>
        <v>3996.3073921325686</v>
      </c>
      <c r="AN22" s="18">
        <f>'TKm to VKm'!$B$70 + 'TKm to VKm'!$B$71*'Tkm, Vkm, &amp; Stock Projections'!AN17 - 'TKm to VKm'!$F$54</f>
        <v>4065.097302671551</v>
      </c>
      <c r="AO22" s="18">
        <f>'TKm to VKm'!$B$70 + 'TKm to VKm'!$B$71*'Tkm, Vkm, &amp; Stock Projections'!AO17 - 'TKm to VKm'!$F$54</f>
        <v>4133.8542602965535</v>
      </c>
      <c r="AP22" s="18">
        <f>'TKm to VKm'!$B$70 + 'TKm to VKm'!$B$71*'Tkm, Vkm, &amp; Stock Projections'!AP17 - 'TKm to VKm'!$F$54</f>
        <v>4203.7863630272659</v>
      </c>
      <c r="AQ22" s="18">
        <f>'TKm to VKm'!$B$70 + 'TKm to VKm'!$B$71*'Tkm, Vkm, &amp; Stock Projections'!AQ17 - 'TKm to VKm'!$F$54</f>
        <v>4273.9535772030194</v>
      </c>
      <c r="AR22" s="18">
        <f>'TKm to VKm'!$B$70 + 'TKm to VKm'!$B$71*'Tkm, Vkm, &amp; Stock Projections'!AR17 - 'TKm to VKm'!$F$54</f>
        <v>4344.7240654433836</v>
      </c>
      <c r="AS22" s="18">
        <f>'TKm to VKm'!$B$70 + 'TKm to VKm'!$B$71*'Tkm, Vkm, &amp; Stock Projections'!AS17 - 'TKm to VKm'!$F$54</f>
        <v>4416.4509809008177</v>
      </c>
      <c r="AT22" s="18">
        <f>'TKm to VKm'!$B$70 + 'TKm to VKm'!$B$71*'Tkm, Vkm, &amp; Stock Projections'!AT17 - 'TKm to VKm'!$F$54</f>
        <v>4488.651531312702</v>
      </c>
      <c r="AU22" s="18">
        <f>'TKm to VKm'!$B$70 + 'TKm to VKm'!$B$71*'Tkm, Vkm, &amp; Stock Projections'!AU17 - 'TKm to VKm'!$F$54</f>
        <v>4561.5012822273547</v>
      </c>
      <c r="AV22" s="18">
        <f>'TKm to VKm'!$B$70 + 'TKm to VKm'!$B$71*'Tkm, Vkm, &amp; Stock Projections'!AV17 - 'TKm to VKm'!$F$54</f>
        <v>4634.8578430108137</v>
      </c>
      <c r="AW22" s="18">
        <f>'TKm to VKm'!$B$70 + 'TKm to VKm'!$B$71*'Tkm, Vkm, &amp; Stock Projections'!AW17 - 'TKm to VKm'!$F$54</f>
        <v>4708.8689506478386</v>
      </c>
      <c r="AX22" s="18">
        <f>'TKm to VKm'!$B$70 + 'TKm to VKm'!$B$71*'Tkm, Vkm, &amp; Stock Projections'!AX17 - 'TKm to VKm'!$F$54</f>
        <v>4783.786825787447</v>
      </c>
      <c r="AY22" s="18">
        <f>'TKm to VKm'!$B$70 + 'TKm to VKm'!$B$71*'Tkm, Vkm, &amp; Stock Projections'!AY17 - 'TKm to VKm'!$F$54</f>
        <v>4859.0752698012457</v>
      </c>
      <c r="AZ22" s="18">
        <f>'TKm to VKm'!$B$70 + 'TKm to VKm'!$B$71*'Tkm, Vkm, &amp; Stock Projections'!AZ17 - 'TKm to VKm'!$F$54</f>
        <v>4935.3503037326573</v>
      </c>
      <c r="BA22" s="18">
        <f>'TKm to VKm'!$B$70 + 'TKm to VKm'!$B$71*'Tkm, Vkm, &amp; Stock Projections'!BA17 - 'TKm to VKm'!$F$54</f>
        <v>5011.6874907263209</v>
      </c>
      <c r="BB22" s="18">
        <f>'TKm to VKm'!$B$70 + 'TKm to VKm'!$B$71*'Tkm, Vkm, &amp; Stock Projections'!BB17 - 'TKm to VKm'!$F$54</f>
        <v>5088.9915773868233</v>
      </c>
      <c r="BC22" s="18">
        <f>'TKm to VKm'!$B$70 + 'TKm to VKm'!$B$71*'Tkm, Vkm, &amp; Stock Projections'!BC17 - 'TKm to VKm'!$F$54</f>
        <v>5167.2021155934272</v>
      </c>
      <c r="BD22" s="18">
        <f>'TKm to VKm'!$B$70 + 'TKm to VKm'!$B$71*'Tkm, Vkm, &amp; Stock Projections'!BD17 - 'TKm to VKm'!$F$54</f>
        <v>5245.6963797060216</v>
      </c>
      <c r="BE22" s="18">
        <f>'TKm to VKm'!$B$70 + 'TKm to VKm'!$B$71*'Tkm, Vkm, &amp; Stock Projections'!BE17 - 'TKm to VKm'!$F$54</f>
        <v>5325.3920565762583</v>
      </c>
      <c r="BI22" s="47">
        <f t="shared" si="7"/>
        <v>1.3501288863972896</v>
      </c>
    </row>
    <row r="23" spans="1:62">
      <c r="A23" s="4" t="s">
        <v>68</v>
      </c>
      <c r="B23" s="86">
        <f>'[5]Survey Summary'!B27</f>
        <v>157</v>
      </c>
      <c r="C23" s="86">
        <f>'[5]Survey Summary'!C27</f>
        <v>182</v>
      </c>
      <c r="D23" s="86">
        <f>'[5]Survey Summary'!D27</f>
        <v>165</v>
      </c>
      <c r="E23" s="86">
        <f>'[5]Survey Summary'!E27</f>
        <v>195</v>
      </c>
      <c r="F23" s="86">
        <f>'[5]Survey Summary'!F27</f>
        <v>172</v>
      </c>
      <c r="G23" s="86">
        <f>'[5]Survey Summary'!G27</f>
        <v>165</v>
      </c>
      <c r="H23" s="86">
        <f>'[5]Survey Summary'!H27</f>
        <v>188</v>
      </c>
      <c r="I23" s="86">
        <f>'[5]Survey Summary'!I27</f>
        <v>229</v>
      </c>
      <c r="J23" s="86">
        <f>'[5]Survey Summary'!J27</f>
        <v>253</v>
      </c>
      <c r="K23" s="86">
        <f>'[5]Survey Summary'!K27</f>
        <v>259</v>
      </c>
      <c r="L23" s="86">
        <f>'[5]Survey Summary'!L27</f>
        <v>255</v>
      </c>
      <c r="M23" s="86">
        <f>'[5]Survey Summary'!M27</f>
        <v>197</v>
      </c>
      <c r="N23" s="86">
        <f>'[5]Survey Summary'!N27</f>
        <v>171</v>
      </c>
      <c r="O23" s="86">
        <f>'[5]Survey Summary'!O27</f>
        <v>142</v>
      </c>
      <c r="P23" s="86">
        <f>'[5]Survey Summary'!P27</f>
        <v>112</v>
      </c>
      <c r="Q23" s="86">
        <f>'[5]Survey Summary'!Q27</f>
        <v>94</v>
      </c>
      <c r="R23" s="98">
        <f>[6]Summary!E5</f>
        <v>110</v>
      </c>
      <c r="S23" s="98">
        <f>[6]Summary!F5</f>
        <v>97</v>
      </c>
      <c r="T23" s="98">
        <f>[6]Summary!G5</f>
        <v>107</v>
      </c>
      <c r="U23" s="98">
        <f>[6]Summary!H5</f>
        <v>124</v>
      </c>
      <c r="V23" s="98">
        <f>[6]Summary!I5</f>
        <v>123</v>
      </c>
      <c r="W23" s="98">
        <f>[6]Summary!J5</f>
        <v>123</v>
      </c>
      <c r="X23" s="98">
        <f>[6]Summary!K5</f>
        <v>113</v>
      </c>
      <c r="Y23" s="98">
        <f>[6]Summary!L5</f>
        <v>113</v>
      </c>
      <c r="Z23" s="99">
        <f>[6]Summary!M5</f>
        <v>111</v>
      </c>
      <c r="AA23" s="18">
        <f>'TKm to VKm'!$L$50 + 'TKm to VKm'!$L$51*'Tkm, Vkm, &amp; Stock Projections'!AA13 - 'TKm to VKm'!$M$31</f>
        <v>111</v>
      </c>
      <c r="AB23" s="18">
        <f>'TKm to VKm'!$L$50 + 'TKm to VKm'!$L$51*'Tkm, Vkm, &amp; Stock Projections'!AB13 - 'TKm to VKm'!$M$31</f>
        <v>113.15686281245743</v>
      </c>
      <c r="AC23" s="18">
        <f>'TKm to VKm'!$L$50 + 'TKm to VKm'!$L$51*'Tkm, Vkm, &amp; Stock Projections'!AC13 - 'TKm to VKm'!$M$31</f>
        <v>113.34107092815125</v>
      </c>
      <c r="AD23" s="18">
        <f>'TKm to VKm'!$L$50 + 'TKm to VKm'!$L$51*'Tkm, Vkm, &amp; Stock Projections'!AD13 - 'TKm to VKm'!$M$31</f>
        <v>113.08542347193412</v>
      </c>
      <c r="AE23" s="18">
        <f>'TKm to VKm'!$L$50 + 'TKm to VKm'!$L$51*'Tkm, Vkm, &amp; Stock Projections'!AE13 - 'TKm to VKm'!$M$31</f>
        <v>112.62448956763572</v>
      </c>
      <c r="AF23" s="18">
        <f>'TKm to VKm'!$L$50 + 'TKm to VKm'!$L$51*'Tkm, Vkm, &amp; Stock Projections'!AF13 - 'TKm to VKm'!$M$31</f>
        <v>112.33625514257</v>
      </c>
      <c r="AG23" s="18">
        <f>'TKm to VKm'!$L$50 + 'TKm to VKm'!$L$51*'Tkm, Vkm, &amp; Stock Projections'!AG13 - 'TKm to VKm'!$M$31</f>
        <v>113.82036251691375</v>
      </c>
      <c r="AH23" s="18">
        <f>'TKm to VKm'!$L$50 + 'TKm to VKm'!$L$51*'Tkm, Vkm, &amp; Stock Projections'!AH13 - 'TKm to VKm'!$M$31</f>
        <v>114.5019261218234</v>
      </c>
      <c r="AI23" s="18">
        <f>'TKm to VKm'!$L$50 + 'TKm to VKm'!$L$51*'Tkm, Vkm, &amp; Stock Projections'!AI13 - 'TKm to VKm'!$M$31</f>
        <v>115.10910272640049</v>
      </c>
      <c r="AJ23" s="18">
        <f>'TKm to VKm'!$L$50 + 'TKm to VKm'!$L$51*'Tkm, Vkm, &amp; Stock Projections'!AJ13 - 'TKm to VKm'!$M$31</f>
        <v>115.81119557606038</v>
      </c>
      <c r="AK23" s="18">
        <f>'TKm to VKm'!$L$50 + 'TKm to VKm'!$L$51*'Tkm, Vkm, &amp; Stock Projections'!AK13 - 'TKm to VKm'!$M$31</f>
        <v>116.60492978476863</v>
      </c>
      <c r="AL23" s="18">
        <f>'TKm to VKm'!$L$50 + 'TKm to VKm'!$L$51*'Tkm, Vkm, &amp; Stock Projections'!AL13 - 'TKm to VKm'!$M$31</f>
        <v>116.49571953438874</v>
      </c>
      <c r="AM23" s="18">
        <f>'TKm to VKm'!$L$50 + 'TKm to VKm'!$L$51*'Tkm, Vkm, &amp; Stock Projections'!AM13 - 'TKm to VKm'!$M$31</f>
        <v>116.37652661967924</v>
      </c>
      <c r="AN23" s="18">
        <f>'TKm to VKm'!$L$50 + 'TKm to VKm'!$L$51*'Tkm, Vkm, &amp; Stock Projections'!AN13 - 'TKm to VKm'!$M$31</f>
        <v>116.2566479167034</v>
      </c>
      <c r="AO23" s="18">
        <f>'TKm to VKm'!$L$50 + 'TKm to VKm'!$L$51*'Tkm, Vkm, &amp; Stock Projections'!AO13 - 'TKm to VKm'!$M$31</f>
        <v>116.127158997202</v>
      </c>
      <c r="AP23" s="18">
        <f>'TKm to VKm'!$L$50 + 'TKm to VKm'!$L$51*'Tkm, Vkm, &amp; Stock Projections'!AP13 - 'TKm to VKm'!$M$31</f>
        <v>115.99636915221015</v>
      </c>
      <c r="AQ23" s="18">
        <f>'TKm to VKm'!$L$50 + 'TKm to VKm'!$L$51*'Tkm, Vkm, &amp; Stock Projections'!AQ13 - 'TKm to VKm'!$M$31</f>
        <v>116.13631611711401</v>
      </c>
      <c r="AR23" s="18">
        <f>'TKm to VKm'!$L$50 + 'TKm to VKm'!$L$51*'Tkm, Vkm, &amp; Stock Projections'!AR13 - 'TKm to VKm'!$M$31</f>
        <v>116.27445411030965</v>
      </c>
      <c r="AS23" s="18">
        <f>'TKm to VKm'!$L$50 + 'TKm to VKm'!$L$51*'Tkm, Vkm, &amp; Stock Projections'!AS13 - 'TKm to VKm'!$M$31</f>
        <v>116.41303701216677</v>
      </c>
      <c r="AT23" s="18">
        <f>'TKm to VKm'!$L$50 + 'TKm to VKm'!$L$51*'Tkm, Vkm, &amp; Stock Projections'!AT13 - 'TKm to VKm'!$M$31</f>
        <v>116.5488952340821</v>
      </c>
      <c r="AU23" s="18">
        <f>'TKm to VKm'!$L$50 + 'TKm to VKm'!$L$51*'Tkm, Vkm, &amp; Stock Projections'!AU13 - 'TKm to VKm'!$M$31</f>
        <v>116.68314172002624</v>
      </c>
      <c r="AV23" s="18">
        <f>'TKm to VKm'!$L$50 + 'TKm to VKm'!$L$51*'Tkm, Vkm, &amp; Stock Projections'!AV13 - 'TKm to VKm'!$M$31</f>
        <v>116.81485405242751</v>
      </c>
      <c r="AW23" s="18">
        <f>'TKm to VKm'!$L$50 + 'TKm to VKm'!$L$51*'Tkm, Vkm, &amp; Stock Projections'!AW13 - 'TKm to VKm'!$M$31</f>
        <v>116.94494793159291</v>
      </c>
      <c r="AX23" s="18">
        <f>'TKm to VKm'!$L$50 + 'TKm to VKm'!$L$51*'Tkm, Vkm, &amp; Stock Projections'!AX13 - 'TKm to VKm'!$M$31</f>
        <v>117.07495096218031</v>
      </c>
      <c r="AY23" s="18">
        <f>'TKm to VKm'!$L$50 + 'TKm to VKm'!$L$51*'Tkm, Vkm, &amp; Stock Projections'!AY13 - 'TKm to VKm'!$M$31</f>
        <v>117.2015181073138</v>
      </c>
      <c r="AZ23" s="18">
        <f>'TKm to VKm'!$L$50 + 'TKm to VKm'!$L$51*'Tkm, Vkm, &amp; Stock Projections'!AZ13 - 'TKm to VKm'!$M$31</f>
        <v>117.3284013197439</v>
      </c>
      <c r="BA23" s="18">
        <f>'TKm to VKm'!$L$50 + 'TKm to VKm'!$L$51*'Tkm, Vkm, &amp; Stock Projections'!BA13 - 'TKm to VKm'!$M$31</f>
        <v>117.4499737269125</v>
      </c>
      <c r="BB23" s="18">
        <f>'TKm to VKm'!$L$50 + 'TKm to VKm'!$L$51*'Tkm, Vkm, &amp; Stock Projections'!BB13 - 'TKm to VKm'!$M$31</f>
        <v>117.57168879796608</v>
      </c>
      <c r="BC23" s="18">
        <f>'TKm to VKm'!$L$50 + 'TKm to VKm'!$L$51*'Tkm, Vkm, &amp; Stock Projections'!BC13 - 'TKm to VKm'!$M$31</f>
        <v>117.69311681477726</v>
      </c>
      <c r="BD23" s="18">
        <f>'TKm to VKm'!$L$50 + 'TKm to VKm'!$L$51*'Tkm, Vkm, &amp; Stock Projections'!BD13 - 'TKm to VKm'!$M$31</f>
        <v>117.81055862576689</v>
      </c>
      <c r="BE23" s="18">
        <f>'TKm to VKm'!$L$50 + 'TKm to VKm'!$L$51*'Tkm, Vkm, &amp; Stock Projections'!BE13 - 'TKm to VKm'!$M$31</f>
        <v>117.92936358009746</v>
      </c>
      <c r="BI23" s="47">
        <f t="shared" si="7"/>
        <v>6.2426698919796922E-2</v>
      </c>
    </row>
    <row r="24" spans="1:62">
      <c r="A24" s="4" t="s">
        <v>69</v>
      </c>
      <c r="B24" s="86">
        <f>'[5]Survey Summary'!B28</f>
        <v>175</v>
      </c>
      <c r="C24" s="86">
        <f>'[5]Survey Summary'!C28</f>
        <v>213</v>
      </c>
      <c r="D24" s="86">
        <f>'[5]Survey Summary'!D28</f>
        <v>225</v>
      </c>
      <c r="E24" s="86">
        <f>'[5]Survey Summary'!E28</f>
        <v>264</v>
      </c>
      <c r="F24" s="86">
        <f>'[5]Survey Summary'!F28</f>
        <v>239</v>
      </c>
      <c r="G24" s="86">
        <f>'[5]Survey Summary'!G28</f>
        <v>271</v>
      </c>
      <c r="H24" s="86">
        <f>'[5]Survey Summary'!H28</f>
        <v>270</v>
      </c>
      <c r="I24" s="86">
        <f>'[5]Survey Summary'!I28</f>
        <v>371</v>
      </c>
      <c r="J24" s="86">
        <f>'[5]Survey Summary'!J28</f>
        <v>410</v>
      </c>
      <c r="K24" s="86">
        <f>'[5]Survey Summary'!K28</f>
        <v>424</v>
      </c>
      <c r="L24" s="86">
        <f>'[5]Survey Summary'!L28</f>
        <v>433</v>
      </c>
      <c r="M24" s="86">
        <f>'[5]Survey Summary'!M28</f>
        <v>285</v>
      </c>
      <c r="N24" s="86">
        <f>'[5]Survey Summary'!N28</f>
        <v>298</v>
      </c>
      <c r="O24" s="86">
        <f>'[5]Survey Summary'!O28</f>
        <v>224</v>
      </c>
      <c r="P24" s="86">
        <f>'[5]Survey Summary'!P28</f>
        <v>158</v>
      </c>
      <c r="Q24" s="86">
        <f>'[5]Survey Summary'!Q28</f>
        <v>152</v>
      </c>
      <c r="R24" s="98">
        <f>[6]Summary!E6</f>
        <v>156</v>
      </c>
      <c r="S24" s="98">
        <f>[6]Summary!F6</f>
        <v>146</v>
      </c>
      <c r="T24" s="98">
        <f>[6]Summary!G6</f>
        <v>163</v>
      </c>
      <c r="U24" s="98">
        <f>[6]Summary!H6</f>
        <v>194</v>
      </c>
      <c r="V24" s="98">
        <f>[6]Summary!I6</f>
        <v>196</v>
      </c>
      <c r="W24" s="98">
        <f>[6]Summary!J6</f>
        <v>204</v>
      </c>
      <c r="X24" s="98">
        <f>[6]Summary!K6</f>
        <v>205</v>
      </c>
      <c r="Y24" s="98">
        <f>[6]Summary!L6</f>
        <v>220</v>
      </c>
      <c r="Z24" s="99">
        <f>[6]Summary!M6</f>
        <v>222</v>
      </c>
      <c r="AA24" s="18">
        <f>'TKm to VKm'!$V$50 + 'TKm to VKm'!$V$51*'Tkm, Vkm, &amp; Stock Projections'!AA14 -'TKm to VKm'!$W$31</f>
        <v>222</v>
      </c>
      <c r="AB24" s="18">
        <f>'TKm to VKm'!$V$50 + 'TKm to VKm'!$V$51*'Tkm, Vkm, &amp; Stock Projections'!AB14 -'TKm to VKm'!$W$31</f>
        <v>229.89226029832338</v>
      </c>
      <c r="AC24" s="18">
        <f>'TKm to VKm'!$V$50 + 'TKm to VKm'!$V$51*'Tkm, Vkm, &amp; Stock Projections'!AC14 -'TKm to VKm'!$W$31</f>
        <v>231.5658754150879</v>
      </c>
      <c r="AD24" s="18">
        <f>'TKm to VKm'!$V$50 + 'TKm to VKm'!$V$51*'Tkm, Vkm, &amp; Stock Projections'!AD14 -'TKm to VKm'!$W$31</f>
        <v>231.82801990402311</v>
      </c>
      <c r="AE24" s="18">
        <f>'TKm to VKm'!$V$50 + 'TKm to VKm'!$V$51*'Tkm, Vkm, &amp; Stock Projections'!AE14 -'TKm to VKm'!$W$31</f>
        <v>231.40806445729703</v>
      </c>
      <c r="AF24" s="18">
        <f>'TKm to VKm'!$V$50 + 'TKm to VKm'!$V$51*'Tkm, Vkm, &amp; Stock Projections'!AF14 -'TKm to VKm'!$W$31</f>
        <v>231.54314749492806</v>
      </c>
      <c r="AG24" s="18">
        <f>'TKm to VKm'!$V$50 + 'TKm to VKm'!$V$51*'Tkm, Vkm, &amp; Stock Projections'!AG14 -'TKm to VKm'!$W$31</f>
        <v>237.337044397895</v>
      </c>
      <c r="AH24" s="18">
        <f>'TKm to VKm'!$V$50 + 'TKm to VKm'!$V$51*'Tkm, Vkm, &amp; Stock Projections'!AH14 -'TKm to VKm'!$W$31</f>
        <v>240.50116788749673</v>
      </c>
      <c r="AI24" s="18">
        <f>'TKm to VKm'!$V$50 + 'TKm to VKm'!$V$51*'Tkm, Vkm, &amp; Stock Projections'!AI14 -'TKm to VKm'!$W$31</f>
        <v>243.45348848858998</v>
      </c>
      <c r="AJ24" s="18">
        <f>'TKm to VKm'!$V$50 + 'TKm to VKm'!$V$51*'Tkm, Vkm, &amp; Stock Projections'!AJ14 -'TKm to VKm'!$W$31</f>
        <v>246.76938147260546</v>
      </c>
      <c r="AK24" s="18">
        <f>'TKm to VKm'!$V$50 + 'TKm to VKm'!$V$51*'Tkm, Vkm, &amp; Stock Projections'!AK14 -'TKm to VKm'!$W$31</f>
        <v>250.44533489332474</v>
      </c>
      <c r="AL24" s="18">
        <f>'TKm to VKm'!$V$50 + 'TKm to VKm'!$V$51*'Tkm, Vkm, &amp; Stock Projections'!AL14 -'TKm to VKm'!$W$31</f>
        <v>251.02585360797406</v>
      </c>
      <c r="AM24" s="18">
        <f>'TKm to VKm'!$V$50 + 'TKm to VKm'!$V$51*'Tkm, Vkm, &amp; Stock Projections'!AM14 -'TKm to VKm'!$W$31</f>
        <v>251.57286626181633</v>
      </c>
      <c r="AN24" s="18">
        <f>'TKm to VKm'!$V$50 + 'TKm to VKm'!$V$51*'Tkm, Vkm, &amp; Stock Projections'!AN14 -'TKm to VKm'!$W$31</f>
        <v>252.11843071566315</v>
      </c>
      <c r="AO24" s="18">
        <f>'TKm to VKm'!$V$50 + 'TKm to VKm'!$V$51*'Tkm, Vkm, &amp; Stock Projections'!AO14 -'TKm to VKm'!$W$31</f>
        <v>252.63068869017908</v>
      </c>
      <c r="AP24" s="18">
        <f>'TKm to VKm'!$V$50 + 'TKm to VKm'!$V$51*'Tkm, Vkm, &amp; Stock Projections'!AP14 -'TKm to VKm'!$W$31</f>
        <v>253.13866474042928</v>
      </c>
      <c r="AQ24" s="18">
        <f>'TKm to VKm'!$V$50 + 'TKm to VKm'!$V$51*'Tkm, Vkm, &amp; Stock Projections'!AQ14 -'TKm to VKm'!$W$31</f>
        <v>253.64089694459489</v>
      </c>
      <c r="AR24" s="18">
        <f>'TKm to VKm'!$V$50 + 'TKm to VKm'!$V$51*'Tkm, Vkm, &amp; Stock Projections'!AR14 -'TKm to VKm'!$W$31</f>
        <v>254.13663723342012</v>
      </c>
      <c r="AS24" s="18">
        <f>'TKm to VKm'!$V$50 + 'TKm to VKm'!$V$51*'Tkm, Vkm, &amp; Stock Projections'!AS14 -'TKm to VKm'!$W$31</f>
        <v>254.63397418036405</v>
      </c>
      <c r="AT24" s="18">
        <f>'TKm to VKm'!$V$50 + 'TKm to VKm'!$V$51*'Tkm, Vkm, &amp; Stock Projections'!AT14 -'TKm to VKm'!$W$31</f>
        <v>255.121532980181</v>
      </c>
      <c r="AU24" s="18">
        <f>'TKm to VKm'!$V$50 + 'TKm to VKm'!$V$51*'Tkm, Vkm, &amp; Stock Projections'!AU14 -'TKm to VKm'!$W$31</f>
        <v>255.60330769093324</v>
      </c>
      <c r="AV24" s="18">
        <f>'TKm to VKm'!$V$50 + 'TKm to VKm'!$V$51*'Tkm, Vkm, &amp; Stock Projections'!AV14 -'TKm to VKm'!$W$31</f>
        <v>256.07598800281511</v>
      </c>
      <c r="AW24" s="18">
        <f>'TKm to VKm'!$V$50 + 'TKm to VKm'!$V$51*'Tkm, Vkm, &amp; Stock Projections'!AW14 -'TKm to VKm'!$W$31</f>
        <v>256.54286011916696</v>
      </c>
      <c r="AX24" s="18">
        <f>'TKm to VKm'!$V$50 + 'TKm to VKm'!$V$51*'Tkm, Vkm, &amp; Stock Projections'!AX14 -'TKm to VKm'!$W$31</f>
        <v>257.00940620428554</v>
      </c>
      <c r="AY24" s="18">
        <f>'TKm to VKm'!$V$50 + 'TKm to VKm'!$V$51*'Tkm, Vkm, &amp; Stock Projections'!AY14 -'TKm to VKm'!$W$31</f>
        <v>257.46362181602819</v>
      </c>
      <c r="AZ24" s="18">
        <f>'TKm to VKm'!$V$50 + 'TKm to VKm'!$V$51*'Tkm, Vkm, &amp; Stock Projections'!AZ14 -'TKm to VKm'!$W$31</f>
        <v>257.91897170871187</v>
      </c>
      <c r="BA24" s="18">
        <f>'TKm to VKm'!$V$50 + 'TKm to VKm'!$V$51*'Tkm, Vkm, &amp; Stock Projections'!BA14 -'TKm to VKm'!$W$31</f>
        <v>258.35526254259986</v>
      </c>
      <c r="BB24" s="18">
        <f>'TKm to VKm'!$V$50 + 'TKm to VKm'!$V$51*'Tkm, Vkm, &amp; Stock Projections'!BB14 -'TKm to VKm'!$W$31</f>
        <v>258.79206535899101</v>
      </c>
      <c r="BC24" s="18">
        <f>'TKm to VKm'!$V$50 + 'TKm to VKm'!$V$51*'Tkm, Vkm, &amp; Stock Projections'!BC14 -'TKm to VKm'!$W$31</f>
        <v>259.22783801452829</v>
      </c>
      <c r="BD24" s="18">
        <f>'TKm to VKm'!$V$50 + 'TKm to VKm'!$V$51*'Tkm, Vkm, &amp; Stock Projections'!BD14 -'TKm to VKm'!$W$31</f>
        <v>259.64930524416798</v>
      </c>
      <c r="BE24" s="18">
        <f>'TKm to VKm'!$V$50 + 'TKm to VKm'!$V$51*'Tkm, Vkm, &amp; Stock Projections'!BE14 -'TKm to VKm'!$W$31</f>
        <v>260.0756644304513</v>
      </c>
      <c r="BI24" s="47">
        <f t="shared" si="7"/>
        <v>0.17151200193896982</v>
      </c>
    </row>
    <row r="25" spans="1:62">
      <c r="A25" s="4" t="s">
        <v>70</v>
      </c>
      <c r="B25" s="86">
        <f>'[5]Survey Summary'!B29</f>
        <v>273</v>
      </c>
      <c r="C25" s="86">
        <f>'[5]Survey Summary'!C29</f>
        <v>313</v>
      </c>
      <c r="D25" s="86">
        <f>'[5]Survey Summary'!D29</f>
        <v>319</v>
      </c>
      <c r="E25" s="86">
        <f>'[5]Survey Summary'!E29</f>
        <v>391</v>
      </c>
      <c r="F25" s="86">
        <f>'[5]Survey Summary'!F29</f>
        <v>514</v>
      </c>
      <c r="G25" s="86">
        <f>'[5]Survey Summary'!G29</f>
        <v>584</v>
      </c>
      <c r="H25" s="86">
        <f>'[5]Survey Summary'!H29</f>
        <v>575</v>
      </c>
      <c r="I25" s="86">
        <f>'[5]Survey Summary'!I29</f>
        <v>644</v>
      </c>
      <c r="J25" s="86">
        <f>'[5]Survey Summary'!J29</f>
        <v>663</v>
      </c>
      <c r="K25" s="86">
        <f>'[5]Survey Summary'!K29</f>
        <v>700</v>
      </c>
      <c r="L25" s="86">
        <f>'[5]Survey Summary'!L29</f>
        <v>734</v>
      </c>
      <c r="M25" s="86">
        <f>'[5]Survey Summary'!M29</f>
        <v>758</v>
      </c>
      <c r="N25" s="86">
        <f>'[5]Survey Summary'!N29</f>
        <v>774</v>
      </c>
      <c r="O25" s="86">
        <f>'[5]Survey Summary'!O29</f>
        <v>577</v>
      </c>
      <c r="P25" s="86">
        <f>'[5]Survey Summary'!P29</f>
        <v>379</v>
      </c>
      <c r="Q25" s="86">
        <f>'[5]Survey Summary'!Q29</f>
        <v>350</v>
      </c>
      <c r="R25" s="98">
        <f>[6]Summary!E7</f>
        <v>235</v>
      </c>
      <c r="S25" s="98">
        <f>[6]Summary!F7</f>
        <v>210</v>
      </c>
      <c r="T25" s="98">
        <f>[6]Summary!G7</f>
        <v>263</v>
      </c>
      <c r="U25" s="98">
        <f>[6]Summary!H7</f>
        <v>316</v>
      </c>
      <c r="V25" s="98">
        <f>[6]Summary!I7</f>
        <v>354</v>
      </c>
      <c r="W25" s="98">
        <f>[6]Summary!J7</f>
        <v>366</v>
      </c>
      <c r="X25" s="98">
        <f>[6]Summary!K7</f>
        <v>365</v>
      </c>
      <c r="Y25" s="98">
        <f>[6]Summary!L7</f>
        <v>360</v>
      </c>
      <c r="Z25" s="99">
        <f>[6]Summary!M7</f>
        <v>356</v>
      </c>
      <c r="AA25" s="18">
        <f>'TKm to VKm'!$AF$50 + 'TKm to VKm'!$AF$51*'Tkm, Vkm, &amp; Stock Projections'!AA15 - 'TKm to VKm'!$AG$31</f>
        <v>356</v>
      </c>
      <c r="AB25" s="18">
        <f>'TKm to VKm'!$AF$50 + 'TKm to VKm'!$AF$51*'Tkm, Vkm, &amp; Stock Projections'!AB15 - 'TKm to VKm'!$AG$31</f>
        <v>365.19097759155483</v>
      </c>
      <c r="AC25" s="18">
        <f>'TKm to VKm'!$AF$50 + 'TKm to VKm'!$AF$51*'Tkm, Vkm, &amp; Stock Projections'!AC15 - 'TKm to VKm'!$AG$31</f>
        <v>360.65808747864384</v>
      </c>
      <c r="AD25" s="18">
        <f>'TKm to VKm'!$AF$50 + 'TKm to VKm'!$AF$51*'Tkm, Vkm, &amp; Stock Projections'!AD15 - 'TKm to VKm'!$AG$31</f>
        <v>353.35858483741754</v>
      </c>
      <c r="AE25" s="18">
        <f>'TKm to VKm'!$AF$50 + 'TKm to VKm'!$AF$51*'Tkm, Vkm, &amp; Stock Projections'!AE15 - 'TKm to VKm'!$AG$31</f>
        <v>344.98976547657611</v>
      </c>
      <c r="AF25" s="18">
        <f>'TKm to VKm'!$AF$50 + 'TKm to VKm'!$AF$51*'Tkm, Vkm, &amp; Stock Projections'!AF15 - 'TKm to VKm'!$AG$31</f>
        <v>337.97036665607988</v>
      </c>
      <c r="AG25" s="18">
        <f>'TKm to VKm'!$AF$50 + 'TKm to VKm'!$AF$51*'Tkm, Vkm, &amp; Stock Projections'!AG15 - 'TKm to VKm'!$AG$31</f>
        <v>346.0519880179001</v>
      </c>
      <c r="AH25" s="18">
        <f>'TKm to VKm'!$AF$50 + 'TKm to VKm'!$AF$51*'Tkm, Vkm, &amp; Stock Projections'!AH15 - 'TKm to VKm'!$AG$31</f>
        <v>349.15627806359788</v>
      </c>
      <c r="AI25" s="18">
        <f>'TKm to VKm'!$AF$50 + 'TKm to VKm'!$AF$51*'Tkm, Vkm, &amp; Stock Projections'!AI15 - 'TKm to VKm'!$AG$31</f>
        <v>351.77289713626368</v>
      </c>
      <c r="AJ25" s="18">
        <f>'TKm to VKm'!$AF$50 + 'TKm to VKm'!$AF$51*'Tkm, Vkm, &amp; Stock Projections'!AJ15 - 'TKm to VKm'!$AG$31</f>
        <v>354.93028874347829</v>
      </c>
      <c r="AK25" s="18">
        <f>'TKm to VKm'!$AF$50 + 'TKm to VKm'!$AF$51*'Tkm, Vkm, &amp; Stock Projections'!AK15 - 'TKm to VKm'!$AG$31</f>
        <v>358.60037605518886</v>
      </c>
      <c r="AL25" s="18">
        <f>'TKm to VKm'!$AF$50 + 'TKm to VKm'!$AF$51*'Tkm, Vkm, &amp; Stock Projections'!AL15 - 'TKm to VKm'!$AG$31</f>
        <v>356.83575153912983</v>
      </c>
      <c r="AM25" s="18">
        <f>'TKm to VKm'!$AF$50 + 'TKm to VKm'!$AF$51*'Tkm, Vkm, &amp; Stock Projections'!AM15 - 'TKm to VKm'!$AG$31</f>
        <v>355.02402064134395</v>
      </c>
      <c r="AN25" s="18">
        <f>'TKm to VKm'!$AF$50 + 'TKm to VKm'!$AF$51*'Tkm, Vkm, &amp; Stock Projections'!AN15 - 'TKm to VKm'!$AG$31</f>
        <v>353.22096255450396</v>
      </c>
      <c r="AO25" s="18">
        <f>'TKm to VKm'!$AF$50 + 'TKm to VKm'!$AF$51*'Tkm, Vkm, &amp; Stock Projections'!AO15 - 'TKm to VKm'!$AG$31</f>
        <v>351.37406574858437</v>
      </c>
      <c r="AP25" s="18">
        <f>'TKm to VKm'!$AF$50 + 'TKm to VKm'!$AF$51*'Tkm, Vkm, &amp; Stock Projections'!AP15 - 'TKm to VKm'!$AG$31</f>
        <v>349.53273024991364</v>
      </c>
      <c r="AQ25" s="18">
        <f>'TKm to VKm'!$AF$50 + 'TKm to VKm'!$AF$51*'Tkm, Vkm, &amp; Stock Projections'!AQ15 - 'TKm to VKm'!$AG$31</f>
        <v>351.41710860870984</v>
      </c>
      <c r="AR25" s="18">
        <f>'TKm to VKm'!$AF$50 + 'TKm to VKm'!$AF$51*'Tkm, Vkm, &amp; Stock Projections'!AR15 - 'TKm to VKm'!$AG$31</f>
        <v>353.3043995792828</v>
      </c>
      <c r="AS25" s="18">
        <f>'TKm to VKm'!$AF$50 + 'TKm to VKm'!$AF$51*'Tkm, Vkm, &amp; Stock Projections'!AS15 - 'TKm to VKm'!$AG$31</f>
        <v>355.20792060371735</v>
      </c>
      <c r="AT25" s="18">
        <f>'TKm to VKm'!$AF$50 + 'TKm to VKm'!$AF$51*'Tkm, Vkm, &amp; Stock Projections'!AT15 - 'TKm to VKm'!$AG$31</f>
        <v>357.10887642561664</v>
      </c>
      <c r="AU25" s="18">
        <f>'TKm to VKm'!$AF$50 + 'TKm to VKm'!$AF$51*'Tkm, Vkm, &amp; Stock Projections'!AU15 - 'TKm to VKm'!$AG$31</f>
        <v>359.01378966114549</v>
      </c>
      <c r="AV25" s="18">
        <f>'TKm to VKm'!$AF$50 + 'TKm to VKm'!$AF$51*'Tkm, Vkm, &amp; Stock Projections'!AV15 - 'TKm to VKm'!$AG$31</f>
        <v>360.91704070816058</v>
      </c>
      <c r="AW25" s="18">
        <f>'TKm to VKm'!$AF$50 + 'TKm to VKm'!$AF$51*'Tkm, Vkm, &amp; Stock Projections'!AW15 - 'TKm to VKm'!$AG$31</f>
        <v>362.8240379757105</v>
      </c>
      <c r="AX25" s="18">
        <f>'TKm to VKm'!$AF$50 + 'TKm to VKm'!$AF$51*'Tkm, Vkm, &amp; Stock Projections'!AX15 - 'TKm to VKm'!$AG$31</f>
        <v>364.74402702243208</v>
      </c>
      <c r="AY25" s="18">
        <f>'TKm to VKm'!$AF$50 + 'TKm to VKm'!$AF$51*'Tkm, Vkm, &amp; Stock Projections'!AY15 - 'TKm to VKm'!$AG$31</f>
        <v>366.65660910892456</v>
      </c>
      <c r="AZ25" s="18">
        <f>'TKm to VKm'!$AF$50 + 'TKm to VKm'!$AF$51*'Tkm, Vkm, &amp; Stock Projections'!AZ15 - 'TKm to VKm'!$AG$31</f>
        <v>368.58464055343126</v>
      </c>
      <c r="BA25" s="18">
        <f>'TKm to VKm'!$AF$50 + 'TKm to VKm'!$AF$51*'Tkm, Vkm, &amp; Stock Projections'!BA15 - 'TKm to VKm'!$AG$31</f>
        <v>370.49344321128609</v>
      </c>
      <c r="BB25" s="18">
        <f>'TKm to VKm'!$AF$50 + 'TKm to VKm'!$AF$51*'Tkm, Vkm, &amp; Stock Projections'!BB15 - 'TKm to VKm'!$AG$31</f>
        <v>372.41650219101319</v>
      </c>
      <c r="BC25" s="18">
        <f>'TKm to VKm'!$AF$50 + 'TKm to VKm'!$AF$51*'Tkm, Vkm, &amp; Stock Projections'!BC15 - 'TKm to VKm'!$AG$31</f>
        <v>374.3512330057543</v>
      </c>
      <c r="BD25" s="18">
        <f>'TKm to VKm'!$AF$50 + 'TKm to VKm'!$AF$51*'Tkm, Vkm, &amp; Stock Projections'!BD15 - 'TKm to VKm'!$AG$31</f>
        <v>376.27447437032345</v>
      </c>
      <c r="BE25" s="18">
        <f>'TKm to VKm'!$AF$50 + 'TKm to VKm'!$AF$51*'Tkm, Vkm, &amp; Stock Projections'!BE15 - 'TKm to VKm'!$AG$31</f>
        <v>378.21968491143815</v>
      </c>
      <c r="BI25" s="47">
        <f t="shared" si="7"/>
        <v>6.241484525684874E-2</v>
      </c>
    </row>
    <row r="26" spans="1:62" ht="16" thickBot="1">
      <c r="A26" s="4" t="s">
        <v>71</v>
      </c>
      <c r="B26" s="86">
        <f>'[5]Survey Summary'!B30</f>
        <v>105</v>
      </c>
      <c r="C26" s="86">
        <f>'[5]Survey Summary'!C30</f>
        <v>118</v>
      </c>
      <c r="D26" s="86">
        <f>'[5]Survey Summary'!D30</f>
        <v>141</v>
      </c>
      <c r="E26" s="86">
        <f>'[5]Survey Summary'!E30</f>
        <v>172</v>
      </c>
      <c r="F26" s="86">
        <f>'[5]Survey Summary'!F30</f>
        <v>233</v>
      </c>
      <c r="G26" s="86">
        <f>'[5]Survey Summary'!G30</f>
        <v>321</v>
      </c>
      <c r="H26" s="86">
        <f>'[5]Survey Summary'!H30</f>
        <v>327</v>
      </c>
      <c r="I26" s="86">
        <f>'[5]Survey Summary'!I30</f>
        <v>382</v>
      </c>
      <c r="J26" s="86">
        <f>'[5]Survey Summary'!J30</f>
        <v>459</v>
      </c>
      <c r="K26" s="86">
        <f>'[5]Survey Summary'!K30</f>
        <v>510</v>
      </c>
      <c r="L26" s="86">
        <f>'[5]Survey Summary'!L30</f>
        <v>564</v>
      </c>
      <c r="M26" s="86">
        <f>'[5]Survey Summary'!M30</f>
        <v>662</v>
      </c>
      <c r="N26" s="86">
        <f>'[5]Survey Summary'!N30</f>
        <v>714</v>
      </c>
      <c r="O26" s="86">
        <f>'[5]Survey Summary'!O30</f>
        <v>732</v>
      </c>
      <c r="P26" s="86">
        <f>'[5]Survey Summary'!P30</f>
        <v>527</v>
      </c>
      <c r="Q26" s="86">
        <f>'[5]Survey Summary'!Q30</f>
        <v>510</v>
      </c>
      <c r="R26" s="102">
        <f>[6]Summary!E8</f>
        <v>378</v>
      </c>
      <c r="S26" s="98">
        <f>[6]Summary!F8</f>
        <v>355</v>
      </c>
      <c r="T26" s="98">
        <f>[6]Summary!G8</f>
        <v>454</v>
      </c>
      <c r="U26" s="98">
        <f>[6]Summary!H8</f>
        <v>574</v>
      </c>
      <c r="V26" s="98">
        <f>[6]Summary!I8</f>
        <v>604</v>
      </c>
      <c r="W26" s="98">
        <f>[6]Summary!J8</f>
        <v>662</v>
      </c>
      <c r="X26" s="98">
        <f>[6]Summary!K8</f>
        <v>728</v>
      </c>
      <c r="Y26" s="98">
        <f>[6]Summary!L8</f>
        <v>780</v>
      </c>
      <c r="Z26" s="99">
        <f>[6]Summary!M8</f>
        <v>830</v>
      </c>
      <c r="AA26" s="18">
        <f>'TKm to VKm'!$AS$50 + 'TKm to VKm'!$AS$51*'Tkm, Vkm, &amp; Stock Projections'!AA16 - 'TKm to VKm'!$AT$31</f>
        <v>830</v>
      </c>
      <c r="AB26" s="18">
        <f>'TKm to VKm'!$AS$50 + 'TKm to VKm'!$AS$51*'Tkm, Vkm, &amp; Stock Projections'!AB16 - 'TKm to VKm'!$AT$31</f>
        <v>911.28999791932802</v>
      </c>
      <c r="AC26" s="18">
        <f>'TKm to VKm'!$AS$50 + 'TKm to VKm'!$AS$51*'Tkm, Vkm, &amp; Stock Projections'!AC16 - 'TKm to VKm'!$AT$31</f>
        <v>948.48172557074236</v>
      </c>
      <c r="AD26" s="18">
        <f>'TKm to VKm'!$AS$50 + 'TKm to VKm'!$AS$51*'Tkm, Vkm, &amp; Stock Projections'!AD16 - 'TKm to VKm'!$AT$31</f>
        <v>975.88319851474034</v>
      </c>
      <c r="AE26" s="18">
        <f>'TKm to VKm'!$AS$50 + 'TKm to VKm'!$AS$51*'Tkm, Vkm, &amp; Stock Projections'!AE16 - 'TKm to VKm'!$AT$31</f>
        <v>998.54677539197655</v>
      </c>
      <c r="AF26" s="18">
        <f>'TKm to VKm'!$AS$50 + 'TKm to VKm'!$AS$51*'Tkm, Vkm, &amp; Stock Projections'!AF16 - 'TKm to VKm'!$AT$31</f>
        <v>1026.5063820246096</v>
      </c>
      <c r="AG26" s="18">
        <f>'TKm to VKm'!$AS$50 + 'TKm to VKm'!$AS$51*'Tkm, Vkm, &amp; Stock Projections'!AG16 - 'TKm to VKm'!$AT$31</f>
        <v>1087.8585391993502</v>
      </c>
      <c r="AH26" s="18">
        <f>'TKm to VKm'!$AS$50 + 'TKm to VKm'!$AS$51*'Tkm, Vkm, &amp; Stock Projections'!AH16 - 'TKm to VKm'!$AT$31</f>
        <v>1127.6907013932494</v>
      </c>
      <c r="AI26" s="18">
        <f>'TKm to VKm'!$AS$50 + 'TKm to VKm'!$AS$51*'Tkm, Vkm, &amp; Stock Projections'!AI16 - 'TKm to VKm'!$AT$31</f>
        <v>1166.4988992258341</v>
      </c>
      <c r="AJ26" s="18">
        <f>'TKm to VKm'!$AS$50 + 'TKm to VKm'!$AS$51*'Tkm, Vkm, &amp; Stock Projections'!AJ16 - 'TKm to VKm'!$AT$31</f>
        <v>1209.3675640219647</v>
      </c>
      <c r="AK26" s="18">
        <f>'TKm to VKm'!$AS$50 + 'TKm to VKm'!$AS$51*'Tkm, Vkm, &amp; Stock Projections'!AK16 - 'TKm to VKm'!$AT$31</f>
        <v>1256.4013013477938</v>
      </c>
      <c r="AL26" s="18">
        <f>'TKm to VKm'!$AS$50 + 'TKm to VKm'!$AS$51*'Tkm, Vkm, &amp; Stock Projections'!AL16 - 'TKm to VKm'!$AT$31</f>
        <v>1276.0925396792579</v>
      </c>
      <c r="AM26" s="18">
        <f>'TKm to VKm'!$AS$50 + 'TKm to VKm'!$AS$51*'Tkm, Vkm, &amp; Stock Projections'!AM16 - 'TKm to VKm'!$AT$31</f>
        <v>1295.7864583603334</v>
      </c>
      <c r="AN26" s="18">
        <f>'TKm to VKm'!$AS$50 + 'TKm to VKm'!$AS$51*'Tkm, Vkm, &amp; Stock Projections'!AN16 - 'TKm to VKm'!$AT$31</f>
        <v>1315.7771347598934</v>
      </c>
      <c r="AO26" s="18">
        <f>'TKm to VKm'!$AS$50 + 'TKm to VKm'!$AS$51*'Tkm, Vkm, &amp; Stock Projections'!AO16 - 'TKm to VKm'!$AT$31</f>
        <v>1335.7658730364126</v>
      </c>
      <c r="AP26" s="18">
        <f>'TKm to VKm'!$AS$50 + 'TKm to VKm'!$AS$51*'Tkm, Vkm, &amp; Stock Projections'!AP16 - 'TKm to VKm'!$AT$31</f>
        <v>1356.0249059879047</v>
      </c>
      <c r="AQ26" s="18">
        <f>'TKm to VKm'!$AS$50 + 'TKm to VKm'!$AS$51*'Tkm, Vkm, &amp; Stock Projections'!AQ16 - 'TKm to VKm'!$AT$31</f>
        <v>1373.4378802721708</v>
      </c>
      <c r="AR26" s="18">
        <f>'TKm to VKm'!$AS$50 + 'TKm to VKm'!$AS$51*'Tkm, Vkm, &amp; Stock Projections'!AR16 - 'TKm to VKm'!$AT$31</f>
        <v>1391.0111819593346</v>
      </c>
      <c r="AS26" s="18">
        <f>'TKm to VKm'!$AS$50 + 'TKm to VKm'!$AS$51*'Tkm, Vkm, &amp; Stock Projections'!AS16 - 'TKm to VKm'!$AT$31</f>
        <v>1408.8258654307838</v>
      </c>
      <c r="AT26" s="18">
        <f>'TKm to VKm'!$AS$50 + 'TKm to VKm'!$AS$51*'Tkm, Vkm, &amp; Stock Projections'!AT16 - 'TKm to VKm'!$AT$31</f>
        <v>1426.7712050385403</v>
      </c>
      <c r="AU26" s="18">
        <f>'TKm to VKm'!$AS$50 + 'TKm to VKm'!$AS$51*'Tkm, Vkm, &amp; Stock Projections'!AU16 - 'TKm to VKm'!$AT$31</f>
        <v>1444.8874608028086</v>
      </c>
      <c r="AV26" s="18">
        <f>'TKm to VKm'!$AS$50 + 'TKm to VKm'!$AS$51*'Tkm, Vkm, &amp; Stock Projections'!AV16 - 'TKm to VKm'!$AT$31</f>
        <v>1463.1418320931086</v>
      </c>
      <c r="AW26" s="18">
        <f>'TKm to VKm'!$AS$50 + 'TKm to VKm'!$AS$51*'Tkm, Vkm, &amp; Stock Projections'!AW16 - 'TKm to VKm'!$AT$31</f>
        <v>1481.5682574325876</v>
      </c>
      <c r="AX26" s="18">
        <f>'TKm to VKm'!$AS$50 + 'TKm to VKm'!$AS$51*'Tkm, Vkm, &amp; Stock Projections'!AX16 - 'TKm to VKm'!$AT$31</f>
        <v>1500.2249148544188</v>
      </c>
      <c r="AY26" s="18">
        <f>'TKm to VKm'!$AS$50 + 'TKm to VKm'!$AS$51*'Tkm, Vkm, &amp; Stock Projections'!AY16 - 'TKm to VKm'!$AT$31</f>
        <v>1518.9881004713284</v>
      </c>
      <c r="AZ26" s="18">
        <f>'TKm to VKm'!$AS$50 + 'TKm to VKm'!$AS$51*'Tkm, Vkm, &amp; Stock Projections'!AZ16 - 'TKm to VKm'!$AT$31</f>
        <v>1538.000008127505</v>
      </c>
      <c r="BA26" s="18">
        <f>'TKm to VKm'!$AS$50 + 'TKm to VKm'!$AS$51*'Tkm, Vkm, &amp; Stock Projections'!BA16 - 'TKm to VKm'!$AT$31</f>
        <v>1557.0468812261645</v>
      </c>
      <c r="BB26" s="18">
        <f>'TKm to VKm'!$AS$50 + 'TKm to VKm'!$AS$51*'Tkm, Vkm, &amp; Stock Projections'!BB16 - 'TKm to VKm'!$AT$31</f>
        <v>1576.3378528802407</v>
      </c>
      <c r="BC26" s="18">
        <f>'TKm to VKm'!$AS$50 + 'TKm to VKm'!$AS$51*'Tkm, Vkm, &amp; Stock Projections'!BC16 - 'TKm to VKm'!$AT$31</f>
        <v>1595.8590561227927</v>
      </c>
      <c r="BD26" s="18">
        <f>'TKm to VKm'!$AS$50 + 'TKm to VKm'!$AS$51*'Tkm, Vkm, &amp; Stock Projections'!BD16 - 'TKm to VKm'!$AT$31</f>
        <v>1615.4660666661021</v>
      </c>
      <c r="BE26" s="18">
        <f>'TKm to VKm'!$AS$50 + 'TKm to VKm'!$AS$51*'Tkm, Vkm, &amp; Stock Projections'!BE16 - 'TKm to VKm'!$AT$31</f>
        <v>1635.3717443937294</v>
      </c>
      <c r="BI26" s="47">
        <f>(BE26-AA26)/AA26</f>
        <v>0.97032740288401131</v>
      </c>
    </row>
    <row r="27" spans="1:62" ht="17" thickTop="1" thickBot="1">
      <c r="A27" s="6" t="s">
        <v>29</v>
      </c>
      <c r="B27" s="7">
        <f>SUM(B22:B26)</f>
        <v>974</v>
      </c>
      <c r="C27" s="7">
        <f t="shared" ref="C27:BE27" si="8">SUM(C22:C26)</f>
        <v>1175</v>
      </c>
      <c r="D27" s="7">
        <f t="shared" si="8"/>
        <v>1208</v>
      </c>
      <c r="E27" s="7">
        <f t="shared" si="8"/>
        <v>1343</v>
      </c>
      <c r="F27" s="7">
        <f t="shared" si="8"/>
        <v>1452</v>
      </c>
      <c r="G27" s="7">
        <f t="shared" si="8"/>
        <v>1656</v>
      </c>
      <c r="H27" s="7">
        <f t="shared" si="8"/>
        <v>1668</v>
      </c>
      <c r="I27" s="7">
        <f t="shared" si="8"/>
        <v>1972</v>
      </c>
      <c r="J27" s="7">
        <f t="shared" si="8"/>
        <v>2142</v>
      </c>
      <c r="K27" s="7">
        <f t="shared" si="8"/>
        <v>2342</v>
      </c>
      <c r="L27" s="7">
        <f t="shared" si="8"/>
        <v>2567</v>
      </c>
      <c r="M27" s="7">
        <f t="shared" si="8"/>
        <v>2523</v>
      </c>
      <c r="N27" s="7">
        <f t="shared" si="8"/>
        <v>2663</v>
      </c>
      <c r="O27" s="7">
        <f t="shared" si="8"/>
        <v>3097</v>
      </c>
      <c r="P27" s="7">
        <f t="shared" si="8"/>
        <v>2706</v>
      </c>
      <c r="Q27" s="7">
        <f t="shared" si="8"/>
        <v>2468</v>
      </c>
      <c r="R27" s="7">
        <f t="shared" si="8"/>
        <v>2233</v>
      </c>
      <c r="S27" s="7">
        <f t="shared" si="8"/>
        <v>2075</v>
      </c>
      <c r="T27" s="7">
        <f t="shared" si="8"/>
        <v>2225</v>
      </c>
      <c r="U27" s="7">
        <f t="shared" si="8"/>
        <v>2640</v>
      </c>
      <c r="V27" s="7">
        <f t="shared" si="8"/>
        <v>2829</v>
      </c>
      <c r="W27" s="7">
        <f t="shared" si="8"/>
        <v>2977</v>
      </c>
      <c r="X27" s="7">
        <f t="shared" si="8"/>
        <v>3353</v>
      </c>
      <c r="Y27" s="7">
        <f t="shared" si="8"/>
        <v>3571</v>
      </c>
      <c r="Z27" s="12">
        <f t="shared" si="8"/>
        <v>3785</v>
      </c>
      <c r="AA27" s="7">
        <f t="shared" si="8"/>
        <v>3785</v>
      </c>
      <c r="AB27" s="7">
        <f t="shared" si="8"/>
        <v>4222.1062452035703</v>
      </c>
      <c r="AC27" s="7">
        <f t="shared" si="8"/>
        <v>4376.8755313566053</v>
      </c>
      <c r="AD27" s="7">
        <f t="shared" si="8"/>
        <v>4470.3326905502436</v>
      </c>
      <c r="AE27" s="7">
        <f t="shared" si="8"/>
        <v>4535.4824199339782</v>
      </c>
      <c r="AF27" s="7">
        <f t="shared" si="8"/>
        <v>4632.9243903146198</v>
      </c>
      <c r="AG27" s="7">
        <f t="shared" si="8"/>
        <v>4968.9030499433538</v>
      </c>
      <c r="AH27" s="7">
        <f t="shared" si="8"/>
        <v>5176.1421592956649</v>
      </c>
      <c r="AI27" s="7">
        <f t="shared" si="8"/>
        <v>5376.0455355378763</v>
      </c>
      <c r="AJ27" s="7">
        <f t="shared" si="8"/>
        <v>5598.3021538766661</v>
      </c>
      <c r="AK27" s="7">
        <f t="shared" si="8"/>
        <v>5843.2837171142346</v>
      </c>
      <c r="AL27" s="7">
        <f t="shared" si="8"/>
        <v>5929.2397008016496</v>
      </c>
      <c r="AM27" s="7">
        <f t="shared" si="8"/>
        <v>6015.0672640157418</v>
      </c>
      <c r="AN27" s="7">
        <f t="shared" si="8"/>
        <v>6102.4704786183147</v>
      </c>
      <c r="AO27" s="7">
        <f t="shared" si="8"/>
        <v>6189.7520467689319</v>
      </c>
      <c r="AP27" s="7">
        <f t="shared" si="8"/>
        <v>6278.4790331577242</v>
      </c>
      <c r="AQ27" s="7">
        <f t="shared" si="8"/>
        <v>6368.5857791456092</v>
      </c>
      <c r="AR27" s="7">
        <f t="shared" si="8"/>
        <v>6459.4507383257314</v>
      </c>
      <c r="AS27" s="7">
        <f t="shared" si="8"/>
        <v>6551.5317781278491</v>
      </c>
      <c r="AT27" s="7">
        <f t="shared" si="8"/>
        <v>6644.202040991122</v>
      </c>
      <c r="AU27" s="7">
        <f t="shared" si="8"/>
        <v>6737.6889821022687</v>
      </c>
      <c r="AV27" s="7">
        <f t="shared" si="8"/>
        <v>6831.8075578673261</v>
      </c>
      <c r="AW27" s="7">
        <f t="shared" si="8"/>
        <v>6926.7490541068964</v>
      </c>
      <c r="AX27" s="7">
        <f t="shared" si="8"/>
        <v>7022.8401248307637</v>
      </c>
      <c r="AY27" s="7">
        <f t="shared" si="8"/>
        <v>7119.3851193048413</v>
      </c>
      <c r="AZ27" s="7">
        <f t="shared" si="8"/>
        <v>7217.1823254420488</v>
      </c>
      <c r="BA27" s="7">
        <f t="shared" si="8"/>
        <v>7315.0330514332836</v>
      </c>
      <c r="BB27" s="7">
        <f t="shared" si="8"/>
        <v>7414.1096866150338</v>
      </c>
      <c r="BC27" s="7">
        <f t="shared" si="8"/>
        <v>7514.3333595512804</v>
      </c>
      <c r="BD27" s="7">
        <f t="shared" si="8"/>
        <v>7614.8967846123824</v>
      </c>
      <c r="BE27" s="8">
        <f t="shared" si="8"/>
        <v>7716.9885138919744</v>
      </c>
      <c r="BI27" s="47">
        <f>(BE27-AA27)/AA27</f>
        <v>1.0388344818737052</v>
      </c>
    </row>
    <row r="28" spans="1:62">
      <c r="A28" s="1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>
        <f>SUM(V23:V26) +V39</f>
        <v>1601.5708926971247</v>
      </c>
      <c r="W28" s="1"/>
      <c r="X28" s="1"/>
      <c r="Y28" s="1"/>
      <c r="Z28" s="1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>
        <f>(AK27-AA27)/AA27</f>
        <v>0.54380018946214914</v>
      </c>
      <c r="AL28" s="1"/>
      <c r="AM28" s="1"/>
      <c r="AN28" s="1"/>
      <c r="AO28" s="1"/>
      <c r="AP28" s="1">
        <f>SUM(AP23:AP26) +AP39</f>
        <v>3153.1510409065754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5"/>
    </row>
    <row r="29" spans="1:62" ht="14.5" customHeight="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145" t="s">
        <v>113</v>
      </c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>
        <f>(((SUM(AK23,AK24,AK25,AK26,AK39))-(SUM(AA23,AA24,AA25,AA26,AA39)))/(SUM(AA23,AA24,AA25,AA26,AA39)))</f>
        <v>0.42568418521504742</v>
      </c>
    </row>
    <row r="30" spans="1:62" ht="27.5" hidden="1" customHeight="1">
      <c r="A30" s="34" t="s">
        <v>114</v>
      </c>
      <c r="B30" s="2">
        <v>1995</v>
      </c>
      <c r="C30" s="2">
        <v>1996</v>
      </c>
      <c r="D30" s="2">
        <v>1997</v>
      </c>
      <c r="E30" s="2">
        <v>1998</v>
      </c>
      <c r="F30" s="2">
        <v>1999</v>
      </c>
      <c r="G30" s="2">
        <v>2000</v>
      </c>
      <c r="H30" s="2">
        <v>2001</v>
      </c>
      <c r="I30" s="2">
        <v>2002</v>
      </c>
      <c r="J30" s="2">
        <v>2003</v>
      </c>
      <c r="K30" s="2">
        <v>2004</v>
      </c>
      <c r="L30" s="2">
        <v>2005</v>
      </c>
      <c r="M30" s="2">
        <v>2006</v>
      </c>
      <c r="N30" s="2">
        <v>2007</v>
      </c>
      <c r="O30" s="2">
        <v>2008</v>
      </c>
      <c r="P30" s="2">
        <v>2009</v>
      </c>
      <c r="Q30" s="2">
        <v>2010</v>
      </c>
      <c r="R30" s="2">
        <v>2011</v>
      </c>
      <c r="S30" s="2">
        <v>2012</v>
      </c>
      <c r="T30" s="2">
        <v>2013</v>
      </c>
      <c r="U30" s="2">
        <v>2014</v>
      </c>
      <c r="V30" s="2">
        <v>2015</v>
      </c>
      <c r="W30" s="2">
        <v>2016</v>
      </c>
      <c r="X30" s="2">
        <v>2017</v>
      </c>
      <c r="Y30" s="2">
        <v>2018</v>
      </c>
      <c r="Z30" s="10">
        <v>2019</v>
      </c>
      <c r="AA30" s="2">
        <v>2020</v>
      </c>
      <c r="AB30" s="2">
        <v>2021</v>
      </c>
      <c r="AC30" s="2">
        <v>2022</v>
      </c>
      <c r="AD30" s="2">
        <v>2023</v>
      </c>
      <c r="AE30" s="2">
        <v>2024</v>
      </c>
      <c r="AF30" s="2">
        <v>2025</v>
      </c>
      <c r="AG30" s="26"/>
      <c r="AH30" s="2">
        <v>2027</v>
      </c>
      <c r="AI30" s="2">
        <v>2028</v>
      </c>
      <c r="AJ30" s="2">
        <v>2029</v>
      </c>
      <c r="AK30" s="2">
        <v>2030</v>
      </c>
      <c r="AL30" s="2">
        <v>2031</v>
      </c>
      <c r="AM30" s="2">
        <v>2032</v>
      </c>
      <c r="AN30" s="2">
        <v>2033</v>
      </c>
      <c r="AO30" s="2">
        <v>2034</v>
      </c>
      <c r="AP30" s="2">
        <v>2035</v>
      </c>
      <c r="AQ30" s="2">
        <v>2036</v>
      </c>
      <c r="AR30" s="2">
        <v>2037</v>
      </c>
      <c r="AS30" s="2">
        <v>2038</v>
      </c>
      <c r="AT30" s="2">
        <v>2039</v>
      </c>
      <c r="AU30" s="2">
        <v>2040</v>
      </c>
      <c r="AV30" s="2">
        <v>2041</v>
      </c>
      <c r="AW30" s="2">
        <v>2042</v>
      </c>
      <c r="AX30" s="2">
        <v>2043</v>
      </c>
      <c r="AY30" s="2">
        <v>2044</v>
      </c>
      <c r="AZ30" s="2">
        <v>2045</v>
      </c>
      <c r="BA30" s="2">
        <v>2046</v>
      </c>
      <c r="BB30" s="2">
        <v>2047</v>
      </c>
      <c r="BC30" s="2">
        <v>2048</v>
      </c>
      <c r="BD30" s="2">
        <v>2049</v>
      </c>
      <c r="BE30" s="3">
        <v>2050</v>
      </c>
      <c r="BF30" s="1"/>
      <c r="BG30" s="1"/>
      <c r="BH30" s="1"/>
      <c r="BI30" s="1"/>
      <c r="BJ30" s="5"/>
    </row>
    <row r="31" spans="1:62" ht="16" hidden="1">
      <c r="A31" s="71" t="s">
        <v>115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O31" s="1">
        <f>[6]Summary!B4</f>
        <v>1422</v>
      </c>
      <c r="P31" s="1">
        <f>[6]Summary!C4</f>
        <v>1530</v>
      </c>
      <c r="Q31" s="1">
        <f>[6]Summary!D4</f>
        <v>1362</v>
      </c>
      <c r="R31" s="1">
        <f>[6]Summary!E4</f>
        <v>1354</v>
      </c>
      <c r="S31" s="1">
        <f>[6]Summary!F4</f>
        <v>1267</v>
      </c>
      <c r="T31" s="1">
        <f>[6]Summary!G4</f>
        <v>1238</v>
      </c>
      <c r="U31" s="1">
        <f>[6]Summary!H4</f>
        <v>1432</v>
      </c>
      <c r="V31" s="1">
        <f>[6]Summary!I4</f>
        <v>1552</v>
      </c>
      <c r="W31" s="1">
        <f>[6]Summary!J4</f>
        <v>1622</v>
      </c>
      <c r="X31" s="1">
        <f>[6]Summary!K4</f>
        <v>1942</v>
      </c>
      <c r="Y31" s="1">
        <f>[6]Summary!L4</f>
        <v>2098</v>
      </c>
      <c r="Z31" s="11">
        <f>[6]Summary!M4</f>
        <v>2266</v>
      </c>
      <c r="AF31" s="1"/>
      <c r="AG31" s="84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5"/>
    </row>
    <row r="32" spans="1:62" ht="16" hidden="1">
      <c r="A32" s="22" t="s">
        <v>68</v>
      </c>
      <c r="B32" s="82"/>
      <c r="C32" s="82"/>
      <c r="D32" s="82"/>
      <c r="E32" s="82"/>
      <c r="F32" s="82"/>
      <c r="G32" s="1"/>
      <c r="H32" s="1"/>
      <c r="I32" s="1"/>
      <c r="J32" s="1"/>
      <c r="K32" s="1"/>
      <c r="L32" s="1"/>
      <c r="M32" s="1"/>
      <c r="O32" s="1">
        <f>[6]Summary!B5</f>
        <v>141</v>
      </c>
      <c r="P32" s="1">
        <f>[6]Summary!C5</f>
        <v>142</v>
      </c>
      <c r="Q32" s="1">
        <f>[6]Summary!D5</f>
        <v>119</v>
      </c>
      <c r="R32" s="1">
        <f>[6]Summary!E5</f>
        <v>110</v>
      </c>
      <c r="S32" s="1">
        <f>[6]Summary!F5</f>
        <v>97</v>
      </c>
      <c r="T32" s="1">
        <f>[6]Summary!G5</f>
        <v>107</v>
      </c>
      <c r="U32" s="1">
        <f>[6]Summary!H5</f>
        <v>124</v>
      </c>
      <c r="V32" s="1">
        <f>[6]Summary!I5</f>
        <v>123</v>
      </c>
      <c r="W32" s="1">
        <f>[6]Summary!J5</f>
        <v>123</v>
      </c>
      <c r="X32" s="1">
        <f>[6]Summary!K5</f>
        <v>113</v>
      </c>
      <c r="Y32" s="1">
        <f>[6]Summary!L5</f>
        <v>113</v>
      </c>
      <c r="Z32" s="11">
        <f>[6]Summary!M5</f>
        <v>111</v>
      </c>
      <c r="AF32" s="1"/>
      <c r="AG32" s="26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5"/>
    </row>
    <row r="33" spans="1:62" ht="16" hidden="1">
      <c r="A33" s="22" t="s">
        <v>69</v>
      </c>
      <c r="B33" s="82"/>
      <c r="C33" s="82"/>
      <c r="D33" s="82"/>
      <c r="E33" s="82"/>
      <c r="F33" s="82"/>
      <c r="G33" s="1"/>
      <c r="H33" s="1"/>
      <c r="I33" s="1"/>
      <c r="J33" s="1"/>
      <c r="K33" s="1"/>
      <c r="L33" s="1"/>
      <c r="M33" s="1"/>
      <c r="O33" s="1">
        <f>[6]Summary!B6</f>
        <v>214</v>
      </c>
      <c r="P33" s="1">
        <f>[6]Summary!C6</f>
        <v>202</v>
      </c>
      <c r="Q33" s="1">
        <f>[6]Summary!D6</f>
        <v>163</v>
      </c>
      <c r="R33" s="1">
        <f>[6]Summary!E6</f>
        <v>156</v>
      </c>
      <c r="S33" s="1">
        <f>[6]Summary!F6</f>
        <v>146</v>
      </c>
      <c r="T33" s="1">
        <f>[6]Summary!G6</f>
        <v>163</v>
      </c>
      <c r="U33" s="1">
        <f>[6]Summary!H6</f>
        <v>194</v>
      </c>
      <c r="V33" s="1">
        <f>[6]Summary!I6</f>
        <v>196</v>
      </c>
      <c r="W33" s="1">
        <f>[6]Summary!J6</f>
        <v>204</v>
      </c>
      <c r="X33" s="1">
        <f>[6]Summary!K6</f>
        <v>205</v>
      </c>
      <c r="Y33" s="1">
        <f>[6]Summary!L6</f>
        <v>220</v>
      </c>
      <c r="Z33" s="11">
        <f>[6]Summary!M6</f>
        <v>222</v>
      </c>
      <c r="AF33" s="1"/>
      <c r="AG33" s="26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5"/>
    </row>
    <row r="34" spans="1:62" ht="16" hidden="1">
      <c r="A34" s="22" t="s">
        <v>70</v>
      </c>
      <c r="B34" s="82"/>
      <c r="C34" s="82"/>
      <c r="D34" s="82"/>
      <c r="E34" s="82"/>
      <c r="F34" s="82"/>
      <c r="G34" s="1"/>
      <c r="H34" s="1"/>
      <c r="I34" s="1"/>
      <c r="J34" s="1"/>
      <c r="K34" s="1"/>
      <c r="L34" s="1"/>
      <c r="M34" s="1"/>
      <c r="O34" s="1">
        <f>[6]Summary!B7</f>
        <v>451</v>
      </c>
      <c r="P34" s="1">
        <f>[6]Summary!C7</f>
        <v>326</v>
      </c>
      <c r="Q34" s="1">
        <f>[6]Summary!D7</f>
        <v>269</v>
      </c>
      <c r="R34" s="1">
        <f>[6]Summary!E7</f>
        <v>235</v>
      </c>
      <c r="S34" s="1">
        <f>[6]Summary!F7</f>
        <v>210</v>
      </c>
      <c r="T34" s="1">
        <f>[6]Summary!G7</f>
        <v>263</v>
      </c>
      <c r="U34" s="1">
        <f>[6]Summary!H7</f>
        <v>316</v>
      </c>
      <c r="V34" s="1">
        <f>[6]Summary!I7</f>
        <v>354</v>
      </c>
      <c r="W34" s="1">
        <f>[6]Summary!J7</f>
        <v>366</v>
      </c>
      <c r="X34" s="1">
        <f>[6]Summary!K7</f>
        <v>365</v>
      </c>
      <c r="Y34" s="1">
        <f>[6]Summary!L7</f>
        <v>360</v>
      </c>
      <c r="Z34" s="11">
        <f>[6]Summary!M7</f>
        <v>356</v>
      </c>
      <c r="AF34" s="1"/>
      <c r="AG34" s="26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5"/>
    </row>
    <row r="35" spans="1:62" ht="16" hidden="1">
      <c r="A35" s="22" t="s">
        <v>71</v>
      </c>
      <c r="B35" s="82"/>
      <c r="C35" s="82"/>
      <c r="D35" s="82"/>
      <c r="E35" s="82"/>
      <c r="F35" s="82"/>
      <c r="G35" s="1"/>
      <c r="H35" s="1"/>
      <c r="I35" s="1"/>
      <c r="J35" s="1"/>
      <c r="K35" s="1"/>
      <c r="L35" s="1"/>
      <c r="M35" s="1"/>
      <c r="O35" s="1">
        <f>[6]Summary!B8</f>
        <v>591</v>
      </c>
      <c r="P35" s="1">
        <f>[6]Summary!C8</f>
        <v>478</v>
      </c>
      <c r="Q35" s="1">
        <f>[6]Summary!D8</f>
        <v>390</v>
      </c>
      <c r="R35" s="1">
        <f>[6]Summary!E8</f>
        <v>378</v>
      </c>
      <c r="S35" s="1">
        <f>[6]Summary!F8</f>
        <v>355</v>
      </c>
      <c r="T35" s="1">
        <f>[6]Summary!G8</f>
        <v>454</v>
      </c>
      <c r="U35" s="1">
        <f>[6]Summary!H8</f>
        <v>574</v>
      </c>
      <c r="V35" s="1">
        <f>[6]Summary!I8</f>
        <v>604</v>
      </c>
      <c r="W35" s="1">
        <f>[6]Summary!J8</f>
        <v>662</v>
      </c>
      <c r="X35" s="1">
        <f>[6]Summary!K8</f>
        <v>728</v>
      </c>
      <c r="Y35" s="1">
        <f>[6]Summary!L8</f>
        <v>780</v>
      </c>
      <c r="Z35" s="11">
        <f>[6]Summary!M8</f>
        <v>830</v>
      </c>
      <c r="AF35" s="1"/>
      <c r="AG35" s="26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</row>
    <row r="36" spans="1:62" ht="17" hidden="1" thickBot="1">
      <c r="A36" s="23" t="s">
        <v>29</v>
      </c>
      <c r="B36" s="83"/>
      <c r="C36" s="83"/>
      <c r="D36" s="83"/>
      <c r="E36" s="83"/>
      <c r="F36" s="83"/>
      <c r="G36" s="1"/>
      <c r="H36" s="1"/>
      <c r="I36" s="1"/>
      <c r="J36" s="1"/>
      <c r="K36" s="1"/>
      <c r="L36" s="1"/>
      <c r="M36" s="1"/>
      <c r="O36" s="1">
        <f>[6]Summary!B9</f>
        <v>2819</v>
      </c>
      <c r="P36" s="1">
        <f>[6]Summary!C9</f>
        <v>2678</v>
      </c>
      <c r="Q36" s="1">
        <f>[6]Summary!D9</f>
        <v>2303</v>
      </c>
      <c r="R36" s="1">
        <f>[6]Summary!E9</f>
        <v>2233</v>
      </c>
      <c r="S36" s="1">
        <f>[6]Summary!F9</f>
        <v>2075</v>
      </c>
      <c r="T36" s="1">
        <f>[6]Summary!G9</f>
        <v>2225</v>
      </c>
      <c r="U36" s="1">
        <f>[6]Summary!H9</f>
        <v>2640</v>
      </c>
      <c r="V36" s="1">
        <f>[6]Summary!I9</f>
        <v>2829</v>
      </c>
      <c r="W36" s="1">
        <f>[6]Summary!J9</f>
        <v>2977</v>
      </c>
      <c r="X36" s="1">
        <f>[6]Summary!K9</f>
        <v>3353</v>
      </c>
      <c r="Y36" s="1">
        <f>[6]Summary!L9</f>
        <v>3571</v>
      </c>
      <c r="Z36" s="11">
        <f>[6]Summary!M9</f>
        <v>3785</v>
      </c>
      <c r="AF36" s="1"/>
      <c r="AG36" s="26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5"/>
    </row>
    <row r="37" spans="1:62" hidden="1">
      <c r="A37" s="85"/>
      <c r="B37" s="83"/>
      <c r="C37" s="83"/>
      <c r="D37" s="83"/>
      <c r="E37" s="83"/>
      <c r="F37" s="83"/>
      <c r="G37" s="1"/>
      <c r="H37" s="1"/>
      <c r="I37" s="1"/>
      <c r="J37" s="1"/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1"/>
      <c r="AF37" s="1"/>
      <c r="AG37" s="26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spans="1:62" ht="16">
      <c r="A38" s="104" t="s">
        <v>67</v>
      </c>
      <c r="B38" s="83"/>
      <c r="C38" s="83"/>
      <c r="D38" s="83"/>
      <c r="E38" s="83"/>
      <c r="F38" s="83"/>
      <c r="G38" s="1"/>
      <c r="H38" s="1"/>
      <c r="I38" s="1"/>
      <c r="J38" s="1"/>
      <c r="K38" s="1"/>
      <c r="L38" s="1"/>
      <c r="M38" s="1"/>
      <c r="O38" s="1"/>
      <c r="P38" s="1"/>
      <c r="Q38" s="1"/>
      <c r="R38" s="135">
        <f>R39/R22</f>
        <v>0.24224519940915806</v>
      </c>
      <c r="S38" s="135">
        <f t="shared" ref="S38:BE38" si="9">S39/S22</f>
        <v>0.26361557835835164</v>
      </c>
      <c r="T38" s="135">
        <f t="shared" si="9"/>
        <v>0.25109407389791932</v>
      </c>
      <c r="U38" s="135">
        <f t="shared" si="9"/>
        <v>0.20749862728639906</v>
      </c>
      <c r="V38" s="135">
        <f t="shared" si="9"/>
        <v>0.20913072983062164</v>
      </c>
      <c r="W38" s="135">
        <f t="shared" si="9"/>
        <v>0.21860393440029749</v>
      </c>
      <c r="X38" s="135">
        <f t="shared" si="9"/>
        <v>0.17287100485657522</v>
      </c>
      <c r="Y38" s="135">
        <f t="shared" si="9"/>
        <v>0.15429628973851572</v>
      </c>
      <c r="Z38" s="135">
        <f t="shared" si="9"/>
        <v>0.23365403973694435</v>
      </c>
      <c r="AA38" s="135">
        <f t="shared" si="9"/>
        <v>0.23253757861719945</v>
      </c>
      <c r="AB38" s="135">
        <f t="shared" si="9"/>
        <v>0.22597481963940164</v>
      </c>
      <c r="AC38" s="135">
        <f t="shared" si="9"/>
        <v>0.22915587407870036</v>
      </c>
      <c r="AD38" s="135">
        <f t="shared" si="9"/>
        <v>0.23419622816757599</v>
      </c>
      <c r="AE38" s="135">
        <f t="shared" si="9"/>
        <v>0.24009875470789527</v>
      </c>
      <c r="AF38" s="135">
        <f t="shared" si="9"/>
        <v>0.24530323154384256</v>
      </c>
      <c r="AG38" s="135">
        <f t="shared" si="9"/>
        <v>0.24163975445504518</v>
      </c>
      <c r="AH38" s="135">
        <f t="shared" si="9"/>
        <v>0.24145965717290468</v>
      </c>
      <c r="AI38" s="135">
        <f t="shared" si="9"/>
        <v>0.2417497701933882</v>
      </c>
      <c r="AJ38" s="135">
        <f t="shared" si="9"/>
        <v>0.24194592710057686</v>
      </c>
      <c r="AK38" s="135">
        <f t="shared" si="9"/>
        <v>0.24209847421204511</v>
      </c>
      <c r="AL38" s="135">
        <f t="shared" si="9"/>
        <v>0.24487755900570884</v>
      </c>
      <c r="AM38" s="135">
        <f t="shared" si="9"/>
        <v>0.24772177485276464</v>
      </c>
      <c r="AN38" s="135">
        <f t="shared" si="9"/>
        <v>0.25060582523718944</v>
      </c>
      <c r="AO38" s="135">
        <f t="shared" si="9"/>
        <v>0.25355419175642513</v>
      </c>
      <c r="AP38" s="135">
        <f t="shared" si="9"/>
        <v>0.25654452382767834</v>
      </c>
      <c r="AQ38" s="135">
        <f t="shared" si="9"/>
        <v>0.2567310605524134</v>
      </c>
      <c r="AR38" s="135">
        <f t="shared" si="9"/>
        <v>0.25694287579054553</v>
      </c>
      <c r="AS38" s="135">
        <f t="shared" si="9"/>
        <v>0.25717357153186932</v>
      </c>
      <c r="AT38" s="135">
        <f t="shared" si="9"/>
        <v>0.25743073345393458</v>
      </c>
      <c r="AU38" s="135">
        <f t="shared" si="9"/>
        <v>0.2577108884987262</v>
      </c>
      <c r="AV38" s="135">
        <f t="shared" si="9"/>
        <v>0.25801568686117882</v>
      </c>
      <c r="AW38" s="135">
        <f t="shared" si="9"/>
        <v>0.2583423091109977</v>
      </c>
      <c r="AX38" s="135">
        <f t="shared" si="9"/>
        <v>0.25868670522812776</v>
      </c>
      <c r="AY38" s="135">
        <f t="shared" si="9"/>
        <v>0.25905617586721047</v>
      </c>
      <c r="AZ38" s="135">
        <f t="shared" si="9"/>
        <v>0.25944164594831559</v>
      </c>
      <c r="BA38" s="135">
        <f t="shared" si="9"/>
        <v>0.25985523809291045</v>
      </c>
      <c r="BB38" s="135">
        <f t="shared" si="9"/>
        <v>0.26028433270956519</v>
      </c>
      <c r="BC38" s="135">
        <f t="shared" si="9"/>
        <v>0.26072962416100992</v>
      </c>
      <c r="BD38" s="135">
        <f t="shared" si="9"/>
        <v>0.26119856940269898</v>
      </c>
      <c r="BE38" s="135">
        <f t="shared" si="9"/>
        <v>0.26167956620310495</v>
      </c>
      <c r="BF38" s="1"/>
      <c r="BG38" s="1"/>
      <c r="BH38" s="1"/>
      <c r="BI38" s="1"/>
      <c r="BJ38" s="1"/>
    </row>
    <row r="39" spans="1:62" s="17" customFormat="1" ht="16">
      <c r="A39" s="103" t="s">
        <v>116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O39" s="18"/>
      <c r="P39" s="18"/>
      <c r="Q39" s="18"/>
      <c r="R39" s="18">
        <f>'TKm to VKm'!$B$50 + 'TKm to VKm'!$B$51*'Tkm, Vkm, &amp; Stock Projections'!R12 - 'TKm to VKm'!$F$31</f>
        <v>328</v>
      </c>
      <c r="S39" s="18">
        <f>'TKm to VKm'!$B$50 + 'TKm to VKm'!$B$51*'Tkm, Vkm, &amp; Stock Projections'!S12 - 'TKm to VKm'!$F$31</f>
        <v>334.00093778003151</v>
      </c>
      <c r="T39" s="18">
        <f>'TKm to VKm'!$B$50 + 'TKm to VKm'!$B$51*'Tkm, Vkm, &amp; Stock Projections'!T12 - 'TKm to VKm'!$F$31</f>
        <v>310.85446348562414</v>
      </c>
      <c r="U39" s="18">
        <f>'TKm to VKm'!$B$50 + 'TKm to VKm'!$B$51*'Tkm, Vkm, &amp; Stock Projections'!U12 - 'TKm to VKm'!$F$31</f>
        <v>297.13803427412347</v>
      </c>
      <c r="V39" s="18">
        <f>'TKm to VKm'!$B$50 + 'TKm to VKm'!$B$51*'Tkm, Vkm, &amp; Stock Projections'!V12 - 'TKm to VKm'!$F$31</f>
        <v>324.5708926971248</v>
      </c>
      <c r="W39" s="18">
        <f>'TKm to VKm'!$B$50 + 'TKm to VKm'!$B$51*'Tkm, Vkm, &amp; Stock Projections'!W12 - 'TKm to VKm'!$F$31</f>
        <v>354.57558159728251</v>
      </c>
      <c r="X39" s="18">
        <f>'TKm to VKm'!$B$50 + 'TKm to VKm'!$B$51*'Tkm, Vkm, &amp; Stock Projections'!X12 - 'TKm to VKm'!$F$31</f>
        <v>335.7154914314691</v>
      </c>
      <c r="Y39" s="18">
        <f>'TKm to VKm'!$B$50 + 'TKm to VKm'!$B$51*'Tkm, Vkm, &amp; Stock Projections'!Y12 - 'TKm to VKm'!$F$31</f>
        <v>323.71361587140598</v>
      </c>
      <c r="Z39" s="89">
        <f>'TKm to VKm'!$B$50 + 'TKm to VKm'!$B$51*'Tkm, Vkm, &amp; Stock Projections'!Z12 - 'TKm to VKm'!$F$31</f>
        <v>529.46005404391587</v>
      </c>
      <c r="AA39" s="18">
        <f>'TKm to VKm'!$B$50 + 'TKm to VKm'!$B$51*'Tkm, Vkm, &amp; Stock Projections'!AA12 - 'TKm to VKm'!$F$31</f>
        <v>526.93015314657396</v>
      </c>
      <c r="AB39" s="18">
        <f>'TKm to VKm'!$B$50 + 'TKm to VKm'!$B$51*'Tkm, Vkm, &amp; Stock Projections'!AB12 - 'TKm to VKm'!$F$31</f>
        <v>588.11667532165529</v>
      </c>
      <c r="AC39" s="18">
        <f>'TKm to VKm'!$B$50 + 'TKm to VKm'!$B$51*'Tkm, Vkm, &amp; Stock Projections'!AC12 - 'TKm to VKm'!$F$31</f>
        <v>623.95220720604016</v>
      </c>
      <c r="AD39" s="18">
        <f>'TKm to VKm'!$B$50 + 'TKm to VKm'!$B$51*'Tkm, Vkm, &amp; Stock Projections'!AD12 - 'TKm to VKm'!$F$31</f>
        <v>654.85421531432121</v>
      </c>
      <c r="AE39" s="18">
        <f>'TKm to VKm'!$B$50 + 'TKm to VKm'!$B$51*'Tkm, Vkm, &amp; Stock Projections'!AE12 - 'TKm to VKm'!$F$31</f>
        <v>683.78044285824387</v>
      </c>
      <c r="AF39" s="18">
        <f>'TKm to VKm'!$B$50 + 'TKm to VKm'!$B$51*'Tkm, Vkm, &amp; Stock Projections'!AF12 - 'TKm to VKm'!$F$31</f>
        <v>717.40603989630972</v>
      </c>
      <c r="AG39" s="18">
        <f>'TKm to VKm'!$B$50 + 'TKm to VKm'!$B$51*'Tkm, Vkm, &amp; Stock Projections'!AG12 - 'TKm to VKm'!$F$31</f>
        <v>769.34113560999174</v>
      </c>
      <c r="AH39" s="18">
        <f>'TKm to VKm'!$B$50 + 'TKm to VKm'!$B$51*'Tkm, Vkm, &amp; Stock Projections'!AH12 - 'TKm to VKm'!$F$31</f>
        <v>807.51162053044879</v>
      </c>
      <c r="AI39" s="18">
        <f>'TKm to VKm'!$B$50 + 'TKm to VKm'!$B$51*'Tkm, Vkm, &amp; Stock Projections'!AI12 - 'TKm to VKm'!$F$31</f>
        <v>845.93349087766251</v>
      </c>
      <c r="AJ39" s="18">
        <f>'TKm to VKm'!$B$50 + 'TKm to VKm'!$B$51*'Tkm, Vkm, &amp; Stock Projections'!AJ12 - 'TKm to VKm'!$F$31</f>
        <v>888.28601669736804</v>
      </c>
      <c r="AK39" s="18">
        <f>'TKm to VKm'!$B$50 + 'TKm to VKm'!$B$51*'Tkm, Vkm, &amp; Stock Projections'!AK12 - 'TKm to VKm'!$F$31</f>
        <v>934.79832131459432</v>
      </c>
      <c r="AL39" s="18">
        <f>'TKm to VKm'!$B$50 + 'TKm to VKm'!$B$51*'Tkm, Vkm, &amp; Stock Projections'!AL12 - 'TKm to VKm'!$F$31</f>
        <v>962.07246499408552</v>
      </c>
      <c r="AM39" s="18">
        <f>'TKm to VKm'!$B$50 + 'TKm to VKm'!$B$51*'Tkm, Vkm, &amp; Stock Projections'!AM12 - 'TKm to VKm'!$F$31</f>
        <v>989.97236003630314</v>
      </c>
      <c r="AN39" s="18">
        <f>'TKm to VKm'!$B$50 + 'TKm to VKm'!$B$51*'Tkm, Vkm, &amp; Stock Projections'!AN12 - 'TKm to VKm'!$F$31</f>
        <v>1018.7370642054768</v>
      </c>
      <c r="AO39" s="18">
        <f>'TKm to VKm'!$B$50 + 'TKm to VKm'!$B$51*'Tkm, Vkm, &amp; Stock Projections'!AO12 - 'TKm to VKm'!$F$31</f>
        <v>1048.1560758083474</v>
      </c>
      <c r="AP39" s="18">
        <f>'TKm to VKm'!$B$50 + 'TKm to VKm'!$B$51*'Tkm, Vkm, &amp; Stock Projections'!AP12 - 'TKm to VKm'!$F$31</f>
        <v>1078.4583707761176</v>
      </c>
      <c r="AQ39" s="18">
        <f>'TKm to VKm'!$B$50 + 'TKm to VKm'!$B$51*'Tkm, Vkm, &amp; Stock Projections'!AQ12 - 'TKm to VKm'!$F$31</f>
        <v>1097.2566346271124</v>
      </c>
      <c r="AR39" s="18">
        <f>'TKm to VKm'!$B$50 + 'TKm to VKm'!$B$51*'Tkm, Vkm, &amp; Stock Projections'!AR12 - 'TKm to VKm'!$F$31</f>
        <v>1116.3458958914134</v>
      </c>
      <c r="AS39" s="18">
        <f>'TKm to VKm'!$B$50 + 'TKm to VKm'!$B$51*'Tkm, Vkm, &amp; Stock Projections'!AS12 - 'TKm to VKm'!$F$31</f>
        <v>1135.7944722536909</v>
      </c>
      <c r="AT39" s="18">
        <f>'TKm to VKm'!$B$50 + 'TKm to VKm'!$B$51*'Tkm, Vkm, &amp; Stock Projections'!AT12 - 'TKm to VKm'!$F$31</f>
        <v>1155.5168559249555</v>
      </c>
      <c r="AU39" s="18">
        <f>'TKm to VKm'!$B$50 + 'TKm to VKm'!$B$51*'Tkm, Vkm, &amp; Stock Projections'!AU12 - 'TKm to VKm'!$F$31</f>
        <v>1175.5485483308903</v>
      </c>
      <c r="AV39" s="18">
        <f>'TKm to VKm'!$B$50 + 'TKm to VKm'!$B$51*'Tkm, Vkm, &amp; Stock Projections'!AV12 - 'TKm to VKm'!$F$31</f>
        <v>1195.8660298683567</v>
      </c>
      <c r="AW39" s="18">
        <f>'TKm to VKm'!$B$50 + 'TKm to VKm'!$B$51*'Tkm, Vkm, &amp; Stock Projections'!AW12 - 'TKm to VKm'!$F$31</f>
        <v>1216.5000780114433</v>
      </c>
      <c r="AX39" s="18">
        <f>'TKm to VKm'!$B$50 + 'TKm to VKm'!$B$51*'Tkm, Vkm, &amp; Stock Projections'!AX12 - 'TKm to VKm'!$F$31</f>
        <v>1237.5020524766783</v>
      </c>
      <c r="AY39" s="18">
        <f>'TKm to VKm'!$B$50 + 'TKm to VKm'!$B$51*'Tkm, Vkm, &amp; Stock Projections'!AY12 - 'TKm to VKm'!$F$31</f>
        <v>1258.7734576456446</v>
      </c>
      <c r="AZ39" s="18">
        <f>'TKm to VKm'!$B$50 + 'TKm to VKm'!$B$51*'Tkm, Vkm, &amp; Stock Projections'!AZ12 - 'TKm to VKm'!$F$31</f>
        <v>1280.43540613192</v>
      </c>
      <c r="BA39" s="18">
        <f>'TKm to VKm'!$B$50 + 'TKm to VKm'!$B$51*'Tkm, Vkm, &amp; Stock Projections'!BA12 - 'TKm to VKm'!$F$31</f>
        <v>1302.313246149949</v>
      </c>
      <c r="BB39" s="18">
        <f>'TKm to VKm'!$B$50 + 'TKm to VKm'!$B$51*'Tkm, Vkm, &amp; Stock Projections'!BB12 - 'TKm to VKm'!$F$31</f>
        <v>1324.584776884727</v>
      </c>
      <c r="BC39" s="18">
        <f>'TKm to VKm'!$B$50 + 'TKm to VKm'!$B$51*'Tkm, Vkm, &amp; Stock Projections'!BC12 - 'TKm to VKm'!$F$31</f>
        <v>1347.2426655626496</v>
      </c>
      <c r="BD39" s="18">
        <f>'TKm to VKm'!$B$50 + 'TKm to VKm'!$B$51*'Tkm, Vkm, &amp; Stock Projections'!BD12 - 'TKm to VKm'!$F$31</f>
        <v>1370.16838990013</v>
      </c>
      <c r="BE39" s="18">
        <f>'TKm to VKm'!$B$50 + 'TKm to VKm'!$B$51*'Tkm, Vkm, &amp; Stock Projections'!BE12 - 'TKm to VKm'!$F$31</f>
        <v>1393.5462832263361</v>
      </c>
      <c r="BF39" s="18"/>
      <c r="BG39" s="18"/>
      <c r="BH39" s="18"/>
      <c r="BI39" s="47">
        <f t="shared" ref="BI39:BI40" si="10">(BE39-AA39)/AA39</f>
        <v>1.644650861038691</v>
      </c>
      <c r="BJ39" s="18"/>
    </row>
    <row r="40" spans="1:62" s="17" customFormat="1" ht="16">
      <c r="A40" s="103" t="s">
        <v>117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O40" s="18"/>
      <c r="P40" s="18"/>
      <c r="Q40" s="18"/>
      <c r="R40" s="18">
        <f>R22-R39</f>
        <v>1026</v>
      </c>
      <c r="S40" s="18">
        <f t="shared" ref="S40:BE40" si="11">S22-S39</f>
        <v>932.99906221996844</v>
      </c>
      <c r="T40" s="18">
        <f t="shared" si="11"/>
        <v>927.14553651437586</v>
      </c>
      <c r="U40" s="18">
        <f t="shared" si="11"/>
        <v>1134.8619657258764</v>
      </c>
      <c r="V40" s="18">
        <f t="shared" si="11"/>
        <v>1227.4291073028753</v>
      </c>
      <c r="W40" s="18">
        <f t="shared" si="11"/>
        <v>1267.4244184027175</v>
      </c>
      <c r="X40" s="18">
        <f t="shared" si="11"/>
        <v>1606.2845085685308</v>
      </c>
      <c r="Y40" s="18">
        <f t="shared" si="11"/>
        <v>1774.2863841285939</v>
      </c>
      <c r="Z40" s="89">
        <f t="shared" si="11"/>
        <v>1736.539945956084</v>
      </c>
      <c r="AA40" s="18">
        <f t="shared" si="11"/>
        <v>1739.069846853426</v>
      </c>
      <c r="AB40" s="18">
        <f t="shared" si="11"/>
        <v>2014.4594712602516</v>
      </c>
      <c r="AC40" s="18">
        <f t="shared" si="11"/>
        <v>2098.8765647579403</v>
      </c>
      <c r="AD40" s="18">
        <f t="shared" si="11"/>
        <v>2141.3232485078074</v>
      </c>
      <c r="AE40" s="18">
        <f t="shared" si="11"/>
        <v>2164.1328821822494</v>
      </c>
      <c r="AF40" s="18">
        <f t="shared" si="11"/>
        <v>2207.1621991001225</v>
      </c>
      <c r="AG40" s="18">
        <f t="shared" si="11"/>
        <v>2414.4939802013037</v>
      </c>
      <c r="AH40" s="18">
        <f t="shared" si="11"/>
        <v>2536.7804652990485</v>
      </c>
      <c r="AI40" s="18">
        <f t="shared" si="11"/>
        <v>2653.2776570831247</v>
      </c>
      <c r="AJ40" s="18">
        <f t="shared" si="11"/>
        <v>2783.1377073651902</v>
      </c>
      <c r="AK40" s="18">
        <f t="shared" si="11"/>
        <v>2926.4334537185641</v>
      </c>
      <c r="AL40" s="18">
        <f t="shared" si="11"/>
        <v>2966.7173714468136</v>
      </c>
      <c r="AM40" s="18">
        <f t="shared" si="11"/>
        <v>3006.3350320962654</v>
      </c>
      <c r="AN40" s="18">
        <f t="shared" si="11"/>
        <v>3046.3602384660744</v>
      </c>
      <c r="AO40" s="18">
        <f t="shared" si="11"/>
        <v>3085.6981844882062</v>
      </c>
      <c r="AP40" s="18">
        <f t="shared" si="11"/>
        <v>3125.3279922511483</v>
      </c>
      <c r="AQ40" s="18">
        <f t="shared" si="11"/>
        <v>3176.6969425759071</v>
      </c>
      <c r="AR40" s="18">
        <f t="shared" si="11"/>
        <v>3228.3781695519701</v>
      </c>
      <c r="AS40" s="18">
        <f t="shared" si="11"/>
        <v>3280.6565086471269</v>
      </c>
      <c r="AT40" s="18">
        <f t="shared" si="11"/>
        <v>3333.1346753877465</v>
      </c>
      <c r="AU40" s="18">
        <f t="shared" si="11"/>
        <v>3385.9527338964645</v>
      </c>
      <c r="AV40" s="18">
        <f t="shared" si="11"/>
        <v>3438.991813142457</v>
      </c>
      <c r="AW40" s="18">
        <f t="shared" si="11"/>
        <v>3492.3688726363953</v>
      </c>
      <c r="AX40" s="18">
        <f t="shared" si="11"/>
        <v>3546.2847733107687</v>
      </c>
      <c r="AY40" s="18">
        <f t="shared" si="11"/>
        <v>3600.3018121556011</v>
      </c>
      <c r="AZ40" s="18">
        <f t="shared" si="11"/>
        <v>3654.9148976007373</v>
      </c>
      <c r="BA40" s="18">
        <f t="shared" si="11"/>
        <v>3709.3742445763719</v>
      </c>
      <c r="BB40" s="18">
        <f t="shared" si="11"/>
        <v>3764.4068005020963</v>
      </c>
      <c r="BC40" s="18">
        <f t="shared" si="11"/>
        <v>3819.9594500307776</v>
      </c>
      <c r="BD40" s="18">
        <f t="shared" si="11"/>
        <v>3875.5279898058916</v>
      </c>
      <c r="BE40" s="18">
        <f t="shared" si="11"/>
        <v>3931.8457733499222</v>
      </c>
      <c r="BI40" s="47">
        <f t="shared" si="10"/>
        <v>1.2608900846990017</v>
      </c>
    </row>
    <row r="41" spans="1:62">
      <c r="A41" s="8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62" ht="14.5" customHeight="1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142" t="s">
        <v>118</v>
      </c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</row>
    <row r="43" spans="1:62" ht="15" customHeight="1" thickBo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</row>
    <row r="44" spans="1:62" ht="17.5" customHeight="1">
      <c r="A44" s="27" t="s">
        <v>119</v>
      </c>
      <c r="B44" s="9">
        <v>1995</v>
      </c>
      <c r="C44" s="9">
        <v>1996</v>
      </c>
      <c r="D44" s="9">
        <v>1997</v>
      </c>
      <c r="E44" s="9">
        <v>1998</v>
      </c>
      <c r="F44" s="9">
        <v>1999</v>
      </c>
      <c r="G44" s="9">
        <v>2000</v>
      </c>
      <c r="H44" s="9">
        <v>2001</v>
      </c>
      <c r="I44" s="9">
        <v>2002</v>
      </c>
      <c r="J44" s="9">
        <v>2003</v>
      </c>
      <c r="K44" s="9">
        <v>2004</v>
      </c>
      <c r="L44" s="9">
        <v>2005</v>
      </c>
      <c r="M44" s="9">
        <v>2006</v>
      </c>
      <c r="N44" s="9">
        <v>2007</v>
      </c>
      <c r="O44" s="9">
        <v>2008</v>
      </c>
      <c r="P44" s="9">
        <v>2009</v>
      </c>
      <c r="Q44" s="9">
        <v>2010</v>
      </c>
      <c r="R44" s="9">
        <v>2011</v>
      </c>
      <c r="S44" s="9">
        <v>2012</v>
      </c>
      <c r="T44" s="9">
        <v>2013</v>
      </c>
      <c r="U44" s="9">
        <v>2014</v>
      </c>
      <c r="V44" s="9">
        <v>2015</v>
      </c>
      <c r="W44" s="9">
        <v>2016</v>
      </c>
      <c r="X44" s="9">
        <v>2017</v>
      </c>
      <c r="Y44" s="9">
        <v>2018</v>
      </c>
      <c r="Z44" s="35">
        <v>2019</v>
      </c>
      <c r="AA44" s="2">
        <v>2020</v>
      </c>
      <c r="AB44" s="2">
        <v>2021</v>
      </c>
      <c r="AC44" s="2">
        <v>2022</v>
      </c>
      <c r="AD44" s="2">
        <v>2023</v>
      </c>
      <c r="AE44" s="2">
        <v>2024</v>
      </c>
      <c r="AF44" s="2">
        <v>2025</v>
      </c>
      <c r="AG44" s="2">
        <v>2026</v>
      </c>
      <c r="AH44" s="2">
        <v>2027</v>
      </c>
      <c r="AI44" s="2">
        <v>2028</v>
      </c>
      <c r="AJ44" s="2">
        <v>2029</v>
      </c>
      <c r="AK44" s="2">
        <v>2030</v>
      </c>
      <c r="AL44" s="2">
        <v>2031</v>
      </c>
      <c r="AM44" s="2">
        <v>2032</v>
      </c>
      <c r="AN44" s="2">
        <v>2033</v>
      </c>
      <c r="AO44" s="2">
        <v>2034</v>
      </c>
      <c r="AP44" s="2">
        <v>2035</v>
      </c>
      <c r="AQ44" s="2">
        <v>2036</v>
      </c>
      <c r="AR44" s="2">
        <v>2037</v>
      </c>
      <c r="AS44" s="2">
        <v>2038</v>
      </c>
      <c r="AT44" s="2">
        <v>2039</v>
      </c>
      <c r="AU44" s="2">
        <v>2040</v>
      </c>
      <c r="AV44" s="2">
        <v>2041</v>
      </c>
      <c r="AW44" s="2">
        <v>2042</v>
      </c>
      <c r="AX44" s="2">
        <v>2043</v>
      </c>
      <c r="AY44" s="2">
        <v>2044</v>
      </c>
      <c r="AZ44" s="2">
        <v>2045</v>
      </c>
      <c r="BA44" s="2">
        <v>2046</v>
      </c>
      <c r="BB44" s="2">
        <v>2047</v>
      </c>
      <c r="BC44" s="2">
        <v>2048</v>
      </c>
      <c r="BD44" s="2">
        <v>2049</v>
      </c>
      <c r="BE44" s="3">
        <v>2050</v>
      </c>
    </row>
    <row r="45" spans="1:62">
      <c r="A45" s="4" t="s">
        <v>67</v>
      </c>
      <c r="B45" s="86">
        <f>'[5]Survey Summary'!B42</f>
        <v>15386.408672339434</v>
      </c>
      <c r="C45" s="86">
        <f>'[5]Survey Summary'!C42</f>
        <v>19176.877850431341</v>
      </c>
      <c r="D45" s="86">
        <f>'[5]Survey Summary'!D42</f>
        <v>16764.22383516741</v>
      </c>
      <c r="E45" s="86">
        <f>'[5]Survey Summary'!E42</f>
        <v>15309.772499642295</v>
      </c>
      <c r="F45" s="86">
        <f>'[5]Survey Summary'!F42</f>
        <v>12993.900822063113</v>
      </c>
      <c r="G45" s="86">
        <f>'[5]Survey Summary'!G42</f>
        <v>11597.084161696488</v>
      </c>
      <c r="H45" s="86">
        <f>'[5]Survey Summary'!H42</f>
        <v>10155.631759430229</v>
      </c>
      <c r="I45" s="86">
        <f>'[5]Survey Summary'!I42</f>
        <v>11318.285901210336</v>
      </c>
      <c r="J45" s="86">
        <f>'[5]Survey Summary'!J42</f>
        <v>10573.391778225328</v>
      </c>
      <c r="K45" s="86">
        <f>'[5]Survey Summary'!K42</f>
        <v>11630.919075743446</v>
      </c>
      <c r="L45" s="86">
        <f>'[5]Survey Summary'!L42</f>
        <v>12854.551086331254</v>
      </c>
      <c r="M45" s="86">
        <f>'[5]Survey Summary'!M42</f>
        <v>10889.960543621219</v>
      </c>
      <c r="N45" s="86">
        <f>'[5]Survey Summary'!N42</f>
        <v>10012.338150411981</v>
      </c>
      <c r="O45" s="98">
        <f>[6]Summary!B20</f>
        <v>23174.6</v>
      </c>
      <c r="P45" s="98">
        <f>[6]Summary!C20</f>
        <v>24643</v>
      </c>
      <c r="Q45" s="98">
        <f>[6]Summary!D20</f>
        <v>21599.916666666668</v>
      </c>
      <c r="R45" s="98">
        <f>[6]Summary!E20</f>
        <v>21709</v>
      </c>
      <c r="S45" s="98">
        <f>[6]Summary!F20</f>
        <v>20471</v>
      </c>
      <c r="T45" s="98">
        <f>[6]Summary!G20</f>
        <v>20378</v>
      </c>
      <c r="U45" s="98">
        <f>[6]Summary!H20</f>
        <v>22336</v>
      </c>
      <c r="V45" s="98">
        <f>[6]Summary!I20</f>
        <v>21994</v>
      </c>
      <c r="W45" s="98">
        <f>[6]Summary!J20</f>
        <v>21961</v>
      </c>
      <c r="X45" s="98">
        <f>[6]Summary!K20</f>
        <v>23089</v>
      </c>
      <c r="Y45" s="98">
        <f>[6]Summary!L20</f>
        <v>22777</v>
      </c>
      <c r="Z45" s="99">
        <f>[6]Summary!M20</f>
        <v>22517</v>
      </c>
      <c r="AA45" s="18">
        <f>AVERAGE(O45:Z45)</f>
        <v>22220.793055555554</v>
      </c>
      <c r="AB45" s="18">
        <f>AA45</f>
        <v>22220.793055555554</v>
      </c>
      <c r="AC45" s="18">
        <f t="shared" ref="AC45:BE49" si="12">AB45</f>
        <v>22220.793055555554</v>
      </c>
      <c r="AD45" s="18">
        <f t="shared" si="12"/>
        <v>22220.793055555554</v>
      </c>
      <c r="AE45" s="18">
        <f t="shared" si="12"/>
        <v>22220.793055555554</v>
      </c>
      <c r="AF45" s="18">
        <f t="shared" si="12"/>
        <v>22220.793055555554</v>
      </c>
      <c r="AG45" s="18">
        <f t="shared" si="12"/>
        <v>22220.793055555554</v>
      </c>
      <c r="AH45" s="18">
        <f t="shared" si="12"/>
        <v>22220.793055555554</v>
      </c>
      <c r="AI45" s="18">
        <f t="shared" si="12"/>
        <v>22220.793055555554</v>
      </c>
      <c r="AJ45" s="18">
        <f t="shared" si="12"/>
        <v>22220.793055555554</v>
      </c>
      <c r="AK45" s="18">
        <f t="shared" si="12"/>
        <v>22220.793055555554</v>
      </c>
      <c r="AL45" s="18">
        <f t="shared" si="12"/>
        <v>22220.793055555554</v>
      </c>
      <c r="AM45" s="18">
        <f t="shared" si="12"/>
        <v>22220.793055555554</v>
      </c>
      <c r="AN45" s="18">
        <f t="shared" si="12"/>
        <v>22220.793055555554</v>
      </c>
      <c r="AO45" s="18">
        <f t="shared" si="12"/>
        <v>22220.793055555554</v>
      </c>
      <c r="AP45" s="18">
        <f t="shared" si="12"/>
        <v>22220.793055555554</v>
      </c>
      <c r="AQ45" s="18">
        <f t="shared" si="12"/>
        <v>22220.793055555554</v>
      </c>
      <c r="AR45" s="18">
        <f t="shared" si="12"/>
        <v>22220.793055555554</v>
      </c>
      <c r="AS45" s="18">
        <f t="shared" si="12"/>
        <v>22220.793055555554</v>
      </c>
      <c r="AT45" s="18">
        <f t="shared" si="12"/>
        <v>22220.793055555554</v>
      </c>
      <c r="AU45" s="18">
        <f t="shared" si="12"/>
        <v>22220.793055555554</v>
      </c>
      <c r="AV45" s="18">
        <f t="shared" si="12"/>
        <v>22220.793055555554</v>
      </c>
      <c r="AW45" s="18">
        <f t="shared" si="12"/>
        <v>22220.793055555554</v>
      </c>
      <c r="AX45" s="18">
        <f t="shared" si="12"/>
        <v>22220.793055555554</v>
      </c>
      <c r="AY45" s="18">
        <f t="shared" si="12"/>
        <v>22220.793055555554</v>
      </c>
      <c r="AZ45" s="18">
        <f t="shared" si="12"/>
        <v>22220.793055555554</v>
      </c>
      <c r="BA45" s="18">
        <f t="shared" si="12"/>
        <v>22220.793055555554</v>
      </c>
      <c r="BB45" s="18">
        <f t="shared" si="12"/>
        <v>22220.793055555554</v>
      </c>
      <c r="BC45" s="18">
        <f t="shared" si="12"/>
        <v>22220.793055555554</v>
      </c>
      <c r="BD45" s="18">
        <f t="shared" si="12"/>
        <v>22220.793055555554</v>
      </c>
      <c r="BE45" s="18">
        <f t="shared" si="12"/>
        <v>22220.793055555554</v>
      </c>
    </row>
    <row r="46" spans="1:62">
      <c r="A46" s="4" t="s">
        <v>68</v>
      </c>
      <c r="B46" s="86">
        <f>'[5]Survey Summary'!B43</f>
        <v>21814.64499096846</v>
      </c>
      <c r="C46" s="86">
        <f>'[5]Survey Summary'!C43</f>
        <v>22614.314115308152</v>
      </c>
      <c r="D46" s="86">
        <f>'[5]Survey Summary'!D43</f>
        <v>20981.688708036621</v>
      </c>
      <c r="E46" s="86">
        <f>'[5]Survey Summary'!E43</f>
        <v>21332.45815556285</v>
      </c>
      <c r="F46" s="86">
        <f>'[5]Survey Summary'!F43</f>
        <v>17963.446475195822</v>
      </c>
      <c r="G46" s="86">
        <f>'[5]Survey Summary'!G43</f>
        <v>16754.670999187652</v>
      </c>
      <c r="H46" s="86">
        <f>'[5]Survey Summary'!H43</f>
        <v>15373.292992068034</v>
      </c>
      <c r="I46" s="86">
        <f>'[5]Survey Summary'!I43</f>
        <v>19233.999664034942</v>
      </c>
      <c r="J46" s="86">
        <f>'[5]Survey Summary'!J43</f>
        <v>22635.769884584413</v>
      </c>
      <c r="K46" s="86">
        <f>'[5]Survey Summary'!K43</f>
        <v>25019.319938176199</v>
      </c>
      <c r="L46" s="86">
        <f>'[5]Survey Summary'!L43</f>
        <v>23578.363384188626</v>
      </c>
      <c r="M46" s="86">
        <f>'[5]Survey Summary'!M43</f>
        <v>19757.296158860696</v>
      </c>
      <c r="N46" s="86">
        <f>'[5]Survey Summary'!N43</f>
        <v>18657.937806873979</v>
      </c>
      <c r="O46" s="98">
        <f>[6]Summary!B21</f>
        <v>25820.2</v>
      </c>
      <c r="P46" s="98">
        <f>[6]Summary!C21</f>
        <v>27880.272727272728</v>
      </c>
      <c r="Q46" s="98">
        <f>[6]Summary!D21</f>
        <v>24704.916666666668</v>
      </c>
      <c r="R46" s="98">
        <f>[6]Summary!E21</f>
        <v>24278.846153846152</v>
      </c>
      <c r="S46" s="98">
        <f>[6]Summary!F21</f>
        <v>22250</v>
      </c>
      <c r="T46" s="98">
        <f>[6]Summary!G21</f>
        <v>25267</v>
      </c>
      <c r="U46" s="98">
        <f>[6]Summary!H21</f>
        <v>29138</v>
      </c>
      <c r="V46" s="98">
        <f>[6]Summary!I21</f>
        <v>28812</v>
      </c>
      <c r="W46" s="98">
        <f>[6]Summary!J21</f>
        <v>29480</v>
      </c>
      <c r="X46" s="98">
        <f>[6]Summary!K21</f>
        <v>24960</v>
      </c>
      <c r="Y46" s="98">
        <f>[6]Summary!L21</f>
        <v>24886</v>
      </c>
      <c r="Z46" s="99">
        <f>[6]Summary!M21</f>
        <v>24482</v>
      </c>
      <c r="AA46" s="18">
        <f t="shared" ref="AA46:AA49" si="13">AVERAGE(O46:Z46)</f>
        <v>25996.602962315461</v>
      </c>
      <c r="AB46" s="18">
        <f t="shared" ref="AB46:AQ49" si="14">AA46</f>
        <v>25996.602962315461</v>
      </c>
      <c r="AC46" s="18">
        <f t="shared" si="14"/>
        <v>25996.602962315461</v>
      </c>
      <c r="AD46" s="18">
        <f t="shared" si="14"/>
        <v>25996.602962315461</v>
      </c>
      <c r="AE46" s="18">
        <f t="shared" si="14"/>
        <v>25996.602962315461</v>
      </c>
      <c r="AF46" s="18">
        <f t="shared" si="14"/>
        <v>25996.602962315461</v>
      </c>
      <c r="AG46" s="18">
        <f t="shared" si="14"/>
        <v>25996.602962315461</v>
      </c>
      <c r="AH46" s="18">
        <f t="shared" si="14"/>
        <v>25996.602962315461</v>
      </c>
      <c r="AI46" s="18">
        <f t="shared" si="14"/>
        <v>25996.602962315461</v>
      </c>
      <c r="AJ46" s="18">
        <f t="shared" si="14"/>
        <v>25996.602962315461</v>
      </c>
      <c r="AK46" s="18">
        <f t="shared" si="14"/>
        <v>25996.602962315461</v>
      </c>
      <c r="AL46" s="18">
        <f t="shared" si="14"/>
        <v>25996.602962315461</v>
      </c>
      <c r="AM46" s="18">
        <f t="shared" si="14"/>
        <v>25996.602962315461</v>
      </c>
      <c r="AN46" s="18">
        <f t="shared" si="14"/>
        <v>25996.602962315461</v>
      </c>
      <c r="AO46" s="18">
        <f t="shared" si="14"/>
        <v>25996.602962315461</v>
      </c>
      <c r="AP46" s="18">
        <f t="shared" si="14"/>
        <v>25996.602962315461</v>
      </c>
      <c r="AQ46" s="18">
        <f t="shared" si="14"/>
        <v>25996.602962315461</v>
      </c>
      <c r="AR46" s="18">
        <f t="shared" si="12"/>
        <v>25996.602962315461</v>
      </c>
      <c r="AS46" s="18">
        <f t="shared" si="12"/>
        <v>25996.602962315461</v>
      </c>
      <c r="AT46" s="18">
        <f t="shared" si="12"/>
        <v>25996.602962315461</v>
      </c>
      <c r="AU46" s="18">
        <f t="shared" si="12"/>
        <v>25996.602962315461</v>
      </c>
      <c r="AV46" s="18">
        <f t="shared" si="12"/>
        <v>25996.602962315461</v>
      </c>
      <c r="AW46" s="18">
        <f t="shared" si="12"/>
        <v>25996.602962315461</v>
      </c>
      <c r="AX46" s="18">
        <f t="shared" si="12"/>
        <v>25996.602962315461</v>
      </c>
      <c r="AY46" s="18">
        <f t="shared" si="12"/>
        <v>25996.602962315461</v>
      </c>
      <c r="AZ46" s="18">
        <f t="shared" si="12"/>
        <v>25996.602962315461</v>
      </c>
      <c r="BA46" s="18">
        <f t="shared" si="12"/>
        <v>25996.602962315461</v>
      </c>
      <c r="BB46" s="18">
        <f t="shared" si="12"/>
        <v>25996.602962315461</v>
      </c>
      <c r="BC46" s="18">
        <f t="shared" si="12"/>
        <v>25996.602962315461</v>
      </c>
      <c r="BD46" s="18">
        <f t="shared" si="12"/>
        <v>25996.602962315461</v>
      </c>
      <c r="BE46" s="18">
        <f t="shared" si="12"/>
        <v>25996.602962315461</v>
      </c>
    </row>
    <row r="47" spans="1:62">
      <c r="A47" s="4" t="s">
        <v>69</v>
      </c>
      <c r="B47" s="86">
        <f>'[5]Survey Summary'!B44</f>
        <v>35547.430428600448</v>
      </c>
      <c r="C47" s="86">
        <f>'[5]Survey Summary'!C44</f>
        <v>32165.508909694956</v>
      </c>
      <c r="D47" s="86">
        <f>'[5]Survey Summary'!D44</f>
        <v>32341.526520051746</v>
      </c>
      <c r="E47" s="86">
        <f>'[5]Survey Summary'!E44</f>
        <v>31036.915118739715</v>
      </c>
      <c r="F47" s="86">
        <f>'[5]Survey Summary'!F44</f>
        <v>25964.149918522544</v>
      </c>
      <c r="G47" s="86">
        <f>'[5]Survey Summary'!G44</f>
        <v>25443.620317341094</v>
      </c>
      <c r="H47" s="86">
        <f>'[5]Survey Summary'!H44</f>
        <v>23506.877938359743</v>
      </c>
      <c r="I47" s="86">
        <f>'[5]Survey Summary'!I44</f>
        <v>28133.768104951847</v>
      </c>
      <c r="J47" s="86">
        <f>'[5]Survey Summary'!J44</f>
        <v>31652.898942329961</v>
      </c>
      <c r="K47" s="86">
        <f>'[5]Survey Summary'!K44</f>
        <v>33917.286617070633</v>
      </c>
      <c r="L47" s="86">
        <f>'[5]Survey Summary'!L44</f>
        <v>32654.600301659124</v>
      </c>
      <c r="M47" s="86">
        <f>'[5]Survey Summary'!M44</f>
        <v>27522.935779816515</v>
      </c>
      <c r="N47" s="86">
        <f>'[5]Survey Summary'!N44</f>
        <v>27837.45913124708</v>
      </c>
      <c r="O47" s="98">
        <f>[6]Summary!B22</f>
        <v>32427.200000000001</v>
      </c>
      <c r="P47" s="98">
        <f>[6]Summary!C22</f>
        <v>34454.181818181816</v>
      </c>
      <c r="Q47" s="98">
        <f>[6]Summary!D22</f>
        <v>31019.25</v>
      </c>
      <c r="R47" s="98">
        <f>[6]Summary!E22</f>
        <v>31742.153846153848</v>
      </c>
      <c r="S47" s="98">
        <f>[6]Summary!F22</f>
        <v>30575</v>
      </c>
      <c r="T47" s="98">
        <f>[6]Summary!G22</f>
        <v>34504</v>
      </c>
      <c r="U47" s="98">
        <f>[6]Summary!H22</f>
        <v>38838</v>
      </c>
      <c r="V47" s="98">
        <f>[6]Summary!I22</f>
        <v>38517</v>
      </c>
      <c r="W47" s="98">
        <f>[6]Summary!J22</f>
        <v>38753</v>
      </c>
      <c r="X47" s="98">
        <f>[6]Summary!K22</f>
        <v>33192</v>
      </c>
      <c r="Y47" s="98">
        <f>[6]Summary!L22</f>
        <v>33909</v>
      </c>
      <c r="Z47" s="99">
        <f>[6]Summary!M22</f>
        <v>33338</v>
      </c>
      <c r="AA47" s="18">
        <f t="shared" si="13"/>
        <v>34272.398805361307</v>
      </c>
      <c r="AB47" s="18">
        <f t="shared" si="14"/>
        <v>34272.398805361307</v>
      </c>
      <c r="AC47" s="18">
        <f t="shared" si="12"/>
        <v>34272.398805361307</v>
      </c>
      <c r="AD47" s="18">
        <f t="shared" si="12"/>
        <v>34272.398805361307</v>
      </c>
      <c r="AE47" s="18">
        <f t="shared" si="12"/>
        <v>34272.398805361307</v>
      </c>
      <c r="AF47" s="18">
        <f t="shared" si="12"/>
        <v>34272.398805361307</v>
      </c>
      <c r="AG47" s="18">
        <f t="shared" si="12"/>
        <v>34272.398805361307</v>
      </c>
      <c r="AH47" s="18">
        <f t="shared" si="12"/>
        <v>34272.398805361307</v>
      </c>
      <c r="AI47" s="18">
        <f t="shared" si="12"/>
        <v>34272.398805361307</v>
      </c>
      <c r="AJ47" s="18">
        <f t="shared" si="12"/>
        <v>34272.398805361307</v>
      </c>
      <c r="AK47" s="18">
        <f t="shared" si="12"/>
        <v>34272.398805361307</v>
      </c>
      <c r="AL47" s="18">
        <f t="shared" si="12"/>
        <v>34272.398805361307</v>
      </c>
      <c r="AM47" s="18">
        <f t="shared" si="12"/>
        <v>34272.398805361307</v>
      </c>
      <c r="AN47" s="18">
        <f t="shared" si="12"/>
        <v>34272.398805361307</v>
      </c>
      <c r="AO47" s="18">
        <f t="shared" si="12"/>
        <v>34272.398805361307</v>
      </c>
      <c r="AP47" s="18">
        <f t="shared" si="12"/>
        <v>34272.398805361307</v>
      </c>
      <c r="AQ47" s="18">
        <f t="shared" si="12"/>
        <v>34272.398805361307</v>
      </c>
      <c r="AR47" s="18">
        <f t="shared" si="12"/>
        <v>34272.398805361307</v>
      </c>
      <c r="AS47" s="18">
        <f t="shared" si="12"/>
        <v>34272.398805361307</v>
      </c>
      <c r="AT47" s="18">
        <f t="shared" si="12"/>
        <v>34272.398805361307</v>
      </c>
      <c r="AU47" s="18">
        <f t="shared" si="12"/>
        <v>34272.398805361307</v>
      </c>
      <c r="AV47" s="18">
        <f t="shared" si="12"/>
        <v>34272.398805361307</v>
      </c>
      <c r="AW47" s="18">
        <f t="shared" si="12"/>
        <v>34272.398805361307</v>
      </c>
      <c r="AX47" s="18">
        <f t="shared" si="12"/>
        <v>34272.398805361307</v>
      </c>
      <c r="AY47" s="18">
        <f t="shared" si="12"/>
        <v>34272.398805361307</v>
      </c>
      <c r="AZ47" s="18">
        <f t="shared" si="12"/>
        <v>34272.398805361307</v>
      </c>
      <c r="BA47" s="18">
        <f t="shared" si="12"/>
        <v>34272.398805361307</v>
      </c>
      <c r="BB47" s="18">
        <f t="shared" si="12"/>
        <v>34272.398805361307</v>
      </c>
      <c r="BC47" s="18">
        <f t="shared" si="12"/>
        <v>34272.398805361307</v>
      </c>
      <c r="BD47" s="18">
        <f t="shared" si="12"/>
        <v>34272.398805361307</v>
      </c>
      <c r="BE47" s="18">
        <f t="shared" si="12"/>
        <v>34272.398805361307</v>
      </c>
    </row>
    <row r="48" spans="1:62">
      <c r="A48" s="4" t="s">
        <v>70</v>
      </c>
      <c r="B48" s="86">
        <f>'[5]Survey Summary'!B45</f>
        <v>56149.732620320858</v>
      </c>
      <c r="C48" s="86">
        <f>'[5]Survey Summary'!C45</f>
        <v>57866.518765021261</v>
      </c>
      <c r="D48" s="86">
        <f>'[5]Survey Summary'!D45</f>
        <v>49541.854325205779</v>
      </c>
      <c r="E48" s="86">
        <f>'[5]Survey Summary'!E45</f>
        <v>44588.892690158515</v>
      </c>
      <c r="F48" s="86">
        <f>'[5]Survey Summary'!F45</f>
        <v>42687.484428203636</v>
      </c>
      <c r="G48" s="86">
        <f>'[5]Survey Summary'!G45</f>
        <v>42404.879465582344</v>
      </c>
      <c r="H48" s="86">
        <f>'[5]Survey Summary'!H45</f>
        <v>38132.502155315342</v>
      </c>
      <c r="I48" s="86">
        <f>'[5]Survey Summary'!I45</f>
        <v>42682.92682926829</v>
      </c>
      <c r="J48" s="86">
        <f>'[5]Survey Summary'!J45</f>
        <v>45695.775036184437</v>
      </c>
      <c r="K48" s="86">
        <f>'[5]Survey Summary'!K45</f>
        <v>49592.631951824304</v>
      </c>
      <c r="L48" s="86">
        <f>'[5]Survey Summary'!L45</f>
        <v>48890.961166988607</v>
      </c>
      <c r="M48" s="86">
        <f>'[5]Survey Summary'!M45</f>
        <v>46769.914234589989</v>
      </c>
      <c r="N48" s="86">
        <f>'[5]Survey Summary'!N45</f>
        <v>45425.201009448909</v>
      </c>
      <c r="O48" s="98">
        <f>[6]Summary!B23</f>
        <v>46491.9</v>
      </c>
      <c r="P48" s="98">
        <f>[6]Summary!C23</f>
        <v>42101</v>
      </c>
      <c r="Q48" s="98">
        <f>[6]Summary!D23</f>
        <v>40076.083333333336</v>
      </c>
      <c r="R48" s="98">
        <f>[6]Summary!E23</f>
        <v>38453.692307692305</v>
      </c>
      <c r="S48" s="98">
        <f>[6]Summary!F23</f>
        <v>36814</v>
      </c>
      <c r="T48" s="98">
        <f>[6]Summary!G23</f>
        <v>44316</v>
      </c>
      <c r="U48" s="98">
        <f>[6]Summary!H23</f>
        <v>50111</v>
      </c>
      <c r="V48" s="98">
        <f>[6]Summary!I23</f>
        <v>52242</v>
      </c>
      <c r="W48" s="98">
        <f>[6]Summary!J23</f>
        <v>52613</v>
      </c>
      <c r="X48" s="98">
        <f>[6]Summary!K23</f>
        <v>44996</v>
      </c>
      <c r="Y48" s="98">
        <f>[6]Summary!L23</f>
        <v>43778</v>
      </c>
      <c r="Z48" s="99">
        <f>[6]Summary!M23</f>
        <v>43501</v>
      </c>
      <c r="AA48" s="18">
        <f t="shared" si="13"/>
        <v>44624.472970085473</v>
      </c>
      <c r="AB48" s="18">
        <f t="shared" si="14"/>
        <v>44624.472970085473</v>
      </c>
      <c r="AC48" s="18">
        <f t="shared" si="12"/>
        <v>44624.472970085473</v>
      </c>
      <c r="AD48" s="18">
        <f t="shared" si="12"/>
        <v>44624.472970085473</v>
      </c>
      <c r="AE48" s="18">
        <f t="shared" si="12"/>
        <v>44624.472970085473</v>
      </c>
      <c r="AF48" s="18">
        <f t="shared" si="12"/>
        <v>44624.472970085473</v>
      </c>
      <c r="AG48" s="18">
        <f t="shared" si="12"/>
        <v>44624.472970085473</v>
      </c>
      <c r="AH48" s="18">
        <f t="shared" si="12"/>
        <v>44624.472970085473</v>
      </c>
      <c r="AI48" s="18">
        <f t="shared" si="12"/>
        <v>44624.472970085473</v>
      </c>
      <c r="AJ48" s="18">
        <f t="shared" si="12"/>
        <v>44624.472970085473</v>
      </c>
      <c r="AK48" s="18">
        <f t="shared" si="12"/>
        <v>44624.472970085473</v>
      </c>
      <c r="AL48" s="18">
        <f t="shared" si="12"/>
        <v>44624.472970085473</v>
      </c>
      <c r="AM48" s="18">
        <f t="shared" si="12"/>
        <v>44624.472970085473</v>
      </c>
      <c r="AN48" s="18">
        <f t="shared" si="12"/>
        <v>44624.472970085473</v>
      </c>
      <c r="AO48" s="18">
        <f t="shared" si="12"/>
        <v>44624.472970085473</v>
      </c>
      <c r="AP48" s="18">
        <f t="shared" si="12"/>
        <v>44624.472970085473</v>
      </c>
      <c r="AQ48" s="18">
        <f t="shared" si="12"/>
        <v>44624.472970085473</v>
      </c>
      <c r="AR48" s="18">
        <f t="shared" si="12"/>
        <v>44624.472970085473</v>
      </c>
      <c r="AS48" s="18">
        <f t="shared" si="12"/>
        <v>44624.472970085473</v>
      </c>
      <c r="AT48" s="18">
        <f t="shared" si="12"/>
        <v>44624.472970085473</v>
      </c>
      <c r="AU48" s="18">
        <f t="shared" si="12"/>
        <v>44624.472970085473</v>
      </c>
      <c r="AV48" s="18">
        <f t="shared" si="12"/>
        <v>44624.472970085473</v>
      </c>
      <c r="AW48" s="18">
        <f t="shared" si="12"/>
        <v>44624.472970085473</v>
      </c>
      <c r="AX48" s="18">
        <f t="shared" si="12"/>
        <v>44624.472970085473</v>
      </c>
      <c r="AY48" s="18">
        <f t="shared" si="12"/>
        <v>44624.472970085473</v>
      </c>
      <c r="AZ48" s="18">
        <f t="shared" si="12"/>
        <v>44624.472970085473</v>
      </c>
      <c r="BA48" s="18">
        <f t="shared" si="12"/>
        <v>44624.472970085473</v>
      </c>
      <c r="BB48" s="18">
        <f t="shared" si="12"/>
        <v>44624.472970085473</v>
      </c>
      <c r="BC48" s="18">
        <f t="shared" si="12"/>
        <v>44624.472970085473</v>
      </c>
      <c r="BD48" s="18">
        <f t="shared" si="12"/>
        <v>44624.472970085473</v>
      </c>
      <c r="BE48" s="18">
        <f t="shared" si="12"/>
        <v>44624.472970085473</v>
      </c>
    </row>
    <row r="49" spans="1:61" ht="16" thickBot="1">
      <c r="A49" s="4" t="s">
        <v>71</v>
      </c>
      <c r="B49" s="86">
        <f>'[5]Survey Summary'!B46</f>
        <v>53353.658536585368</v>
      </c>
      <c r="C49" s="86">
        <f>'[5]Survey Summary'!C46</f>
        <v>59686.393525543754</v>
      </c>
      <c r="D49" s="86">
        <f>'[5]Survey Summary'!D46</f>
        <v>53409.090909090912</v>
      </c>
      <c r="E49" s="86">
        <f>'[5]Survey Summary'!E46</f>
        <v>47058.823529411762</v>
      </c>
      <c r="F49" s="86">
        <f>'[5]Survey Summary'!F46</f>
        <v>47165.991902834008</v>
      </c>
      <c r="G49" s="86">
        <f>'[5]Survey Summary'!G46</f>
        <v>46888.694127957933</v>
      </c>
      <c r="H49" s="86">
        <f>'[5]Survey Summary'!H46</f>
        <v>42177.221720624271</v>
      </c>
      <c r="I49" s="86">
        <f>'[5]Survey Summary'!I46</f>
        <v>47738.065483629092</v>
      </c>
      <c r="J49" s="86">
        <f>'[5]Survey Summary'!J46</f>
        <v>53235.90814196242</v>
      </c>
      <c r="K49" s="86">
        <f>'[5]Survey Summary'!K46</f>
        <v>55585.831062670302</v>
      </c>
      <c r="L49" s="86">
        <f>'[5]Survey Summary'!L46</f>
        <v>53419.208183368064</v>
      </c>
      <c r="M49" s="86">
        <f>'[5]Survey Summary'!M46</f>
        <v>53703.25302182202</v>
      </c>
      <c r="N49" s="86">
        <f>'[5]Survey Summary'!N46</f>
        <v>50021.017234131985</v>
      </c>
      <c r="O49" s="98">
        <f>[6]Summary!B24</f>
        <v>54572.3</v>
      </c>
      <c r="P49" s="98">
        <f>[6]Summary!C24</f>
        <v>51817.454545454544</v>
      </c>
      <c r="Q49" s="98">
        <f>[6]Summary!D24</f>
        <v>48618.916666666664</v>
      </c>
      <c r="R49" s="98">
        <f>[6]Summary!E24</f>
        <v>49745.230769230766</v>
      </c>
      <c r="S49" s="98">
        <f>[6]Summary!F24</f>
        <v>46648</v>
      </c>
      <c r="T49" s="98">
        <f>[6]Summary!G24</f>
        <v>57505</v>
      </c>
      <c r="U49" s="98">
        <f>[6]Summary!H24</f>
        <v>66814</v>
      </c>
      <c r="V49" s="98">
        <f>[6]Summary!I24</f>
        <v>65199</v>
      </c>
      <c r="W49" s="98">
        <f>[6]Summary!J24</f>
        <v>65492</v>
      </c>
      <c r="X49" s="98">
        <f>[6]Summary!K24</f>
        <v>59528</v>
      </c>
      <c r="Y49" s="98">
        <f>[6]Summary!L24</f>
        <v>58054</v>
      </c>
      <c r="Z49" s="99">
        <f>[6]Summary!M24</f>
        <v>58527</v>
      </c>
      <c r="AA49" s="18">
        <f t="shared" si="13"/>
        <v>56876.741831779327</v>
      </c>
      <c r="AB49" s="18">
        <f t="shared" si="14"/>
        <v>56876.741831779327</v>
      </c>
      <c r="AC49" s="18">
        <f t="shared" si="12"/>
        <v>56876.741831779327</v>
      </c>
      <c r="AD49" s="18">
        <f t="shared" si="12"/>
        <v>56876.741831779327</v>
      </c>
      <c r="AE49" s="18">
        <f t="shared" si="12"/>
        <v>56876.741831779327</v>
      </c>
      <c r="AF49" s="18">
        <f t="shared" si="12"/>
        <v>56876.741831779327</v>
      </c>
      <c r="AG49" s="18">
        <f t="shared" si="12"/>
        <v>56876.741831779327</v>
      </c>
      <c r="AH49" s="18">
        <f t="shared" si="12"/>
        <v>56876.741831779327</v>
      </c>
      <c r="AI49" s="18">
        <f t="shared" si="12"/>
        <v>56876.741831779327</v>
      </c>
      <c r="AJ49" s="18">
        <f t="shared" si="12"/>
        <v>56876.741831779327</v>
      </c>
      <c r="AK49" s="18">
        <f t="shared" si="12"/>
        <v>56876.741831779327</v>
      </c>
      <c r="AL49" s="18">
        <f t="shared" si="12"/>
        <v>56876.741831779327</v>
      </c>
      <c r="AM49" s="18">
        <f t="shared" si="12"/>
        <v>56876.741831779327</v>
      </c>
      <c r="AN49" s="18">
        <f t="shared" si="12"/>
        <v>56876.741831779327</v>
      </c>
      <c r="AO49" s="18">
        <f t="shared" si="12"/>
        <v>56876.741831779327</v>
      </c>
      <c r="AP49" s="18">
        <f t="shared" si="12"/>
        <v>56876.741831779327</v>
      </c>
      <c r="AQ49" s="18">
        <f t="shared" si="12"/>
        <v>56876.741831779327</v>
      </c>
      <c r="AR49" s="18">
        <f t="shared" si="12"/>
        <v>56876.741831779327</v>
      </c>
      <c r="AS49" s="18">
        <f t="shared" si="12"/>
        <v>56876.741831779327</v>
      </c>
      <c r="AT49" s="18">
        <f t="shared" si="12"/>
        <v>56876.741831779327</v>
      </c>
      <c r="AU49" s="18">
        <f t="shared" si="12"/>
        <v>56876.741831779327</v>
      </c>
      <c r="AV49" s="18">
        <f t="shared" si="12"/>
        <v>56876.741831779327</v>
      </c>
      <c r="AW49" s="18">
        <f t="shared" si="12"/>
        <v>56876.741831779327</v>
      </c>
      <c r="AX49" s="18">
        <f t="shared" si="12"/>
        <v>56876.741831779327</v>
      </c>
      <c r="AY49" s="18">
        <f t="shared" si="12"/>
        <v>56876.741831779327</v>
      </c>
      <c r="AZ49" s="18">
        <f t="shared" si="12"/>
        <v>56876.741831779327</v>
      </c>
      <c r="BA49" s="18">
        <f t="shared" si="12"/>
        <v>56876.741831779327</v>
      </c>
      <c r="BB49" s="18">
        <f t="shared" si="12"/>
        <v>56876.741831779327</v>
      </c>
      <c r="BC49" s="18">
        <f t="shared" si="12"/>
        <v>56876.741831779327</v>
      </c>
      <c r="BD49" s="18">
        <f t="shared" si="12"/>
        <v>56876.741831779327</v>
      </c>
      <c r="BE49" s="18">
        <f t="shared" si="12"/>
        <v>56876.741831779327</v>
      </c>
    </row>
    <row r="50" spans="1:61" ht="17" thickTop="1" thickBot="1">
      <c r="A50" s="6" t="s">
        <v>85</v>
      </c>
      <c r="B50" s="25">
        <f t="shared" ref="B50:N50" si="15">AVERAGE(B45:B49)</f>
        <v>36450.375049762915</v>
      </c>
      <c r="C50" s="25">
        <f t="shared" si="15"/>
        <v>38301.922633199894</v>
      </c>
      <c r="D50" s="25">
        <f t="shared" si="15"/>
        <v>34607.676859510495</v>
      </c>
      <c r="E50" s="25">
        <f t="shared" si="15"/>
        <v>31865.372398703021</v>
      </c>
      <c r="F50" s="25">
        <f t="shared" si="15"/>
        <v>29354.994709363826</v>
      </c>
      <c r="G50" s="25">
        <f t="shared" si="15"/>
        <v>28617.789814353106</v>
      </c>
      <c r="H50" s="25">
        <f t="shared" si="15"/>
        <v>25869.105313159525</v>
      </c>
      <c r="I50" s="25">
        <f t="shared" si="15"/>
        <v>29821.409196618904</v>
      </c>
      <c r="J50" s="25">
        <f t="shared" si="15"/>
        <v>32758.748756657315</v>
      </c>
      <c r="K50" s="25">
        <f t="shared" si="15"/>
        <v>35149.197729096973</v>
      </c>
      <c r="L50" s="25">
        <f t="shared" si="15"/>
        <v>34279.536824507129</v>
      </c>
      <c r="M50" s="25">
        <f t="shared" si="15"/>
        <v>31728.671947742092</v>
      </c>
      <c r="N50" s="25">
        <f t="shared" si="15"/>
        <v>30390.790666422785</v>
      </c>
      <c r="O50" s="25">
        <f>AVERAGE(O45:O49)</f>
        <v>36497.240000000005</v>
      </c>
      <c r="P50" s="25">
        <f t="shared" ref="P50:BE50" si="16">AVERAGE(P45:P49)</f>
        <v>36179.181818181816</v>
      </c>
      <c r="Q50" s="25">
        <f t="shared" si="16"/>
        <v>33203.816666666666</v>
      </c>
      <c r="R50" s="25">
        <f t="shared" si="16"/>
        <v>33185.784615384611</v>
      </c>
      <c r="S50" s="25">
        <f t="shared" si="16"/>
        <v>31351.599999999999</v>
      </c>
      <c r="T50" s="25">
        <f t="shared" si="16"/>
        <v>36394</v>
      </c>
      <c r="U50" s="25">
        <f t="shared" si="16"/>
        <v>41447.4</v>
      </c>
      <c r="V50" s="25">
        <f t="shared" si="16"/>
        <v>41352.800000000003</v>
      </c>
      <c r="W50" s="25">
        <f t="shared" si="16"/>
        <v>41659.800000000003</v>
      </c>
      <c r="X50" s="25">
        <f t="shared" si="16"/>
        <v>37153</v>
      </c>
      <c r="Y50" s="25">
        <f t="shared" si="16"/>
        <v>36680.800000000003</v>
      </c>
      <c r="Z50" s="90">
        <f t="shared" si="16"/>
        <v>36473</v>
      </c>
      <c r="AA50" s="25">
        <f t="shared" si="16"/>
        <v>36798.201925019428</v>
      </c>
      <c r="AB50" s="25">
        <f t="shared" si="16"/>
        <v>36798.201925019428</v>
      </c>
      <c r="AC50" s="25">
        <f t="shared" si="16"/>
        <v>36798.201925019428</v>
      </c>
      <c r="AD50" s="25">
        <f t="shared" si="16"/>
        <v>36798.201925019428</v>
      </c>
      <c r="AE50" s="25">
        <f t="shared" si="16"/>
        <v>36798.201925019428</v>
      </c>
      <c r="AF50" s="25">
        <f t="shared" si="16"/>
        <v>36798.201925019428</v>
      </c>
      <c r="AG50" s="25">
        <f t="shared" si="16"/>
        <v>36798.201925019428</v>
      </c>
      <c r="AH50" s="25">
        <f t="shared" si="16"/>
        <v>36798.201925019428</v>
      </c>
      <c r="AI50" s="25">
        <f t="shared" si="16"/>
        <v>36798.201925019428</v>
      </c>
      <c r="AJ50" s="25">
        <f t="shared" si="16"/>
        <v>36798.201925019428</v>
      </c>
      <c r="AK50" s="25">
        <f t="shared" si="16"/>
        <v>36798.201925019428</v>
      </c>
      <c r="AL50" s="25">
        <f t="shared" si="16"/>
        <v>36798.201925019428</v>
      </c>
      <c r="AM50" s="25">
        <f t="shared" si="16"/>
        <v>36798.201925019428</v>
      </c>
      <c r="AN50" s="25">
        <f t="shared" si="16"/>
        <v>36798.201925019428</v>
      </c>
      <c r="AO50" s="25">
        <f t="shared" si="16"/>
        <v>36798.201925019428</v>
      </c>
      <c r="AP50" s="25">
        <f t="shared" si="16"/>
        <v>36798.201925019428</v>
      </c>
      <c r="AQ50" s="25">
        <f t="shared" si="16"/>
        <v>36798.201925019428</v>
      </c>
      <c r="AR50" s="25">
        <f t="shared" si="16"/>
        <v>36798.201925019428</v>
      </c>
      <c r="AS50" s="25">
        <f t="shared" si="16"/>
        <v>36798.201925019428</v>
      </c>
      <c r="AT50" s="25">
        <f t="shared" si="16"/>
        <v>36798.201925019428</v>
      </c>
      <c r="AU50" s="25">
        <f t="shared" si="16"/>
        <v>36798.201925019428</v>
      </c>
      <c r="AV50" s="25">
        <f t="shared" si="16"/>
        <v>36798.201925019428</v>
      </c>
      <c r="AW50" s="25">
        <f t="shared" si="16"/>
        <v>36798.201925019428</v>
      </c>
      <c r="AX50" s="25">
        <f t="shared" si="16"/>
        <v>36798.201925019428</v>
      </c>
      <c r="AY50" s="25">
        <f t="shared" si="16"/>
        <v>36798.201925019428</v>
      </c>
      <c r="AZ50" s="25">
        <f t="shared" si="16"/>
        <v>36798.201925019428</v>
      </c>
      <c r="BA50" s="25">
        <f t="shared" si="16"/>
        <v>36798.201925019428</v>
      </c>
      <c r="BB50" s="25">
        <f t="shared" si="16"/>
        <v>36798.201925019428</v>
      </c>
      <c r="BC50" s="25">
        <f t="shared" si="16"/>
        <v>36798.201925019428</v>
      </c>
      <c r="BD50" s="25">
        <f t="shared" si="16"/>
        <v>36798.201925019428</v>
      </c>
      <c r="BE50" s="25">
        <f t="shared" si="16"/>
        <v>36798.201925019428</v>
      </c>
      <c r="BI50" s="47">
        <f>(BE50-AA50)/AA50</f>
        <v>0</v>
      </c>
    </row>
    <row r="51" spans="1:61">
      <c r="A51" s="9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I51" s="47"/>
    </row>
    <row r="52" spans="1:61">
      <c r="A52" s="9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I52" s="47"/>
    </row>
    <row r="53" spans="1:61" ht="14.5" customHeight="1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145" t="s">
        <v>120</v>
      </c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</row>
    <row r="54" spans="1:61" ht="14.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91"/>
    </row>
    <row r="55" spans="1:61" ht="14.5" hidden="1" customHeight="1">
      <c r="A55" s="27" t="s">
        <v>121</v>
      </c>
      <c r="B55" s="2">
        <v>1995</v>
      </c>
      <c r="C55" s="2">
        <v>1996</v>
      </c>
      <c r="D55" s="2">
        <v>1997</v>
      </c>
      <c r="E55" s="2">
        <v>1998</v>
      </c>
      <c r="F55" s="2">
        <v>1999</v>
      </c>
      <c r="G55" s="2">
        <v>2000</v>
      </c>
      <c r="H55" s="2">
        <v>2001</v>
      </c>
      <c r="I55" s="2">
        <v>2002</v>
      </c>
      <c r="J55" s="2">
        <v>2003</v>
      </c>
      <c r="K55" s="2">
        <v>2004</v>
      </c>
      <c r="L55" s="2">
        <v>2005</v>
      </c>
      <c r="M55" s="2">
        <v>2006</v>
      </c>
      <c r="N55" s="2">
        <v>2007</v>
      </c>
      <c r="O55" s="2">
        <v>2008</v>
      </c>
      <c r="P55" s="2">
        <v>2009</v>
      </c>
      <c r="Q55" s="2">
        <v>2010</v>
      </c>
      <c r="R55" s="2">
        <v>2011</v>
      </c>
      <c r="S55" s="2">
        <v>2012</v>
      </c>
      <c r="T55" s="2">
        <v>2013</v>
      </c>
      <c r="U55" s="2">
        <v>2014</v>
      </c>
      <c r="V55" s="2">
        <v>2015</v>
      </c>
      <c r="W55" s="2">
        <v>2016</v>
      </c>
      <c r="X55" s="2">
        <v>2017</v>
      </c>
      <c r="Y55" s="2">
        <v>2018</v>
      </c>
      <c r="Z55" s="10">
        <v>2019</v>
      </c>
    </row>
    <row r="56" spans="1:61" ht="14.5" hidden="1" customHeight="1">
      <c r="A56" s="4" t="s">
        <v>67</v>
      </c>
      <c r="B56" s="1">
        <f t="shared" ref="B56:Z56" si="17">B22*1000000/B111</f>
        <v>15386.408672339434</v>
      </c>
      <c r="C56" s="1">
        <f t="shared" si="17"/>
        <v>19176.877850431341</v>
      </c>
      <c r="D56" s="1">
        <f t="shared" si="17"/>
        <v>16764.22383516741</v>
      </c>
      <c r="E56" s="1">
        <f t="shared" si="17"/>
        <v>15309.772499642295</v>
      </c>
      <c r="F56" s="1">
        <f t="shared" si="17"/>
        <v>12993.900822063113</v>
      </c>
      <c r="G56" s="1">
        <f t="shared" si="17"/>
        <v>11597.084161696488</v>
      </c>
      <c r="H56" s="1">
        <f t="shared" si="17"/>
        <v>10155.631759430229</v>
      </c>
      <c r="I56" s="1">
        <f t="shared" si="17"/>
        <v>11318.285901210336</v>
      </c>
      <c r="J56" s="1">
        <f t="shared" si="17"/>
        <v>10573.391778225328</v>
      </c>
      <c r="K56" s="1">
        <f t="shared" si="17"/>
        <v>11630.919075743446</v>
      </c>
      <c r="L56" s="1">
        <f t="shared" si="17"/>
        <v>12854.551086331254</v>
      </c>
      <c r="M56" s="1">
        <f t="shared" si="17"/>
        <v>10889.960543621219</v>
      </c>
      <c r="N56" s="1">
        <f t="shared" si="17"/>
        <v>10012.338150411981</v>
      </c>
      <c r="O56" s="1">
        <f t="shared" si="17"/>
        <v>24970.148205380348</v>
      </c>
      <c r="P56" s="1">
        <f t="shared" si="17"/>
        <v>28486.315397505121</v>
      </c>
      <c r="Q56" s="1">
        <f t="shared" si="17"/>
        <v>25420.407249108794</v>
      </c>
      <c r="R56" s="1">
        <f t="shared" si="17"/>
        <v>25581.922611850059</v>
      </c>
      <c r="S56" s="1">
        <f t="shared" si="17"/>
        <v>23931.849949000793</v>
      </c>
      <c r="T56" s="1">
        <f t="shared" si="17"/>
        <v>24142.907289675884</v>
      </c>
      <c r="U56" s="1">
        <f t="shared" si="17"/>
        <v>25549.984834157047</v>
      </c>
      <c r="V56" s="1">
        <f t="shared" si="17"/>
        <v>25940.597369168798</v>
      </c>
      <c r="W56" s="1">
        <f t="shared" si="17"/>
        <v>23815.466838944601</v>
      </c>
      <c r="X56" s="1">
        <f t="shared" si="17"/>
        <v>25642.379908627565</v>
      </c>
      <c r="Y56" s="1">
        <f t="shared" si="17"/>
        <v>25019.37868940433</v>
      </c>
      <c r="Z56" s="11">
        <f t="shared" si="17"/>
        <v>24375.026892130289</v>
      </c>
    </row>
    <row r="57" spans="1:61" ht="14.5" hidden="1" customHeight="1">
      <c r="A57" s="4" t="s">
        <v>68</v>
      </c>
      <c r="B57" s="1">
        <f t="shared" ref="B57:Z57" si="18">B23*1000000/B112</f>
        <v>21814.64499096846</v>
      </c>
      <c r="C57" s="1">
        <f t="shared" si="18"/>
        <v>22614.314115308152</v>
      </c>
      <c r="D57" s="1">
        <f t="shared" si="18"/>
        <v>20981.688708036621</v>
      </c>
      <c r="E57" s="1">
        <f t="shared" si="18"/>
        <v>21332.45815556285</v>
      </c>
      <c r="F57" s="1">
        <f t="shared" si="18"/>
        <v>17963.446475195822</v>
      </c>
      <c r="G57" s="1">
        <f t="shared" si="18"/>
        <v>16754.670999187652</v>
      </c>
      <c r="H57" s="1">
        <f t="shared" si="18"/>
        <v>15373.292992068034</v>
      </c>
      <c r="I57" s="1">
        <f t="shared" si="18"/>
        <v>19233.999664034942</v>
      </c>
      <c r="J57" s="1">
        <f t="shared" si="18"/>
        <v>22635.769884584413</v>
      </c>
      <c r="K57" s="1">
        <f t="shared" si="18"/>
        <v>25019.319938176199</v>
      </c>
      <c r="L57" s="1">
        <f t="shared" si="18"/>
        <v>23578.363384188626</v>
      </c>
      <c r="M57" s="1">
        <f t="shared" si="18"/>
        <v>19757.296158860696</v>
      </c>
      <c r="N57" s="1">
        <f t="shared" si="18"/>
        <v>18657.937806873979</v>
      </c>
      <c r="O57" s="1">
        <f t="shared" si="18"/>
        <v>20570.766333478197</v>
      </c>
      <c r="P57" s="1">
        <f t="shared" si="18"/>
        <v>18052.869116698905</v>
      </c>
      <c r="Q57" s="1">
        <f t="shared" si="18"/>
        <v>16399.162595952548</v>
      </c>
      <c r="R57" s="1">
        <f t="shared" si="18"/>
        <v>20545.38662682107</v>
      </c>
      <c r="S57" s="1">
        <f t="shared" si="18"/>
        <v>19139.700078926599</v>
      </c>
      <c r="T57" s="1">
        <f t="shared" si="18"/>
        <v>22277.743077243391</v>
      </c>
      <c r="U57" s="1">
        <f t="shared" si="18"/>
        <v>24012.393493415955</v>
      </c>
      <c r="V57" s="1">
        <f t="shared" si="18"/>
        <v>25261.860751694392</v>
      </c>
      <c r="W57" s="1">
        <f t="shared" si="18"/>
        <v>24179.280518969925</v>
      </c>
      <c r="X57" s="1">
        <f t="shared" si="18"/>
        <v>21536.115875738516</v>
      </c>
      <c r="Y57" s="1">
        <f t="shared" si="18"/>
        <v>21643.363340356253</v>
      </c>
      <c r="Z57" s="11">
        <f t="shared" si="18"/>
        <v>21195.340843994654</v>
      </c>
    </row>
    <row r="58" spans="1:61" ht="14.5" hidden="1" customHeight="1">
      <c r="A58" s="4" t="s">
        <v>69</v>
      </c>
      <c r="B58" s="1">
        <f t="shared" ref="B58:Z58" si="19">B24*1000000/B113</f>
        <v>35547.430428600448</v>
      </c>
      <c r="C58" s="1">
        <f t="shared" si="19"/>
        <v>32165.508909694956</v>
      </c>
      <c r="D58" s="1">
        <f t="shared" si="19"/>
        <v>32341.526520051746</v>
      </c>
      <c r="E58" s="1">
        <f t="shared" si="19"/>
        <v>31036.915118739715</v>
      </c>
      <c r="F58" s="1">
        <f t="shared" si="19"/>
        <v>25964.149918522544</v>
      </c>
      <c r="G58" s="1">
        <f t="shared" si="19"/>
        <v>25443.620317341094</v>
      </c>
      <c r="H58" s="1">
        <f t="shared" si="19"/>
        <v>23506.877938359743</v>
      </c>
      <c r="I58" s="1">
        <f t="shared" si="19"/>
        <v>28133.768104951847</v>
      </c>
      <c r="J58" s="1">
        <f t="shared" si="19"/>
        <v>31652.898942329961</v>
      </c>
      <c r="K58" s="1">
        <f t="shared" si="19"/>
        <v>33917.286617070633</v>
      </c>
      <c r="L58" s="1">
        <f t="shared" si="19"/>
        <v>32654.600301659124</v>
      </c>
      <c r="M58" s="1">
        <f t="shared" si="19"/>
        <v>27522.935779816515</v>
      </c>
      <c r="N58" s="1">
        <f t="shared" si="19"/>
        <v>27837.45913124708</v>
      </c>
      <c r="O58" s="1">
        <f t="shared" si="19"/>
        <v>27979.015738196355</v>
      </c>
      <c r="P58" s="1">
        <f t="shared" si="19"/>
        <v>24056.029232643119</v>
      </c>
      <c r="Q58" s="1">
        <f t="shared" si="19"/>
        <v>25341.780593531177</v>
      </c>
      <c r="R58" s="1">
        <f t="shared" si="19"/>
        <v>28493.150684931508</v>
      </c>
      <c r="S58" s="1">
        <f t="shared" si="19"/>
        <v>27878.55642543441</v>
      </c>
      <c r="T58" s="1">
        <f t="shared" si="19"/>
        <v>32929.292929292926</v>
      </c>
      <c r="U58" s="1">
        <f t="shared" si="19"/>
        <v>37647.972055113525</v>
      </c>
      <c r="V58" s="1">
        <f t="shared" si="19"/>
        <v>38273.774653388013</v>
      </c>
      <c r="W58" s="1">
        <f t="shared" si="19"/>
        <v>36240.895363297212</v>
      </c>
      <c r="X58" s="1">
        <f t="shared" si="19"/>
        <v>34172.362060343388</v>
      </c>
      <c r="Y58" s="1">
        <f t="shared" si="19"/>
        <v>35273.368606701937</v>
      </c>
      <c r="Z58" s="11">
        <f t="shared" si="19"/>
        <v>34655.010927255695</v>
      </c>
    </row>
    <row r="59" spans="1:61" ht="14.5" hidden="1" customHeight="1">
      <c r="A59" s="4" t="s">
        <v>70</v>
      </c>
      <c r="B59" s="1">
        <f t="shared" ref="B59:Z59" si="20">B25*1000000/B114</f>
        <v>56149.732620320858</v>
      </c>
      <c r="C59" s="1">
        <f t="shared" si="20"/>
        <v>57866.518765021261</v>
      </c>
      <c r="D59" s="1">
        <f t="shared" si="20"/>
        <v>49541.854325205779</v>
      </c>
      <c r="E59" s="1">
        <f t="shared" si="20"/>
        <v>44588.892690158515</v>
      </c>
      <c r="F59" s="1">
        <f t="shared" si="20"/>
        <v>42687.484428203636</v>
      </c>
      <c r="G59" s="1">
        <f t="shared" si="20"/>
        <v>42404.879465582344</v>
      </c>
      <c r="H59" s="1">
        <f t="shared" si="20"/>
        <v>38132.502155315342</v>
      </c>
      <c r="I59" s="1">
        <f t="shared" si="20"/>
        <v>42682.92682926829</v>
      </c>
      <c r="J59" s="1">
        <f t="shared" si="20"/>
        <v>45695.775036184437</v>
      </c>
      <c r="K59" s="1">
        <f t="shared" si="20"/>
        <v>49592.631951824304</v>
      </c>
      <c r="L59" s="1">
        <f t="shared" si="20"/>
        <v>48890.961166988607</v>
      </c>
      <c r="M59" s="1">
        <f t="shared" si="20"/>
        <v>46769.914234589989</v>
      </c>
      <c r="N59" s="1">
        <f t="shared" si="20"/>
        <v>45425.201009448909</v>
      </c>
      <c r="O59" s="1">
        <f t="shared" si="20"/>
        <v>46849.626502111074</v>
      </c>
      <c r="P59" s="1">
        <f t="shared" si="20"/>
        <v>38626.172034243784</v>
      </c>
      <c r="Q59" s="1">
        <f t="shared" si="20"/>
        <v>40485.829959514173</v>
      </c>
      <c r="R59" s="1">
        <f t="shared" si="20"/>
        <v>30174.627632254749</v>
      </c>
      <c r="S59" s="1">
        <f t="shared" si="20"/>
        <v>28921.636138272966</v>
      </c>
      <c r="T59" s="1">
        <f t="shared" si="20"/>
        <v>38563.049853372431</v>
      </c>
      <c r="U59" s="1">
        <f t="shared" si="20"/>
        <v>45448.008054077378</v>
      </c>
      <c r="V59" s="1">
        <f t="shared" si="20"/>
        <v>49112.097669256385</v>
      </c>
      <c r="W59" s="1">
        <f t="shared" si="20"/>
        <v>46066.708621774698</v>
      </c>
      <c r="X59" s="1">
        <f t="shared" si="20"/>
        <v>43159.512829608611</v>
      </c>
      <c r="Y59" s="1">
        <f t="shared" si="20"/>
        <v>42775.665399239544</v>
      </c>
      <c r="Z59" s="11">
        <f t="shared" si="20"/>
        <v>41877.426185154691</v>
      </c>
    </row>
    <row r="60" spans="1:61" ht="14.5" hidden="1" customHeight="1" thickBot="1">
      <c r="A60" s="4" t="s">
        <v>71</v>
      </c>
      <c r="B60" s="1">
        <f t="shared" ref="B60:Z60" si="21">B26*1000000/B115</f>
        <v>53353.658536585368</v>
      </c>
      <c r="C60" s="1">
        <f t="shared" si="21"/>
        <v>59686.393525543754</v>
      </c>
      <c r="D60" s="1">
        <f t="shared" si="21"/>
        <v>53409.090909090912</v>
      </c>
      <c r="E60" s="1">
        <f t="shared" si="21"/>
        <v>47058.823529411762</v>
      </c>
      <c r="F60" s="1">
        <f t="shared" si="21"/>
        <v>47165.991902834008</v>
      </c>
      <c r="G60" s="1">
        <f t="shared" si="21"/>
        <v>46888.694127957933</v>
      </c>
      <c r="H60" s="1">
        <f t="shared" si="21"/>
        <v>42177.221720624271</v>
      </c>
      <c r="I60" s="1">
        <f t="shared" si="21"/>
        <v>47738.065483629092</v>
      </c>
      <c r="J60" s="1">
        <f t="shared" si="21"/>
        <v>53235.90814196242</v>
      </c>
      <c r="K60" s="1">
        <f t="shared" si="21"/>
        <v>55585.831062670302</v>
      </c>
      <c r="L60" s="1">
        <f t="shared" si="21"/>
        <v>53419.208183368064</v>
      </c>
      <c r="M60" s="1">
        <f t="shared" si="21"/>
        <v>53703.25302182202</v>
      </c>
      <c r="N60" s="1">
        <f t="shared" si="21"/>
        <v>50021.017234131985</v>
      </c>
      <c r="O60" s="1">
        <f t="shared" si="21"/>
        <v>54351.05435105435</v>
      </c>
      <c r="P60" s="1">
        <f t="shared" si="21"/>
        <v>46794.530278813712</v>
      </c>
      <c r="Q60" s="1">
        <f t="shared" si="21"/>
        <v>50640.452785224901</v>
      </c>
      <c r="R60" s="1">
        <f t="shared" si="21"/>
        <v>39240.11211460604</v>
      </c>
      <c r="S60" s="1">
        <f t="shared" si="21"/>
        <v>37514.530275811056</v>
      </c>
      <c r="T60" s="1">
        <f t="shared" si="21"/>
        <v>49802.544975866607</v>
      </c>
      <c r="U60" s="1">
        <f t="shared" si="21"/>
        <v>55550.179038033486</v>
      </c>
      <c r="V60" s="1">
        <f t="shared" si="21"/>
        <v>59998.013310817521</v>
      </c>
      <c r="W60" s="1">
        <f t="shared" si="21"/>
        <v>55691.091107933033</v>
      </c>
      <c r="X60" s="1">
        <f t="shared" si="21"/>
        <v>55819.659561416964</v>
      </c>
      <c r="Y60" s="1">
        <f t="shared" si="21"/>
        <v>54530.201342281878</v>
      </c>
      <c r="Z60" s="11">
        <f t="shared" si="21"/>
        <v>54159.869494290375</v>
      </c>
    </row>
    <row r="61" spans="1:61" ht="17" hidden="1" thickTop="1" thickBot="1">
      <c r="A61" s="6" t="s">
        <v>85</v>
      </c>
      <c r="B61" s="25">
        <f t="shared" ref="B61:Z61" si="22">AVERAGE(B57:B60)</f>
        <v>41716.366644118782</v>
      </c>
      <c r="C61" s="25">
        <f t="shared" si="22"/>
        <v>43083.183828892026</v>
      </c>
      <c r="D61" s="25">
        <f t="shared" si="22"/>
        <v>39068.540115596261</v>
      </c>
      <c r="E61" s="25">
        <f t="shared" si="22"/>
        <v>36004.272373468208</v>
      </c>
      <c r="F61" s="25">
        <f t="shared" si="22"/>
        <v>33445.268181189007</v>
      </c>
      <c r="G61" s="25">
        <f t="shared" si="22"/>
        <v>32872.96622751726</v>
      </c>
      <c r="H61" s="25">
        <f t="shared" si="22"/>
        <v>29797.473701591851</v>
      </c>
      <c r="I61" s="25">
        <f t="shared" si="22"/>
        <v>34447.19002047104</v>
      </c>
      <c r="J61" s="25">
        <f t="shared" si="22"/>
        <v>38305.088001265307</v>
      </c>
      <c r="K61" s="25">
        <f t="shared" si="22"/>
        <v>41028.767392435358</v>
      </c>
      <c r="L61" s="25">
        <f t="shared" si="22"/>
        <v>39635.783259051103</v>
      </c>
      <c r="M61" s="25">
        <f t="shared" si="22"/>
        <v>36938.349798772309</v>
      </c>
      <c r="N61" s="25">
        <f t="shared" si="22"/>
        <v>35485.403795425489</v>
      </c>
      <c r="O61" s="25">
        <f t="shared" si="22"/>
        <v>37437.615731209997</v>
      </c>
      <c r="P61" s="25">
        <f t="shared" si="22"/>
        <v>31882.40016559988</v>
      </c>
      <c r="Q61" s="25">
        <f t="shared" si="22"/>
        <v>33216.806483555702</v>
      </c>
      <c r="R61" s="25">
        <f t="shared" si="22"/>
        <v>29613.319264653343</v>
      </c>
      <c r="S61" s="25">
        <f t="shared" si="22"/>
        <v>28363.605729611256</v>
      </c>
      <c r="T61" s="25">
        <f t="shared" si="22"/>
        <v>35893.157708943836</v>
      </c>
      <c r="U61" s="25">
        <f t="shared" si="22"/>
        <v>40664.638160160088</v>
      </c>
      <c r="V61" s="25">
        <f t="shared" si="22"/>
        <v>43161.436596289073</v>
      </c>
      <c r="W61" s="25">
        <f t="shared" si="22"/>
        <v>40544.493902993716</v>
      </c>
      <c r="X61" s="25">
        <f t="shared" si="22"/>
        <v>38671.912581776865</v>
      </c>
      <c r="Y61" s="25">
        <f t="shared" si="22"/>
        <v>38555.6496721449</v>
      </c>
      <c r="Z61" s="90">
        <f t="shared" si="22"/>
        <v>37971.911862673856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61" ht="16" hidden="1" thickBot="1">
      <c r="A62" s="1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61" ht="17.5" hidden="1" customHeight="1">
      <c r="A63" s="34" t="s">
        <v>122</v>
      </c>
      <c r="B63" s="2">
        <v>1995</v>
      </c>
      <c r="C63" s="2">
        <v>1996</v>
      </c>
      <c r="D63" s="2">
        <v>1997</v>
      </c>
      <c r="E63" s="2">
        <v>1998</v>
      </c>
      <c r="F63" s="2">
        <v>1999</v>
      </c>
      <c r="G63" s="2">
        <v>2000</v>
      </c>
      <c r="H63" s="2">
        <v>2001</v>
      </c>
      <c r="I63" s="2">
        <v>2002</v>
      </c>
      <c r="J63" s="2">
        <v>2003</v>
      </c>
      <c r="K63" s="2">
        <v>2004</v>
      </c>
      <c r="L63" s="2">
        <v>2005</v>
      </c>
      <c r="M63" s="2">
        <v>2006</v>
      </c>
      <c r="N63" s="2">
        <v>2007</v>
      </c>
      <c r="O63" s="2">
        <v>2008</v>
      </c>
      <c r="P63" s="2">
        <v>2009</v>
      </c>
      <c r="Q63" s="2">
        <v>2010</v>
      </c>
      <c r="R63" s="2">
        <v>2011</v>
      </c>
      <c r="S63" s="2">
        <v>2012</v>
      </c>
      <c r="T63" s="2">
        <v>2013</v>
      </c>
      <c r="U63" s="2">
        <v>2014</v>
      </c>
      <c r="V63" s="2">
        <v>2015</v>
      </c>
      <c r="W63" s="2">
        <v>2016</v>
      </c>
      <c r="X63" s="2">
        <v>2017</v>
      </c>
      <c r="Y63" s="2">
        <v>2018</v>
      </c>
      <c r="Z63" s="10">
        <v>2019</v>
      </c>
      <c r="AA63" s="2">
        <v>2020</v>
      </c>
      <c r="AB63" s="2">
        <v>2021</v>
      </c>
      <c r="AC63" s="2">
        <v>2022</v>
      </c>
      <c r="AD63" s="2">
        <v>2023</v>
      </c>
      <c r="AE63" s="2">
        <v>2024</v>
      </c>
      <c r="AF63" s="2">
        <v>2025</v>
      </c>
      <c r="AG63" s="2">
        <v>2026</v>
      </c>
      <c r="AH63" s="2">
        <v>2027</v>
      </c>
      <c r="AI63" s="2">
        <v>2028</v>
      </c>
      <c r="AJ63" s="2">
        <v>2029</v>
      </c>
      <c r="AK63" s="2">
        <v>2030</v>
      </c>
      <c r="AL63" s="2">
        <v>2031</v>
      </c>
      <c r="AM63" s="2">
        <v>2032</v>
      </c>
      <c r="AN63" s="2">
        <v>2033</v>
      </c>
      <c r="AO63" s="2">
        <v>2034</v>
      </c>
      <c r="AP63" s="2">
        <v>2035</v>
      </c>
      <c r="AQ63" s="2">
        <v>2036</v>
      </c>
      <c r="AR63" s="2">
        <v>2037</v>
      </c>
      <c r="AS63" s="2">
        <v>2038</v>
      </c>
      <c r="AT63" s="2">
        <v>2039</v>
      </c>
      <c r="AU63" s="2">
        <v>2040</v>
      </c>
      <c r="AV63" s="2">
        <v>2041</v>
      </c>
      <c r="AW63" s="2">
        <v>2042</v>
      </c>
      <c r="AX63" s="2">
        <v>2043</v>
      </c>
      <c r="AY63" s="2">
        <v>2044</v>
      </c>
      <c r="AZ63" s="2">
        <v>2045</v>
      </c>
      <c r="BA63" s="2">
        <v>2046</v>
      </c>
      <c r="BB63" s="2">
        <v>2047</v>
      </c>
      <c r="BC63" s="2">
        <v>2048</v>
      </c>
      <c r="BD63" s="2">
        <v>2049</v>
      </c>
      <c r="BE63" s="3">
        <v>2050</v>
      </c>
    </row>
    <row r="64" spans="1:61" hidden="1">
      <c r="A64" s="4" t="s">
        <v>67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f>O22*1000000/O119</f>
        <v>23722.93216776217</v>
      </c>
      <c r="P64" s="1">
        <f t="shared" ref="P64:Z64" si="23">P22*1000000/P119</f>
        <v>24969.400244798042</v>
      </c>
      <c r="Q64" s="1">
        <f t="shared" si="23"/>
        <v>22281.844059810883</v>
      </c>
      <c r="R64" s="1">
        <f t="shared" si="23"/>
        <v>22329.232494475411</v>
      </c>
      <c r="S64" s="1">
        <f t="shared" si="23"/>
        <v>21014.745152676187</v>
      </c>
      <c r="T64" s="1">
        <f t="shared" si="23"/>
        <v>20384.640716590926</v>
      </c>
      <c r="U64" s="1">
        <f t="shared" si="23"/>
        <v>22339.396586689963</v>
      </c>
      <c r="V64" s="1">
        <f t="shared" si="23"/>
        <v>21991.724763362239</v>
      </c>
      <c r="W64" s="1">
        <f t="shared" si="23"/>
        <v>21967.306364018041</v>
      </c>
      <c r="X64" s="1">
        <f t="shared" si="23"/>
        <v>23084.695393759288</v>
      </c>
      <c r="Y64" s="1">
        <f t="shared" si="23"/>
        <v>22775.383479705157</v>
      </c>
      <c r="Z64" s="1">
        <f t="shared" si="23"/>
        <v>22513.884887082833</v>
      </c>
    </row>
    <row r="65" spans="1:57" hidden="1">
      <c r="A65" s="4" t="s">
        <v>68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f t="shared" ref="O65:Z67" si="24">O23*1000000/O120</f>
        <v>25959.780621572212</v>
      </c>
      <c r="P65" s="1">
        <f t="shared" si="24"/>
        <v>21739.130434782608</v>
      </c>
      <c r="Q65" s="1">
        <f t="shared" si="24"/>
        <v>19632.414369256476</v>
      </c>
      <c r="R65" s="1">
        <f t="shared" si="24"/>
        <v>24669.208342677732</v>
      </c>
      <c r="S65" s="1">
        <f t="shared" si="24"/>
        <v>22469.307389390782</v>
      </c>
      <c r="T65" s="1">
        <f t="shared" si="24"/>
        <v>25182.395857848907</v>
      </c>
      <c r="U65" s="1">
        <f t="shared" si="24"/>
        <v>29039.812646370025</v>
      </c>
      <c r="V65" s="1">
        <f t="shared" si="24"/>
        <v>28812.36823612087</v>
      </c>
      <c r="W65" s="1">
        <f t="shared" si="24"/>
        <v>29531.812725090036</v>
      </c>
      <c r="X65" s="1">
        <f t="shared" si="24"/>
        <v>25044.326241134753</v>
      </c>
      <c r="Y65" s="1">
        <f t="shared" si="24"/>
        <v>24889.86784140969</v>
      </c>
      <c r="Z65" s="1">
        <f t="shared" si="24"/>
        <v>24417.069951605808</v>
      </c>
    </row>
    <row r="66" spans="1:57" hidden="1">
      <c r="A66" s="4" t="s">
        <v>69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f t="shared" si="24"/>
        <v>33724.781692261364</v>
      </c>
      <c r="P66" s="1">
        <f t="shared" si="24"/>
        <v>27087.262129264531</v>
      </c>
      <c r="Q66" s="1">
        <f t="shared" si="24"/>
        <v>28847.978743594609</v>
      </c>
      <c r="R66" s="1">
        <f t="shared" si="24"/>
        <v>32013.133593269034</v>
      </c>
      <c r="S66" s="1">
        <f t="shared" si="24"/>
        <v>30965.005302226935</v>
      </c>
      <c r="T66" s="1">
        <f t="shared" si="24"/>
        <v>34402.70156184044</v>
      </c>
      <c r="U66" s="1">
        <f t="shared" si="24"/>
        <v>38893.344025661587</v>
      </c>
      <c r="V66" s="1">
        <f t="shared" si="24"/>
        <v>38582.677165354333</v>
      </c>
      <c r="W66" s="1">
        <f t="shared" si="24"/>
        <v>38746.438746438747</v>
      </c>
      <c r="X66" s="1">
        <f t="shared" si="24"/>
        <v>33236.057068741895</v>
      </c>
      <c r="Y66" s="1">
        <f t="shared" si="24"/>
        <v>33877.42531567601</v>
      </c>
      <c r="Z66" s="1">
        <f t="shared" si="24"/>
        <v>33328.329079717761</v>
      </c>
    </row>
    <row r="67" spans="1:57" hidden="1">
      <c r="A67" s="4" t="s">
        <v>70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f t="shared" si="24"/>
        <v>60191.946588775296</v>
      </c>
      <c r="P67" s="1">
        <f t="shared" si="24"/>
        <v>49176.073699234461</v>
      </c>
      <c r="Q67" s="1">
        <f t="shared" si="24"/>
        <v>53353.658536585368</v>
      </c>
      <c r="R67" s="1">
        <f t="shared" si="24"/>
        <v>38971.807628524046</v>
      </c>
      <c r="S67" s="1">
        <f t="shared" si="24"/>
        <v>37187.887373826808</v>
      </c>
      <c r="T67" s="1">
        <f t="shared" si="24"/>
        <v>44365.721997300941</v>
      </c>
      <c r="U67" s="1">
        <f t="shared" si="24"/>
        <v>50047.51346214761</v>
      </c>
      <c r="V67" s="1">
        <f t="shared" si="24"/>
        <v>52189.296771340116</v>
      </c>
      <c r="W67" s="1">
        <f t="shared" si="24"/>
        <v>52631.57894736842</v>
      </c>
      <c r="X67" s="1">
        <f t="shared" si="24"/>
        <v>44950.738916256159</v>
      </c>
      <c r="Y67" s="1">
        <f t="shared" si="24"/>
        <v>43784.967161274632</v>
      </c>
      <c r="Z67" s="1">
        <f t="shared" si="24"/>
        <v>734020.618556701</v>
      </c>
    </row>
    <row r="68" spans="1:57" ht="16" hidden="1" thickBot="1">
      <c r="A68" s="4" t="s">
        <v>71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f>O26*1000000/O123</f>
        <v>69298.494745810851</v>
      </c>
      <c r="P68" s="1">
        <f t="shared" ref="P68:Z68" si="25">P26*1000000/P123</f>
        <v>57785.087719298244</v>
      </c>
      <c r="Q68" s="1">
        <f t="shared" si="25"/>
        <v>65401.384970505256</v>
      </c>
      <c r="R68" s="1">
        <f t="shared" si="25"/>
        <v>50548.274939823481</v>
      </c>
      <c r="S68" s="1">
        <f t="shared" si="25"/>
        <v>47625.436007512748</v>
      </c>
      <c r="T68" s="1">
        <f t="shared" si="25"/>
        <v>57497.467071935156</v>
      </c>
      <c r="U68" s="1">
        <f t="shared" si="25"/>
        <v>66814.107787219182</v>
      </c>
      <c r="V68" s="1">
        <f t="shared" si="25"/>
        <v>65226.781857451402</v>
      </c>
      <c r="W68" s="1">
        <f t="shared" si="25"/>
        <v>65505.640213734412</v>
      </c>
      <c r="X68" s="1">
        <f t="shared" si="25"/>
        <v>59554.97382198953</v>
      </c>
      <c r="Y68" s="1">
        <f t="shared" si="25"/>
        <v>58083.252662149083</v>
      </c>
      <c r="Z68" s="1">
        <f t="shared" si="25"/>
        <v>57747.164822931889</v>
      </c>
    </row>
    <row r="69" spans="1:57" ht="17" hidden="1" thickTop="1" thickBot="1">
      <c r="A69" s="6" t="s">
        <v>29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92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</row>
    <row r="70" spans="1:57" hidden="1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93"/>
    </row>
    <row r="71" spans="1:57" hidden="1">
      <c r="B71" s="9" t="s">
        <v>123</v>
      </c>
      <c r="C71" s="9"/>
      <c r="D71" s="9" t="s">
        <v>124</v>
      </c>
      <c r="E71" s="9"/>
      <c r="F71" s="9" t="s">
        <v>125</v>
      </c>
      <c r="H71" s="9" t="s">
        <v>126</v>
      </c>
      <c r="J71" t="s">
        <v>127</v>
      </c>
      <c r="M71" s="146" t="s">
        <v>128</v>
      </c>
      <c r="N71" s="146"/>
    </row>
    <row r="72" spans="1:57" hidden="1">
      <c r="A72" s="9" t="s">
        <v>129</v>
      </c>
    </row>
    <row r="73" spans="1:57" hidden="1">
      <c r="A73" s="4" t="s">
        <v>67</v>
      </c>
      <c r="B73" s="1">
        <f>AVERAGE(B56:Z56)</f>
        <v>18861.5892548507</v>
      </c>
      <c r="D73" s="1">
        <f>AVERAGE(O56:Z56)</f>
        <v>25239.698769579467</v>
      </c>
      <c r="F73" s="1">
        <f>AVERAGE(O45:Z45)</f>
        <v>22220.793055555554</v>
      </c>
      <c r="H73" s="1">
        <f>AVERAGE(D73,F73)</f>
        <v>23730.245912567509</v>
      </c>
      <c r="I73" s="1"/>
      <c r="J73">
        <v>21419.326568250086</v>
      </c>
      <c r="M73" s="144" t="s">
        <v>130</v>
      </c>
      <c r="N73" s="144"/>
      <c r="O73" s="14">
        <f>AVERAGE('[1]Mileage '!$G$10:$G$17,'[1]Mileage '!$G$19:$G$25)</f>
        <v>24189.689543067892</v>
      </c>
    </row>
    <row r="74" spans="1:57" hidden="1">
      <c r="A74" s="4" t="s">
        <v>68</v>
      </c>
      <c r="B74" s="1">
        <f>AVERAGE(B57:Z57)</f>
        <v>20821.247437053473</v>
      </c>
      <c r="D74" s="1">
        <f>AVERAGE(O57:Z57)</f>
        <v>21234.498554440866</v>
      </c>
      <c r="F74" s="1">
        <f>AVERAGE(O46:Z46)</f>
        <v>25996.602962315461</v>
      </c>
      <c r="H74" s="1">
        <f t="shared" ref="H74:H77" si="26">AVERAGE(D74,F74)</f>
        <v>23615.550758378165</v>
      </c>
      <c r="I74" s="1"/>
      <c r="J74">
        <v>23615.550758378165</v>
      </c>
      <c r="M74" s="144" t="s">
        <v>131</v>
      </c>
      <c r="N74" s="144"/>
      <c r="O74" s="14">
        <f>AVERAGE('[1]Mileage '!$G$26:$G$39)</f>
        <v>53073.979595893987</v>
      </c>
    </row>
    <row r="75" spans="1:57" hidden="1">
      <c r="A75" s="4" t="s">
        <v>69</v>
      </c>
      <c r="B75" s="1">
        <f>AVERAGE(B58:Z58)</f>
        <v>30826.647491940592</v>
      </c>
      <c r="D75" s="1">
        <f>AVERAGE(O58:Z58)</f>
        <v>31911.767439177438</v>
      </c>
      <c r="F75" s="1">
        <f>AVERAGE(O47:Z47)</f>
        <v>34272.398805361307</v>
      </c>
      <c r="H75" s="1">
        <f t="shared" si="26"/>
        <v>33092.083122269374</v>
      </c>
      <c r="I75" s="1"/>
      <c r="J75">
        <v>33092.083122269374</v>
      </c>
      <c r="M75" s="144" t="s">
        <v>132</v>
      </c>
      <c r="N75" s="144"/>
      <c r="O75" s="14">
        <f>AVERAGE('[1]Mileage '!$G$40:$G$46,'[1]Mileage '!$G$49:$G$53,'[1]Mileage '!$G$56:$G$60)</f>
        <v>69520.254789191036</v>
      </c>
    </row>
    <row r="76" spans="1:57" hidden="1">
      <c r="A76" s="4" t="s">
        <v>70</v>
      </c>
      <c r="B76" s="1">
        <f>AVERAGE(B59:Z59)</f>
        <v>44099.585422279706</v>
      </c>
      <c r="D76" s="1">
        <f>AVERAGE(O59:Z59)</f>
        <v>41005.030073240043</v>
      </c>
      <c r="F76" s="1">
        <f>AVERAGE(O48:Z48)</f>
        <v>44624.472970085473</v>
      </c>
      <c r="H76" s="1">
        <f t="shared" si="26"/>
        <v>42814.751521662758</v>
      </c>
      <c r="I76" s="1"/>
      <c r="J76">
        <v>42814.751521662758</v>
      </c>
      <c r="M76" s="144" t="s">
        <v>133</v>
      </c>
      <c r="N76" s="144"/>
      <c r="O76" s="14">
        <f>AVERAGE('[1]Mileage '!$G$63:$G$67,'[1]Mileage '!$G$70:$G$74)</f>
        <v>77972.075392575571</v>
      </c>
    </row>
    <row r="77" spans="1:57" hidden="1">
      <c r="A77" s="4" t="s">
        <v>71</v>
      </c>
      <c r="B77" s="1">
        <f>AVERAGE(B60:Z60)</f>
        <v>51101.415840631278</v>
      </c>
      <c r="D77" s="1">
        <f>AVERAGE(O60:Z60)</f>
        <v>51174.353219679157</v>
      </c>
      <c r="F77" s="1">
        <f>AVERAGE(O49:Z49)</f>
        <v>56876.741831779327</v>
      </c>
      <c r="H77" s="1">
        <f t="shared" si="26"/>
        <v>54025.547525729242</v>
      </c>
      <c r="I77" s="1"/>
      <c r="J77">
        <v>54025.547525729242</v>
      </c>
      <c r="M77" s="144" t="s">
        <v>134</v>
      </c>
      <c r="N77" s="144"/>
      <c r="O77" s="1">
        <f>AVERAGE('[1]Mileage '!$G$77:$G$81,'[1]Mileage '!$G$84:$G$88)</f>
        <v>77972.075392575571</v>
      </c>
    </row>
    <row r="78" spans="1:57" hidden="1">
      <c r="A78" s="4"/>
      <c r="B78" s="1"/>
      <c r="D78" s="1"/>
      <c r="F78" s="1"/>
      <c r="H78" s="1"/>
      <c r="M78" s="38"/>
      <c r="N78" s="38"/>
      <c r="O78" s="1"/>
    </row>
    <row r="79" spans="1:57" hidden="1">
      <c r="B79" s="1"/>
      <c r="D79" s="1"/>
      <c r="F79" s="1"/>
      <c r="H79" s="1"/>
      <c r="M79" s="38"/>
      <c r="N79" s="38"/>
      <c r="O79" s="1"/>
    </row>
    <row r="80" spans="1:57" ht="14.5" customHeight="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142" t="s">
        <v>135</v>
      </c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</row>
    <row r="81" spans="1:61" ht="15" customHeight="1" thickBo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143"/>
      <c r="R81" s="143"/>
      <c r="S81" s="143"/>
      <c r="T81" s="143"/>
      <c r="U81" s="143"/>
      <c r="V81" s="143"/>
      <c r="W81" s="143"/>
      <c r="X81" s="143"/>
      <c r="Y81" s="143"/>
      <c r="Z81" s="143"/>
      <c r="AA81" s="143"/>
      <c r="AB81" s="143"/>
      <c r="AC81" s="143"/>
      <c r="AD81" s="143"/>
      <c r="AE81" s="143"/>
      <c r="AF81" s="143"/>
      <c r="AG81" s="143"/>
      <c r="AH81" s="143"/>
      <c r="AI81" s="143"/>
      <c r="AJ81" s="143"/>
      <c r="AK81" s="143"/>
    </row>
    <row r="82" spans="1:61" ht="16">
      <c r="A82" s="21" t="s">
        <v>136</v>
      </c>
      <c r="B82" s="2">
        <v>1995</v>
      </c>
      <c r="C82" s="2">
        <v>1996</v>
      </c>
      <c r="D82" s="2">
        <v>1997</v>
      </c>
      <c r="E82" s="2">
        <v>1998</v>
      </c>
      <c r="F82" s="2">
        <v>1999</v>
      </c>
      <c r="G82" s="2">
        <v>2000</v>
      </c>
      <c r="H82" s="2">
        <v>2001</v>
      </c>
      <c r="I82" s="2">
        <v>2002</v>
      </c>
      <c r="J82" s="2">
        <v>2003</v>
      </c>
      <c r="K82" s="2">
        <v>2004</v>
      </c>
      <c r="L82" s="2">
        <v>2005</v>
      </c>
      <c r="M82" s="2">
        <v>2006</v>
      </c>
      <c r="N82" s="2">
        <v>2007</v>
      </c>
      <c r="O82" s="2">
        <v>2008</v>
      </c>
      <c r="P82" s="2">
        <v>2009</v>
      </c>
      <c r="Q82" s="2">
        <v>2010</v>
      </c>
      <c r="R82" s="2">
        <v>2011</v>
      </c>
      <c r="S82" s="2">
        <v>2012</v>
      </c>
      <c r="T82" s="2">
        <v>2013</v>
      </c>
      <c r="U82" s="2">
        <v>2014</v>
      </c>
      <c r="V82" s="2">
        <v>2015</v>
      </c>
      <c r="W82" s="2">
        <v>2016</v>
      </c>
      <c r="X82" s="2">
        <v>2017</v>
      </c>
      <c r="Y82" s="2">
        <v>2018</v>
      </c>
      <c r="Z82" s="10">
        <v>2019</v>
      </c>
      <c r="AA82" s="2">
        <v>2020</v>
      </c>
      <c r="AB82" s="2">
        <v>2021</v>
      </c>
      <c r="AC82" s="2">
        <v>2022</v>
      </c>
      <c r="AD82" s="2">
        <v>2023</v>
      </c>
      <c r="AE82" s="2">
        <v>2024</v>
      </c>
      <c r="AF82" s="2">
        <v>2025</v>
      </c>
      <c r="AG82" s="2">
        <v>2026</v>
      </c>
      <c r="AH82" s="2">
        <v>2027</v>
      </c>
      <c r="AI82" s="2">
        <v>2028</v>
      </c>
      <c r="AJ82" s="2">
        <v>2029</v>
      </c>
      <c r="AK82" s="2">
        <v>2030</v>
      </c>
      <c r="AL82" s="2">
        <v>2031</v>
      </c>
      <c r="AM82" s="2">
        <v>2032</v>
      </c>
      <c r="AN82" s="2">
        <v>2033</v>
      </c>
      <c r="AO82" s="2">
        <v>2034</v>
      </c>
      <c r="AP82" s="2">
        <v>2035</v>
      </c>
      <c r="AQ82" s="2">
        <v>2036</v>
      </c>
      <c r="AR82" s="2">
        <v>2037</v>
      </c>
      <c r="AS82" s="2">
        <v>2038</v>
      </c>
      <c r="AT82" s="2">
        <v>2039</v>
      </c>
      <c r="AU82" s="2">
        <v>2040</v>
      </c>
      <c r="AV82" s="2">
        <v>2041</v>
      </c>
      <c r="AW82" s="2">
        <v>2042</v>
      </c>
      <c r="AX82" s="2">
        <v>2043</v>
      </c>
      <c r="AY82" s="2">
        <v>2044</v>
      </c>
      <c r="AZ82" s="2">
        <v>2045</v>
      </c>
      <c r="BA82" s="2">
        <v>2046</v>
      </c>
      <c r="BB82" s="2">
        <v>2047</v>
      </c>
      <c r="BC82" s="2">
        <v>2048</v>
      </c>
      <c r="BD82" s="2">
        <v>2049</v>
      </c>
      <c r="BE82" s="3">
        <v>2050</v>
      </c>
    </row>
    <row r="83" spans="1:61">
      <c r="A83" s="4" t="s">
        <v>67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8">
        <f>ROUNDDOWN(Q$100*'Share by weight band'!C13,0)</f>
        <v>61937</v>
      </c>
      <c r="R83" s="18">
        <f>ROUNDDOWN(R$100*'Share by weight band'!D13,0)</f>
        <v>58864</v>
      </c>
      <c r="S83" s="18">
        <f>ROUNDDOWN(S$100*'Share by weight band'!E13,0)</f>
        <v>58513</v>
      </c>
      <c r="T83" s="18">
        <f>ROUNDDOWN(T$100*'Share by weight band'!F13,0)</f>
        <v>57142</v>
      </c>
      <c r="U83" s="18">
        <f>ROUNDDOWN(U$100*'Share by weight band'!G13,0)</f>
        <v>60751</v>
      </c>
      <c r="V83" s="18">
        <f>ROUNDDOWN(V$100*'Share by weight band'!H13,0)</f>
        <v>67289</v>
      </c>
      <c r="W83" s="18">
        <f>ROUNDDOWN(W$100*'Share by weight band'!I13,0)</f>
        <v>69331</v>
      </c>
      <c r="X83" s="18">
        <f>ROUNDDOWN(X$100*'Share by weight band'!J13,0)</f>
        <v>80333</v>
      </c>
      <c r="Y83" s="18">
        <f>ROUNDDOWN(Y$100*'Share by weight band'!K13,0)</f>
        <v>88247</v>
      </c>
      <c r="Z83" s="18">
        <f>ROUNDDOWN(Z$100*'Share by weight band'!L13,0)</f>
        <v>96299</v>
      </c>
      <c r="AA83" s="18">
        <f>ROUNDDOWN(AA$100*'Share by weight band'!M13,0)</f>
        <v>98060</v>
      </c>
      <c r="AB83" s="18">
        <f>ROUNDDOWN(AB$100*'Share by weight band'!N13,0)</f>
        <v>111555</v>
      </c>
      <c r="AC83" s="18">
        <f>ROUNDDOWN(AC$100*'Share by weight band'!O13,0)</f>
        <v>117122</v>
      </c>
      <c r="AD83" s="18">
        <f>ROUNDDOWN(AD$100*'Share by weight band'!P13,0)</f>
        <v>120994</v>
      </c>
      <c r="AE83" s="18">
        <f>ROUNDDOWN(AE$100*'Share by weight band'!Q13,0)</f>
        <v>124096</v>
      </c>
      <c r="AF83" s="18">
        <f>ROUNDDOWN(AF$100*'Share by weight band'!R13,0)</f>
        <v>128214</v>
      </c>
      <c r="AG83" s="18">
        <f>ROUNDDOWN(AG$100*'Share by weight band'!S13,0)</f>
        <v>138926</v>
      </c>
      <c r="AH83" s="18">
        <f>ROUNDDOWN(AH$100*'Share by weight band'!T13,0)</f>
        <v>145860</v>
      </c>
      <c r="AI83" s="18">
        <f>ROUNDDOWN(AI$100*'Share by weight band'!U13,0)</f>
        <v>152637</v>
      </c>
      <c r="AJ83" s="18">
        <f>ROUNDDOWN(AJ$100*'Share by weight band'!V13,0)</f>
        <v>160160</v>
      </c>
      <c r="AK83" s="18">
        <f>ROUNDDOWN(AK$100*'Share by weight band'!W13,0)</f>
        <v>168450</v>
      </c>
      <c r="AL83" s="18">
        <f>ROUNDDOWN(AL$100*'Share by weight band'!X13,0)</f>
        <v>171929</v>
      </c>
      <c r="AM83" s="18">
        <f>ROUNDDOWN(AM$100*'Share by weight band'!Y13,0)</f>
        <v>175436</v>
      </c>
      <c r="AN83" s="18">
        <f>ROUNDDOWN(AN$100*'Share by weight band'!Z13,0)</f>
        <v>179023</v>
      </c>
      <c r="AO83" s="18">
        <f>ROUNDDOWN(AO$100*'Share by weight band'!AA13,0)</f>
        <v>182638</v>
      </c>
      <c r="AP83" s="18">
        <f>ROUNDDOWN(AP$100*'Share by weight band'!AB13,0)</f>
        <v>186331</v>
      </c>
      <c r="AQ83" s="18">
        <f>ROUNDDOWN(AQ$100*'Share by weight band'!AC13,0)</f>
        <v>189628</v>
      </c>
      <c r="AR83" s="18">
        <f>ROUNDDOWN(AR$100*'Share by weight band'!AD13,0)</f>
        <v>192963</v>
      </c>
      <c r="AS83" s="18">
        <f>ROUNDDOWN(AS$100*'Share by weight band'!AE13,0)</f>
        <v>196353</v>
      </c>
      <c r="AT83" s="18">
        <f>ROUNDDOWN(AT$100*'Share by weight band'!AF13,0)</f>
        <v>199777</v>
      </c>
      <c r="AU83" s="18">
        <f>ROUNDDOWN(AU$100*'Share by weight band'!AG13,0)</f>
        <v>203243</v>
      </c>
      <c r="AV83" s="18">
        <f>ROUNDDOWN(AV$100*'Share by weight band'!AH13,0)</f>
        <v>206745</v>
      </c>
      <c r="AW83" s="18">
        <f>ROUNDDOWN(AW$100*'Share by weight band'!AI13,0)</f>
        <v>210290</v>
      </c>
      <c r="AX83" s="18">
        <f>ROUNDDOWN(AX$100*'Share by weight band'!AJ13,0)</f>
        <v>213888</v>
      </c>
      <c r="AY83" s="18">
        <f>ROUNDDOWN(AY$100*'Share by weight band'!AK13,0)</f>
        <v>217518</v>
      </c>
      <c r="AZ83" s="18">
        <f>ROUNDDOWN(AZ$100*'Share by weight band'!AL13,0)</f>
        <v>221204</v>
      </c>
      <c r="BA83" s="18">
        <f>ROUNDDOWN(BA$100*'Share by weight band'!AM13,0)</f>
        <v>224910</v>
      </c>
      <c r="BB83" s="18">
        <f>ROUNDDOWN(BB$100*'Share by weight band'!AN13,0)</f>
        <v>228672</v>
      </c>
      <c r="BC83" s="18">
        <f>ROUNDDOWN(BC$100*'Share by weight band'!AO13,0)</f>
        <v>232490</v>
      </c>
      <c r="BD83" s="18">
        <f>ROUNDDOWN(BD$100*'Share by weight band'!AP13,0)</f>
        <v>236335</v>
      </c>
      <c r="BE83" s="18">
        <f>ROUNDDOWN(BE$100*'Share by weight band'!AQ13,0)</f>
        <v>240249</v>
      </c>
      <c r="BF83" s="1"/>
    </row>
    <row r="84" spans="1:61">
      <c r="A84" s="4" t="s">
        <v>68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8">
        <f>ROUNDDOWN(Q$100*'Share by weight band'!C14,0)</f>
        <v>5305</v>
      </c>
      <c r="R84" s="18">
        <f>ROUNDDOWN(R$100*'Share by weight band'!D14,0)</f>
        <v>4857</v>
      </c>
      <c r="S84" s="18">
        <f>ROUNDDOWN(S$100*'Share by weight band'!E14,0)</f>
        <v>4718</v>
      </c>
      <c r="T84" s="18">
        <f>ROUNDDOWN(T$100*'Share by weight band'!F14,0)</f>
        <v>4562</v>
      </c>
      <c r="U84" s="18">
        <f>ROUNDDOWN(U$100*'Share by weight band'!G14,0)</f>
        <v>4571</v>
      </c>
      <c r="V84" s="18">
        <f>ROUNDDOWN(V$100*'Share by weight band'!H14,0)</f>
        <v>4495</v>
      </c>
      <c r="W84" s="18">
        <f>ROUNDDOWN(W$100*'Share by weight band'!I14,0)</f>
        <v>4514</v>
      </c>
      <c r="X84" s="18">
        <f>ROUNDDOWN(X$100*'Share by weight band'!J14,0)</f>
        <v>4782</v>
      </c>
      <c r="Y84" s="18">
        <f>ROUNDDOWN(Y$100*'Share by weight band'!K14,0)</f>
        <v>4814</v>
      </c>
      <c r="Z84" s="18">
        <f>ROUNDDOWN(Z$100*'Share by weight band'!L14,0)</f>
        <v>4860</v>
      </c>
      <c r="AA84" s="18">
        <f>ROUNDDOWN(AA$100*'Share by weight band'!M14,0)</f>
        <v>4778</v>
      </c>
      <c r="AB84" s="18">
        <f>ROUNDDOWN(AB$100*'Share by weight band'!N14,0)</f>
        <v>5247</v>
      </c>
      <c r="AC84" s="18">
        <f>ROUNDDOWN(AC$100*'Share by weight band'!O14,0)</f>
        <v>5318</v>
      </c>
      <c r="AD84" s="18">
        <f>ROUNDDOWN(AD$100*'Share by weight band'!P14,0)</f>
        <v>5303</v>
      </c>
      <c r="AE84" s="18">
        <f>ROUNDDOWN(AE$100*'Share by weight band'!Q14,0)</f>
        <v>5251</v>
      </c>
      <c r="AF84" s="18">
        <f>ROUNDDOWN(AF$100*'Share by weight band'!R14,0)</f>
        <v>5237</v>
      </c>
      <c r="AG84" s="18">
        <f>ROUNDDOWN(AG$100*'Share by weight band'!S14,0)</f>
        <v>5590</v>
      </c>
      <c r="AH84" s="18">
        <f>ROUNDDOWN(AH$100*'Share by weight band'!T14,0)</f>
        <v>5781</v>
      </c>
      <c r="AI84" s="18">
        <f>ROUNDDOWN(AI$100*'Share by weight band'!U14,0)</f>
        <v>5960</v>
      </c>
      <c r="AJ84" s="18">
        <f>ROUNDDOWN(AJ$100*'Share by weight band'!V14,0)</f>
        <v>6160</v>
      </c>
      <c r="AK84" s="18">
        <f>ROUNDDOWN(AK$100*'Share by weight band'!W14,0)</f>
        <v>6382</v>
      </c>
      <c r="AL84" s="18">
        <f>ROUNDDOWN(AL$100*'Share by weight band'!X14,0)</f>
        <v>6417</v>
      </c>
      <c r="AM84" s="18">
        <f>ROUNDDOWN(AM$100*'Share by weight band'!Y14,0)</f>
        <v>6450</v>
      </c>
      <c r="AN84" s="18">
        <f>ROUNDDOWN(AN$100*'Share by weight band'!Z14,0)</f>
        <v>6484</v>
      </c>
      <c r="AO84" s="18">
        <f>ROUNDDOWN(AO$100*'Share by weight band'!AA14,0)</f>
        <v>6516</v>
      </c>
      <c r="AP84" s="18">
        <f>ROUNDDOWN(AP$100*'Share by weight band'!AB14,0)</f>
        <v>6549</v>
      </c>
      <c r="AQ84" s="18">
        <f>ROUNDDOWN(AQ$100*'Share by weight band'!AC14,0)</f>
        <v>6615</v>
      </c>
      <c r="AR84" s="18">
        <f>ROUNDDOWN(AR$100*'Share by weight band'!AD14,0)</f>
        <v>6681</v>
      </c>
      <c r="AS84" s="18">
        <f>ROUNDDOWN(AS$100*'Share by weight band'!AE14,0)</f>
        <v>6747</v>
      </c>
      <c r="AT84" s="18">
        <f>ROUNDDOWN(AT$100*'Share by weight band'!AF14,0)</f>
        <v>6813</v>
      </c>
      <c r="AU84" s="18">
        <f>ROUNDDOWN(AU$100*'Share by weight band'!AG14,0)</f>
        <v>6880</v>
      </c>
      <c r="AV84" s="18">
        <f>ROUNDDOWN(AV$100*'Share by weight band'!AH14,0)</f>
        <v>6946</v>
      </c>
      <c r="AW84" s="18">
        <f>ROUNDDOWN(AW$100*'Share by weight band'!AI14,0)</f>
        <v>7012</v>
      </c>
      <c r="AX84" s="18">
        <f>ROUNDDOWN(AX$100*'Share by weight band'!AJ14,0)</f>
        <v>7079</v>
      </c>
      <c r="AY84" s="18">
        <f>ROUNDDOWN(AY$100*'Share by weight band'!AK14,0)</f>
        <v>7145</v>
      </c>
      <c r="AZ84" s="18">
        <f>ROUNDDOWN(AZ$100*'Share by weight band'!AL14,0)</f>
        <v>7212</v>
      </c>
      <c r="BA84" s="18">
        <f>ROUNDDOWN(BA$100*'Share by weight band'!AM14,0)</f>
        <v>7278</v>
      </c>
      <c r="BB84" s="18">
        <f>ROUNDDOWN(BB$100*'Share by weight band'!AN14,0)</f>
        <v>7344</v>
      </c>
      <c r="BC84" s="18">
        <f>ROUNDDOWN(BC$100*'Share by weight band'!AO14,0)</f>
        <v>7411</v>
      </c>
      <c r="BD84" s="18">
        <f>ROUNDDOWN(BD$100*'Share by weight band'!AP14,0)</f>
        <v>7477</v>
      </c>
      <c r="BE84" s="18">
        <f>ROUNDDOWN(BE$100*'Share by weight band'!AQ14,0)</f>
        <v>7544</v>
      </c>
      <c r="BF84" s="1"/>
    </row>
    <row r="85" spans="1:61">
      <c r="A85" s="4" t="s">
        <v>69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8">
        <f>ROUNDDOWN(Q$100*'Share by weight band'!C15,0)</f>
        <v>3330</v>
      </c>
      <c r="R85" s="18">
        <f>ROUNDDOWN(R$100*'Share by weight band'!D15,0)</f>
        <v>2995</v>
      </c>
      <c r="S85" s="18">
        <f>ROUNDDOWN(S$100*'Share by weight band'!E15,0)</f>
        <v>2938</v>
      </c>
      <c r="T85" s="18">
        <f>ROUNDDOWN(T$100*'Share by weight band'!F15,0)</f>
        <v>2864</v>
      </c>
      <c r="U85" s="18">
        <f>ROUNDDOWN(U$100*'Share by weight band'!G15,0)</f>
        <v>3023</v>
      </c>
      <c r="V85" s="18">
        <f>ROUNDDOWN(V$100*'Share by weight band'!H15,0)</f>
        <v>3065</v>
      </c>
      <c r="W85" s="18">
        <f>ROUNDDOWN(W$100*'Share by weight band'!I15,0)</f>
        <v>3413</v>
      </c>
      <c r="X85" s="18">
        <f>ROUNDDOWN(X$100*'Share by weight band'!J15,0)</f>
        <v>3854</v>
      </c>
      <c r="Y85" s="18">
        <f>ROUNDDOWN(Y$100*'Share by weight band'!K15,0)</f>
        <v>4019</v>
      </c>
      <c r="Z85" s="18">
        <f>ROUNDDOWN(Z$100*'Share by weight band'!L15,0)</f>
        <v>4133</v>
      </c>
      <c r="AA85" s="18">
        <f>ROUNDDOWN(AA$100*'Share by weight band'!M15,0)</f>
        <v>4104</v>
      </c>
      <c r="AB85" s="18">
        <f>ROUNDDOWN(AB$100*'Share by weight band'!N15,0)</f>
        <v>4553</v>
      </c>
      <c r="AC85" s="18">
        <f>ROUNDDOWN(AC$100*'Share by weight band'!O15,0)</f>
        <v>4662</v>
      </c>
      <c r="AD85" s="18">
        <f>ROUNDDOWN(AD$100*'Share by weight band'!P15,0)</f>
        <v>4697</v>
      </c>
      <c r="AE85" s="18">
        <f>ROUNDDOWN(AE$100*'Share by weight band'!Q15,0)</f>
        <v>4698</v>
      </c>
      <c r="AF85" s="18">
        <f>ROUNDDOWN(AF$100*'Share by weight band'!R15,0)</f>
        <v>4734</v>
      </c>
      <c r="AG85" s="18">
        <f>ROUNDDOWN(AG$100*'Share by weight band'!S15,0)</f>
        <v>5078</v>
      </c>
      <c r="AH85" s="18">
        <f>ROUNDDOWN(AH$100*'Share by weight band'!T15,0)</f>
        <v>5279</v>
      </c>
      <c r="AI85" s="18">
        <f>ROUNDDOWN(AI$100*'Share by weight band'!U15,0)</f>
        <v>5469</v>
      </c>
      <c r="AJ85" s="18">
        <f>ROUNDDOWN(AJ$100*'Share by weight band'!V15,0)</f>
        <v>5682</v>
      </c>
      <c r="AK85" s="18">
        <f>ROUNDDOWN(AK$100*'Share by weight band'!W15,0)</f>
        <v>5916</v>
      </c>
      <c r="AL85" s="18">
        <f>ROUNDDOWN(AL$100*'Share by weight band'!X15,0)</f>
        <v>5979</v>
      </c>
      <c r="AM85" s="18">
        <f>ROUNDDOWN(AM$100*'Share by weight band'!Y15,0)</f>
        <v>6040</v>
      </c>
      <c r="AN85" s="18">
        <f>ROUNDDOWN(AN$100*'Share by weight band'!Z15,0)</f>
        <v>6102</v>
      </c>
      <c r="AO85" s="18">
        <f>ROUNDDOWN(AO$100*'Share by weight band'!AA15,0)</f>
        <v>6163</v>
      </c>
      <c r="AP85" s="18">
        <f>ROUNDDOWN(AP$100*'Share by weight band'!AB15,0)</f>
        <v>6225</v>
      </c>
      <c r="AQ85" s="18">
        <f>ROUNDDOWN(AQ$100*'Share by weight band'!AC15,0)</f>
        <v>6320</v>
      </c>
      <c r="AR85" s="18">
        <f>ROUNDDOWN(AR$100*'Share by weight band'!AD15,0)</f>
        <v>6415</v>
      </c>
      <c r="AS85" s="18">
        <f>ROUNDDOWN(AS$100*'Share by weight band'!AE15,0)</f>
        <v>6511</v>
      </c>
      <c r="AT85" s="18">
        <f>ROUNDDOWN(AT$100*'Share by weight band'!AF15,0)</f>
        <v>6608</v>
      </c>
      <c r="AU85" s="18">
        <f>ROUNDDOWN(AU$100*'Share by weight band'!AG15,0)</f>
        <v>6706</v>
      </c>
      <c r="AV85" s="18">
        <f>ROUNDDOWN(AV$100*'Share by weight band'!AH15,0)</f>
        <v>6805</v>
      </c>
      <c r="AW85" s="18">
        <f>ROUNDDOWN(AW$100*'Share by weight band'!AI15,0)</f>
        <v>6904</v>
      </c>
      <c r="AX85" s="18">
        <f>ROUNDDOWN(AX$100*'Share by weight band'!AJ15,0)</f>
        <v>7005</v>
      </c>
      <c r="AY85" s="18">
        <f>ROUNDDOWN(AY$100*'Share by weight band'!AK15,0)</f>
        <v>7106</v>
      </c>
      <c r="AZ85" s="18">
        <f>ROUNDDOWN(AZ$100*'Share by weight band'!AL15,0)</f>
        <v>7208</v>
      </c>
      <c r="BA85" s="18">
        <f>ROUNDDOWN(BA$100*'Share by weight band'!AM15,0)</f>
        <v>7311</v>
      </c>
      <c r="BB85" s="18">
        <f>ROUNDDOWN(BB$100*'Share by weight band'!AN15,0)</f>
        <v>7414</v>
      </c>
      <c r="BC85" s="18">
        <f>ROUNDDOWN(BC$100*'Share by weight band'!AO15,0)</f>
        <v>7519</v>
      </c>
      <c r="BD85" s="18">
        <f>ROUNDDOWN(BD$100*'Share by weight band'!AP15,0)</f>
        <v>7625</v>
      </c>
      <c r="BE85" s="18">
        <f>ROUNDDOWN(BE$100*'Share by weight band'!AQ15,0)</f>
        <v>7732</v>
      </c>
      <c r="BF85" s="1"/>
    </row>
    <row r="86" spans="1:61">
      <c r="A86" s="4" t="s">
        <v>70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8">
        <f>ROUNDDOWN(Q$100*'Share by weight band'!C16,0)</f>
        <v>11344</v>
      </c>
      <c r="R86" s="18">
        <f>ROUNDDOWN(R$100*'Share by weight band'!D16,0)</f>
        <v>10226</v>
      </c>
      <c r="S86" s="18">
        <f>ROUNDDOWN(S$100*'Share by weight band'!E16,0)</f>
        <v>9692</v>
      </c>
      <c r="T86" s="18">
        <f>ROUNDDOWN(T$100*'Share by weight band'!F16,0)</f>
        <v>9858</v>
      </c>
      <c r="U86" s="18">
        <f>ROUNDDOWN(U$100*'Share by weight band'!G16,0)</f>
        <v>10240</v>
      </c>
      <c r="V86" s="18">
        <f>ROUNDDOWN(V$100*'Share by weight band'!H16,0)</f>
        <v>10705</v>
      </c>
      <c r="W86" s="18">
        <f>ROUNDDOWN(W$100*'Share by weight band'!I16,0)</f>
        <v>11606</v>
      </c>
      <c r="X86" s="18">
        <f>ROUNDDOWN(X$100*'Share by weight band'!J16,0)</f>
        <v>12861</v>
      </c>
      <c r="Y86" s="18">
        <f>ROUNDDOWN(Y$100*'Share by weight band'!K16,0)</f>
        <v>13253</v>
      </c>
      <c r="Z86" s="18">
        <f>ROUNDDOWN(Z$100*'Share by weight band'!L16,0)</f>
        <v>13591</v>
      </c>
      <c r="AA86" s="18">
        <f>ROUNDDOWN(AA$100*'Share by weight band'!M16,0)</f>
        <v>13428</v>
      </c>
      <c r="AB86" s="18">
        <f>ROUNDDOWN(AB$100*'Share by weight band'!N16,0)</f>
        <v>14823</v>
      </c>
      <c r="AC86" s="18">
        <f>ROUNDDOWN(AC$100*'Share by weight band'!O16,0)</f>
        <v>15100</v>
      </c>
      <c r="AD86" s="18">
        <f>ROUNDDOWN(AD$100*'Share by weight band'!P16,0)</f>
        <v>15136</v>
      </c>
      <c r="AE86" s="18">
        <f>ROUNDDOWN(AE$100*'Share by weight band'!Q16,0)</f>
        <v>15063</v>
      </c>
      <c r="AF86" s="18">
        <f>ROUNDDOWN(AF$100*'Share by weight band'!R16,0)</f>
        <v>15100</v>
      </c>
      <c r="AG86" s="18">
        <f>ROUNDDOWN(AG$100*'Share by weight band'!S16,0)</f>
        <v>16118</v>
      </c>
      <c r="AH86" s="18">
        <f>ROUNDDOWN(AH$100*'Share by weight band'!T16,0)</f>
        <v>16670</v>
      </c>
      <c r="AI86" s="18">
        <f>ROUNDDOWN(AI$100*'Share by weight band'!U16,0)</f>
        <v>17184</v>
      </c>
      <c r="AJ86" s="18">
        <f>ROUNDDOWN(AJ$100*'Share by weight band'!V16,0)</f>
        <v>17762</v>
      </c>
      <c r="AK86" s="18">
        <f>ROUNDDOWN(AK$100*'Share by weight band'!W16,0)</f>
        <v>18402</v>
      </c>
      <c r="AL86" s="18">
        <f>ROUNDDOWN(AL$100*'Share by weight band'!X16,0)</f>
        <v>18502</v>
      </c>
      <c r="AM86" s="18">
        <f>ROUNDDOWN(AM$100*'Share by weight band'!Y16,0)</f>
        <v>18598</v>
      </c>
      <c r="AN86" s="18">
        <f>ROUNDDOWN(AN$100*'Share by weight band'!Z16,0)</f>
        <v>18695</v>
      </c>
      <c r="AO86" s="18">
        <f>ROUNDDOWN(AO$100*'Share by weight band'!AA16,0)</f>
        <v>18788</v>
      </c>
      <c r="AP86" s="18">
        <f>ROUNDDOWN(AP$100*'Share by weight band'!AB16,0)</f>
        <v>18881</v>
      </c>
      <c r="AQ86" s="18">
        <f>ROUNDDOWN(AQ$100*'Share by weight band'!AC16,0)</f>
        <v>19072</v>
      </c>
      <c r="AR86" s="18">
        <f>ROUNDDOWN(AR$100*'Share by weight band'!AD16,0)</f>
        <v>19262</v>
      </c>
      <c r="AS86" s="18">
        <f>ROUNDDOWN(AS$100*'Share by weight band'!AE16,0)</f>
        <v>19454</v>
      </c>
      <c r="AT86" s="18">
        <f>ROUNDDOWN(AT$100*'Share by weight band'!AF16,0)</f>
        <v>19645</v>
      </c>
      <c r="AU86" s="18">
        <f>ROUNDDOWN(AU$100*'Share by weight band'!AG16,0)</f>
        <v>19836</v>
      </c>
      <c r="AV86" s="18">
        <f>ROUNDDOWN(AV$100*'Share by weight band'!AH16,0)</f>
        <v>20027</v>
      </c>
      <c r="AW86" s="18">
        <f>ROUNDDOWN(AW$100*'Share by weight band'!AI16,0)</f>
        <v>20218</v>
      </c>
      <c r="AX86" s="18">
        <f>ROUNDDOWN(AX$100*'Share by weight band'!AJ16,0)</f>
        <v>20410</v>
      </c>
      <c r="AY86" s="18">
        <f>ROUNDDOWN(AY$100*'Share by weight band'!AK16,0)</f>
        <v>20601</v>
      </c>
      <c r="AZ86" s="18">
        <f>ROUNDDOWN(AZ$100*'Share by weight band'!AL16,0)</f>
        <v>20794</v>
      </c>
      <c r="BA86" s="18">
        <f>ROUNDDOWN(BA$100*'Share by weight band'!AM16,0)</f>
        <v>20984</v>
      </c>
      <c r="BB86" s="18">
        <f>ROUNDDOWN(BB$100*'Share by weight band'!AN16,0)</f>
        <v>21175</v>
      </c>
      <c r="BC86" s="18">
        <f>ROUNDDOWN(BC$100*'Share by weight band'!AO16,0)</f>
        <v>21368</v>
      </c>
      <c r="BD86" s="18">
        <f>ROUNDDOWN(BD$100*'Share by weight band'!AP16,0)</f>
        <v>21559</v>
      </c>
      <c r="BE86" s="18">
        <f>ROUNDDOWN(BE$100*'Share by weight band'!AQ16,0)</f>
        <v>21752</v>
      </c>
      <c r="BF86" s="1"/>
    </row>
    <row r="87" spans="1:61" ht="16" thickBot="1">
      <c r="A87" s="4" t="s">
        <v>71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8">
        <f>ROUNDDOWN(Q$100*'Share by weight band'!C17,0)</f>
        <v>9066</v>
      </c>
      <c r="R87" s="18">
        <f>ROUNDDOWN(R$100*'Share by weight band'!D17,0)</f>
        <v>8581</v>
      </c>
      <c r="S87" s="18">
        <f>ROUNDDOWN(S$100*'Share by weight band'!E17,0)</f>
        <v>8479</v>
      </c>
      <c r="T87" s="18">
        <f>ROUNDDOWN(T$100*'Share by weight band'!F17,0)</f>
        <v>9111</v>
      </c>
      <c r="U87" s="18">
        <f>ROUNDDOWN(U$100*'Share by weight band'!G17,0)</f>
        <v>9673</v>
      </c>
      <c r="V87" s="18">
        <f>ROUNDDOWN(V$100*'Share by weight band'!H17,0)</f>
        <v>10406</v>
      </c>
      <c r="W87" s="18">
        <f>ROUNDDOWN(W$100*'Share by weight band'!I17,0)</f>
        <v>11493</v>
      </c>
      <c r="X87" s="18">
        <f>ROUNDDOWN(X$100*'Share by weight band'!J17,0)</f>
        <v>13322</v>
      </c>
      <c r="Y87" s="18">
        <f>ROUNDDOWN(Y$100*'Share by weight band'!K17,0)</f>
        <v>14464</v>
      </c>
      <c r="Z87" s="18">
        <f>ROUNDDOWN(Z$100*'Share by weight band'!L17,0)</f>
        <v>15308</v>
      </c>
      <c r="AA87" s="18">
        <f>ROUNDDOWN(AA$100*'Share by weight band'!M17,0)</f>
        <v>15742</v>
      </c>
      <c r="AB87" s="18">
        <f>ROUNDDOWN(AB$100*'Share by weight band'!N17,0)</f>
        <v>18086</v>
      </c>
      <c r="AC87" s="18">
        <f>ROUNDDOWN(AC$100*'Share by weight band'!O17,0)</f>
        <v>19177</v>
      </c>
      <c r="AD87" s="18">
        <f>ROUNDDOWN(AD$100*'Share by weight band'!P17,0)</f>
        <v>20007</v>
      </c>
      <c r="AE87" s="18">
        <f>ROUNDDOWN(AE$100*'Share by weight band'!Q17,0)</f>
        <v>20723</v>
      </c>
      <c r="AF87" s="18">
        <f>ROUNDDOWN(AF$100*'Share by weight band'!R17,0)</f>
        <v>21623</v>
      </c>
      <c r="AG87" s="18">
        <f>ROUNDDOWN(AG$100*'Share by weight band'!S17,0)</f>
        <v>23429</v>
      </c>
      <c r="AH87" s="18">
        <f>ROUNDDOWN(AH$100*'Share by weight band'!T17,0)</f>
        <v>24598</v>
      </c>
      <c r="AI87" s="18">
        <f>ROUNDDOWN(AI$100*'Share by weight band'!U17,0)</f>
        <v>25742</v>
      </c>
      <c r="AJ87" s="18">
        <f>ROUNDDOWN(AJ$100*'Share by weight band'!V17,0)</f>
        <v>27010</v>
      </c>
      <c r="AK87" s="18">
        <f>ROUNDDOWN(AK$100*'Share by weight band'!W17,0)</f>
        <v>28408</v>
      </c>
      <c r="AL87" s="18">
        <f>ROUNDDOWN(AL$100*'Share by weight band'!X17,0)</f>
        <v>28995</v>
      </c>
      <c r="AM87" s="18">
        <f>ROUNDDOWN(AM$100*'Share by weight band'!Y17,0)</f>
        <v>29586</v>
      </c>
      <c r="AN87" s="18">
        <f>ROUNDDOWN(AN$100*'Share by weight band'!Z17,0)</f>
        <v>30191</v>
      </c>
      <c r="AO87" s="18">
        <f>ROUNDDOWN(AO$100*'Share by weight band'!AA17,0)</f>
        <v>30801</v>
      </c>
      <c r="AP87" s="18">
        <f>ROUNDDOWN(AP$100*'Share by weight band'!AB17,0)</f>
        <v>31424</v>
      </c>
      <c r="AQ87" s="18">
        <f>ROUNDDOWN(AQ$100*'Share by weight band'!AC17,0)</f>
        <v>31900</v>
      </c>
      <c r="AR87" s="18">
        <f>ROUNDDOWN(AR$100*'Share by weight band'!AD17,0)</f>
        <v>32380</v>
      </c>
      <c r="AS87" s="18">
        <f>ROUNDDOWN(AS$100*'Share by weight band'!AE17,0)</f>
        <v>32867</v>
      </c>
      <c r="AT87" s="18">
        <f>ROUNDDOWN(AT$100*'Share by weight band'!AF17,0)</f>
        <v>33357</v>
      </c>
      <c r="AU87" s="18">
        <f>ROUNDDOWN(AU$100*'Share by weight band'!AG17,0)</f>
        <v>33851</v>
      </c>
      <c r="AV87" s="18">
        <f>ROUNDDOWN(AV$100*'Share by weight band'!AH17,0)</f>
        <v>34348</v>
      </c>
      <c r="AW87" s="18">
        <f>ROUNDDOWN(AW$100*'Share by weight band'!AI17,0)</f>
        <v>34850</v>
      </c>
      <c r="AX87" s="18">
        <f>ROUNDDOWN(AX$100*'Share by weight band'!AJ17,0)</f>
        <v>35358</v>
      </c>
      <c r="AY87" s="18">
        <f>ROUNDDOWN(AY$100*'Share by weight band'!AK17,0)</f>
        <v>35868</v>
      </c>
      <c r="AZ87" s="18">
        <f>ROUNDDOWN(AZ$100*'Share by weight band'!AL17,0)</f>
        <v>36385</v>
      </c>
      <c r="BA87" s="18">
        <f>ROUNDDOWN(BA$100*'Share by weight band'!AM17,0)</f>
        <v>36903</v>
      </c>
      <c r="BB87" s="18">
        <f>ROUNDDOWN(BB$100*'Share by weight band'!AN17,0)</f>
        <v>37426</v>
      </c>
      <c r="BC87" s="18">
        <f>ROUNDDOWN(BC$100*'Share by weight band'!AO17,0)</f>
        <v>37956</v>
      </c>
      <c r="BD87" s="18">
        <f>ROUNDDOWN(BD$100*'Share by weight band'!AP17,0)</f>
        <v>38488</v>
      </c>
      <c r="BE87" s="18">
        <f>ROUNDDOWN(BE$100*'Share by weight band'!AQ17,0)</f>
        <v>39028</v>
      </c>
      <c r="BF87" s="1"/>
    </row>
    <row r="88" spans="1:61" ht="17" thickTop="1" thickBot="1">
      <c r="A88" s="6" t="s">
        <v>29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>
        <f t="shared" ref="Q88:BE88" si="27">SUM(Q83:Q87)</f>
        <v>90982</v>
      </c>
      <c r="R88" s="7">
        <f t="shared" si="27"/>
        <v>85523</v>
      </c>
      <c r="S88" s="7">
        <f t="shared" si="27"/>
        <v>84340</v>
      </c>
      <c r="T88" s="7">
        <f t="shared" si="27"/>
        <v>83537</v>
      </c>
      <c r="U88" s="7">
        <f t="shared" si="27"/>
        <v>88258</v>
      </c>
      <c r="V88" s="7">
        <f t="shared" si="27"/>
        <v>95960</v>
      </c>
      <c r="W88" s="7">
        <f t="shared" si="27"/>
        <v>100357</v>
      </c>
      <c r="X88" s="7">
        <f t="shared" si="27"/>
        <v>115152</v>
      </c>
      <c r="Y88" s="7">
        <f t="shared" si="27"/>
        <v>124797</v>
      </c>
      <c r="Z88" s="12">
        <f t="shared" si="27"/>
        <v>134191</v>
      </c>
      <c r="AA88" s="7">
        <f t="shared" si="27"/>
        <v>136112</v>
      </c>
      <c r="AB88" s="7">
        <f t="shared" si="27"/>
        <v>154264</v>
      </c>
      <c r="AC88" s="7">
        <f t="shared" si="27"/>
        <v>161379</v>
      </c>
      <c r="AD88" s="7">
        <f t="shared" si="27"/>
        <v>166137</v>
      </c>
      <c r="AE88" s="7">
        <f t="shared" si="27"/>
        <v>169831</v>
      </c>
      <c r="AF88" s="7">
        <f t="shared" si="27"/>
        <v>174908</v>
      </c>
      <c r="AG88" s="7">
        <f t="shared" si="27"/>
        <v>189141</v>
      </c>
      <c r="AH88" s="7">
        <f t="shared" si="27"/>
        <v>198188</v>
      </c>
      <c r="AI88" s="7">
        <f t="shared" si="27"/>
        <v>206992</v>
      </c>
      <c r="AJ88" s="7">
        <f t="shared" si="27"/>
        <v>216774</v>
      </c>
      <c r="AK88" s="7">
        <f t="shared" si="27"/>
        <v>227558</v>
      </c>
      <c r="AL88" s="7">
        <f t="shared" si="27"/>
        <v>231822</v>
      </c>
      <c r="AM88" s="7">
        <f t="shared" si="27"/>
        <v>236110</v>
      </c>
      <c r="AN88" s="7">
        <f t="shared" si="27"/>
        <v>240495</v>
      </c>
      <c r="AO88" s="7">
        <f t="shared" si="27"/>
        <v>244906</v>
      </c>
      <c r="AP88" s="7">
        <f t="shared" si="27"/>
        <v>249410</v>
      </c>
      <c r="AQ88" s="7">
        <f t="shared" si="27"/>
        <v>253535</v>
      </c>
      <c r="AR88" s="7">
        <f t="shared" si="27"/>
        <v>257701</v>
      </c>
      <c r="AS88" s="7">
        <f t="shared" si="27"/>
        <v>261932</v>
      </c>
      <c r="AT88" s="7">
        <f t="shared" si="27"/>
        <v>266200</v>
      </c>
      <c r="AU88" s="7">
        <f t="shared" si="27"/>
        <v>270516</v>
      </c>
      <c r="AV88" s="7">
        <f t="shared" si="27"/>
        <v>274871</v>
      </c>
      <c r="AW88" s="7">
        <f t="shared" si="27"/>
        <v>279274</v>
      </c>
      <c r="AX88" s="7">
        <f t="shared" si="27"/>
        <v>283740</v>
      </c>
      <c r="AY88" s="7">
        <f t="shared" si="27"/>
        <v>288238</v>
      </c>
      <c r="AZ88" s="7">
        <f t="shared" si="27"/>
        <v>292803</v>
      </c>
      <c r="BA88" s="7">
        <f t="shared" si="27"/>
        <v>297386</v>
      </c>
      <c r="BB88" s="7">
        <f t="shared" si="27"/>
        <v>302031</v>
      </c>
      <c r="BC88" s="7">
        <f t="shared" si="27"/>
        <v>306744</v>
      </c>
      <c r="BD88" s="7">
        <f t="shared" si="27"/>
        <v>311484</v>
      </c>
      <c r="BE88" s="7">
        <f t="shared" si="27"/>
        <v>316305</v>
      </c>
      <c r="BF88" s="1"/>
      <c r="BI88" s="47">
        <f>(BE88-AA88)/AA88</f>
        <v>1.3238582931703302</v>
      </c>
    </row>
    <row r="89" spans="1:61">
      <c r="T89" s="11">
        <f t="shared" ref="T89:Y89" si="28">SUM(T84:T87)</f>
        <v>26395</v>
      </c>
      <c r="U89" s="11">
        <f t="shared" si="28"/>
        <v>27507</v>
      </c>
      <c r="V89" s="11">
        <f t="shared" si="28"/>
        <v>28671</v>
      </c>
      <c r="W89" s="11">
        <f t="shared" si="28"/>
        <v>31026</v>
      </c>
      <c r="X89" s="11">
        <f t="shared" si="28"/>
        <v>34819</v>
      </c>
      <c r="Y89" s="11">
        <f t="shared" si="28"/>
        <v>36550</v>
      </c>
      <c r="Z89" s="11">
        <f>SUM(Z84:Z87)</f>
        <v>37892</v>
      </c>
      <c r="AA89" s="11">
        <f>SUM(AA84:AA87)</f>
        <v>38052</v>
      </c>
      <c r="AK89">
        <f>(AK88-AA88)/AA88</f>
        <v>0.6718437757141178</v>
      </c>
    </row>
    <row r="90" spans="1:61" ht="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 t="s">
        <v>137</v>
      </c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1">
        <f>AK83-AA83</f>
        <v>70390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</row>
    <row r="91" spans="1:61" ht="19" hidden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9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</row>
    <row r="92" spans="1:61" ht="14.5" hidden="1" customHeight="1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142" t="s">
        <v>138</v>
      </c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</row>
    <row r="93" spans="1:61" ht="15" hidden="1" customHeight="1" thickBo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143"/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</row>
    <row r="94" spans="1:61" ht="29.5" hidden="1" customHeight="1">
      <c r="A94" s="21" t="s">
        <v>136</v>
      </c>
      <c r="B94" s="2">
        <v>1995</v>
      </c>
      <c r="C94" s="2">
        <v>1996</v>
      </c>
      <c r="D94" s="2">
        <v>1997</v>
      </c>
      <c r="E94" s="2">
        <v>1998</v>
      </c>
      <c r="F94" s="2">
        <v>1999</v>
      </c>
      <c r="G94" s="2">
        <v>2000</v>
      </c>
      <c r="H94" s="2">
        <v>2001</v>
      </c>
      <c r="I94" s="2">
        <v>2002</v>
      </c>
      <c r="J94" s="2">
        <v>2003</v>
      </c>
      <c r="K94" s="2">
        <v>2004</v>
      </c>
      <c r="L94" s="2">
        <v>2005</v>
      </c>
      <c r="M94" s="2">
        <v>2006</v>
      </c>
      <c r="N94" s="2">
        <v>2007</v>
      </c>
      <c r="O94" s="2">
        <v>2008</v>
      </c>
      <c r="P94" s="2">
        <v>2009</v>
      </c>
      <c r="Q94" s="2">
        <v>2010</v>
      </c>
      <c r="R94" s="2">
        <v>2011</v>
      </c>
      <c r="S94" s="2">
        <v>2012</v>
      </c>
      <c r="T94" s="2">
        <v>2013</v>
      </c>
      <c r="U94" s="2">
        <v>2014</v>
      </c>
      <c r="V94" s="2">
        <v>2015</v>
      </c>
      <c r="W94" s="2">
        <v>2016</v>
      </c>
      <c r="X94" s="2">
        <v>2017</v>
      </c>
      <c r="Y94" s="2">
        <v>2018</v>
      </c>
      <c r="Z94" s="10">
        <v>2019</v>
      </c>
      <c r="AA94" s="2">
        <v>2020</v>
      </c>
      <c r="AB94" s="2">
        <v>2021</v>
      </c>
      <c r="AC94" s="2">
        <v>2022</v>
      </c>
      <c r="AD94" s="2">
        <v>2023</v>
      </c>
      <c r="AE94" s="2">
        <v>2024</v>
      </c>
      <c r="AF94" s="2">
        <v>2025</v>
      </c>
      <c r="AG94" s="2">
        <v>2026</v>
      </c>
      <c r="AH94" s="2">
        <v>2027</v>
      </c>
      <c r="AI94" s="2">
        <v>2028</v>
      </c>
      <c r="AJ94" s="2">
        <v>2029</v>
      </c>
      <c r="AK94" s="2">
        <v>2030</v>
      </c>
      <c r="AL94" s="2">
        <v>2031</v>
      </c>
      <c r="AM94" s="2">
        <v>2032</v>
      </c>
      <c r="AN94" s="2">
        <v>2033</v>
      </c>
      <c r="AO94" s="2">
        <v>2034</v>
      </c>
      <c r="AP94" s="2">
        <v>2035</v>
      </c>
      <c r="AQ94" s="2">
        <v>2036</v>
      </c>
      <c r="AR94" s="2">
        <v>2037</v>
      </c>
      <c r="AS94" s="2">
        <v>2038</v>
      </c>
      <c r="AT94" s="2">
        <v>2039</v>
      </c>
      <c r="AU94" s="2">
        <v>2040</v>
      </c>
      <c r="AV94" s="2">
        <v>2041</v>
      </c>
      <c r="AW94" s="2">
        <v>2042</v>
      </c>
      <c r="AX94" s="2">
        <v>2043</v>
      </c>
      <c r="AY94" s="2">
        <v>2044</v>
      </c>
      <c r="AZ94" s="2">
        <v>2045</v>
      </c>
      <c r="BA94" s="2">
        <v>2046</v>
      </c>
      <c r="BB94" s="2">
        <v>2047</v>
      </c>
      <c r="BC94" s="2">
        <v>2048</v>
      </c>
      <c r="BD94" s="2">
        <v>2049</v>
      </c>
      <c r="BE94" s="3">
        <v>2050</v>
      </c>
    </row>
    <row r="95" spans="1:61" s="30" customFormat="1" hidden="1">
      <c r="A95" s="4" t="s">
        <v>67</v>
      </c>
      <c r="B95" s="18">
        <f>'Tkm, Vkm, &amp; Stock Projections'!B22*1000000/'Tkm, Vkm, &amp; Stock Projections'!B45</f>
        <v>17158</v>
      </c>
      <c r="C95" s="18">
        <f>'Tkm, Vkm, &amp; Stock Projections'!C22*1000000/'Tkm, Vkm, &amp; Stock Projections'!C45</f>
        <v>18199</v>
      </c>
      <c r="D95" s="18">
        <f>'Tkm, Vkm, &amp; Stock Projections'!D22*1000000/'Tkm, Vkm, &amp; Stock Projections'!D45</f>
        <v>21354.999999999996</v>
      </c>
      <c r="E95" s="18">
        <f>'Tkm, Vkm, &amp; Stock Projections'!E22*1000000/'Tkm, Vkm, &amp; Stock Projections'!E45</f>
        <v>20967</v>
      </c>
      <c r="F95" s="18">
        <f>'Tkm, Vkm, &amp; Stock Projections'!F22*1000000/'Tkm, Vkm, &amp; Stock Projections'!F45</f>
        <v>22626</v>
      </c>
      <c r="G95" s="18">
        <f>'Tkm, Vkm, &amp; Stock Projections'!G22*1000000/'Tkm, Vkm, &amp; Stock Projections'!G45</f>
        <v>27162</v>
      </c>
      <c r="H95" s="18">
        <f>'Tkm, Vkm, &amp; Stock Projections'!H22*1000000/'Tkm, Vkm, &amp; Stock Projections'!H45</f>
        <v>30328</v>
      </c>
      <c r="I95" s="18">
        <f>'Tkm, Vkm, &amp; Stock Projections'!I22*1000000/'Tkm, Vkm, &amp; Stock Projections'!I45</f>
        <v>30570</v>
      </c>
      <c r="J95" s="18">
        <f>'Tkm, Vkm, &amp; Stock Projections'!J22*1000000/'Tkm, Vkm, &amp; Stock Projections'!J45</f>
        <v>33764</v>
      </c>
      <c r="K95" s="18">
        <f>'Tkm, Vkm, &amp; Stock Projections'!K22*1000000/'Tkm, Vkm, &amp; Stock Projections'!K45</f>
        <v>38604</v>
      </c>
      <c r="L95" s="18">
        <f>'Tkm, Vkm, &amp; Stock Projections'!L22*1000000/'Tkm, Vkm, &amp; Stock Projections'!L45</f>
        <v>45198</v>
      </c>
      <c r="M95" s="18">
        <f>'Tkm, Vkm, &amp; Stock Projections'!M22*1000000/'Tkm, Vkm, &amp; Stock Projections'!M45</f>
        <v>57025</v>
      </c>
      <c r="N95" s="18">
        <f>'Tkm, Vkm, &amp; Stock Projections'!N22*1000000/'Tkm, Vkm, &amp; Stock Projections'!N45</f>
        <v>70513</v>
      </c>
      <c r="O95" s="18">
        <f>'Tkm, Vkm, &amp; Stock Projections'!O22*1000000/'Tkm, Vkm, &amp; Stock Projections'!O45</f>
        <v>61360.282378120879</v>
      </c>
      <c r="P95" s="18">
        <f>'Tkm, Vkm, &amp; Stock Projections'!P22*1000000/'Tkm, Vkm, &amp; Stock Projections'!P45</f>
        <v>62086.596599440003</v>
      </c>
      <c r="Q95" s="18">
        <f>'Tkm, Vkm, &amp; Stock Projections'!Q22*1000000/'Tkm, Vkm, &amp; Stock Projections'!Q45</f>
        <v>63055.798826384358</v>
      </c>
      <c r="R95" s="18">
        <f>'Tkm, Vkm, &amp; Stock Projections'!R22*1000000/'Tkm, Vkm, &amp; Stock Projections'!R45</f>
        <v>62370.445437376206</v>
      </c>
      <c r="S95" s="18">
        <f>'Tkm, Vkm, &amp; Stock Projections'!S22*1000000/'Tkm, Vkm, &amp; Stock Projections'!S45</f>
        <v>61892.433198182793</v>
      </c>
      <c r="T95" s="18">
        <f>'Tkm, Vkm, &amp; Stock Projections'!T22*1000000/'Tkm, Vkm, &amp; Stock Projections'!T45</f>
        <v>60751.791147315729</v>
      </c>
      <c r="U95" s="18">
        <f>'Tkm, Vkm, &amp; Stock Projections'!U22*1000000/'Tkm, Vkm, &amp; Stock Projections'!U45</f>
        <v>64111.747851002867</v>
      </c>
      <c r="V95" s="18">
        <f>'Tkm, Vkm, &amp; Stock Projections'!V22*1000000/'Tkm, Vkm, &amp; Stock Projections'!V45</f>
        <v>70564.699463490047</v>
      </c>
      <c r="W95" s="18">
        <f>'Tkm, Vkm, &amp; Stock Projections'!W22*1000000/'Tkm, Vkm, &amp; Stock Projections'!W45</f>
        <v>73858.20317836164</v>
      </c>
      <c r="X95" s="18">
        <f>'Tkm, Vkm, &amp; Stock Projections'!X22*1000000/'Tkm, Vkm, &amp; Stock Projections'!X45</f>
        <v>84109.316124561476</v>
      </c>
      <c r="Y95" s="18">
        <f>'Tkm, Vkm, &amp; Stock Projections'!Y22*1000000/'Tkm, Vkm, &amp; Stock Projections'!Y45</f>
        <v>92110.462308469068</v>
      </c>
      <c r="Z95" s="89">
        <f>'Tkm, Vkm, &amp; Stock Projections'!Z22*1000000/'Tkm, Vkm, &amp; Stock Projections'!Z45</f>
        <v>100635.07572056669</v>
      </c>
      <c r="AA95" s="18">
        <f>'Tkm, Vkm, &amp; Stock Projections'!AA22*1000000/AA45</f>
        <v>101976.55836741001</v>
      </c>
      <c r="AB95" s="18">
        <f>'Tkm, Vkm, &amp; Stock Projections'!AB22*1000000/AB45</f>
        <v>117123.45909864909</v>
      </c>
      <c r="AC95" s="18">
        <f>'Tkm, Vkm, &amp; Stock Projections'!AC22*1000000/AC45</f>
        <v>122535.17528183943</v>
      </c>
      <c r="AD95" s="18">
        <f>'Tkm, Vkm, &amp; Stock Projections'!AD22*1000000/AD45</f>
        <v>125836.0787048075</v>
      </c>
      <c r="AE95" s="18">
        <f>'Tkm, Vkm, &amp; Stock Projections'!AE22*1000000/AE45</f>
        <v>128164.3421960797</v>
      </c>
      <c r="AF95" s="18">
        <f>'Tkm, Vkm, &amp; Stock Projections'!AF22*1000000/AF45</f>
        <v>131614.03518247715</v>
      </c>
      <c r="AG95" s="18">
        <f>'Tkm, Vkm, &amp; Stock Projections'!AG22*1000000/AG45</f>
        <v>143281.79502195065</v>
      </c>
      <c r="AH95" s="18">
        <f>'Tkm, Vkm, &amp; Stock Projections'!AH22*1000000/AH45</f>
        <v>150502.8230751364</v>
      </c>
      <c r="AI95" s="18">
        <f>'Tkm, Vkm, &amp; Stock Projections'!AI22*1000000/AI45</f>
        <v>157474.62924532878</v>
      </c>
      <c r="AJ95" s="18">
        <f>'Tkm, Vkm, &amp; Stock Projections'!AJ22*1000000/AJ45</f>
        <v>165224.69359592203</v>
      </c>
      <c r="AK95" s="18">
        <f>'Tkm, Vkm, &amp; Stock Projections'!AK22*1000000/AK45</f>
        <v>173766.60524129175</v>
      </c>
      <c r="AL95" s="18">
        <f>'Tkm, Vkm, &amp; Stock Projections'!AL22*1000000/AL45</f>
        <v>176806.91353446717</v>
      </c>
      <c r="AM95" s="18">
        <f>'Tkm, Vkm, &amp; Stock Projections'!AM22*1000000/AM45</f>
        <v>179845.39895318577</v>
      </c>
      <c r="AN95" s="18">
        <f>'Tkm, Vkm, &amp; Stock Projections'!AN22*1000000/AN45</f>
        <v>182941.14402254476</v>
      </c>
      <c r="AO95" s="18">
        <f>'Tkm, Vkm, &amp; Stock Projections'!AO22*1000000/AO45</f>
        <v>186035.40611540072</v>
      </c>
      <c r="AP95" s="18">
        <f>'Tkm, Vkm, &amp; Stock Projections'!AP22*1000000/AP45</f>
        <v>189182.55313917575</v>
      </c>
      <c r="AQ95" s="18">
        <f>'Tkm, Vkm, &amp; Stock Projections'!AQ22*1000000/AQ45</f>
        <v>192340.28085844862</v>
      </c>
      <c r="AR95" s="18">
        <f>'Tkm, Vkm, &amp; Stock Projections'!AR22*1000000/AR45</f>
        <v>195525.15765665405</v>
      </c>
      <c r="AS95" s="18">
        <f>'Tkm, Vkm, &amp; Stock Projections'!AS22*1000000/AS45</f>
        <v>198753.07644776587</v>
      </c>
      <c r="AT95" s="18">
        <f>'Tkm, Vkm, &amp; Stock Projections'!AT22*1000000/AT45</f>
        <v>202002.31018264525</v>
      </c>
      <c r="AU95" s="18">
        <f>'Tkm, Vkm, &amp; Stock Projections'!AU22*1000000/AU45</f>
        <v>205280.75981909686</v>
      </c>
      <c r="AV95" s="18">
        <f>'Tkm, Vkm, &amp; Stock Projections'!AV22*1000000/AV45</f>
        <v>208582.01736647851</v>
      </c>
      <c r="AW95" s="18">
        <f>'Tkm, Vkm, &amp; Stock Projections'!AW22*1000000/AW45</f>
        <v>211912.731416692</v>
      </c>
      <c r="AX95" s="18">
        <f>'Tkm, Vkm, &amp; Stock Projections'!AX22*1000000/AX45</f>
        <v>215284.25262893233</v>
      </c>
      <c r="AY95" s="18">
        <f>'Tkm, Vkm, &amp; Stock Projections'!AY22*1000000/AY45</f>
        <v>218672.4505130297</v>
      </c>
      <c r="AZ95" s="18">
        <f>'Tkm, Vkm, &amp; Stock Projections'!AZ22*1000000/AZ45</f>
        <v>222105.04779885616</v>
      </c>
      <c r="BA95" s="18">
        <f>'Tkm, Vkm, &amp; Stock Projections'!BA22*1000000/BA45</f>
        <v>225540.44215237041</v>
      </c>
      <c r="BB95" s="18">
        <f>'Tkm, Vkm, &amp; Stock Projections'!BB22*1000000/BB45</f>
        <v>229019.3497893404</v>
      </c>
      <c r="BC95" s="18">
        <f>'Tkm, Vkm, &amp; Stock Projections'!BC22*1000000/BC45</f>
        <v>232539.05036938109</v>
      </c>
      <c r="BD95" s="18">
        <f>'Tkm, Vkm, &amp; Stock Projections'!BD22*1000000/BD45</f>
        <v>236071.51943636473</v>
      </c>
      <c r="BE95" s="18">
        <f>'Tkm, Vkm, &amp; Stock Projections'!BE22*1000000/BE45</f>
        <v>239658.05555462951</v>
      </c>
    </row>
    <row r="96" spans="1:61" hidden="1">
      <c r="A96" s="4" t="s">
        <v>68</v>
      </c>
      <c r="B96" s="18">
        <f>'Tkm, Vkm, &amp; Stock Projections'!B23*1000000/'Tkm, Vkm, &amp; Stock Projections'!B46</f>
        <v>7197</v>
      </c>
      <c r="C96" s="18">
        <f>'Tkm, Vkm, &amp; Stock Projections'!C23*1000000/'Tkm, Vkm, &amp; Stock Projections'!C46</f>
        <v>8047.9999999999991</v>
      </c>
      <c r="D96" s="18">
        <f>'Tkm, Vkm, &amp; Stock Projections'!D23*1000000/'Tkm, Vkm, &amp; Stock Projections'!D46</f>
        <v>7864</v>
      </c>
      <c r="E96" s="18">
        <f>'Tkm, Vkm, &amp; Stock Projections'!E23*1000000/'Tkm, Vkm, &amp; Stock Projections'!E46</f>
        <v>9141</v>
      </c>
      <c r="F96" s="18">
        <f>'Tkm, Vkm, &amp; Stock Projections'!F23*1000000/'Tkm, Vkm, &amp; Stock Projections'!F46</f>
        <v>9575</v>
      </c>
      <c r="G96" s="18">
        <f>'Tkm, Vkm, &amp; Stock Projections'!G23*1000000/'Tkm, Vkm, &amp; Stock Projections'!G46</f>
        <v>9848</v>
      </c>
      <c r="H96" s="18">
        <f>'Tkm, Vkm, &amp; Stock Projections'!H23*1000000/'Tkm, Vkm, &amp; Stock Projections'!H46</f>
        <v>12229</v>
      </c>
      <c r="I96" s="18">
        <f>'Tkm, Vkm, &amp; Stock Projections'!I23*1000000/'Tkm, Vkm, &amp; Stock Projections'!I46</f>
        <v>11906</v>
      </c>
      <c r="J96" s="18">
        <f>'Tkm, Vkm, &amp; Stock Projections'!J23*1000000/'Tkm, Vkm, &amp; Stock Projections'!J46</f>
        <v>11177</v>
      </c>
      <c r="K96" s="18">
        <f>'Tkm, Vkm, &amp; Stock Projections'!K23*1000000/'Tkm, Vkm, &amp; Stock Projections'!K46</f>
        <v>10352</v>
      </c>
      <c r="L96" s="18">
        <f>'Tkm, Vkm, &amp; Stock Projections'!L23*1000000/'Tkm, Vkm, &amp; Stock Projections'!L46</f>
        <v>10815</v>
      </c>
      <c r="M96" s="18">
        <f>'Tkm, Vkm, &amp; Stock Projections'!M23*1000000/'Tkm, Vkm, &amp; Stock Projections'!M46</f>
        <v>9971</v>
      </c>
      <c r="N96" s="18">
        <f>'Tkm, Vkm, &amp; Stock Projections'!N23*1000000/'Tkm, Vkm, &amp; Stock Projections'!N46</f>
        <v>9165</v>
      </c>
      <c r="O96" s="18">
        <f>'Tkm, Vkm, &amp; Stock Projections'!O23*1000000/'Tkm, Vkm, &amp; Stock Projections'!O46</f>
        <v>5499.5701040270797</v>
      </c>
      <c r="P96" s="18">
        <f>'Tkm, Vkm, &amp; Stock Projections'!P23*1000000/'Tkm, Vkm, &amp; Stock Projections'!P46</f>
        <v>4017.177345989181</v>
      </c>
      <c r="Q96" s="18">
        <f>'Tkm, Vkm, &amp; Stock Projections'!Q23*1000000/'Tkm, Vkm, &amp; Stock Projections'!Q46</f>
        <v>3804.9106284511518</v>
      </c>
      <c r="R96" s="18">
        <f>'Tkm, Vkm, &amp; Stock Projections'!R23*1000000/'Tkm, Vkm, &amp; Stock Projections'!R46</f>
        <v>4530.6930693069307</v>
      </c>
      <c r="S96" s="18">
        <f>'Tkm, Vkm, &amp; Stock Projections'!S23*1000000/'Tkm, Vkm, &amp; Stock Projections'!S46</f>
        <v>4359.5505617977524</v>
      </c>
      <c r="T96" s="18">
        <f>'Tkm, Vkm, &amp; Stock Projections'!T23*1000000/'Tkm, Vkm, &amp; Stock Projections'!T46</f>
        <v>4234.7726283294414</v>
      </c>
      <c r="U96" s="18">
        <f>'Tkm, Vkm, &amp; Stock Projections'!U23*1000000/'Tkm, Vkm, &amp; Stock Projections'!U46</f>
        <v>4255.6112293225342</v>
      </c>
      <c r="V96" s="18">
        <f>'Tkm, Vkm, &amp; Stock Projections'!V23*1000000/'Tkm, Vkm, &amp; Stock Projections'!V46</f>
        <v>4269.0545605997504</v>
      </c>
      <c r="W96" s="18">
        <f>'Tkm, Vkm, &amp; Stock Projections'!W23*1000000/'Tkm, Vkm, &amp; Stock Projections'!W46</f>
        <v>4172.3202170963368</v>
      </c>
      <c r="X96" s="18">
        <f>'Tkm, Vkm, &amp; Stock Projections'!X23*1000000/'Tkm, Vkm, &amp; Stock Projections'!X46</f>
        <v>4527.2435897435898</v>
      </c>
      <c r="Y96" s="18">
        <f>'Tkm, Vkm, &amp; Stock Projections'!Y23*1000000/'Tkm, Vkm, &amp; Stock Projections'!Y46</f>
        <v>4540.7056176163305</v>
      </c>
      <c r="Z96" s="89">
        <f>'Tkm, Vkm, &amp; Stock Projections'!Z23*1000000/'Tkm, Vkm, &amp; Stock Projections'!Z46</f>
        <v>4533.9433052855156</v>
      </c>
      <c r="AA96" s="18">
        <f>'Tkm, Vkm, &amp; Stock Projections'!AA23*1000000/AA46</f>
        <v>4269.7886397274679</v>
      </c>
      <c r="AB96" s="18">
        <f>'Tkm, Vkm, &amp; Stock Projections'!AB23*1000000/AB46</f>
        <v>4352.7557418363094</v>
      </c>
      <c r="AC96" s="18">
        <f>'Tkm, Vkm, &amp; Stock Projections'!AC23*1000000/AC46</f>
        <v>4359.8415951672559</v>
      </c>
      <c r="AD96" s="18">
        <f>'Tkm, Vkm, &amp; Stock Projections'!AD23*1000000/AD46</f>
        <v>4350.0077158489576</v>
      </c>
      <c r="AE96" s="18">
        <f>'Tkm, Vkm, &amp; Stock Projections'!AE23*1000000/AE46</f>
        <v>4332.2771721711324</v>
      </c>
      <c r="AF96" s="18">
        <f>'Tkm, Vkm, &amp; Stock Projections'!AF23*1000000/AF46</f>
        <v>4321.189784119565</v>
      </c>
      <c r="AG96" s="18">
        <f>'Tkm, Vkm, &amp; Stock Projections'!AG23*1000000/AG46</f>
        <v>4378.2782958953194</v>
      </c>
      <c r="AH96" s="18">
        <f>'Tkm, Vkm, &amp; Stock Projections'!AH23*1000000/AH46</f>
        <v>4404.4957061430214</v>
      </c>
      <c r="AI96" s="18">
        <f>'Tkm, Vkm, &amp; Stock Projections'!AI23*1000000/AI46</f>
        <v>4427.8517040577208</v>
      </c>
      <c r="AJ96" s="18">
        <f>'Tkm, Vkm, &amp; Stock Projections'!AJ23*1000000/AJ46</f>
        <v>4454.8588038190865</v>
      </c>
      <c r="AK96" s="18">
        <f>'Tkm, Vkm, &amp; Stock Projections'!AK23*1000000/AK46</f>
        <v>4485.3910318128301</v>
      </c>
      <c r="AL96" s="18">
        <f>'Tkm, Vkm, &amp; Stock Projections'!AL23*1000000/AL46</f>
        <v>4481.1900886919848</v>
      </c>
      <c r="AM96" s="18">
        <f>'Tkm, Vkm, &amp; Stock Projections'!AM23*1000000/AM46</f>
        <v>4476.6051467716006</v>
      </c>
      <c r="AN96" s="18">
        <f>'Tkm, Vkm, &amp; Stock Projections'!AN23*1000000/AN46</f>
        <v>4471.9938249327588</v>
      </c>
      <c r="AO96" s="18">
        <f>'Tkm, Vkm, &amp; Stock Projections'!AO23*1000000/AO46</f>
        <v>4467.012831081789</v>
      </c>
      <c r="AP96" s="18">
        <f>'Tkm, Vkm, &amp; Stock Projections'!AP23*1000000/AP46</f>
        <v>4461.9817950967627</v>
      </c>
      <c r="AQ96" s="18">
        <f>'Tkm, Vkm, &amp; Stock Projections'!AQ23*1000000/AQ46</f>
        <v>4467.3650740238872</v>
      </c>
      <c r="AR96" s="18">
        <f>'Tkm, Vkm, &amp; Stock Projections'!AR23*1000000/AR46</f>
        <v>4472.6787680244406</v>
      </c>
      <c r="AS96" s="18">
        <f>'Tkm, Vkm, &amp; Stock Projections'!AS23*1000000/AS46</f>
        <v>4478.0095761326393</v>
      </c>
      <c r="AT96" s="18">
        <f>'Tkm, Vkm, &amp; Stock Projections'!AT23*1000000/AT46</f>
        <v>4483.2355751646</v>
      </c>
      <c r="AU96" s="18">
        <f>'Tkm, Vkm, &amp; Stock Projections'!AU23*1000000/AU46</f>
        <v>4488.3995762511549</v>
      </c>
      <c r="AV96" s="18">
        <f>'Tkm, Vkm, &amp; Stock Projections'!AV23*1000000/AV46</f>
        <v>4493.4660971574513</v>
      </c>
      <c r="AW96" s="18">
        <f>'Tkm, Vkm, &amp; Stock Projections'!AW23*1000000/AW46</f>
        <v>4498.4703617282494</v>
      </c>
      <c r="AX96" s="18">
        <f>'Tkm, Vkm, &amp; Stock Projections'!AX23*1000000/AX46</f>
        <v>4503.4711316663779</v>
      </c>
      <c r="AY96" s="18">
        <f>'Tkm, Vkm, &amp; Stock Projections'!AY23*1000000/AY46</f>
        <v>4508.3397348956905</v>
      </c>
      <c r="AZ96" s="18">
        <f>'Tkm, Vkm, &amp; Stock Projections'!AZ23*1000000/AZ46</f>
        <v>4513.2204961479983</v>
      </c>
      <c r="BA96" s="18">
        <f>'Tkm, Vkm, &amp; Stock Projections'!BA23*1000000/BA46</f>
        <v>4517.8969689681135</v>
      </c>
      <c r="BB96" s="18">
        <f>'Tkm, Vkm, &amp; Stock Projections'!BB23*1000000/BB46</f>
        <v>4522.5789295777367</v>
      </c>
      <c r="BC96" s="18">
        <f>'Tkm, Vkm, &amp; Stock Projections'!BC23*1000000/BC46</f>
        <v>4527.2498481968805</v>
      </c>
      <c r="BD96" s="18">
        <f>'Tkm, Vkm, &amp; Stock Projections'!BD23*1000000/BD46</f>
        <v>4531.7674311733908</v>
      </c>
      <c r="BE96" s="18">
        <f>'Tkm, Vkm, &amp; Stock Projections'!BE23*1000000/BE46</f>
        <v>4536.3374495909038</v>
      </c>
    </row>
    <row r="97" spans="1:57" hidden="1">
      <c r="A97" s="4" t="s">
        <v>69</v>
      </c>
      <c r="B97" s="18">
        <f>'Tkm, Vkm, &amp; Stock Projections'!B24*1000000/'Tkm, Vkm, &amp; Stock Projections'!B47</f>
        <v>4923</v>
      </c>
      <c r="C97" s="18">
        <f>'Tkm, Vkm, &amp; Stock Projections'!C24*1000000/'Tkm, Vkm, &amp; Stock Projections'!C47</f>
        <v>6622</v>
      </c>
      <c r="D97" s="18">
        <f>'Tkm, Vkm, &amp; Stock Projections'!D24*1000000/'Tkm, Vkm, &amp; Stock Projections'!D47</f>
        <v>6957</v>
      </c>
      <c r="E97" s="18">
        <f>'Tkm, Vkm, &amp; Stock Projections'!E24*1000000/'Tkm, Vkm, &amp; Stock Projections'!E47</f>
        <v>8506</v>
      </c>
      <c r="F97" s="18">
        <f>'Tkm, Vkm, &amp; Stock Projections'!F24*1000000/'Tkm, Vkm, &amp; Stock Projections'!F47</f>
        <v>9205</v>
      </c>
      <c r="G97" s="18">
        <f>'Tkm, Vkm, &amp; Stock Projections'!G24*1000000/'Tkm, Vkm, &amp; Stock Projections'!G47</f>
        <v>10651</v>
      </c>
      <c r="H97" s="18">
        <f>'Tkm, Vkm, &amp; Stock Projections'!H24*1000000/'Tkm, Vkm, &amp; Stock Projections'!H47</f>
        <v>11486</v>
      </c>
      <c r="I97" s="18">
        <f>'Tkm, Vkm, &amp; Stock Projections'!I24*1000000/'Tkm, Vkm, &amp; Stock Projections'!I47</f>
        <v>13187</v>
      </c>
      <c r="J97" s="18">
        <f>'Tkm, Vkm, &amp; Stock Projections'!J24*1000000/'Tkm, Vkm, &amp; Stock Projections'!J47</f>
        <v>12953</v>
      </c>
      <c r="K97" s="18">
        <f>'Tkm, Vkm, &amp; Stock Projections'!K24*1000000/'Tkm, Vkm, &amp; Stock Projections'!K47</f>
        <v>12501</v>
      </c>
      <c r="L97" s="18">
        <f>'Tkm, Vkm, &amp; Stock Projections'!L24*1000000/'Tkm, Vkm, &amp; Stock Projections'!L47</f>
        <v>13260</v>
      </c>
      <c r="M97" s="18">
        <f>'Tkm, Vkm, &amp; Stock Projections'!M24*1000000/'Tkm, Vkm, &amp; Stock Projections'!M47</f>
        <v>10355</v>
      </c>
      <c r="N97" s="18">
        <f>'Tkm, Vkm, &amp; Stock Projections'!N24*1000000/'Tkm, Vkm, &amp; Stock Projections'!N47</f>
        <v>10705</v>
      </c>
      <c r="O97" s="18">
        <f>'Tkm, Vkm, &amp; Stock Projections'!O24*1000000/'Tkm, Vkm, &amp; Stock Projections'!O47</f>
        <v>6907.7811220210197</v>
      </c>
      <c r="P97" s="18">
        <f>'Tkm, Vkm, &amp; Stock Projections'!P24*1000000/'Tkm, Vkm, &amp; Stock Projections'!P47</f>
        <v>4585.8003778404</v>
      </c>
      <c r="Q97" s="18">
        <f>'Tkm, Vkm, &amp; Stock Projections'!Q24*1000000/'Tkm, Vkm, &amp; Stock Projections'!Q47</f>
        <v>4900.182950909516</v>
      </c>
      <c r="R97" s="18">
        <f>'Tkm, Vkm, &amp; Stock Projections'!R24*1000000/'Tkm, Vkm, &amp; Stock Projections'!R47</f>
        <v>4914.6003373335143</v>
      </c>
      <c r="S97" s="18">
        <f>'Tkm, Vkm, &amp; Stock Projections'!S24*1000000/'Tkm, Vkm, &amp; Stock Projections'!S47</f>
        <v>4775.1430907604254</v>
      </c>
      <c r="T97" s="18">
        <f>'Tkm, Vkm, &amp; Stock Projections'!T24*1000000/'Tkm, Vkm, &amp; Stock Projections'!T47</f>
        <v>4724.0899605842797</v>
      </c>
      <c r="U97" s="18">
        <f>'Tkm, Vkm, &amp; Stock Projections'!U24*1000000/'Tkm, Vkm, &amp; Stock Projections'!U47</f>
        <v>4995.1078840311038</v>
      </c>
      <c r="V97" s="18">
        <f>'Tkm, Vkm, &amp; Stock Projections'!V24*1000000/'Tkm, Vkm, &amp; Stock Projections'!V47</f>
        <v>5088.662149180881</v>
      </c>
      <c r="W97" s="18">
        <f>'Tkm, Vkm, &amp; Stock Projections'!W24*1000000/'Tkm, Vkm, &amp; Stock Projections'!W47</f>
        <v>5264.1085851417956</v>
      </c>
      <c r="X97" s="18">
        <f>'Tkm, Vkm, &amp; Stock Projections'!X24*1000000/'Tkm, Vkm, &amp; Stock Projections'!X47</f>
        <v>6176.1870330200045</v>
      </c>
      <c r="Y97" s="18">
        <f>'Tkm, Vkm, &amp; Stock Projections'!Y24*1000000/'Tkm, Vkm, &amp; Stock Projections'!Y47</f>
        <v>6487.953050812469</v>
      </c>
      <c r="Z97" s="89">
        <f>'Tkm, Vkm, &amp; Stock Projections'!Z24*1000000/'Tkm, Vkm, &amp; Stock Projections'!Z47</f>
        <v>6659.0677305177278</v>
      </c>
      <c r="AA97" s="18">
        <f>'Tkm, Vkm, &amp; Stock Projections'!AA24*1000000/AA47</f>
        <v>6477.5156609484848</v>
      </c>
      <c r="AB97" s="18">
        <f>'Tkm, Vkm, &amp; Stock Projections'!AB24*1000000/AB47</f>
        <v>6707.7960198794381</v>
      </c>
      <c r="AC97" s="18">
        <f>'Tkm, Vkm, &amp; Stock Projections'!AC24*1000000/AC47</f>
        <v>6756.62875920035</v>
      </c>
      <c r="AD97" s="18">
        <f>'Tkm, Vkm, &amp; Stock Projections'!AD24*1000000/AD47</f>
        <v>6764.2776106981382</v>
      </c>
      <c r="AE97" s="18">
        <f>'Tkm, Vkm, &amp; Stock Projections'!AE24*1000000/AE47</f>
        <v>6752.0241513149458</v>
      </c>
      <c r="AF97" s="18">
        <f>'Tkm, Vkm, &amp; Stock Projections'!AF24*1000000/AF47</f>
        <v>6755.9656039806368</v>
      </c>
      <c r="AG97" s="18">
        <f>'Tkm, Vkm, &amp; Stock Projections'!AG24*1000000/AG47</f>
        <v>6925.0199189666246</v>
      </c>
      <c r="AH97" s="18">
        <f>'Tkm, Vkm, &amp; Stock Projections'!AH24*1000000/AH47</f>
        <v>7017.342709313788</v>
      </c>
      <c r="AI97" s="18">
        <f>'Tkm, Vkm, &amp; Stock Projections'!AI24*1000000/AI47</f>
        <v>7103.4855153035278</v>
      </c>
      <c r="AJ97" s="18">
        <f>'Tkm, Vkm, &amp; Stock Projections'!AJ24*1000000/AJ47</f>
        <v>7200.2366357269038</v>
      </c>
      <c r="AK97" s="18">
        <f>'Tkm, Vkm, &amp; Stock Projections'!AK24*1000000/AK47</f>
        <v>7307.4935990225176</v>
      </c>
      <c r="AL97" s="18">
        <f>'Tkm, Vkm, &amp; Stock Projections'!AL24*1000000/AL47</f>
        <v>7324.4319731919531</v>
      </c>
      <c r="AM97" s="18">
        <f>'Tkm, Vkm, &amp; Stock Projections'!AM24*1000000/AM47</f>
        <v>7340.3927075703332</v>
      </c>
      <c r="AN97" s="18">
        <f>'Tkm, Vkm, &amp; Stock Projections'!AN24*1000000/AN47</f>
        <v>7356.3111863714576</v>
      </c>
      <c r="AO97" s="18">
        <f>'Tkm, Vkm, &amp; Stock Projections'!AO24*1000000/AO47</f>
        <v>7371.2578487695328</v>
      </c>
      <c r="AP97" s="18">
        <f>'Tkm, Vkm, &amp; Stock Projections'!AP24*1000000/AP47</f>
        <v>7386.0795731879216</v>
      </c>
      <c r="AQ97" s="18">
        <f>'Tkm, Vkm, &amp; Stock Projections'!AQ24*1000000/AQ47</f>
        <v>7400.7337036740273</v>
      </c>
      <c r="AR97" s="18">
        <f>'Tkm, Vkm, &amp; Stock Projections'!AR24*1000000/AR47</f>
        <v>7415.1984130642459</v>
      </c>
      <c r="AS97" s="18">
        <f>'Tkm, Vkm, &amp; Stock Projections'!AS24*1000000/AS47</f>
        <v>7429.7097097426131</v>
      </c>
      <c r="AT97" s="18">
        <f>'Tkm, Vkm, &amp; Stock Projections'!AT24*1000000/AT47</f>
        <v>7443.9356996590441</v>
      </c>
      <c r="AU97" s="18">
        <f>'Tkm, Vkm, &amp; Stock Projections'!AU24*1000000/AU47</f>
        <v>7457.992921433578</v>
      </c>
      <c r="AV97" s="18">
        <f>'Tkm, Vkm, &amp; Stock Projections'!AV24*1000000/AV47</f>
        <v>7471.784786851762</v>
      </c>
      <c r="AW97" s="18">
        <f>'Tkm, Vkm, &amp; Stock Projections'!AW24*1000000/AW47</f>
        <v>7485.4071807496421</v>
      </c>
      <c r="AX97" s="18">
        <f>'Tkm, Vkm, &amp; Stock Projections'!AX24*1000000/AX47</f>
        <v>7499.0200617086948</v>
      </c>
      <c r="AY97" s="18">
        <f>'Tkm, Vkm, &amp; Stock Projections'!AY24*1000000/AY47</f>
        <v>7512.2731641344171</v>
      </c>
      <c r="AZ97" s="18">
        <f>'Tkm, Vkm, &amp; Stock Projections'!AZ24*1000000/AZ47</f>
        <v>7525.5593626077034</v>
      </c>
      <c r="BA97" s="18">
        <f>'Tkm, Vkm, &amp; Stock Projections'!BA24*1000000/BA47</f>
        <v>7538.2894558925582</v>
      </c>
      <c r="BB97" s="18">
        <f>'Tkm, Vkm, &amp; Stock Projections'!BB24*1000000/BB47</f>
        <v>7551.0344878021078</v>
      </c>
      <c r="BC97" s="18">
        <f>'Tkm, Vkm, &amp; Stock Projections'!BC24*1000000/BC47</f>
        <v>7563.7494616798367</v>
      </c>
      <c r="BD97" s="18">
        <f>'Tkm, Vkm, &amp; Stock Projections'!BD24*1000000/BD47</f>
        <v>7576.0470318625748</v>
      </c>
      <c r="BE97" s="18">
        <f>'Tkm, Vkm, &amp; Stock Projections'!BE24*1000000/BE47</f>
        <v>7588.4873395487884</v>
      </c>
    </row>
    <row r="98" spans="1:57" hidden="1">
      <c r="A98" s="4" t="s">
        <v>70</v>
      </c>
      <c r="B98" s="18">
        <f>'Tkm, Vkm, &amp; Stock Projections'!B25*1000000/'Tkm, Vkm, &amp; Stock Projections'!B48</f>
        <v>4862</v>
      </c>
      <c r="C98" s="18">
        <f>'Tkm, Vkm, &amp; Stock Projections'!C25*1000000/'Tkm, Vkm, &amp; Stock Projections'!C48</f>
        <v>5409</v>
      </c>
      <c r="D98" s="18">
        <f>'Tkm, Vkm, &amp; Stock Projections'!D25*1000000/'Tkm, Vkm, &amp; Stock Projections'!D48</f>
        <v>6439</v>
      </c>
      <c r="E98" s="18">
        <f>'Tkm, Vkm, &amp; Stock Projections'!E25*1000000/'Tkm, Vkm, &amp; Stock Projections'!E48</f>
        <v>8769</v>
      </c>
      <c r="F98" s="18">
        <f>'Tkm, Vkm, &amp; Stock Projections'!F25*1000000/'Tkm, Vkm, &amp; Stock Projections'!F48</f>
        <v>12041</v>
      </c>
      <c r="G98" s="18">
        <f>'Tkm, Vkm, &amp; Stock Projections'!G25*1000000/'Tkm, Vkm, &amp; Stock Projections'!G48</f>
        <v>13771.999999999998</v>
      </c>
      <c r="H98" s="18">
        <f>'Tkm, Vkm, &amp; Stock Projections'!H25*1000000/'Tkm, Vkm, &amp; Stock Projections'!H48</f>
        <v>15078.999999999998</v>
      </c>
      <c r="I98" s="18">
        <f>'Tkm, Vkm, &amp; Stock Projections'!I25*1000000/'Tkm, Vkm, &amp; Stock Projections'!I48</f>
        <v>15088.000000000002</v>
      </c>
      <c r="J98" s="18">
        <f>'Tkm, Vkm, &amp; Stock Projections'!J25*1000000/'Tkm, Vkm, &amp; Stock Projections'!J48</f>
        <v>14509</v>
      </c>
      <c r="K98" s="18">
        <f>'Tkm, Vkm, &amp; Stock Projections'!K25*1000000/'Tkm, Vkm, &amp; Stock Projections'!K48</f>
        <v>14115</v>
      </c>
      <c r="L98" s="18">
        <f>'Tkm, Vkm, &amp; Stock Projections'!L25*1000000/'Tkm, Vkm, &amp; Stock Projections'!L48</f>
        <v>15013</v>
      </c>
      <c r="M98" s="18">
        <f>'Tkm, Vkm, &amp; Stock Projections'!M25*1000000/'Tkm, Vkm, &amp; Stock Projections'!M48</f>
        <v>16207.000000000002</v>
      </c>
      <c r="N98" s="18">
        <f>'Tkm, Vkm, &amp; Stock Projections'!N25*1000000/'Tkm, Vkm, &amp; Stock Projections'!N48</f>
        <v>17039</v>
      </c>
      <c r="O98" s="18">
        <f>'Tkm, Vkm, &amp; Stock Projections'!O25*1000000/'Tkm, Vkm, &amp; Stock Projections'!O48</f>
        <v>12410.764025561442</v>
      </c>
      <c r="P98" s="18">
        <f>'Tkm, Vkm, &amp; Stock Projections'!P25*1000000/'Tkm, Vkm, &amp; Stock Projections'!P48</f>
        <v>9002.1614688487207</v>
      </c>
      <c r="Q98" s="18">
        <f>'Tkm, Vkm, &amp; Stock Projections'!Q25*1000000/'Tkm, Vkm, &amp; Stock Projections'!Q48</f>
        <v>8733.3883675425695</v>
      </c>
      <c r="R98" s="18">
        <f>'Tkm, Vkm, &amp; Stock Projections'!R25*1000000/'Tkm, Vkm, &amp; Stock Projections'!R48</f>
        <v>6111.2466943256431</v>
      </c>
      <c r="S98" s="18">
        <f>'Tkm, Vkm, &amp; Stock Projections'!S25*1000000/'Tkm, Vkm, &amp; Stock Projections'!S48</f>
        <v>5704.351605367523</v>
      </c>
      <c r="T98" s="18">
        <f>'Tkm, Vkm, &amp; Stock Projections'!T25*1000000/'Tkm, Vkm, &amp; Stock Projections'!T48</f>
        <v>5934.6511417998017</v>
      </c>
      <c r="U98" s="18">
        <f>'Tkm, Vkm, &amp; Stock Projections'!U25*1000000/'Tkm, Vkm, &amp; Stock Projections'!U48</f>
        <v>6306.0006784937441</v>
      </c>
      <c r="V98" s="18">
        <f>'Tkm, Vkm, &amp; Stock Projections'!V25*1000000/'Tkm, Vkm, &amp; Stock Projections'!V48</f>
        <v>6776.1571149649708</v>
      </c>
      <c r="W98" s="18">
        <f>'Tkm, Vkm, &amp; Stock Projections'!W25*1000000/'Tkm, Vkm, &amp; Stock Projections'!W48</f>
        <v>6956.4556288369795</v>
      </c>
      <c r="X98" s="18">
        <f>'Tkm, Vkm, &amp; Stock Projections'!X25*1000000/'Tkm, Vkm, &amp; Stock Projections'!X48</f>
        <v>8111.832162858921</v>
      </c>
      <c r="Y98" s="18">
        <f>'Tkm, Vkm, &amp; Stock Projections'!Y25*1000000/'Tkm, Vkm, &amp; Stock Projections'!Y48</f>
        <v>8223.308511124309</v>
      </c>
      <c r="Z98" s="89">
        <f>'Tkm, Vkm, &amp; Stock Projections'!Z25*1000000/'Tkm, Vkm, &amp; Stock Projections'!Z48</f>
        <v>8183.7199144847245</v>
      </c>
      <c r="AA98" s="18">
        <f>'Tkm, Vkm, &amp; Stock Projections'!AA25*1000000/AA48</f>
        <v>7977.685254426392</v>
      </c>
      <c r="AB98" s="18">
        <f>'Tkm, Vkm, &amp; Stock Projections'!AB25*1000000/AB48</f>
        <v>8183.6479690497363</v>
      </c>
      <c r="AC98" s="18">
        <f>'Tkm, Vkm, &amp; Stock Projections'!AC25*1000000/AC48</f>
        <v>8082.069399910115</v>
      </c>
      <c r="AD98" s="18">
        <f>'Tkm, Vkm, &amp; Stock Projections'!AD25*1000000/AD48</f>
        <v>7918.4931791641666</v>
      </c>
      <c r="AE98" s="18">
        <f>'Tkm, Vkm, &amp; Stock Projections'!AE25*1000000/AE48</f>
        <v>7730.9543959845514</v>
      </c>
      <c r="AF98" s="18">
        <f>'Tkm, Vkm, &amp; Stock Projections'!AF25*1000000/AF48</f>
        <v>7573.6550856890162</v>
      </c>
      <c r="AG98" s="18">
        <f>'Tkm, Vkm, &amp; Stock Projections'!AG25*1000000/AG48</f>
        <v>7754.7579833576974</v>
      </c>
      <c r="AH98" s="18">
        <f>'Tkm, Vkm, &amp; Stock Projections'!AH25*1000000/AH48</f>
        <v>7824.3227275234995</v>
      </c>
      <c r="AI98" s="18">
        <f>'Tkm, Vkm, &amp; Stock Projections'!AI25*1000000/AI48</f>
        <v>7882.9591415472551</v>
      </c>
      <c r="AJ98" s="18">
        <f>'Tkm, Vkm, &amp; Stock Projections'!AJ25*1000000/AJ48</f>
        <v>7953.7138507251366</v>
      </c>
      <c r="AK98" s="18">
        <f>'Tkm, Vkm, &amp; Stock Projections'!AK25*1000000/AK48</f>
        <v>8035.9576749641546</v>
      </c>
      <c r="AL98" s="18">
        <f>'Tkm, Vkm, &amp; Stock Projections'!AL25*1000000/AL48</f>
        <v>7996.4138014210002</v>
      </c>
      <c r="AM98" s="18">
        <f>'Tkm, Vkm, &amp; Stock Projections'!AM25*1000000/AM48</f>
        <v>7955.8143102180356</v>
      </c>
      <c r="AN98" s="18">
        <f>'Tkm, Vkm, &amp; Stock Projections'!AN25*1000000/AN48</f>
        <v>7915.4091700150657</v>
      </c>
      <c r="AO98" s="18">
        <f>'Tkm, Vkm, &amp; Stock Projections'!AO25*1000000/AO48</f>
        <v>7874.021637950369</v>
      </c>
      <c r="AP98" s="18">
        <f>'Tkm, Vkm, &amp; Stock Projections'!AP25*1000000/AP48</f>
        <v>7832.7587304891404</v>
      </c>
      <c r="AQ98" s="18">
        <f>'Tkm, Vkm, &amp; Stock Projections'!AQ25*1000000/AQ48</f>
        <v>7874.9861952271413</v>
      </c>
      <c r="AR98" s="18">
        <f>'Tkm, Vkm, &amp; Stock Projections'!AR25*1000000/AR48</f>
        <v>7917.2789293472324</v>
      </c>
      <c r="AS98" s="18">
        <f>'Tkm, Vkm, &amp; Stock Projections'!AS25*1000000/AS48</f>
        <v>7959.935366448698</v>
      </c>
      <c r="AT98" s="18">
        <f>'Tkm, Vkm, &amp; Stock Projections'!AT25*1000000/AT48</f>
        <v>8002.5343193410636</v>
      </c>
      <c r="AU98" s="18">
        <f>'Tkm, Vkm, &amp; Stock Projections'!AU25*1000000/AU48</f>
        <v>8045.2219548187049</v>
      </c>
      <c r="AV98" s="18">
        <f>'Tkm, Vkm, &amp; Stock Projections'!AV25*1000000/AV48</f>
        <v>8087.8723419345579</v>
      </c>
      <c r="AW98" s="18">
        <f>'Tkm, Vkm, &amp; Stock Projections'!AW25*1000000/AW48</f>
        <v>8130.6066789614242</v>
      </c>
      <c r="AX98" s="18">
        <f>'Tkm, Vkm, &amp; Stock Projections'!AX25*1000000/AX48</f>
        <v>8173.632151733028</v>
      </c>
      <c r="AY98" s="18">
        <f>'Tkm, Vkm, &amp; Stock Projections'!AY25*1000000/AY48</f>
        <v>8216.4916402422732</v>
      </c>
      <c r="AZ98" s="18">
        <f>'Tkm, Vkm, &amp; Stock Projections'!AZ25*1000000/AZ48</f>
        <v>8259.6973369414627</v>
      </c>
      <c r="BA98" s="18">
        <f>'Tkm, Vkm, &amp; Stock Projections'!BA25*1000000/BA48</f>
        <v>8302.4721313717382</v>
      </c>
      <c r="BB98" s="18">
        <f>'Tkm, Vkm, &amp; Stock Projections'!BB25*1000000/BB48</f>
        <v>8345.5663989727545</v>
      </c>
      <c r="BC98" s="18">
        <f>'Tkm, Vkm, &amp; Stock Projections'!BC25*1000000/BC48</f>
        <v>8388.9222233886085</v>
      </c>
      <c r="BD98" s="18">
        <f>'Tkm, Vkm, &amp; Stock Projections'!BD25*1000000/BD48</f>
        <v>8432.0205780931756</v>
      </c>
      <c r="BE98" s="18">
        <f>'Tkm, Vkm, &amp; Stock Projections'!BE25*1000000/BE48</f>
        <v>8475.6112450892597</v>
      </c>
    </row>
    <row r="99" spans="1:57" ht="16" hidden="1" thickBot="1">
      <c r="A99" s="4" t="s">
        <v>71</v>
      </c>
      <c r="B99" s="18">
        <f>'Tkm, Vkm, &amp; Stock Projections'!B26*1000000/'Tkm, Vkm, &amp; Stock Projections'!B49</f>
        <v>1968</v>
      </c>
      <c r="C99" s="18">
        <f>'Tkm, Vkm, &amp; Stock Projections'!C26*1000000/'Tkm, Vkm, &amp; Stock Projections'!C49</f>
        <v>1977</v>
      </c>
      <c r="D99" s="18">
        <f>'Tkm, Vkm, &amp; Stock Projections'!D26*1000000/'Tkm, Vkm, &amp; Stock Projections'!D49</f>
        <v>2640</v>
      </c>
      <c r="E99" s="18">
        <f>'Tkm, Vkm, &amp; Stock Projections'!E26*1000000/'Tkm, Vkm, &amp; Stock Projections'!E49</f>
        <v>3655</v>
      </c>
      <c r="F99" s="18">
        <f>'Tkm, Vkm, &amp; Stock Projections'!F26*1000000/'Tkm, Vkm, &amp; Stock Projections'!F49</f>
        <v>4940</v>
      </c>
      <c r="G99" s="18">
        <f>'Tkm, Vkm, &amp; Stock Projections'!G26*1000000/'Tkm, Vkm, &amp; Stock Projections'!G49</f>
        <v>6846</v>
      </c>
      <c r="H99" s="18">
        <f>'Tkm, Vkm, &amp; Stock Projections'!H26*1000000/'Tkm, Vkm, &amp; Stock Projections'!H49</f>
        <v>7753.0000000000009</v>
      </c>
      <c r="I99" s="18">
        <f>'Tkm, Vkm, &amp; Stock Projections'!I26*1000000/'Tkm, Vkm, &amp; Stock Projections'!I49</f>
        <v>8002</v>
      </c>
      <c r="J99" s="18">
        <f>'Tkm, Vkm, &amp; Stock Projections'!J26*1000000/'Tkm, Vkm, &amp; Stock Projections'!J49</f>
        <v>8622</v>
      </c>
      <c r="K99" s="18">
        <f>'Tkm, Vkm, &amp; Stock Projections'!K26*1000000/'Tkm, Vkm, &amp; Stock Projections'!K49</f>
        <v>9175</v>
      </c>
      <c r="L99" s="18">
        <f>'Tkm, Vkm, &amp; Stock Projections'!L26*1000000/'Tkm, Vkm, &amp; Stock Projections'!L49</f>
        <v>10558</v>
      </c>
      <c r="M99" s="18">
        <f>'Tkm, Vkm, &amp; Stock Projections'!M26*1000000/'Tkm, Vkm, &amp; Stock Projections'!M49</f>
        <v>12327</v>
      </c>
      <c r="N99" s="18">
        <f>'Tkm, Vkm, &amp; Stock Projections'!N26*1000000/'Tkm, Vkm, &amp; Stock Projections'!N49</f>
        <v>14274.000000000002</v>
      </c>
      <c r="O99" s="18">
        <f>'Tkm, Vkm, &amp; Stock Projections'!O26*1000000/'Tkm, Vkm, &amp; Stock Projections'!O49</f>
        <v>13413.398372434367</v>
      </c>
      <c r="P99" s="18">
        <f>'Tkm, Vkm, &amp; Stock Projections'!P26*1000000/'Tkm, Vkm, &amp; Stock Projections'!P49</f>
        <v>10170.31817990428</v>
      </c>
      <c r="Q99" s="18">
        <f>'Tkm, Vkm, &amp; Stock Projections'!Q26*1000000/'Tkm, Vkm, &amp; Stock Projections'!Q49</f>
        <v>10489.744218214104</v>
      </c>
      <c r="R99" s="18">
        <f>'Tkm, Vkm, &amp; Stock Projections'!R26*1000000/'Tkm, Vkm, &amp; Stock Projections'!R49</f>
        <v>7598.7183927952901</v>
      </c>
      <c r="S99" s="18">
        <f>'Tkm, Vkm, &amp; Stock Projections'!S26*1000000/'Tkm, Vkm, &amp; Stock Projections'!S49</f>
        <v>7610.1869319156231</v>
      </c>
      <c r="T99" s="18">
        <f>'Tkm, Vkm, &amp; Stock Projections'!T26*1000000/'Tkm, Vkm, &amp; Stock Projections'!T49</f>
        <v>7894.9656551604212</v>
      </c>
      <c r="U99" s="18">
        <f>'Tkm, Vkm, &amp; Stock Projections'!U26*1000000/'Tkm, Vkm, &amp; Stock Projections'!U49</f>
        <v>8591.0138593707907</v>
      </c>
      <c r="V99" s="18">
        <f>'Tkm, Vkm, &amp; Stock Projections'!V26*1000000/'Tkm, Vkm, &amp; Stock Projections'!V49</f>
        <v>9263.9457660393564</v>
      </c>
      <c r="W99" s="18">
        <f>'Tkm, Vkm, &amp; Stock Projections'!W26*1000000/'Tkm, Vkm, &amp; Stock Projections'!W49</f>
        <v>10108.104806693947</v>
      </c>
      <c r="X99" s="18">
        <f>'Tkm, Vkm, &amp; Stock Projections'!X26*1000000/'Tkm, Vkm, &amp; Stock Projections'!X49</f>
        <v>12229.539040451553</v>
      </c>
      <c r="Y99" s="18">
        <f>'Tkm, Vkm, &amp; Stock Projections'!Y26*1000000/'Tkm, Vkm, &amp; Stock Projections'!Y49</f>
        <v>13435.766699968994</v>
      </c>
      <c r="Z99" s="89">
        <f>'Tkm, Vkm, &amp; Stock Projections'!Z26*1000000/'Tkm, Vkm, &amp; Stock Projections'!Z49</f>
        <v>14181.488885471663</v>
      </c>
      <c r="AA99" s="18">
        <f>'Tkm, Vkm, &amp; Stock Projections'!AA26*1000000/AA49</f>
        <v>14592.959675060809</v>
      </c>
      <c r="AB99" s="18">
        <f>'Tkm, Vkm, &amp; Stock Projections'!AB26*1000000/AB49</f>
        <v>16022.190592678317</v>
      </c>
      <c r="AC99" s="18">
        <f>'Tkm, Vkm, &amp; Stock Projections'!AC26*1000000/AC49</f>
        <v>16676.091052754142</v>
      </c>
      <c r="AD99" s="18">
        <f>'Tkm, Vkm, &amp; Stock Projections'!AD26*1000000/AD49</f>
        <v>17157.860437945747</v>
      </c>
      <c r="AE99" s="18">
        <f>'Tkm, Vkm, &amp; Stock Projections'!AE26*1000000/AE49</f>
        <v>17556.32870717725</v>
      </c>
      <c r="AF99" s="18">
        <f>'Tkm, Vkm, &amp; Stock Projections'!AF26*1000000/AF49</f>
        <v>18047.911131418907</v>
      </c>
      <c r="AG99" s="18">
        <f>'Tkm, Vkm, &amp; Stock Projections'!AG26*1000000/AG49</f>
        <v>19126.59734302009</v>
      </c>
      <c r="AH99" s="18">
        <f>'Tkm, Vkm, &amp; Stock Projections'!AH26*1000000/AH49</f>
        <v>19826.921604063526</v>
      </c>
      <c r="AI99" s="18">
        <f>'Tkm, Vkm, &amp; Stock Projections'!AI26*1000000/AI49</f>
        <v>20509.242647476411</v>
      </c>
      <c r="AJ99" s="18">
        <f>'Tkm, Vkm, &amp; Stock Projections'!AJ26*1000000/AJ49</f>
        <v>21262.95433023982</v>
      </c>
      <c r="AK99" s="18">
        <f>'Tkm, Vkm, &amp; Stock Projections'!AK26*1000000/AK49</f>
        <v>22089.89581477383</v>
      </c>
      <c r="AL99" s="18">
        <f>'Tkm, Vkm, &amp; Stock Projections'!AL26*1000000/AL49</f>
        <v>22436.104786970296</v>
      </c>
      <c r="AM99" s="18">
        <f>'Tkm, Vkm, &amp; Stock Projections'!AM26*1000000/AM49</f>
        <v>22782.360884749651</v>
      </c>
      <c r="AN99" s="18">
        <f>'Tkm, Vkm, &amp; Stock Projections'!AN26*1000000/AN49</f>
        <v>23133.834540865275</v>
      </c>
      <c r="AO99" s="18">
        <f>'Tkm, Vkm, &amp; Stock Projections'!AO26*1000000/AO49</f>
        <v>23485.274121135859</v>
      </c>
      <c r="AP99" s="18">
        <f>'Tkm, Vkm, &amp; Stock Projections'!AP26*1000000/AP49</f>
        <v>23841.465989710385</v>
      </c>
      <c r="AQ99" s="18">
        <f>'Tkm, Vkm, &amp; Stock Projections'!AQ26*1000000/AQ49</f>
        <v>24147.618798810585</v>
      </c>
      <c r="AR99" s="18">
        <f>'Tkm, Vkm, &amp; Stock Projections'!AR26*1000000/AR49</f>
        <v>24456.59046492921</v>
      </c>
      <c r="AS99" s="18">
        <f>'Tkm, Vkm, &amp; Stock Projections'!AS26*1000000/AS49</f>
        <v>24769.806076402499</v>
      </c>
      <c r="AT99" s="18">
        <f>'Tkm, Vkm, &amp; Stock Projections'!AT26*1000000/AT49</f>
        <v>25085.31886827149</v>
      </c>
      <c r="AU99" s="18">
        <f>'Tkm, Vkm, &amp; Stock Projections'!AU26*1000000/AU49</f>
        <v>25403.83668734505</v>
      </c>
      <c r="AV99" s="18">
        <f>'Tkm, Vkm, &amp; Stock Projections'!AV26*1000000/AV49</f>
        <v>25724.782836902807</v>
      </c>
      <c r="AW99" s="18">
        <f>'Tkm, Vkm, &amp; Stock Projections'!AW26*1000000/AW49</f>
        <v>26048.754019956461</v>
      </c>
      <c r="AX99" s="18">
        <f>'Tkm, Vkm, &amp; Stock Projections'!AX26*1000000/AX49</f>
        <v>26376.773115653097</v>
      </c>
      <c r="AY99" s="18">
        <f>'Tkm, Vkm, &amp; Stock Projections'!AY26*1000000/AY49</f>
        <v>26706.665177199175</v>
      </c>
      <c r="AZ99" s="18">
        <f>'Tkm, Vkm, &amp; Stock Projections'!AZ26*1000000/AZ49</f>
        <v>27040.930239575759</v>
      </c>
      <c r="BA99" s="18">
        <f>'Tkm, Vkm, &amp; Stock Projections'!BA26*1000000/BA49</f>
        <v>27375.810060135685</v>
      </c>
      <c r="BB99" s="18">
        <f>'Tkm, Vkm, &amp; Stock Projections'!BB26*1000000/BB49</f>
        <v>27714.981591991917</v>
      </c>
      <c r="BC99" s="18">
        <f>'Tkm, Vkm, &amp; Stock Projections'!BC26*1000000/BC49</f>
        <v>28058.201027807856</v>
      </c>
      <c r="BD99" s="18">
        <f>'Tkm, Vkm, &amp; Stock Projections'!BD26*1000000/BD49</f>
        <v>28402.929117213884</v>
      </c>
      <c r="BE99" s="18">
        <f>'Tkm, Vkm, &amp; Stock Projections'!BE26*1000000/BE49</f>
        <v>28752.908336953671</v>
      </c>
    </row>
    <row r="100" spans="1:57" ht="17" hidden="1" thickTop="1" thickBot="1">
      <c r="A100" s="6" t="s">
        <v>29</v>
      </c>
      <c r="B100" s="7">
        <f>SUM(B95:B99)</f>
        <v>36108</v>
      </c>
      <c r="C100" s="7">
        <f t="shared" ref="C100:BE100" si="29">SUM(C95:C99)</f>
        <v>40255</v>
      </c>
      <c r="D100" s="7">
        <f t="shared" si="29"/>
        <v>45255</v>
      </c>
      <c r="E100" s="7">
        <f t="shared" si="29"/>
        <v>51038</v>
      </c>
      <c r="F100" s="7">
        <f t="shared" si="29"/>
        <v>58387</v>
      </c>
      <c r="G100" s="7">
        <f t="shared" si="29"/>
        <v>68279</v>
      </c>
      <c r="H100" s="7">
        <f t="shared" si="29"/>
        <v>76875</v>
      </c>
      <c r="I100" s="7">
        <f t="shared" si="29"/>
        <v>78753</v>
      </c>
      <c r="J100" s="7">
        <f t="shared" si="29"/>
        <v>81025</v>
      </c>
      <c r="K100" s="7">
        <f t="shared" si="29"/>
        <v>84747</v>
      </c>
      <c r="L100" s="7">
        <f t="shared" si="29"/>
        <v>94844</v>
      </c>
      <c r="M100" s="7">
        <f t="shared" si="29"/>
        <v>105885</v>
      </c>
      <c r="N100" s="7">
        <f t="shared" si="29"/>
        <v>121696</v>
      </c>
      <c r="O100" s="7">
        <f t="shared" si="29"/>
        <v>99591.796002164774</v>
      </c>
      <c r="P100" s="7">
        <f t="shared" si="29"/>
        <v>89862.053972022579</v>
      </c>
      <c r="Q100" s="7">
        <f t="shared" si="29"/>
        <v>90984.024991501705</v>
      </c>
      <c r="R100" s="7">
        <f t="shared" si="29"/>
        <v>85525.703931137585</v>
      </c>
      <c r="S100" s="7">
        <f t="shared" si="29"/>
        <v>84341.665388024121</v>
      </c>
      <c r="T100" s="7">
        <f t="shared" si="29"/>
        <v>83540.270533189672</v>
      </c>
      <c r="U100" s="7">
        <f t="shared" si="29"/>
        <v>88259.481502221053</v>
      </c>
      <c r="V100" s="7">
        <f t="shared" si="29"/>
        <v>95962.519054274992</v>
      </c>
      <c r="W100" s="7">
        <f t="shared" si="29"/>
        <v>100359.19241613071</v>
      </c>
      <c r="X100" s="7">
        <f t="shared" si="29"/>
        <v>115154.11795063554</v>
      </c>
      <c r="Y100" s="7">
        <f t="shared" si="29"/>
        <v>124798.19618799118</v>
      </c>
      <c r="Z100" s="12">
        <f t="shared" si="29"/>
        <v>134193.29555632631</v>
      </c>
      <c r="AA100" s="7">
        <f t="shared" si="29"/>
        <v>135294.50759757316</v>
      </c>
      <c r="AB100" s="7">
        <f t="shared" si="29"/>
        <v>152389.8494220929</v>
      </c>
      <c r="AC100" s="7">
        <f t="shared" si="29"/>
        <v>158409.80608887126</v>
      </c>
      <c r="AD100" s="7">
        <f t="shared" si="29"/>
        <v>162026.71764846452</v>
      </c>
      <c r="AE100" s="7">
        <f t="shared" si="29"/>
        <v>164535.92662272759</v>
      </c>
      <c r="AF100" s="7">
        <f t="shared" si="29"/>
        <v>168312.75678768527</v>
      </c>
      <c r="AG100" s="7">
        <f t="shared" si="29"/>
        <v>181466.44856319038</v>
      </c>
      <c r="AH100" s="7">
        <f t="shared" si="29"/>
        <v>189575.90582218027</v>
      </c>
      <c r="AI100" s="7">
        <f t="shared" si="29"/>
        <v>197398.16825371369</v>
      </c>
      <c r="AJ100" s="7">
        <f t="shared" si="29"/>
        <v>206096.45721643299</v>
      </c>
      <c r="AK100" s="7">
        <f t="shared" si="29"/>
        <v>215685.34336186506</v>
      </c>
      <c r="AL100" s="7">
        <f t="shared" si="29"/>
        <v>219045.05418474239</v>
      </c>
      <c r="AM100" s="7">
        <f t="shared" si="29"/>
        <v>222400.57200249538</v>
      </c>
      <c r="AN100" s="7">
        <f t="shared" si="29"/>
        <v>225818.69274472931</v>
      </c>
      <c r="AO100" s="7">
        <f t="shared" si="29"/>
        <v>229232.97255433825</v>
      </c>
      <c r="AP100" s="7">
        <f t="shared" si="29"/>
        <v>232704.83922765998</v>
      </c>
      <c r="AQ100" s="7">
        <f t="shared" si="29"/>
        <v>236230.98463018425</v>
      </c>
      <c r="AR100" s="7">
        <f t="shared" si="29"/>
        <v>239786.90423201915</v>
      </c>
      <c r="AS100" s="7">
        <f t="shared" si="29"/>
        <v>243390.53717649227</v>
      </c>
      <c r="AT100" s="7">
        <f t="shared" si="29"/>
        <v>247017.33464508146</v>
      </c>
      <c r="AU100" s="7">
        <f t="shared" si="29"/>
        <v>250676.21095894536</v>
      </c>
      <c r="AV100" s="7">
        <f t="shared" si="29"/>
        <v>254359.92342932508</v>
      </c>
      <c r="AW100" s="7">
        <f t="shared" si="29"/>
        <v>258075.96965808776</v>
      </c>
      <c r="AX100" s="7">
        <f t="shared" si="29"/>
        <v>261837.14908969356</v>
      </c>
      <c r="AY100" s="7">
        <f t="shared" si="29"/>
        <v>265616.22022950125</v>
      </c>
      <c r="AZ100" s="7">
        <f t="shared" si="29"/>
        <v>269444.4552341291</v>
      </c>
      <c r="BA100" s="7">
        <f t="shared" si="29"/>
        <v>273274.91076873848</v>
      </c>
      <c r="BB100" s="7">
        <f t="shared" si="29"/>
        <v>277153.51119768491</v>
      </c>
      <c r="BC100" s="7">
        <f t="shared" si="29"/>
        <v>281077.17293045425</v>
      </c>
      <c r="BD100" s="7">
        <f t="shared" si="29"/>
        <v>285014.28359470778</v>
      </c>
      <c r="BE100" s="7">
        <f t="shared" si="29"/>
        <v>289011.39992581215</v>
      </c>
    </row>
    <row r="101" spans="1:57" ht="20" hidden="1" thickBo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9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</row>
    <row r="102" spans="1:57" ht="28.75" hidden="1" customHeight="1">
      <c r="A102" s="21" t="s">
        <v>139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>
        <f>'[4]Vehicle stock'!B37</f>
        <v>2010</v>
      </c>
      <c r="R102" s="2">
        <f>'[4]Vehicle stock'!C37</f>
        <v>2011</v>
      </c>
      <c r="S102" s="2">
        <f>'[4]Vehicle stock'!D37</f>
        <v>2012</v>
      </c>
      <c r="T102" s="2">
        <f>'[4]Vehicle stock'!E37</f>
        <v>2013</v>
      </c>
      <c r="U102" s="2">
        <f>'[4]Vehicle stock'!F37</f>
        <v>2014</v>
      </c>
      <c r="V102" s="2">
        <f>'[4]Vehicle stock'!G37</f>
        <v>2015</v>
      </c>
      <c r="W102" s="2">
        <f>'[4]Vehicle stock'!H37</f>
        <v>2016</v>
      </c>
      <c r="X102" s="2">
        <f>'[4]Vehicle stock'!I37</f>
        <v>2017</v>
      </c>
      <c r="Y102" s="2">
        <f>'[4]Vehicle stock'!J37</f>
        <v>2018</v>
      </c>
      <c r="Z102" s="10">
        <f>'[4]Vehicle stock'!K37</f>
        <v>2019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ht="13.75" hidden="1" customHeight="1">
      <c r="A103" s="96" t="s">
        <v>67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>
        <f>'[4]Vehicle stock'!B38</f>
        <v>56190</v>
      </c>
      <c r="R103">
        <f>'[4]Vehicle stock'!C38</f>
        <v>56466</v>
      </c>
      <c r="S103">
        <f>'[4]Vehicle stock'!D38</f>
        <v>54921</v>
      </c>
      <c r="T103">
        <f>'[4]Vehicle stock'!E38</f>
        <v>57165</v>
      </c>
      <c r="U103">
        <f>'[4]Vehicle stock'!F38</f>
        <v>60098</v>
      </c>
      <c r="V103">
        <f>'[4]Vehicle stock'!G38</f>
        <v>67698</v>
      </c>
      <c r="W103">
        <f>'[4]Vehicle stock'!H38</f>
        <v>75484</v>
      </c>
      <c r="X103">
        <f>'[4]Vehicle stock'!I38</f>
        <v>81639</v>
      </c>
      <c r="Y103">
        <f>'[4]Vehicle stock'!J38</f>
        <v>88899</v>
      </c>
      <c r="Z103" s="13">
        <f>'[4]Vehicle stock'!K38</f>
        <v>97498</v>
      </c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</row>
    <row r="104" spans="1:57" ht="13.75" hidden="1" customHeight="1">
      <c r="A104" s="97" t="s">
        <v>68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>
        <f>'[4]Vehicle stock'!B39</f>
        <v>4813</v>
      </c>
      <c r="R104">
        <f>'[4]Vehicle stock'!C39</f>
        <v>4659.5</v>
      </c>
      <c r="S104">
        <f>'[4]Vehicle stock'!D39</f>
        <v>4428.5</v>
      </c>
      <c r="T104">
        <f>'[4]Vehicle stock'!E39</f>
        <v>4564.5</v>
      </c>
      <c r="U104">
        <f>'[4]Vehicle stock'!F39</f>
        <v>4522</v>
      </c>
      <c r="V104">
        <f>'[4]Vehicle stock'!G39</f>
        <v>4523</v>
      </c>
      <c r="W104">
        <f>'[4]Vehicle stock'!H39</f>
        <v>4915.5</v>
      </c>
      <c r="X104">
        <f>'[4]Vehicle stock'!I39</f>
        <v>4860</v>
      </c>
      <c r="Y104">
        <f>'[4]Vehicle stock'!J39</f>
        <v>4850</v>
      </c>
      <c r="Z104" s="13">
        <f>'[4]Vehicle stock'!K39</f>
        <v>4921.5</v>
      </c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</row>
    <row r="105" spans="1:57" ht="13.75" hidden="1" customHeight="1">
      <c r="A105" s="97" t="s">
        <v>69</v>
      </c>
      <c r="B105" s="39"/>
      <c r="C105" s="39"/>
      <c r="D105" s="39"/>
      <c r="E105" s="39"/>
      <c r="F105" s="39"/>
      <c r="G105" s="39"/>
      <c r="H105" s="39"/>
      <c r="I105" s="81"/>
      <c r="J105" s="39"/>
      <c r="K105" s="39"/>
      <c r="L105" s="39"/>
      <c r="M105" s="39"/>
      <c r="N105" s="39"/>
      <c r="O105" s="39"/>
      <c r="P105" s="39"/>
      <c r="Q105">
        <f>'[4]Vehicle stock'!B40</f>
        <v>3021</v>
      </c>
      <c r="R105">
        <f>'[4]Vehicle stock'!C40</f>
        <v>2873.5</v>
      </c>
      <c r="S105">
        <f>'[4]Vehicle stock'!D40</f>
        <v>2758</v>
      </c>
      <c r="T105">
        <f>'[4]Vehicle stock'!E40</f>
        <v>2865.5</v>
      </c>
      <c r="U105">
        <f>'[4]Vehicle stock'!F40</f>
        <v>2990.5</v>
      </c>
      <c r="V105">
        <f>'[4]Vehicle stock'!G40</f>
        <v>3084</v>
      </c>
      <c r="W105">
        <f>'[4]Vehicle stock'!H40</f>
        <v>3716.5</v>
      </c>
      <c r="X105">
        <f>'[4]Vehicle stock'!I40</f>
        <v>3917</v>
      </c>
      <c r="Y105">
        <f>'[4]Vehicle stock'!J40</f>
        <v>4049</v>
      </c>
      <c r="Z105" s="13">
        <f>'[4]Vehicle stock'!K40</f>
        <v>4184.5</v>
      </c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</row>
    <row r="106" spans="1:57" ht="13.75" hidden="1" customHeight="1">
      <c r="A106" s="97" t="s">
        <v>70</v>
      </c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>
        <f>'[4]Vehicle stock'!B41</f>
        <v>10292</v>
      </c>
      <c r="R106">
        <f>'[4]Vehicle stock'!C41</f>
        <v>9809.5</v>
      </c>
      <c r="S106">
        <f>'[4]Vehicle stock'!D41</f>
        <v>9097.5</v>
      </c>
      <c r="T106">
        <f>'[4]Vehicle stock'!E41</f>
        <v>9862.5</v>
      </c>
      <c r="U106">
        <f>'[4]Vehicle stock'!F41</f>
        <v>10130</v>
      </c>
      <c r="V106">
        <f>'[4]Vehicle stock'!G41</f>
        <v>10770</v>
      </c>
      <c r="W106">
        <f>'[4]Vehicle stock'!H41</f>
        <v>12636.5</v>
      </c>
      <c r="X106">
        <f>'[4]Vehicle stock'!I41</f>
        <v>13071</v>
      </c>
      <c r="Y106">
        <f>'[4]Vehicle stock'!J41</f>
        <v>13351</v>
      </c>
      <c r="Z106" s="13">
        <f>'[4]Vehicle stock'!K41</f>
        <v>13760.5</v>
      </c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</row>
    <row r="107" spans="1:57" ht="13.75" hidden="1" customHeight="1" thickBot="1">
      <c r="A107" s="97" t="s">
        <v>71</v>
      </c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>
        <f>'[4]Vehicle stock'!B42</f>
        <v>8225</v>
      </c>
      <c r="R107">
        <f>'[4]Vehicle stock'!C42</f>
        <v>8232</v>
      </c>
      <c r="S107">
        <f>'[4]Vehicle stock'!D42</f>
        <v>7959</v>
      </c>
      <c r="T107">
        <f>'[4]Vehicle stock'!E42</f>
        <v>9115</v>
      </c>
      <c r="U107">
        <f>'[4]Vehicle stock'!F42</f>
        <v>9569</v>
      </c>
      <c r="V107">
        <f>'[4]Vehicle stock'!G42</f>
        <v>10470</v>
      </c>
      <c r="W107">
        <f>'[4]Vehicle stock'!H42</f>
        <v>12513</v>
      </c>
      <c r="X107">
        <f>'[4]Vehicle stock'!I42</f>
        <v>13539</v>
      </c>
      <c r="Y107">
        <f>'[4]Vehicle stock'!J42</f>
        <v>14571</v>
      </c>
      <c r="Z107" s="13">
        <f>'[4]Vehicle stock'!K42</f>
        <v>15499</v>
      </c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</row>
    <row r="108" spans="1:57" ht="17" hidden="1" thickTop="1" thickBot="1">
      <c r="A108" s="6" t="s">
        <v>29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>
        <f>'[4]Vehicle stock'!B43</f>
        <v>82541</v>
      </c>
      <c r="R108" s="7">
        <f>'[4]Vehicle stock'!C43</f>
        <v>82040.5</v>
      </c>
      <c r="S108" s="7">
        <f>'[4]Vehicle stock'!D43</f>
        <v>79164</v>
      </c>
      <c r="T108" s="7">
        <f>'[4]Vehicle stock'!E43</f>
        <v>83572.5</v>
      </c>
      <c r="U108" s="7">
        <f>'[4]Vehicle stock'!F43</f>
        <v>87309.5</v>
      </c>
      <c r="V108" s="7">
        <f>'[4]Vehicle stock'!G43</f>
        <v>96545</v>
      </c>
      <c r="W108" s="7">
        <f>'[4]Vehicle stock'!H43</f>
        <v>109265.5</v>
      </c>
      <c r="X108" s="7">
        <f>'[4]Vehicle stock'!I43</f>
        <v>117026</v>
      </c>
      <c r="Y108" s="7">
        <f>'[4]Vehicle stock'!J43</f>
        <v>125720</v>
      </c>
      <c r="Z108" s="12">
        <f>'[4]Vehicle stock'!K43</f>
        <v>135863.5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8"/>
    </row>
    <row r="109" spans="1:57" ht="20" hidden="1" thickBo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9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</row>
    <row r="110" spans="1:57" ht="28.75" hidden="1" customHeight="1">
      <c r="A110" s="21" t="s">
        <v>140</v>
      </c>
      <c r="B110" s="2">
        <v>1995</v>
      </c>
      <c r="C110" s="2">
        <v>1996</v>
      </c>
      <c r="D110" s="2">
        <v>1997</v>
      </c>
      <c r="E110" s="2">
        <v>1998</v>
      </c>
      <c r="F110" s="2">
        <v>1999</v>
      </c>
      <c r="G110" s="2">
        <v>2000</v>
      </c>
      <c r="H110" s="2">
        <v>2001</v>
      </c>
      <c r="I110" s="2">
        <v>2002</v>
      </c>
      <c r="J110" s="2">
        <v>2003</v>
      </c>
      <c r="K110" s="2">
        <v>2004</v>
      </c>
      <c r="L110" s="2">
        <v>2005</v>
      </c>
      <c r="M110" s="2">
        <v>2006</v>
      </c>
      <c r="N110" s="2">
        <v>2007</v>
      </c>
      <c r="O110" s="2">
        <v>2008</v>
      </c>
      <c r="P110" s="2">
        <v>2009</v>
      </c>
      <c r="Q110" s="2">
        <v>2010</v>
      </c>
      <c r="R110" s="2">
        <v>2011</v>
      </c>
      <c r="S110" s="2">
        <v>2012</v>
      </c>
      <c r="T110" s="2">
        <v>2013</v>
      </c>
      <c r="U110" s="2">
        <v>2014</v>
      </c>
      <c r="V110" s="2">
        <v>2015</v>
      </c>
      <c r="W110" s="2">
        <v>2016</v>
      </c>
      <c r="X110" s="2">
        <v>2017</v>
      </c>
      <c r="Y110" s="2">
        <v>2018</v>
      </c>
      <c r="Z110" s="10">
        <v>2019</v>
      </c>
      <c r="AA110" s="2">
        <v>2020</v>
      </c>
      <c r="AB110" s="2">
        <v>2021</v>
      </c>
      <c r="AC110" s="2">
        <v>2022</v>
      </c>
      <c r="AD110" s="2">
        <v>2023</v>
      </c>
      <c r="AE110" s="2">
        <v>2024</v>
      </c>
      <c r="AF110" s="2">
        <v>2025</v>
      </c>
      <c r="AG110" s="2">
        <v>2026</v>
      </c>
      <c r="AH110" s="2">
        <v>2027</v>
      </c>
      <c r="AI110" s="2">
        <v>2028</v>
      </c>
      <c r="AJ110" s="2">
        <v>2029</v>
      </c>
      <c r="AK110" s="2">
        <v>2030</v>
      </c>
      <c r="AL110" s="2">
        <v>2031</v>
      </c>
      <c r="AM110" s="2">
        <v>2032</v>
      </c>
      <c r="AN110" s="2">
        <v>2033</v>
      </c>
      <c r="AO110" s="2">
        <v>2034</v>
      </c>
      <c r="AP110" s="2">
        <v>2035</v>
      </c>
      <c r="AQ110" s="2">
        <v>2036</v>
      </c>
      <c r="AR110" s="2">
        <v>2037</v>
      </c>
      <c r="AS110" s="2">
        <v>2038</v>
      </c>
      <c r="AT110" s="2">
        <v>2039</v>
      </c>
      <c r="AU110" s="2">
        <v>2040</v>
      </c>
      <c r="AV110" s="2">
        <v>2041</v>
      </c>
      <c r="AW110" s="2">
        <v>2042</v>
      </c>
      <c r="AX110" s="2">
        <v>2043</v>
      </c>
      <c r="AY110" s="2">
        <v>2044</v>
      </c>
      <c r="AZ110" s="2">
        <v>2045</v>
      </c>
      <c r="BA110" s="2">
        <v>2046</v>
      </c>
      <c r="BB110" s="2">
        <v>2047</v>
      </c>
      <c r="BC110" s="2">
        <v>2048</v>
      </c>
      <c r="BD110" s="2">
        <v>2049</v>
      </c>
      <c r="BE110" s="2">
        <v>2050</v>
      </c>
    </row>
    <row r="111" spans="1:57" ht="16" hidden="1">
      <c r="A111" s="71" t="s">
        <v>67</v>
      </c>
      <c r="B111" s="14">
        <f>'[5]Survey Summary'!B2</f>
        <v>17158</v>
      </c>
      <c r="C111" s="14">
        <f>'[5]Survey Summary'!C2</f>
        <v>18199</v>
      </c>
      <c r="D111" s="14">
        <f>'[5]Survey Summary'!D2</f>
        <v>21355</v>
      </c>
      <c r="E111" s="14">
        <f>'[5]Survey Summary'!E2</f>
        <v>20967</v>
      </c>
      <c r="F111" s="14">
        <f>'[5]Survey Summary'!F2</f>
        <v>22626</v>
      </c>
      <c r="G111" s="14">
        <f>'[5]Survey Summary'!G2</f>
        <v>27162</v>
      </c>
      <c r="H111" s="14">
        <f>'[5]Survey Summary'!H2</f>
        <v>30328</v>
      </c>
      <c r="I111" s="14">
        <f>'[5]Survey Summary'!I2</f>
        <v>30570</v>
      </c>
      <c r="J111" s="14">
        <f>'[5]Survey Summary'!J2</f>
        <v>33764</v>
      </c>
      <c r="K111" s="14">
        <f>'[5]Survey Summary'!K2</f>
        <v>38604</v>
      </c>
      <c r="L111" s="14">
        <f>'[5]Survey Summary'!L2</f>
        <v>45198</v>
      </c>
      <c r="M111" s="14">
        <f>'[5]Survey Summary'!M2</f>
        <v>57025</v>
      </c>
      <c r="N111" s="14">
        <f>'[5]Survey Summary'!N2</f>
        <v>70513</v>
      </c>
      <c r="O111" s="14">
        <f>'[5]Survey Summary'!O2</f>
        <v>56948</v>
      </c>
      <c r="P111" s="14">
        <f>'[5]Survey Summary'!P2</f>
        <v>53710</v>
      </c>
      <c r="Q111" s="14">
        <f>'[5]Survey Summary'!Q2</f>
        <v>53579</v>
      </c>
      <c r="R111" s="14">
        <f>'[5]Survey Summary'!R2</f>
        <v>52928</v>
      </c>
      <c r="S111" s="14">
        <f>'[5]Survey Summary'!S2</f>
        <v>52942</v>
      </c>
      <c r="T111" s="14">
        <f>'[5]Survey Summary'!T2</f>
        <v>51278</v>
      </c>
      <c r="U111" s="14">
        <f>'[5]Survey Summary'!U2</f>
        <v>56047</v>
      </c>
      <c r="V111" s="14">
        <f>'[5]Survey Summary'!V2</f>
        <v>59829</v>
      </c>
      <c r="W111" s="14">
        <f>'[5]Survey Summary'!W2</f>
        <v>68107</v>
      </c>
      <c r="X111" s="14">
        <f>'[5]Survey Summary'!X2</f>
        <v>75734</v>
      </c>
      <c r="Y111" s="14">
        <f>'[5]Survey Summary'!Y2</f>
        <v>83855</v>
      </c>
      <c r="Z111" s="94">
        <f>'[5]Survey Summary'!Z2</f>
        <v>92964</v>
      </c>
    </row>
    <row r="112" spans="1:57" ht="16" hidden="1">
      <c r="A112" s="22" t="s">
        <v>68</v>
      </c>
      <c r="B112" s="14">
        <f>'[5]Survey Summary'!B3</f>
        <v>7197</v>
      </c>
      <c r="C112" s="14">
        <f>'[5]Survey Summary'!C3</f>
        <v>8048</v>
      </c>
      <c r="D112" s="14">
        <f>'[5]Survey Summary'!D3</f>
        <v>7864</v>
      </c>
      <c r="E112" s="14">
        <f>'[5]Survey Summary'!E3</f>
        <v>9141</v>
      </c>
      <c r="F112" s="14">
        <f>'[5]Survey Summary'!F3</f>
        <v>9575</v>
      </c>
      <c r="G112" s="14">
        <f>'[5]Survey Summary'!G3</f>
        <v>9848</v>
      </c>
      <c r="H112" s="14">
        <f>'[5]Survey Summary'!H3</f>
        <v>12229</v>
      </c>
      <c r="I112" s="14">
        <f>'[5]Survey Summary'!I3</f>
        <v>11906</v>
      </c>
      <c r="J112" s="14">
        <f>'[5]Survey Summary'!J3</f>
        <v>11177</v>
      </c>
      <c r="K112" s="14">
        <f>'[5]Survey Summary'!K3</f>
        <v>10352</v>
      </c>
      <c r="L112" s="14">
        <f>'[5]Survey Summary'!L3</f>
        <v>10815</v>
      </c>
      <c r="M112" s="14">
        <f>'[5]Survey Summary'!M3</f>
        <v>9971</v>
      </c>
      <c r="N112" s="14">
        <f>'[5]Survey Summary'!N3</f>
        <v>9165</v>
      </c>
      <c r="O112" s="14">
        <f>'[5]Survey Summary'!O3</f>
        <v>6903</v>
      </c>
      <c r="P112" s="14">
        <f>'[5]Survey Summary'!P3</f>
        <v>6204</v>
      </c>
      <c r="Q112" s="14">
        <f>'[5]Survey Summary'!Q3</f>
        <v>5732</v>
      </c>
      <c r="R112" s="14">
        <f>'[5]Survey Summary'!R3</f>
        <v>5354</v>
      </c>
      <c r="S112" s="14">
        <f>'[5]Survey Summary'!S3</f>
        <v>5068</v>
      </c>
      <c r="T112" s="14">
        <f>'[5]Survey Summary'!T3</f>
        <v>4803</v>
      </c>
      <c r="U112" s="14">
        <f>'[5]Survey Summary'!U3</f>
        <v>5164</v>
      </c>
      <c r="V112" s="14">
        <f>'[5]Survey Summary'!V3</f>
        <v>4869</v>
      </c>
      <c r="W112" s="14">
        <f>'[5]Survey Summary'!W3</f>
        <v>5087</v>
      </c>
      <c r="X112" s="14">
        <f>'[5]Survey Summary'!X3</f>
        <v>5247</v>
      </c>
      <c r="Y112" s="14">
        <f>'[5]Survey Summary'!Y3</f>
        <v>5221</v>
      </c>
      <c r="Z112" s="94">
        <f>'[5]Survey Summary'!Z3</f>
        <v>5237</v>
      </c>
    </row>
    <row r="113" spans="1:57" ht="16" hidden="1">
      <c r="A113" s="22" t="s">
        <v>69</v>
      </c>
      <c r="B113" s="14">
        <f>'[5]Survey Summary'!B4</f>
        <v>4923</v>
      </c>
      <c r="C113" s="14">
        <f>'[5]Survey Summary'!C4</f>
        <v>6622</v>
      </c>
      <c r="D113" s="14">
        <f>'[5]Survey Summary'!D4</f>
        <v>6957</v>
      </c>
      <c r="E113" s="14">
        <f>'[5]Survey Summary'!E4</f>
        <v>8506</v>
      </c>
      <c r="F113" s="14">
        <f>'[5]Survey Summary'!F4</f>
        <v>9205</v>
      </c>
      <c r="G113" s="14">
        <f>'[5]Survey Summary'!G4</f>
        <v>10651</v>
      </c>
      <c r="H113" s="14">
        <f>'[5]Survey Summary'!H4</f>
        <v>11486</v>
      </c>
      <c r="I113" s="14">
        <f>'[5]Survey Summary'!I4</f>
        <v>13187</v>
      </c>
      <c r="J113" s="14">
        <f>'[5]Survey Summary'!J4</f>
        <v>12953</v>
      </c>
      <c r="K113" s="14">
        <f>'[5]Survey Summary'!K4</f>
        <v>12501</v>
      </c>
      <c r="L113" s="14">
        <f>'[5]Survey Summary'!L4</f>
        <v>13260</v>
      </c>
      <c r="M113" s="14">
        <f>'[5]Survey Summary'!M4</f>
        <v>10355</v>
      </c>
      <c r="N113" s="14">
        <f>'[5]Survey Summary'!N4</f>
        <v>10705</v>
      </c>
      <c r="O113" s="14">
        <f>'[5]Survey Summary'!O4</f>
        <v>8006</v>
      </c>
      <c r="P113" s="14">
        <f>'[5]Survey Summary'!P4</f>
        <v>6568</v>
      </c>
      <c r="Q113" s="14">
        <f>'[5]Survey Summary'!Q4</f>
        <v>5998</v>
      </c>
      <c r="R113" s="14">
        <f>'[5]Survey Summary'!R4</f>
        <v>5475</v>
      </c>
      <c r="S113" s="14">
        <f>'[5]Survey Summary'!S4</f>
        <v>5237</v>
      </c>
      <c r="T113" s="14">
        <f>'[5]Survey Summary'!T4</f>
        <v>4950</v>
      </c>
      <c r="U113" s="14">
        <f>'[5]Survey Summary'!U4</f>
        <v>5153</v>
      </c>
      <c r="V113" s="14">
        <f>'[5]Survey Summary'!V4</f>
        <v>5121</v>
      </c>
      <c r="W113" s="14">
        <f>'[5]Survey Summary'!W4</f>
        <v>5629</v>
      </c>
      <c r="X113" s="14">
        <f>'[5]Survey Summary'!X4</f>
        <v>5999</v>
      </c>
      <c r="Y113" s="14">
        <f>'[5]Survey Summary'!Y4</f>
        <v>6237</v>
      </c>
      <c r="Z113" s="94">
        <f>'[5]Survey Summary'!Z4</f>
        <v>6406</v>
      </c>
    </row>
    <row r="114" spans="1:57" ht="16" hidden="1">
      <c r="A114" s="22" t="s">
        <v>70</v>
      </c>
      <c r="B114" s="14">
        <f>'[5]Survey Summary'!B5</f>
        <v>4862</v>
      </c>
      <c r="C114" s="14">
        <f>'[5]Survey Summary'!C5</f>
        <v>5409</v>
      </c>
      <c r="D114" s="14">
        <f>'[5]Survey Summary'!D5</f>
        <v>6439</v>
      </c>
      <c r="E114" s="14">
        <f>'[5]Survey Summary'!E5</f>
        <v>8769</v>
      </c>
      <c r="F114" s="14">
        <f>'[5]Survey Summary'!F5</f>
        <v>12041</v>
      </c>
      <c r="G114" s="14">
        <f>'[5]Survey Summary'!G5</f>
        <v>13772</v>
      </c>
      <c r="H114" s="14">
        <f>'[5]Survey Summary'!H5</f>
        <v>15079</v>
      </c>
      <c r="I114" s="14">
        <f>'[5]Survey Summary'!I5</f>
        <v>15088</v>
      </c>
      <c r="J114" s="14">
        <f>'[5]Survey Summary'!J5</f>
        <v>14509</v>
      </c>
      <c r="K114" s="14">
        <f>'[5]Survey Summary'!K5</f>
        <v>14115</v>
      </c>
      <c r="L114" s="14">
        <f>'[5]Survey Summary'!L5</f>
        <v>15013</v>
      </c>
      <c r="M114" s="14">
        <f>'[5]Survey Summary'!M5</f>
        <v>16207</v>
      </c>
      <c r="N114" s="14">
        <f>'[5]Survey Summary'!N5</f>
        <v>17039</v>
      </c>
      <c r="O114" s="14">
        <f>'[5]Survey Summary'!O5</f>
        <v>12316</v>
      </c>
      <c r="P114" s="14">
        <f>'[5]Survey Summary'!P5</f>
        <v>9812</v>
      </c>
      <c r="Q114" s="14">
        <f>'[5]Survey Summary'!Q5</f>
        <v>8645</v>
      </c>
      <c r="R114" s="14">
        <f>'[5]Survey Summary'!R5</f>
        <v>7788</v>
      </c>
      <c r="S114" s="14">
        <f>'[5]Survey Summary'!S5</f>
        <v>7261</v>
      </c>
      <c r="T114" s="14">
        <f>'[5]Survey Summary'!T5</f>
        <v>6820</v>
      </c>
      <c r="U114" s="14">
        <f>'[5]Survey Summary'!U5</f>
        <v>6953</v>
      </c>
      <c r="V114" s="14">
        <f>'[5]Survey Summary'!V5</f>
        <v>7208</v>
      </c>
      <c r="W114" s="14">
        <f>'[5]Survey Summary'!W5</f>
        <v>7945</v>
      </c>
      <c r="X114" s="14">
        <f>'[5]Survey Summary'!X5</f>
        <v>8457</v>
      </c>
      <c r="Y114" s="14">
        <f>'[5]Survey Summary'!Y5</f>
        <v>8416</v>
      </c>
      <c r="Z114" s="94">
        <f>'[5]Survey Summary'!Z5</f>
        <v>8501</v>
      </c>
    </row>
    <row r="115" spans="1:57" ht="16" hidden="1">
      <c r="A115" s="22" t="s">
        <v>71</v>
      </c>
      <c r="B115" s="14">
        <f>'[5]Survey Summary'!B6</f>
        <v>1968</v>
      </c>
      <c r="C115" s="14">
        <f>'[5]Survey Summary'!C6</f>
        <v>1977</v>
      </c>
      <c r="D115" s="14">
        <f>'[5]Survey Summary'!D6</f>
        <v>2640</v>
      </c>
      <c r="E115" s="14">
        <f>'[5]Survey Summary'!E6</f>
        <v>3655</v>
      </c>
      <c r="F115" s="14">
        <f>'[5]Survey Summary'!F6</f>
        <v>4940</v>
      </c>
      <c r="G115" s="14">
        <f>'[5]Survey Summary'!G6</f>
        <v>6846</v>
      </c>
      <c r="H115" s="14">
        <f>'[5]Survey Summary'!H6</f>
        <v>7753</v>
      </c>
      <c r="I115" s="14">
        <f>'[5]Survey Summary'!I6</f>
        <v>8002</v>
      </c>
      <c r="J115" s="14">
        <f>'[5]Survey Summary'!J6</f>
        <v>8622</v>
      </c>
      <c r="K115" s="14">
        <f>'[5]Survey Summary'!K6</f>
        <v>9175</v>
      </c>
      <c r="L115" s="14">
        <f>'[5]Survey Summary'!L6</f>
        <v>10558</v>
      </c>
      <c r="M115" s="14">
        <f>'[5]Survey Summary'!M6</f>
        <v>12327</v>
      </c>
      <c r="N115" s="14">
        <f>'[5]Survey Summary'!N6</f>
        <v>14274</v>
      </c>
      <c r="O115" s="14">
        <f>'[5]Survey Summary'!O6</f>
        <v>13468</v>
      </c>
      <c r="P115" s="14">
        <f>'[5]Survey Summary'!P6</f>
        <v>11262</v>
      </c>
      <c r="Q115" s="14">
        <f>'[5]Survey Summary'!Q6</f>
        <v>10071</v>
      </c>
      <c r="R115" s="14">
        <f>'[5]Survey Summary'!R6</f>
        <v>9633</v>
      </c>
      <c r="S115" s="14">
        <f>'[5]Survey Summary'!S6</f>
        <v>9463</v>
      </c>
      <c r="T115" s="14">
        <f>'[5]Survey Summary'!T6</f>
        <v>9116</v>
      </c>
      <c r="U115" s="14">
        <f>'[5]Survey Summary'!U6</f>
        <v>10333</v>
      </c>
      <c r="V115" s="14">
        <f>'[5]Survey Summary'!V6</f>
        <v>10067</v>
      </c>
      <c r="W115" s="14">
        <f>'[5]Survey Summary'!W6</f>
        <v>11887</v>
      </c>
      <c r="X115" s="14">
        <f>'[5]Survey Summary'!X6</f>
        <v>13042</v>
      </c>
      <c r="Y115" s="14">
        <f>'[5]Survey Summary'!Y6</f>
        <v>14304</v>
      </c>
      <c r="Z115" s="94">
        <f>'[5]Survey Summary'!Z6</f>
        <v>15325</v>
      </c>
    </row>
    <row r="116" spans="1:57" ht="17" hidden="1" thickBot="1">
      <c r="A116" s="23" t="s">
        <v>29</v>
      </c>
      <c r="B116" s="24">
        <f>SUM(B111:B115)</f>
        <v>36108</v>
      </c>
      <c r="C116" s="24">
        <f t="shared" ref="C116:BE116" si="30">SUM(C111:C115)</f>
        <v>40255</v>
      </c>
      <c r="D116" s="24">
        <f t="shared" si="30"/>
        <v>45255</v>
      </c>
      <c r="E116" s="24">
        <f t="shared" si="30"/>
        <v>51038</v>
      </c>
      <c r="F116" s="24">
        <f t="shared" si="30"/>
        <v>58387</v>
      </c>
      <c r="G116" s="24">
        <f t="shared" si="30"/>
        <v>68279</v>
      </c>
      <c r="H116" s="24">
        <f t="shared" si="30"/>
        <v>76875</v>
      </c>
      <c r="I116" s="24">
        <f t="shared" si="30"/>
        <v>78753</v>
      </c>
      <c r="J116" s="24">
        <f t="shared" si="30"/>
        <v>81025</v>
      </c>
      <c r="K116" s="24">
        <f t="shared" si="30"/>
        <v>84747</v>
      </c>
      <c r="L116" s="24">
        <f t="shared" si="30"/>
        <v>94844</v>
      </c>
      <c r="M116" s="24">
        <f t="shared" si="30"/>
        <v>105885</v>
      </c>
      <c r="N116" s="24">
        <f t="shared" si="30"/>
        <v>121696</v>
      </c>
      <c r="O116" s="24">
        <f t="shared" si="30"/>
        <v>97641</v>
      </c>
      <c r="P116" s="24">
        <f t="shared" si="30"/>
        <v>87556</v>
      </c>
      <c r="Q116" s="24">
        <f t="shared" si="30"/>
        <v>84025</v>
      </c>
      <c r="R116" s="24">
        <f t="shared" si="30"/>
        <v>81178</v>
      </c>
      <c r="S116" s="24">
        <f t="shared" si="30"/>
        <v>79971</v>
      </c>
      <c r="T116" s="24">
        <f t="shared" si="30"/>
        <v>76967</v>
      </c>
      <c r="U116" s="24">
        <f t="shared" si="30"/>
        <v>83650</v>
      </c>
      <c r="V116" s="24">
        <f t="shared" si="30"/>
        <v>87094</v>
      </c>
      <c r="W116" s="24">
        <f t="shared" si="30"/>
        <v>98655</v>
      </c>
      <c r="X116" s="24">
        <f t="shared" si="30"/>
        <v>108479</v>
      </c>
      <c r="Y116" s="24">
        <f t="shared" si="30"/>
        <v>118033</v>
      </c>
      <c r="Z116" s="95">
        <f t="shared" si="30"/>
        <v>128433</v>
      </c>
      <c r="AA116">
        <f t="shared" si="30"/>
        <v>0</v>
      </c>
      <c r="AB116">
        <f t="shared" si="30"/>
        <v>0</v>
      </c>
      <c r="AC116">
        <f t="shared" si="30"/>
        <v>0</v>
      </c>
      <c r="AD116">
        <f t="shared" si="30"/>
        <v>0</v>
      </c>
      <c r="AE116">
        <f t="shared" si="30"/>
        <v>0</v>
      </c>
      <c r="AF116">
        <f t="shared" si="30"/>
        <v>0</v>
      </c>
      <c r="AG116">
        <f t="shared" si="30"/>
        <v>0</v>
      </c>
      <c r="AH116">
        <f t="shared" si="30"/>
        <v>0</v>
      </c>
      <c r="AI116">
        <f t="shared" si="30"/>
        <v>0</v>
      </c>
      <c r="AJ116">
        <f t="shared" si="30"/>
        <v>0</v>
      </c>
      <c r="AK116">
        <f t="shared" si="30"/>
        <v>0</v>
      </c>
      <c r="AL116">
        <f t="shared" si="30"/>
        <v>0</v>
      </c>
      <c r="AM116">
        <f t="shared" si="30"/>
        <v>0</v>
      </c>
      <c r="AN116">
        <f t="shared" si="30"/>
        <v>0</v>
      </c>
      <c r="AO116">
        <f t="shared" si="30"/>
        <v>0</v>
      </c>
      <c r="AP116">
        <f t="shared" si="30"/>
        <v>0</v>
      </c>
      <c r="AQ116">
        <f t="shared" si="30"/>
        <v>0</v>
      </c>
      <c r="AR116">
        <f t="shared" si="30"/>
        <v>0</v>
      </c>
      <c r="AS116">
        <f t="shared" si="30"/>
        <v>0</v>
      </c>
      <c r="AT116">
        <f t="shared" si="30"/>
        <v>0</v>
      </c>
      <c r="AU116">
        <f t="shared" si="30"/>
        <v>0</v>
      </c>
      <c r="AV116">
        <f t="shared" si="30"/>
        <v>0</v>
      </c>
      <c r="AW116">
        <f t="shared" si="30"/>
        <v>0</v>
      </c>
      <c r="AX116">
        <f t="shared" si="30"/>
        <v>0</v>
      </c>
      <c r="AY116">
        <f t="shared" si="30"/>
        <v>0</v>
      </c>
      <c r="AZ116">
        <f t="shared" si="30"/>
        <v>0</v>
      </c>
      <c r="BA116">
        <f t="shared" si="30"/>
        <v>0</v>
      </c>
      <c r="BB116">
        <f t="shared" si="30"/>
        <v>0</v>
      </c>
      <c r="BC116">
        <f t="shared" si="30"/>
        <v>0</v>
      </c>
      <c r="BD116">
        <f t="shared" si="30"/>
        <v>0</v>
      </c>
      <c r="BE116">
        <f t="shared" si="30"/>
        <v>0</v>
      </c>
    </row>
    <row r="117" spans="1:57" ht="16" hidden="1" thickBot="1"/>
    <row r="118" spans="1:57" ht="16" hidden="1">
      <c r="A118" s="21" t="s">
        <v>141</v>
      </c>
      <c r="B118" s="2">
        <v>1995</v>
      </c>
      <c r="C118" s="2">
        <v>1996</v>
      </c>
      <c r="D118" s="2">
        <v>1997</v>
      </c>
      <c r="E118" s="2">
        <v>1998</v>
      </c>
      <c r="F118" s="2">
        <v>1999</v>
      </c>
      <c r="G118" s="2">
        <v>2000</v>
      </c>
      <c r="H118" s="2">
        <v>2001</v>
      </c>
      <c r="I118" s="2">
        <v>2002</v>
      </c>
      <c r="J118" s="2">
        <v>2003</v>
      </c>
      <c r="K118" s="2">
        <v>2004</v>
      </c>
      <c r="L118" s="2">
        <v>2005</v>
      </c>
      <c r="M118" s="2">
        <v>2006</v>
      </c>
      <c r="N118" s="2">
        <v>2007</v>
      </c>
      <c r="O118" s="2">
        <v>2008</v>
      </c>
      <c r="P118" s="2">
        <v>2009</v>
      </c>
      <c r="Q118" s="2">
        <v>2010</v>
      </c>
      <c r="R118" s="2">
        <v>2011</v>
      </c>
      <c r="S118" s="2">
        <v>2012</v>
      </c>
      <c r="T118" s="2">
        <v>2013</v>
      </c>
      <c r="U118" s="2">
        <v>2014</v>
      </c>
      <c r="V118" s="2">
        <v>2015</v>
      </c>
      <c r="W118" s="2">
        <v>2016</v>
      </c>
      <c r="X118" s="2">
        <v>2017</v>
      </c>
      <c r="Y118" s="2">
        <v>2018</v>
      </c>
      <c r="Z118" s="10">
        <v>2019</v>
      </c>
      <c r="AA118" s="2">
        <v>2020</v>
      </c>
      <c r="AB118" s="2">
        <v>2021</v>
      </c>
      <c r="AC118" s="2">
        <v>2022</v>
      </c>
      <c r="AD118" s="2">
        <v>2023</v>
      </c>
      <c r="AE118" s="2">
        <v>2024</v>
      </c>
      <c r="AF118" s="2">
        <v>2025</v>
      </c>
      <c r="AG118" s="2">
        <v>2026</v>
      </c>
      <c r="AH118" s="2">
        <v>2027</v>
      </c>
      <c r="AI118" s="2">
        <v>2028</v>
      </c>
      <c r="AJ118" s="2">
        <v>2029</v>
      </c>
      <c r="AK118" s="2">
        <v>2030</v>
      </c>
      <c r="AL118" s="2">
        <v>2031</v>
      </c>
      <c r="AM118" s="2">
        <v>2032</v>
      </c>
      <c r="AN118" s="2">
        <v>2033</v>
      </c>
      <c r="AO118" s="2">
        <v>2034</v>
      </c>
      <c r="AP118" s="2">
        <v>2035</v>
      </c>
      <c r="AQ118" s="2">
        <v>2036</v>
      </c>
      <c r="AR118" s="2">
        <v>2037</v>
      </c>
      <c r="AS118" s="2">
        <v>2038</v>
      </c>
      <c r="AT118" s="2">
        <v>2039</v>
      </c>
      <c r="AU118" s="2">
        <v>2040</v>
      </c>
      <c r="AV118" s="2">
        <v>2041</v>
      </c>
      <c r="AW118" s="2">
        <v>2042</v>
      </c>
      <c r="AX118" s="2">
        <v>2043</v>
      </c>
      <c r="AY118" s="2">
        <v>2044</v>
      </c>
      <c r="AZ118" s="2">
        <v>2045</v>
      </c>
      <c r="BA118" s="2">
        <v>2046</v>
      </c>
      <c r="BB118" s="2">
        <v>2047</v>
      </c>
      <c r="BC118" s="2">
        <v>2048</v>
      </c>
      <c r="BD118" s="2">
        <v>2049</v>
      </c>
      <c r="BE118" s="3">
        <v>2050</v>
      </c>
    </row>
    <row r="119" spans="1:57" hidden="1">
      <c r="A119" s="4" t="s">
        <v>67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f>[6]Summary!B12</f>
        <v>59942</v>
      </c>
      <c r="P119" s="1">
        <f>[6]Summary!C12</f>
        <v>61275</v>
      </c>
      <c r="Q119" s="1">
        <f>[6]Summary!D12</f>
        <v>61126</v>
      </c>
      <c r="R119" s="1">
        <f>[6]Summary!E12</f>
        <v>60638</v>
      </c>
      <c r="S119" s="1">
        <f>[6]Summary!F12</f>
        <v>60291</v>
      </c>
      <c r="T119" s="1">
        <f>[6]Summary!G12</f>
        <v>60732</v>
      </c>
      <c r="U119" s="1">
        <f>[6]Summary!H12</f>
        <v>64102</v>
      </c>
      <c r="V119" s="1">
        <f>[6]Summary!I12</f>
        <v>70572</v>
      </c>
      <c r="W119" s="1">
        <f>[6]Summary!J12</f>
        <v>73837</v>
      </c>
      <c r="X119" s="1">
        <f>[6]Summary!K12</f>
        <v>84125</v>
      </c>
      <c r="Y119" s="1">
        <f>[6]Summary!L12</f>
        <v>92117</v>
      </c>
      <c r="Z119" s="11">
        <f>[6]Summary!M12</f>
        <v>100649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5"/>
    </row>
    <row r="120" spans="1:57" hidden="1">
      <c r="A120" s="4" t="s">
        <v>68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f>[6]Summary!B13</f>
        <v>5470</v>
      </c>
      <c r="P120" s="1">
        <f>[6]Summary!C13</f>
        <v>5152</v>
      </c>
      <c r="Q120" s="1">
        <f>[6]Summary!D13</f>
        <v>4788</v>
      </c>
      <c r="R120" s="1">
        <f>[6]Summary!E13</f>
        <v>4459</v>
      </c>
      <c r="S120" s="1">
        <f>[6]Summary!F13</f>
        <v>4317</v>
      </c>
      <c r="T120" s="1">
        <f>[6]Summary!G13</f>
        <v>4249</v>
      </c>
      <c r="U120" s="1">
        <f>[6]Summary!H13</f>
        <v>4270</v>
      </c>
      <c r="V120" s="1">
        <f>[6]Summary!I13</f>
        <v>4269</v>
      </c>
      <c r="W120" s="1">
        <f>[6]Summary!J13</f>
        <v>4165</v>
      </c>
      <c r="X120" s="1">
        <f>[6]Summary!K13</f>
        <v>4512</v>
      </c>
      <c r="Y120" s="1">
        <f>[6]Summary!L13</f>
        <v>4540</v>
      </c>
      <c r="Z120" s="11">
        <f>[6]Summary!M13</f>
        <v>4546</v>
      </c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5"/>
    </row>
    <row r="121" spans="1:57" hidden="1">
      <c r="A121" s="4" t="s">
        <v>69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f>[6]Summary!B14</f>
        <v>6642</v>
      </c>
      <c r="P121" s="1">
        <f>[6]Summary!C14</f>
        <v>5833</v>
      </c>
      <c r="Q121" s="1">
        <f>[6]Summary!D14</f>
        <v>5269</v>
      </c>
      <c r="R121" s="1">
        <f>[6]Summary!E14</f>
        <v>4873</v>
      </c>
      <c r="S121" s="1">
        <f>[6]Summary!F14</f>
        <v>4715</v>
      </c>
      <c r="T121" s="1">
        <f>[6]Summary!G14</f>
        <v>4738</v>
      </c>
      <c r="U121" s="1">
        <f>[6]Summary!H14</f>
        <v>4988</v>
      </c>
      <c r="V121" s="1">
        <f>[6]Summary!I14</f>
        <v>5080</v>
      </c>
      <c r="W121" s="1">
        <f>[6]Summary!J14</f>
        <v>5265</v>
      </c>
      <c r="X121" s="1">
        <f>[6]Summary!K14</f>
        <v>6168</v>
      </c>
      <c r="Y121" s="1">
        <f>[6]Summary!L14</f>
        <v>6494</v>
      </c>
      <c r="Z121" s="11">
        <f>[6]Summary!M14</f>
        <v>6661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5"/>
    </row>
    <row r="122" spans="1:57" hidden="1">
      <c r="A122" s="4" t="s">
        <v>70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f>[6]Summary!B15</f>
        <v>9586</v>
      </c>
      <c r="P122" s="1">
        <f>[6]Summary!C15</f>
        <v>7707</v>
      </c>
      <c r="Q122" s="1">
        <f>[6]Summary!D15</f>
        <v>6560</v>
      </c>
      <c r="R122" s="1">
        <f>[6]Summary!E15</f>
        <v>6030</v>
      </c>
      <c r="S122" s="1">
        <f>[6]Summary!F15</f>
        <v>5647</v>
      </c>
      <c r="T122" s="1">
        <f>[6]Summary!G15</f>
        <v>5928</v>
      </c>
      <c r="U122" s="1">
        <f>[6]Summary!H15</f>
        <v>6314</v>
      </c>
      <c r="V122" s="1">
        <f>[6]Summary!I15</f>
        <v>6783</v>
      </c>
      <c r="W122" s="1">
        <f>[6]Summary!J15</f>
        <v>6954</v>
      </c>
      <c r="X122" s="1">
        <f>[6]Summary!K15</f>
        <v>8120</v>
      </c>
      <c r="Y122" s="1">
        <f>[6]Summary!L15</f>
        <v>8222</v>
      </c>
      <c r="Z122" s="11">
        <f>[6]Summary!M15</f>
        <v>485</v>
      </c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5"/>
    </row>
    <row r="123" spans="1:57" ht="16" hidden="1" thickBot="1">
      <c r="A123" s="4" t="s">
        <v>71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>
        <f>[6]Summary!B16</f>
        <v>10563</v>
      </c>
      <c r="P123" s="1">
        <f>[6]Summary!C16</f>
        <v>9120</v>
      </c>
      <c r="Q123" s="1">
        <f>[6]Summary!D16</f>
        <v>7798</v>
      </c>
      <c r="R123" s="1">
        <f>[6]Summary!E16</f>
        <v>7478</v>
      </c>
      <c r="S123" s="1">
        <f>[6]Summary!F16</f>
        <v>7454</v>
      </c>
      <c r="T123" s="1">
        <f>[6]Summary!G16</f>
        <v>7896</v>
      </c>
      <c r="U123" s="1">
        <f>[6]Summary!H16</f>
        <v>8591</v>
      </c>
      <c r="V123" s="1">
        <f>[6]Summary!I16</f>
        <v>9260</v>
      </c>
      <c r="W123" s="1">
        <f>[6]Summary!J16</f>
        <v>10106</v>
      </c>
      <c r="X123" s="1">
        <f>[6]Summary!K16</f>
        <v>12224</v>
      </c>
      <c r="Y123" s="1">
        <f>[6]Summary!L16</f>
        <v>13429</v>
      </c>
      <c r="Z123" s="11">
        <f>[6]Summary!M16</f>
        <v>14373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5"/>
    </row>
    <row r="124" spans="1:57" ht="17" hidden="1" thickTop="1" thickBot="1">
      <c r="A124" s="6" t="s">
        <v>29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>
        <f>SUM(O119:O123)</f>
        <v>92203</v>
      </c>
      <c r="P124" s="7">
        <f t="shared" ref="P124:Z124" si="31">SUM(P119:P123)</f>
        <v>89087</v>
      </c>
      <c r="Q124" s="7">
        <f t="shared" si="31"/>
        <v>85541</v>
      </c>
      <c r="R124" s="7">
        <f t="shared" si="31"/>
        <v>83478</v>
      </c>
      <c r="S124" s="7">
        <f t="shared" si="31"/>
        <v>82424</v>
      </c>
      <c r="T124" s="7">
        <f t="shared" si="31"/>
        <v>83543</v>
      </c>
      <c r="U124" s="7">
        <f t="shared" si="31"/>
        <v>88265</v>
      </c>
      <c r="V124" s="7">
        <f t="shared" si="31"/>
        <v>95964</v>
      </c>
      <c r="W124" s="7">
        <f t="shared" si="31"/>
        <v>100327</v>
      </c>
      <c r="X124" s="7">
        <f t="shared" si="31"/>
        <v>115149</v>
      </c>
      <c r="Y124" s="7">
        <f t="shared" si="31"/>
        <v>124802</v>
      </c>
      <c r="Z124" s="12">
        <f t="shared" si="31"/>
        <v>126714</v>
      </c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8"/>
    </row>
    <row r="125" spans="1:57">
      <c r="AK125" s="1">
        <f>AK84-AA84</f>
        <v>1604</v>
      </c>
    </row>
    <row r="126" spans="1:57">
      <c r="AK126" s="1">
        <f t="shared" ref="AK126:AK128" si="32">AK85-AA85</f>
        <v>1812</v>
      </c>
    </row>
    <row r="127" spans="1:57">
      <c r="AK127" s="1">
        <f t="shared" si="32"/>
        <v>4974</v>
      </c>
    </row>
    <row r="128" spans="1:57">
      <c r="AK128" s="1">
        <f t="shared" si="32"/>
        <v>12666</v>
      </c>
    </row>
    <row r="129" spans="2:37">
      <c r="AK129" s="1">
        <f>AK88-AA88</f>
        <v>91446</v>
      </c>
    </row>
    <row r="131" spans="2:37" ht="19">
      <c r="AK131" s="136"/>
    </row>
    <row r="134" spans="2:37" ht="15.5" customHeight="1"/>
    <row r="137" spans="2:37">
      <c r="B137" s="1"/>
    </row>
    <row r="138" spans="2:37">
      <c r="B138" s="1"/>
      <c r="R138" s="1"/>
    </row>
    <row r="139" spans="2:37">
      <c r="B139" s="1"/>
      <c r="U139" s="1"/>
      <c r="V139" s="1"/>
    </row>
    <row r="140" spans="2:37">
      <c r="B140" s="1"/>
    </row>
    <row r="141" spans="2:37">
      <c r="B141" s="1"/>
    </row>
    <row r="142" spans="2:37">
      <c r="B142" s="1"/>
    </row>
    <row r="143" spans="2:37">
      <c r="B143" s="1"/>
    </row>
    <row r="144" spans="2:37">
      <c r="B144" s="1"/>
    </row>
    <row r="145" spans="2:29">
      <c r="B145" s="1"/>
    </row>
    <row r="146" spans="2:29">
      <c r="B146" s="1"/>
    </row>
    <row r="147" spans="2:29">
      <c r="B147" s="1"/>
    </row>
    <row r="148" spans="2:29">
      <c r="B148" s="1"/>
    </row>
    <row r="149" spans="2:29">
      <c r="B149" s="1"/>
    </row>
    <row r="150" spans="2:29">
      <c r="B150" s="1"/>
    </row>
    <row r="151" spans="2:29">
      <c r="B151" s="1"/>
    </row>
    <row r="152" spans="2:29">
      <c r="B152" s="1"/>
    </row>
    <row r="153" spans="2:29">
      <c r="B153" s="1"/>
    </row>
    <row r="154" spans="2:29">
      <c r="B154" s="1"/>
    </row>
    <row r="155" spans="2:29">
      <c r="B155" s="1"/>
    </row>
    <row r="156" spans="2:29">
      <c r="B156" s="1"/>
    </row>
    <row r="157" spans="2:29">
      <c r="B157" s="1"/>
    </row>
    <row r="158" spans="2:29">
      <c r="B158" s="1"/>
    </row>
    <row r="159" spans="2:29">
      <c r="B159" s="1"/>
    </row>
    <row r="160" spans="2:29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</sheetData>
  <mergeCells count="14">
    <mergeCell ref="M77:N77"/>
    <mergeCell ref="Q80:AK81"/>
    <mergeCell ref="Q92:AK93"/>
    <mergeCell ref="Q9:AK10"/>
    <mergeCell ref="Q19:AK20"/>
    <mergeCell ref="Q29:AK29"/>
    <mergeCell ref="Q42:AK43"/>
    <mergeCell ref="Q53:AK53"/>
    <mergeCell ref="M71:N71"/>
    <mergeCell ref="Q1:AK2"/>
    <mergeCell ref="M73:N73"/>
    <mergeCell ref="M74:N74"/>
    <mergeCell ref="M75:N75"/>
    <mergeCell ref="M76:N7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0767-3245-4FE3-B6B3-A7A72AF0E23F}">
  <dimension ref="A1:BK175"/>
  <sheetViews>
    <sheetView topLeftCell="A31" zoomScale="63" zoomScaleNormal="70" workbookViewId="0">
      <pane xSplit="1" topLeftCell="J1" activePane="topRight" state="frozen"/>
      <selection pane="topRight" activeCell="AC105" sqref="AC105"/>
    </sheetView>
  </sheetViews>
  <sheetFormatPr baseColWidth="10" defaultColWidth="8.83203125" defaultRowHeight="15"/>
  <cols>
    <col min="1" max="1" width="31" customWidth="1"/>
    <col min="15" max="15" width="10.5" customWidth="1"/>
  </cols>
  <sheetData>
    <row r="1" spans="1:63" ht="14.5" customHeight="1">
      <c r="A1" s="142" t="s">
        <v>100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BI1" t="s">
        <v>101</v>
      </c>
    </row>
    <row r="2" spans="1:63" ht="15" customHeight="1" thickBot="1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</row>
    <row r="3" spans="1:63" ht="16">
      <c r="A3" s="27" t="s">
        <v>102</v>
      </c>
      <c r="B3" s="2">
        <v>1995</v>
      </c>
      <c r="C3" s="2">
        <v>1996</v>
      </c>
      <c r="D3" s="2">
        <v>1997</v>
      </c>
      <c r="E3" s="2">
        <v>1998</v>
      </c>
      <c r="F3" s="2">
        <v>1999</v>
      </c>
      <c r="G3" s="2">
        <v>2000</v>
      </c>
      <c r="H3" s="2">
        <v>2001</v>
      </c>
      <c r="I3" s="2">
        <v>2002</v>
      </c>
      <c r="J3" s="2">
        <v>2003</v>
      </c>
      <c r="K3" s="2">
        <v>2004</v>
      </c>
      <c r="L3" s="2">
        <v>2005</v>
      </c>
      <c r="M3" s="2">
        <v>2006</v>
      </c>
      <c r="N3" s="2">
        <v>2007</v>
      </c>
      <c r="O3" s="2">
        <v>2008</v>
      </c>
      <c r="P3" s="2">
        <v>2009</v>
      </c>
      <c r="Q3" s="2">
        <v>2010</v>
      </c>
      <c r="R3" s="2">
        <v>2011</v>
      </c>
      <c r="S3" s="2">
        <v>2012</v>
      </c>
      <c r="T3" s="2">
        <v>2013</v>
      </c>
      <c r="U3" s="2">
        <v>2014</v>
      </c>
      <c r="V3" s="2">
        <v>2015</v>
      </c>
      <c r="W3" s="2">
        <v>2016</v>
      </c>
      <c r="X3" s="2">
        <v>2017</v>
      </c>
      <c r="Y3" s="2">
        <v>2018</v>
      </c>
      <c r="Z3" s="10">
        <v>2019</v>
      </c>
      <c r="AA3" s="2">
        <v>2020</v>
      </c>
      <c r="AB3" s="2">
        <v>2021</v>
      </c>
      <c r="AC3" s="2">
        <v>2022</v>
      </c>
      <c r="AD3" s="2">
        <v>2023</v>
      </c>
      <c r="AE3" s="2">
        <v>2024</v>
      </c>
      <c r="AF3" s="2">
        <v>2025</v>
      </c>
      <c r="AG3" s="2">
        <v>2026</v>
      </c>
      <c r="AH3" s="2">
        <v>2027</v>
      </c>
      <c r="AI3" s="2">
        <v>2028</v>
      </c>
      <c r="AJ3" s="2">
        <v>2029</v>
      </c>
      <c r="AK3" s="2">
        <v>2030</v>
      </c>
      <c r="AL3" s="2">
        <v>2031</v>
      </c>
      <c r="AM3" s="2">
        <v>2032</v>
      </c>
      <c r="AN3" s="2">
        <v>2033</v>
      </c>
      <c r="AO3" s="2">
        <v>2034</v>
      </c>
      <c r="AP3" s="2">
        <v>2035</v>
      </c>
      <c r="AQ3" s="2">
        <v>2036</v>
      </c>
      <c r="AR3" s="2">
        <v>2037</v>
      </c>
      <c r="AS3" s="2">
        <v>2038</v>
      </c>
      <c r="AT3" s="2">
        <v>2039</v>
      </c>
      <c r="AU3" s="2">
        <v>2040</v>
      </c>
      <c r="AV3" s="2">
        <v>2041</v>
      </c>
      <c r="AW3" s="2">
        <v>2042</v>
      </c>
      <c r="AX3" s="2">
        <v>2043</v>
      </c>
      <c r="AY3" s="2">
        <v>2044</v>
      </c>
      <c r="AZ3" s="2">
        <v>2045</v>
      </c>
      <c r="BA3" s="2">
        <v>2046</v>
      </c>
      <c r="BB3" s="2">
        <v>2047</v>
      </c>
      <c r="BC3" s="2">
        <v>2048</v>
      </c>
      <c r="BD3" s="2">
        <v>2049</v>
      </c>
      <c r="BE3" s="3">
        <v>2050</v>
      </c>
    </row>
    <row r="4" spans="1:63">
      <c r="A4" s="4" t="s">
        <v>103</v>
      </c>
      <c r="B4" s="1">
        <f>[2]Summary!B2</f>
        <v>2311</v>
      </c>
      <c r="C4" s="1">
        <f>[2]Summary!C2</f>
        <v>2815</v>
      </c>
      <c r="D4" s="1">
        <f>[2]Summary!D2</f>
        <v>2872</v>
      </c>
      <c r="E4" s="1">
        <f>[2]Summary!E2</f>
        <v>3044</v>
      </c>
      <c r="F4" s="1">
        <f>[2]Summary!F2</f>
        <v>3774</v>
      </c>
      <c r="G4" s="1">
        <f>[2]Summary!G2</f>
        <v>4163</v>
      </c>
      <c r="H4" s="1">
        <f>[2]Summary!H2</f>
        <v>3972</v>
      </c>
      <c r="I4" s="1">
        <f>[2]Summary!I2</f>
        <v>4761</v>
      </c>
      <c r="J4" s="1">
        <f>[2]Summary!J2</f>
        <v>5158</v>
      </c>
      <c r="K4" s="1">
        <f>[2]Summary!K2</f>
        <v>5563</v>
      </c>
      <c r="L4" s="1">
        <f>[2]Summary!L2</f>
        <v>5571</v>
      </c>
      <c r="M4" s="1">
        <f>[2]Summary!M2</f>
        <v>5227</v>
      </c>
      <c r="N4" s="1">
        <f>[2]Summary!N2</f>
        <v>5677</v>
      </c>
      <c r="O4" s="1">
        <f>[2]Summary!O2</f>
        <v>5666</v>
      </c>
      <c r="P4" s="1">
        <f>[2]Summary!P2</f>
        <v>5416</v>
      </c>
      <c r="Q4" s="1">
        <f>[2]Summary!Q2</f>
        <v>5314</v>
      </c>
      <c r="R4" s="1">
        <f>[2]Summary!R2</f>
        <v>4896</v>
      </c>
      <c r="S4" s="1">
        <f>[2]Summary!S2</f>
        <v>4910</v>
      </c>
      <c r="T4" s="1">
        <f>[2]Summary!T2</f>
        <v>4518</v>
      </c>
      <c r="U4" s="1">
        <f>[2]Summary!U2</f>
        <v>4843</v>
      </c>
      <c r="V4" s="1">
        <f>[2]Summary!V2</f>
        <v>5044</v>
      </c>
      <c r="W4" s="1">
        <f>[2]Summary!W2</f>
        <v>5633</v>
      </c>
      <c r="X4" s="1">
        <f>[2]Summary!X2</f>
        <v>5665</v>
      </c>
      <c r="Y4" s="1">
        <f>[2]Summary!Y2</f>
        <v>5292</v>
      </c>
      <c r="Z4" s="11">
        <f>[2]Summary!Z2</f>
        <v>5988</v>
      </c>
      <c r="BK4" t="s">
        <v>104</v>
      </c>
    </row>
    <row r="5" spans="1:63">
      <c r="A5" s="4" t="s">
        <v>142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1">
        <f>Z4</f>
        <v>5988</v>
      </c>
      <c r="AA5" s="17">
        <f>'Tkm, Vkm, &amp; Stock Projections'!AA4</f>
        <v>5525.2477249114763</v>
      </c>
      <c r="AB5" s="17">
        <f>'Tkm, Vkm, &amp; Stock Projections'!AB4</f>
        <v>5683.9733890776652</v>
      </c>
      <c r="AC5" s="17">
        <f>'Tkm, Vkm, &amp; Stock Projections'!AC4</f>
        <v>5813.09034951185</v>
      </c>
      <c r="AD5" s="17">
        <f>'Tkm, Vkm, &amp; Stock Projections'!AD4</f>
        <v>5897.7869171159709</v>
      </c>
      <c r="AE5" s="17">
        <f>'Tkm, Vkm, &amp; Stock Projections'!AE4</f>
        <v>5966.9478232870651</v>
      </c>
      <c r="AF5" s="17">
        <f>'Tkm, Vkm, &amp; Stock Projections'!AF4</f>
        <v>6056.6315184195491</v>
      </c>
      <c r="AG5" s="17">
        <f>'Tkm, Vkm, &amp; Stock Projections'!AG4</f>
        <v>6143.8475527463133</v>
      </c>
      <c r="AH5" s="17">
        <f>'Tkm, Vkm, &amp; Stock Projections'!AH4</f>
        <v>6233.2080826807332</v>
      </c>
      <c r="AI5" s="17">
        <f>'Tkm, Vkm, &amp; Stock Projections'!AI4</f>
        <v>6334.7672604481359</v>
      </c>
      <c r="AJ5" s="17">
        <f>'Tkm, Vkm, &amp; Stock Projections'!AJ4</f>
        <v>6453.9598303547909</v>
      </c>
      <c r="AK5" s="17">
        <f>'Tkm, Vkm, &amp; Stock Projections'!AK4</f>
        <v>6585.2710592817893</v>
      </c>
      <c r="AL5" s="17">
        <f>'Tkm, Vkm, &amp; Stock Projections'!AL4</f>
        <v>6639.0574500446837</v>
      </c>
      <c r="AM5" s="17">
        <f>'Tkm, Vkm, &amp; Stock Projections'!AM4</f>
        <v>6693.0087946767226</v>
      </c>
      <c r="AN5" s="17">
        <f>'Tkm, Vkm, &amp; Stock Projections'!AN4</f>
        <v>6747.5489054071568</v>
      </c>
      <c r="AO5" s="17">
        <f>'Tkm, Vkm, &amp; Stock Projections'!AO4</f>
        <v>6802.265277559899</v>
      </c>
      <c r="AP5" s="17">
        <f>'Tkm, Vkm, &amp; Stock Projections'!AP4</f>
        <v>6857.1817981202012</v>
      </c>
      <c r="AQ5" s="17">
        <f>'Tkm, Vkm, &amp; Stock Projections'!AQ4</f>
        <v>6912.684650936525</v>
      </c>
      <c r="AR5" s="17">
        <f>'Tkm, Vkm, &amp; Stock Projections'!AR4</f>
        <v>6968.3607562393818</v>
      </c>
      <c r="AS5" s="17">
        <f>'Tkm, Vkm, &amp; Stock Projections'!AS4</f>
        <v>7024.2701533871787</v>
      </c>
      <c r="AT5" s="17">
        <f>'Tkm, Vkm, &amp; Stock Projections'!AT4</f>
        <v>7080.7623910122993</v>
      </c>
      <c r="AU5" s="17">
        <f>'Tkm, Vkm, &amp; Stock Projections'!AU4</f>
        <v>7137.4966391338367</v>
      </c>
      <c r="AV5" s="17">
        <f>'Tkm, Vkm, &amp; Stock Projections'!AV4</f>
        <v>7194.3859742490167</v>
      </c>
      <c r="AW5" s="17">
        <f>'Tkm, Vkm, &amp; Stock Projections'!AW4</f>
        <v>7251.5253240615875</v>
      </c>
      <c r="AX5" s="17">
        <f>'Tkm, Vkm, &amp; Stock Projections'!AX4</f>
        <v>7309.3010392559818</v>
      </c>
      <c r="AY5" s="17">
        <f>'Tkm, Vkm, &amp; Stock Projections'!AY4</f>
        <v>7367.2622095159795</v>
      </c>
      <c r="AZ5" s="17">
        <f>'Tkm, Vkm, &amp; Stock Projections'!AZ4</f>
        <v>7425.5018292108653</v>
      </c>
      <c r="BA5" s="17">
        <f>'Tkm, Vkm, &amp; Stock Projections'!BA4</f>
        <v>7483.933842384904</v>
      </c>
      <c r="BB5" s="17">
        <f>'Tkm, Vkm, &amp; Stock Projections'!BB4</f>
        <v>7542.6148260594427</v>
      </c>
      <c r="BC5" s="17">
        <f>'Tkm, Vkm, &amp; Stock Projections'!BC4</f>
        <v>7601.9317020867611</v>
      </c>
      <c r="BD5" s="17">
        <f>'Tkm, Vkm, &amp; Stock Projections'!BD4</f>
        <v>7661.5383566926675</v>
      </c>
      <c r="BE5" s="17">
        <f>'Tkm, Vkm, &amp; Stock Projections'!BE4</f>
        <v>7721.3844858882594</v>
      </c>
    </row>
    <row r="6" spans="1:63">
      <c r="A6" s="4" t="s">
        <v>105</v>
      </c>
      <c r="B6" s="1">
        <f>[2]Summary!B3</f>
        <v>1668</v>
      </c>
      <c r="C6" s="1">
        <f>[2]Summary!C3</f>
        <v>1770</v>
      </c>
      <c r="D6" s="1">
        <f>[2]Summary!D3</f>
        <v>2231</v>
      </c>
      <c r="E6" s="1">
        <f>[2]Summary!E3</f>
        <v>3000</v>
      </c>
      <c r="F6" s="1">
        <f>[2]Summary!F3</f>
        <v>3547</v>
      </c>
      <c r="G6" s="1">
        <f>[2]Summary!G3</f>
        <v>4565</v>
      </c>
      <c r="H6" s="1">
        <f>[2]Summary!H3</f>
        <v>5103</v>
      </c>
      <c r="I6" s="1">
        <f>[2]Summary!I3</f>
        <v>5969</v>
      </c>
      <c r="J6" s="1">
        <f>[2]Summary!J3</f>
        <v>6667</v>
      </c>
      <c r="K6" s="1">
        <f>[2]Summary!K3</f>
        <v>7564</v>
      </c>
      <c r="L6" s="1">
        <f>[2]Summary!L3</f>
        <v>7912</v>
      </c>
      <c r="M6" s="1">
        <f>[2]Summary!M3</f>
        <v>8054</v>
      </c>
      <c r="N6" s="1">
        <f>[2]Summary!N3</f>
        <v>8554</v>
      </c>
      <c r="O6" s="1">
        <f>[2]Summary!O3</f>
        <v>6835</v>
      </c>
      <c r="P6" s="1">
        <f>[2]Summary!P3</f>
        <v>2176</v>
      </c>
      <c r="Q6" s="1">
        <f>[2]Summary!Q3</f>
        <v>1587</v>
      </c>
      <c r="R6" s="1">
        <f>[2]Summary!R3</f>
        <v>1279</v>
      </c>
      <c r="S6" s="1">
        <f>[2]Summary!S3</f>
        <v>1228</v>
      </c>
      <c r="T6" s="1">
        <f>[2]Summary!T3</f>
        <v>1147</v>
      </c>
      <c r="U6" s="1">
        <f>[2]Summary!U3</f>
        <v>1186</v>
      </c>
      <c r="V6" s="1">
        <f>[2]Summary!V3</f>
        <v>1248</v>
      </c>
      <c r="W6" s="1">
        <f>[2]Summary!W3</f>
        <v>1455</v>
      </c>
      <c r="X6" s="1">
        <f>[2]Summary!X3</f>
        <v>1664</v>
      </c>
      <c r="Y6" s="1">
        <f>[2]Summary!Y3</f>
        <v>1773</v>
      </c>
      <c r="Z6" s="11">
        <f>[2]Summary!Z3</f>
        <v>1800</v>
      </c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J6" t="s">
        <v>106</v>
      </c>
      <c r="BK6">
        <f>((BE25-AA25)/AA25)/(BE14-AA14)*100</f>
        <v>2.905259609156309</v>
      </c>
    </row>
    <row r="7" spans="1:63">
      <c r="A7" s="4" t="s">
        <v>143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1">
        <f>Z6</f>
        <v>1800</v>
      </c>
      <c r="AA7" s="17">
        <f>'Tkm, Vkm, &amp; Stock Projections'!AA5</f>
        <v>1624.2103847026874</v>
      </c>
      <c r="AB7" s="17">
        <f>'Tkm, Vkm, &amp; Stock Projections'!AB5</f>
        <v>2428.782218915213</v>
      </c>
      <c r="AC7" s="17">
        <f>'Tkm, Vkm, &amp; Stock Projections'!AC5</f>
        <v>2582.0333386878456</v>
      </c>
      <c r="AD7" s="17">
        <f>'Tkm, Vkm, &amp; Stock Projections'!AD5</f>
        <v>2642.3063612692085</v>
      </c>
      <c r="AE7" s="17">
        <f>'Tkm, Vkm, &amp; Stock Projections'!AE5</f>
        <v>2645.8944466400026</v>
      </c>
      <c r="AF7" s="17">
        <f>'Tkm, Vkm, &amp; Stock Projections'!AF5</f>
        <v>2681.763468952272</v>
      </c>
      <c r="AG7" s="17">
        <f>'Tkm, Vkm, &amp; Stock Projections'!AG5</f>
        <v>3398.1990650459747</v>
      </c>
      <c r="AH7" s="17">
        <f>'Tkm, Vkm, &amp; Stock Projections'!AH5</f>
        <v>3772.1168665917176</v>
      </c>
      <c r="AI7" s="17">
        <f>'Tkm, Vkm, &amp; Stock Projections'!AI5</f>
        <v>4091.0053732991664</v>
      </c>
      <c r="AJ7" s="17">
        <f>'Tkm, Vkm, &amp; Stock Projections'!AJ5</f>
        <v>4429.6948657746789</v>
      </c>
      <c r="AK7" s="17">
        <f>'Tkm, Vkm, &amp; Stock Projections'!AK5</f>
        <v>4803.0904917842099</v>
      </c>
      <c r="AL7" s="17">
        <f>'Tkm, Vkm, &amp; Stock Projections'!AL5</f>
        <v>4934.9320330864894</v>
      </c>
      <c r="AM7" s="17">
        <f>'Tkm, Vkm, &amp; Stock Projections'!AM5</f>
        <v>5066.579740107215</v>
      </c>
      <c r="AN7" s="17">
        <f>'Tkm, Vkm, &amp; Stock Projections'!AN5</f>
        <v>5202.0609816069837</v>
      </c>
      <c r="AO7" s="17">
        <f>'Tkm, Vkm, &amp; Stock Projections'!AO5</f>
        <v>5337.3447471392492</v>
      </c>
      <c r="AP7" s="17">
        <f>'Tkm, Vkm, &amp; Stock Projections'!AP5</f>
        <v>5476.4464949201474</v>
      </c>
      <c r="AQ7" s="17">
        <f>'Tkm, Vkm, &amp; Stock Projections'!AQ5</f>
        <v>5615.3594098114754</v>
      </c>
      <c r="AR7" s="17">
        <f>'Tkm, Vkm, &amp; Stock Projections'!AR5</f>
        <v>5756.7579185909954</v>
      </c>
      <c r="AS7" s="17">
        <f>'Tkm, Vkm, &amp; Stock Projections'!AS5</f>
        <v>5900.6226851136826</v>
      </c>
      <c r="AT7" s="17">
        <f>'Tkm, Vkm, &amp; Stock Projections'!AT5</f>
        <v>6045.6407937036411</v>
      </c>
      <c r="AU7" s="17">
        <f>'Tkm, Vkm, &amp; Stock Projections'!AU5</f>
        <v>6193.1223521268575</v>
      </c>
      <c r="AV7" s="17">
        <f>'Tkm, Vkm, &amp; Stock Projections'!AV5</f>
        <v>6341.754304375153</v>
      </c>
      <c r="AW7" s="17">
        <f>'Tkm, Vkm, &amp; Stock Projections'!AW5</f>
        <v>6492.8471286411686</v>
      </c>
      <c r="AX7" s="17">
        <f>'Tkm, Vkm, &amp; Stock Projections'!AX5</f>
        <v>6646.4171072624677</v>
      </c>
      <c r="AY7" s="17">
        <f>'Tkm, Vkm, &amp; Stock Projections'!AY5</f>
        <v>6801.1276994337159</v>
      </c>
      <c r="AZ7" s="17">
        <f>'Tkm, Vkm, &amp; Stock Projections'!AZ5</f>
        <v>6958.2900059930516</v>
      </c>
      <c r="BA7" s="17">
        <f>'Tkm, Vkm, &amp; Stock Projections'!BA5</f>
        <v>7116.5906915319802</v>
      </c>
      <c r="BB7" s="17">
        <f>'Tkm, Vkm, &amp; Stock Projections'!BB5</f>
        <v>7277.3525853804085</v>
      </c>
      <c r="BC7" s="17">
        <f>'Tkm, Vkm, &amp; Stock Projections'!BC5</f>
        <v>7440.5917859268202</v>
      </c>
      <c r="BD7" s="17">
        <f>'Tkm, Vkm, &amp; Stock Projections'!BD5</f>
        <v>7604.9380018197708</v>
      </c>
      <c r="BE7" s="17">
        <f>'Tkm, Vkm, &amp; Stock Projections'!BE5</f>
        <v>7773.0895346567731</v>
      </c>
    </row>
    <row r="8" spans="1:63">
      <c r="A8" s="4" t="s">
        <v>107</v>
      </c>
      <c r="B8" s="1">
        <f>[2]Summary!B4</f>
        <v>1514</v>
      </c>
      <c r="C8" s="1">
        <f>[2]Summary!C4</f>
        <v>1731</v>
      </c>
      <c r="D8" s="1">
        <f>[2]Summary!D4</f>
        <v>1895</v>
      </c>
      <c r="E8" s="1">
        <f>[2]Summary!E4</f>
        <v>2159</v>
      </c>
      <c r="F8" s="1">
        <f>[2]Summary!F4</f>
        <v>2954</v>
      </c>
      <c r="G8" s="1">
        <f>[2]Summary!G4</f>
        <v>3620</v>
      </c>
      <c r="H8" s="1">
        <f>[2]Summary!H4</f>
        <v>3330</v>
      </c>
      <c r="I8" s="1">
        <f>[2]Summary!I4</f>
        <v>3719</v>
      </c>
      <c r="J8" s="1">
        <f>[2]Summary!J4</f>
        <v>4072</v>
      </c>
      <c r="K8" s="1">
        <f>[2]Summary!K4</f>
        <v>4161</v>
      </c>
      <c r="L8" s="1">
        <f>[2]Summary!L4</f>
        <v>4670</v>
      </c>
      <c r="M8" s="1">
        <f>[2]Summary!M4</f>
        <v>4406</v>
      </c>
      <c r="N8" s="1">
        <f>[2]Summary!N4</f>
        <v>4916</v>
      </c>
      <c r="O8" s="1">
        <f>[2]Summary!O4</f>
        <v>4787</v>
      </c>
      <c r="P8" s="1">
        <f>[2]Summary!P4</f>
        <v>4476</v>
      </c>
      <c r="Q8" s="1">
        <f>[2]Summary!Q4</f>
        <v>4023</v>
      </c>
      <c r="R8" s="1">
        <f>[2]Summary!R4</f>
        <v>3766</v>
      </c>
      <c r="S8" s="1">
        <f>[2]Summary!S4</f>
        <v>3756</v>
      </c>
      <c r="T8" s="1">
        <f>[2]Summary!T4</f>
        <v>3472</v>
      </c>
      <c r="U8" s="1">
        <f>[2]Summary!U4</f>
        <v>3743</v>
      </c>
      <c r="V8" s="1">
        <f>[2]Summary!V4</f>
        <v>3552</v>
      </c>
      <c r="W8" s="1">
        <f>[2]Summary!W4</f>
        <v>4476</v>
      </c>
      <c r="X8" s="1">
        <f>[2]Summary!X4</f>
        <v>4429</v>
      </c>
      <c r="Y8" s="1">
        <f>[2]Summary!Y4</f>
        <v>4380</v>
      </c>
      <c r="Z8" s="11">
        <f>[2]Summary!Z4</f>
        <v>4614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J8" t="s">
        <v>108</v>
      </c>
      <c r="BK8">
        <f>((BE41-AA41)/AA41)/(BE29-AA29)*100</f>
        <v>3.4627816062456835</v>
      </c>
    </row>
    <row r="9" spans="1:63" ht="16" thickBot="1">
      <c r="A9" s="4" t="s">
        <v>144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1">
        <f>Z8</f>
        <v>4614</v>
      </c>
      <c r="AA9" s="17">
        <f>'Tkm, Vkm, &amp; Stock Projections'!AA6</f>
        <v>4696.4124425867212</v>
      </c>
      <c r="AB9" s="17">
        <f>'Tkm, Vkm, &amp; Stock Projections'!AB6</f>
        <v>4868.9659912436609</v>
      </c>
      <c r="AC9" s="17">
        <f>'Tkm, Vkm, &amp; Stock Projections'!AC6</f>
        <v>4992.4171345205696</v>
      </c>
      <c r="AD9" s="17">
        <f>'Tkm, Vkm, &amp; Stock Projections'!AD6</f>
        <v>5094.9790146780024</v>
      </c>
      <c r="AE9" s="17">
        <f>'Tkm, Vkm, &amp; Stock Projections'!AE6</f>
        <v>5196.8241906995372</v>
      </c>
      <c r="AF9" s="17">
        <f>'Tkm, Vkm, &amp; Stock Projections'!AF6</f>
        <v>5329.9605252315896</v>
      </c>
      <c r="AG9" s="17">
        <f>'Tkm, Vkm, &amp; Stock Projections'!AG6</f>
        <v>5401.2626206841505</v>
      </c>
      <c r="AH9" s="17">
        <f>'Tkm, Vkm, &amp; Stock Projections'!AH6</f>
        <v>5479.4820134195434</v>
      </c>
      <c r="AI9" s="17">
        <f>'Tkm, Vkm, &amp; Stock Projections'!AI6</f>
        <v>5581.8431515977982</v>
      </c>
      <c r="AJ9" s="17">
        <f>'Tkm, Vkm, &amp; Stock Projections'!AJ6</f>
        <v>5705.130720113114</v>
      </c>
      <c r="AK9" s="17">
        <f>'Tkm, Vkm, &amp; Stock Projections'!AK6</f>
        <v>5840.973338513335</v>
      </c>
      <c r="AL9" s="17">
        <f>'Tkm, Vkm, &amp; Stock Projections'!AL6</f>
        <v>5883.3351067432422</v>
      </c>
      <c r="AM9" s="17">
        <f>'Tkm, Vkm, &amp; Stock Projections'!AM6</f>
        <v>5925.5890598398937</v>
      </c>
      <c r="AN9" s="17">
        <f>'Tkm, Vkm, &amp; Stock Projections'!AN6</f>
        <v>5967.7145567096422</v>
      </c>
      <c r="AO9" s="17">
        <f>'Tkm, Vkm, &amp; Stock Projections'!AO6</f>
        <v>6009.7500611890173</v>
      </c>
      <c r="AP9" s="17">
        <f>'Tkm, Vkm, &amp; Stock Projections'!AP6</f>
        <v>6051.7332234743153</v>
      </c>
      <c r="AQ9" s="17">
        <f>'Tkm, Vkm, &amp; Stock Projections'!AQ6</f>
        <v>6094.1123222433598</v>
      </c>
      <c r="AR9" s="17">
        <f>'Tkm, Vkm, &amp; Stock Projections'!AR6</f>
        <v>6135.8684571115191</v>
      </c>
      <c r="AS9" s="17">
        <f>'Tkm, Vkm, &amp; Stock Projections'!AS6</f>
        <v>6178.1527187048041</v>
      </c>
      <c r="AT9" s="17">
        <f>'Tkm, Vkm, &amp; Stock Projections'!AT6</f>
        <v>6220.2991842238052</v>
      </c>
      <c r="AU9" s="17">
        <f>'Tkm, Vkm, &amp; Stock Projections'!AU6</f>
        <v>6261.9310608646401</v>
      </c>
      <c r="AV9" s="17">
        <f>'Tkm, Vkm, &amp; Stock Projections'!AV6</f>
        <v>6303.9677992822617</v>
      </c>
      <c r="AW9" s="17">
        <f>'Tkm, Vkm, &amp; Stock Projections'!AW6</f>
        <v>6345.5025648858536</v>
      </c>
      <c r="AX9" s="17">
        <f>'Tkm, Vkm, &amp; Stock Projections'!AX6</f>
        <v>6386.983899316805</v>
      </c>
      <c r="AY9" s="17">
        <f>'Tkm, Vkm, &amp; Stock Projections'!AY6</f>
        <v>6428.3897321971081</v>
      </c>
      <c r="AZ9" s="17">
        <f>'Tkm, Vkm, &amp; Stock Projections'!AZ6</f>
        <v>6470.3948683075705</v>
      </c>
      <c r="BA9" s="17">
        <f>'Tkm, Vkm, &amp; Stock Projections'!BA6</f>
        <v>6511.2789812880837</v>
      </c>
      <c r="BB9" s="17">
        <f>'Tkm, Vkm, &amp; Stock Projections'!BB6</f>
        <v>6552.7159333822174</v>
      </c>
      <c r="BC9" s="17">
        <f>'Tkm, Vkm, &amp; Stock Projections'!BC6</f>
        <v>6594.0987087246422</v>
      </c>
      <c r="BD9" s="17">
        <f>'Tkm, Vkm, &amp; Stock Projections'!BD6</f>
        <v>6635.0421863004276</v>
      </c>
      <c r="BE9" s="17">
        <f>'Tkm, Vkm, &amp; Stock Projections'!BE6</f>
        <v>6675.9953068368677</v>
      </c>
    </row>
    <row r="10" spans="1:63" ht="17" thickTop="1" thickBot="1">
      <c r="A10" s="6" t="s">
        <v>29</v>
      </c>
      <c r="B10" s="7">
        <f t="shared" ref="B10:Y10" si="0">SUM(B4:B8)</f>
        <v>5493</v>
      </c>
      <c r="C10" s="7">
        <f t="shared" si="0"/>
        <v>6316</v>
      </c>
      <c r="D10" s="7">
        <f t="shared" si="0"/>
        <v>6998</v>
      </c>
      <c r="E10" s="7">
        <f t="shared" si="0"/>
        <v>8203</v>
      </c>
      <c r="F10" s="7">
        <f t="shared" si="0"/>
        <v>10275</v>
      </c>
      <c r="G10" s="7">
        <f t="shared" si="0"/>
        <v>12348</v>
      </c>
      <c r="H10" s="7">
        <f t="shared" si="0"/>
        <v>12405</v>
      </c>
      <c r="I10" s="7">
        <f t="shared" si="0"/>
        <v>14449</v>
      </c>
      <c r="J10" s="7">
        <f t="shared" si="0"/>
        <v>15897</v>
      </c>
      <c r="K10" s="7">
        <f t="shared" si="0"/>
        <v>17288</v>
      </c>
      <c r="L10" s="7">
        <f t="shared" si="0"/>
        <v>18153</v>
      </c>
      <c r="M10" s="7">
        <f t="shared" si="0"/>
        <v>17687</v>
      </c>
      <c r="N10" s="7">
        <f t="shared" si="0"/>
        <v>19147</v>
      </c>
      <c r="O10" s="7">
        <f t="shared" si="0"/>
        <v>17288</v>
      </c>
      <c r="P10" s="7">
        <f t="shared" si="0"/>
        <v>12068</v>
      </c>
      <c r="Q10" s="7">
        <f t="shared" si="0"/>
        <v>10924</v>
      </c>
      <c r="R10" s="7">
        <f t="shared" si="0"/>
        <v>9941</v>
      </c>
      <c r="S10" s="7">
        <f t="shared" si="0"/>
        <v>9894</v>
      </c>
      <c r="T10" s="7">
        <f t="shared" si="0"/>
        <v>9137</v>
      </c>
      <c r="U10" s="7">
        <f t="shared" si="0"/>
        <v>9772</v>
      </c>
      <c r="V10" s="7">
        <f t="shared" si="0"/>
        <v>9844</v>
      </c>
      <c r="W10" s="7">
        <f t="shared" si="0"/>
        <v>11564</v>
      </c>
      <c r="X10" s="7">
        <f t="shared" si="0"/>
        <v>11758</v>
      </c>
      <c r="Y10" s="7">
        <f t="shared" si="0"/>
        <v>11445</v>
      </c>
      <c r="Z10" s="12">
        <f>SUM(Z4,Z6,Z8)</f>
        <v>12402</v>
      </c>
      <c r="AA10" s="7">
        <f t="shared" ref="AA10:BE10" si="1">SUM(AA5:AA9)</f>
        <v>11845.870552200886</v>
      </c>
      <c r="AB10" s="7">
        <f t="shared" si="1"/>
        <v>12981.721599236538</v>
      </c>
      <c r="AC10" s="7">
        <f t="shared" si="1"/>
        <v>13387.540822720264</v>
      </c>
      <c r="AD10" s="7">
        <f t="shared" si="1"/>
        <v>13635.072293063182</v>
      </c>
      <c r="AE10" s="7">
        <f t="shared" si="1"/>
        <v>13809.666460626604</v>
      </c>
      <c r="AF10" s="7">
        <f t="shared" si="1"/>
        <v>14068.355512603412</v>
      </c>
      <c r="AG10" s="7">
        <f t="shared" si="1"/>
        <v>14943.309238476439</v>
      </c>
      <c r="AH10" s="7">
        <f t="shared" si="1"/>
        <v>15484.806962691993</v>
      </c>
      <c r="AI10" s="7">
        <f t="shared" si="1"/>
        <v>16007.6157853451</v>
      </c>
      <c r="AJ10" s="7">
        <f t="shared" si="1"/>
        <v>16588.785416242583</v>
      </c>
      <c r="AK10" s="7">
        <f t="shared" si="1"/>
        <v>17229.334889579332</v>
      </c>
      <c r="AL10" s="7">
        <f t="shared" si="1"/>
        <v>17457.324589874414</v>
      </c>
      <c r="AM10" s="7">
        <f t="shared" si="1"/>
        <v>17685.17759462383</v>
      </c>
      <c r="AN10" s="7">
        <f t="shared" si="1"/>
        <v>17917.324443723781</v>
      </c>
      <c r="AO10" s="7">
        <f t="shared" si="1"/>
        <v>18149.360085888165</v>
      </c>
      <c r="AP10" s="7">
        <f t="shared" si="1"/>
        <v>18385.361516514662</v>
      </c>
      <c r="AQ10" s="7">
        <f t="shared" si="1"/>
        <v>18622.156382991361</v>
      </c>
      <c r="AR10" s="7">
        <f t="shared" si="1"/>
        <v>18860.987131941896</v>
      </c>
      <c r="AS10" s="7">
        <f t="shared" si="1"/>
        <v>19103.045557205667</v>
      </c>
      <c r="AT10" s="7">
        <f t="shared" si="1"/>
        <v>19346.702368939747</v>
      </c>
      <c r="AU10" s="7">
        <f t="shared" si="1"/>
        <v>19592.550052125334</v>
      </c>
      <c r="AV10" s="7">
        <f t="shared" si="1"/>
        <v>19840.108077906432</v>
      </c>
      <c r="AW10" s="7">
        <f t="shared" si="1"/>
        <v>20089.875017588609</v>
      </c>
      <c r="AX10" s="7">
        <f t="shared" si="1"/>
        <v>20342.702045835256</v>
      </c>
      <c r="AY10" s="7">
        <f t="shared" si="1"/>
        <v>20596.779641146804</v>
      </c>
      <c r="AZ10" s="7">
        <f t="shared" si="1"/>
        <v>20854.186703511485</v>
      </c>
      <c r="BA10" s="7">
        <f t="shared" si="1"/>
        <v>21111.803515204967</v>
      </c>
      <c r="BB10" s="7">
        <f t="shared" si="1"/>
        <v>21372.683344822068</v>
      </c>
      <c r="BC10" s="7">
        <f t="shared" si="1"/>
        <v>21636.622196738223</v>
      </c>
      <c r="BD10" s="7">
        <f t="shared" si="1"/>
        <v>21901.518544812865</v>
      </c>
      <c r="BE10" s="8">
        <f t="shared" si="1"/>
        <v>22170.469327381899</v>
      </c>
      <c r="BI10" s="47">
        <f>(BE10-AA10)/AA10</f>
        <v>0.87157788274689274</v>
      </c>
    </row>
    <row r="11" spans="1:63">
      <c r="B11" s="1"/>
      <c r="Z11" s="13"/>
      <c r="AK11" s="26">
        <f>(AK10-AA10)/AA10</f>
        <v>0.45445915634948697</v>
      </c>
    </row>
    <row r="12" spans="1:63" ht="14.5" customHeight="1">
      <c r="A12" s="142" t="s">
        <v>109</v>
      </c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</row>
    <row r="13" spans="1:63" ht="15" customHeight="1" thickBot="1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</row>
    <row r="14" spans="1:63" ht="16">
      <c r="A14" s="27" t="s">
        <v>66</v>
      </c>
      <c r="B14" s="2">
        <v>1995</v>
      </c>
      <c r="C14" s="2">
        <v>1996</v>
      </c>
      <c r="D14" s="2">
        <v>1997</v>
      </c>
      <c r="E14" s="2">
        <v>1998</v>
      </c>
      <c r="F14" s="2">
        <v>1999</v>
      </c>
      <c r="G14" s="2">
        <v>2000</v>
      </c>
      <c r="H14" s="2">
        <v>2001</v>
      </c>
      <c r="I14" s="2">
        <v>2002</v>
      </c>
      <c r="J14" s="2">
        <v>2003</v>
      </c>
      <c r="K14" s="2">
        <v>2004</v>
      </c>
      <c r="L14" s="2">
        <v>2005</v>
      </c>
      <c r="M14" s="2">
        <v>2006</v>
      </c>
      <c r="N14" s="2">
        <v>2007</v>
      </c>
      <c r="O14" s="2">
        <v>2008</v>
      </c>
      <c r="P14" s="2">
        <v>2009</v>
      </c>
      <c r="Q14" s="2">
        <v>2010</v>
      </c>
      <c r="R14" s="2">
        <v>2011</v>
      </c>
      <c r="S14" s="2">
        <v>2012</v>
      </c>
      <c r="T14" s="2">
        <v>2013</v>
      </c>
      <c r="U14" s="2">
        <v>2014</v>
      </c>
      <c r="V14" s="2">
        <v>2015</v>
      </c>
      <c r="W14" s="2">
        <v>2016</v>
      </c>
      <c r="X14" s="2">
        <v>2017</v>
      </c>
      <c r="Y14" s="2">
        <v>2018</v>
      </c>
      <c r="Z14" s="10">
        <v>2019</v>
      </c>
      <c r="AA14" s="2">
        <v>2020</v>
      </c>
      <c r="AB14" s="2">
        <v>2021</v>
      </c>
      <c r="AC14" s="2">
        <v>2022</v>
      </c>
      <c r="AD14" s="2">
        <v>2023</v>
      </c>
      <c r="AE14" s="2">
        <v>2024</v>
      </c>
      <c r="AF14" s="2">
        <v>2025</v>
      </c>
      <c r="AG14" s="2">
        <v>2026</v>
      </c>
      <c r="AH14" s="2">
        <v>2027</v>
      </c>
      <c r="AI14" s="2">
        <v>2028</v>
      </c>
      <c r="AJ14" s="2">
        <v>2029</v>
      </c>
      <c r="AK14" s="2">
        <v>2030</v>
      </c>
      <c r="AL14" s="2">
        <v>2031</v>
      </c>
      <c r="AM14" s="2">
        <v>2032</v>
      </c>
      <c r="AN14" s="2">
        <v>2033</v>
      </c>
      <c r="AO14" s="2">
        <v>2034</v>
      </c>
      <c r="AP14" s="2">
        <v>2035</v>
      </c>
      <c r="AQ14" s="2">
        <v>2036</v>
      </c>
      <c r="AR14" s="2">
        <v>2037</v>
      </c>
      <c r="AS14" s="2">
        <v>2038</v>
      </c>
      <c r="AT14" s="2">
        <v>2039</v>
      </c>
      <c r="AU14" s="2">
        <v>2040</v>
      </c>
      <c r="AV14" s="2">
        <v>2041</v>
      </c>
      <c r="AW14" s="2">
        <v>2042</v>
      </c>
      <c r="AX14" s="2">
        <v>2043</v>
      </c>
      <c r="AY14" s="2">
        <v>2044</v>
      </c>
      <c r="AZ14" s="2">
        <v>2045</v>
      </c>
      <c r="BA14" s="2">
        <v>2046</v>
      </c>
      <c r="BB14" s="2">
        <v>2047</v>
      </c>
      <c r="BC14" s="2">
        <v>2048</v>
      </c>
      <c r="BD14" s="2">
        <v>2049</v>
      </c>
      <c r="BE14" s="3">
        <v>2050</v>
      </c>
      <c r="BF14" t="s">
        <v>110</v>
      </c>
      <c r="BG14" t="s">
        <v>111</v>
      </c>
    </row>
    <row r="15" spans="1:63">
      <c r="A15" s="4" t="s">
        <v>67</v>
      </c>
      <c r="B15" s="1">
        <f>'[5]Survey Summary'!B10</f>
        <v>251</v>
      </c>
      <c r="C15" s="1">
        <f>'[5]Survey Summary'!C10</f>
        <v>278</v>
      </c>
      <c r="D15" s="1">
        <f>'[5]Survey Summary'!D10</f>
        <v>340</v>
      </c>
      <c r="E15" s="1">
        <f>'[5]Survey Summary'!E10</f>
        <v>401</v>
      </c>
      <c r="F15" s="1">
        <f>'[5]Survey Summary'!F10</f>
        <v>388</v>
      </c>
      <c r="G15" s="1">
        <f>'[5]Survey Summary'!G10</f>
        <v>383</v>
      </c>
      <c r="H15" s="1">
        <f>'[5]Survey Summary'!H10</f>
        <v>439</v>
      </c>
      <c r="I15" s="1">
        <f>'[5]Survey Summary'!I10</f>
        <v>382</v>
      </c>
      <c r="J15" s="1">
        <f>'[5]Survey Summary'!J10</f>
        <v>416</v>
      </c>
      <c r="K15" s="1">
        <f>'[5]Survey Summary'!K10</f>
        <v>459</v>
      </c>
      <c r="L15" s="1">
        <f>'[5]Survey Summary'!L10</f>
        <v>595</v>
      </c>
      <c r="M15" s="1">
        <f>'[5]Survey Summary'!M10</f>
        <v>610</v>
      </c>
      <c r="N15" s="1">
        <f>'[5]Survey Summary'!N10</f>
        <v>736</v>
      </c>
      <c r="O15" s="1">
        <f>'[5]Survey Summary'!O10</f>
        <v>662</v>
      </c>
      <c r="P15" s="1">
        <f>'[5]Survey Summary'!P10</f>
        <v>492</v>
      </c>
      <c r="Q15" s="1">
        <f>'[5]Survey Summary'!Q10</f>
        <v>328</v>
      </c>
      <c r="R15" s="1">
        <f>'[5]Survey Summary'!R10</f>
        <v>278</v>
      </c>
      <c r="S15" s="1">
        <f>'[5]Survey Summary'!S10</f>
        <v>285</v>
      </c>
      <c r="T15" s="1">
        <f>'[5]Survey Summary'!T10</f>
        <v>258</v>
      </c>
      <c r="U15" s="1">
        <f>'[5]Survey Summary'!U10</f>
        <v>242</v>
      </c>
      <c r="V15" s="1">
        <f>'[5]Survey Summary'!V10</f>
        <v>274</v>
      </c>
      <c r="W15" s="1">
        <f>'[5]Survey Summary'!W10</f>
        <v>309</v>
      </c>
      <c r="X15" s="1">
        <f>'[5]Survey Summary'!X10</f>
        <v>287</v>
      </c>
      <c r="Y15" s="1">
        <f>'[5]Survey Summary'!Y10</f>
        <v>273</v>
      </c>
      <c r="Z15" s="1">
        <f>'[5]Survey Summary'!Z10</f>
        <v>513</v>
      </c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">
        <f>SUM(B15:BE15)</f>
        <v>9879</v>
      </c>
      <c r="BG15" s="70">
        <f>BF15/$BF$25</f>
        <v>1.1544680093492686E-2</v>
      </c>
      <c r="BI15" s="47">
        <f>(BE16-AA16)/AA16</f>
        <v>1.9819553226265956</v>
      </c>
    </row>
    <row r="16" spans="1:63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>
        <f>Z15</f>
        <v>513</v>
      </c>
      <c r="AA16" s="18">
        <f>'Tkm, Vkm, &amp; Stock Projections'!AA12</f>
        <v>510.04891019861566</v>
      </c>
      <c r="AB16" s="18">
        <f>'Tkm, Vkm, &amp; Stock Projections'!AB12</f>
        <v>581.42203068834647</v>
      </c>
      <c r="AC16" s="18">
        <f>'Tkm, Vkm, &amp; Stock Projections'!AC12</f>
        <v>623.2236177711867</v>
      </c>
      <c r="AD16" s="18">
        <f>'Tkm, Vkm, &amp; Stock Projections'!AD12</f>
        <v>659.27032658356006</v>
      </c>
      <c r="AE16" s="18">
        <f>'Tkm, Vkm, &amp; Stock Projections'!AE12</f>
        <v>693.01231829046196</v>
      </c>
      <c r="AF16" s="18">
        <f>'Tkm, Vkm, &amp; Stock Projections'!AF12</f>
        <v>732.23605096266181</v>
      </c>
      <c r="AG16" s="18">
        <f>'Tkm, Vkm, &amp; Stock Projections'!AG12</f>
        <v>792.81752727882906</v>
      </c>
      <c r="AH16" s="18">
        <f>'Tkm, Vkm, &amp; Stock Projections'!AH12</f>
        <v>837.34280053400266</v>
      </c>
      <c r="AI16" s="18">
        <f>'Tkm, Vkm, &amp; Stock Projections'!AI12</f>
        <v>882.16131095506603</v>
      </c>
      <c r="AJ16" s="18">
        <f>'Tkm, Vkm, &amp; Stock Projections'!AJ12</f>
        <v>931.56486946627933</v>
      </c>
      <c r="AK16" s="18">
        <f>'Tkm, Vkm, &amp; Stock Projections'!AK12</f>
        <v>985.8207448402901</v>
      </c>
      <c r="AL16" s="18">
        <f>'Tkm, Vkm, &amp; Stock Projections'!AL12</f>
        <v>1017.6356065760228</v>
      </c>
      <c r="AM16" s="18">
        <f>'Tkm, Vkm, &amp; Stock Projections'!AM12</f>
        <v>1050.1803974827696</v>
      </c>
      <c r="AN16" s="18">
        <f>'Tkm, Vkm, &amp; Stock Projections'!AN12</f>
        <v>1083.7339747010219</v>
      </c>
      <c r="AO16" s="18">
        <f>'Tkm, Vkm, &amp; Stock Projections'!AO12</f>
        <v>1118.0507913001456</v>
      </c>
      <c r="AP16" s="18">
        <f>'Tkm, Vkm, &amp; Stock Projections'!AP12</f>
        <v>1153.3979441201964</v>
      </c>
      <c r="AQ16" s="18">
        <f>'Tkm, Vkm, &amp; Stock Projections'!AQ12</f>
        <v>1175.3258246916014</v>
      </c>
      <c r="AR16" s="18">
        <f>'Tkm, Vkm, &amp; Stock Projections'!AR12</f>
        <v>1197.5931491912402</v>
      </c>
      <c r="AS16" s="18">
        <f>'Tkm, Vkm, &amp; Stock Projections'!AS12</f>
        <v>1220.279609129045</v>
      </c>
      <c r="AT16" s="18">
        <f>'Tkm, Vkm, &amp; Stock Projections'!AT12</f>
        <v>1243.2854610074367</v>
      </c>
      <c r="AU16" s="18">
        <f>'Tkm, Vkm, &amp; Stock Projections'!AU12</f>
        <v>1266.6521166838445</v>
      </c>
      <c r="AV16" s="18">
        <f>'Tkm, Vkm, &amp; Stock Projections'!AV12</f>
        <v>1290.3521409093109</v>
      </c>
      <c r="AW16" s="18">
        <f>'Tkm, Vkm, &amp; Stock Projections'!AW12</f>
        <v>1314.4214351256639</v>
      </c>
      <c r="AX16" s="18">
        <f>'Tkm, Vkm, &amp; Stock Projections'!AX12</f>
        <v>1338.9199096384048</v>
      </c>
      <c r="AY16" s="18">
        <f>'Tkm, Vkm, &amp; Stock Projections'!AY12</f>
        <v>1363.7326708501998</v>
      </c>
      <c r="AZ16" s="18">
        <f>'Tkm, Vkm, &amp; Stock Projections'!AZ12</f>
        <v>1389.0009947292604</v>
      </c>
      <c r="BA16" s="18">
        <f>'Tkm, Vkm, &amp; Stock Projections'!BA12</f>
        <v>1414.5211527012032</v>
      </c>
      <c r="BB16" s="18">
        <f>'Tkm, Vkm, &amp; Stock Projections'!BB12</f>
        <v>1440.5005447325977</v>
      </c>
      <c r="BC16" s="18">
        <f>'Tkm, Vkm, &amp; Stock Projections'!BC12</f>
        <v>1466.9306172577997</v>
      </c>
      <c r="BD16" s="18">
        <f>'Tkm, Vkm, &amp; Stock Projections'!BD12</f>
        <v>1493.6731158879923</v>
      </c>
      <c r="BE16" s="18">
        <f>'Tkm, Vkm, &amp; Stock Projections'!BE12</f>
        <v>1520.9430625666564</v>
      </c>
      <c r="BF16" s="1"/>
      <c r="BG16" s="70"/>
      <c r="BI16" s="47"/>
    </row>
    <row r="17" spans="1:61">
      <c r="A17" s="4" t="s">
        <v>68</v>
      </c>
      <c r="B17" s="1">
        <f>'[5]Survey Summary'!B11</f>
        <v>496</v>
      </c>
      <c r="C17" s="1">
        <f>'[5]Survey Summary'!C11</f>
        <v>558</v>
      </c>
      <c r="D17" s="1">
        <f>'[5]Survey Summary'!D11</f>
        <v>486</v>
      </c>
      <c r="E17" s="1">
        <f>'[5]Survey Summary'!E11</f>
        <v>555</v>
      </c>
      <c r="F17" s="1">
        <f>'[5]Survey Summary'!F11</f>
        <v>627</v>
      </c>
      <c r="G17" s="1">
        <f>'[5]Survey Summary'!G11</f>
        <v>669</v>
      </c>
      <c r="H17" s="1">
        <f>'[5]Survey Summary'!H11</f>
        <v>736</v>
      </c>
      <c r="I17" s="1">
        <f>'[5]Survey Summary'!I11</f>
        <v>1006</v>
      </c>
      <c r="J17" s="1">
        <f>'[5]Survey Summary'!J11</f>
        <v>1052</v>
      </c>
      <c r="K17" s="1">
        <f>'[5]Survey Summary'!K11</f>
        <v>1165</v>
      </c>
      <c r="L17" s="1">
        <f>'[5]Survey Summary'!L11</f>
        <v>1187</v>
      </c>
      <c r="M17" s="1">
        <f>'[5]Survey Summary'!M11</f>
        <v>612</v>
      </c>
      <c r="N17" s="1">
        <f>'[5]Survey Summary'!N11</f>
        <v>493</v>
      </c>
      <c r="O17" s="1">
        <f>'[5]Survey Summary'!O11</f>
        <v>477</v>
      </c>
      <c r="P17" s="1">
        <f>'[5]Survey Summary'!P11</f>
        <v>320</v>
      </c>
      <c r="Q17" s="1">
        <f>'[5]Survey Summary'!Q11</f>
        <v>232</v>
      </c>
      <c r="R17" s="1">
        <f>'[5]Survey Summary'!R11</f>
        <v>201</v>
      </c>
      <c r="S17" s="1">
        <f>'[5]Survey Summary'!S11</f>
        <v>206</v>
      </c>
      <c r="T17" s="1">
        <f>'[5]Survey Summary'!T11</f>
        <v>161</v>
      </c>
      <c r="U17" s="1">
        <f>'[5]Survey Summary'!U11</f>
        <v>184</v>
      </c>
      <c r="V17" s="1">
        <f>'[5]Survey Summary'!V11</f>
        <v>200</v>
      </c>
      <c r="W17" s="1">
        <f>'[5]Survey Summary'!W11</f>
        <v>256</v>
      </c>
      <c r="X17" s="1">
        <f>'[5]Survey Summary'!X11</f>
        <v>257</v>
      </c>
      <c r="Y17" s="1">
        <f>'[5]Survey Summary'!Y11</f>
        <v>247</v>
      </c>
      <c r="Z17" s="1">
        <f>'[5]Survey Summary'!Z11</f>
        <v>214</v>
      </c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29">
        <f>SUM(B17:BE17)</f>
        <v>12597</v>
      </c>
      <c r="BG17" s="53">
        <f>BF17/$BF$25</f>
        <v>1.4720957094617609E-2</v>
      </c>
      <c r="BI17" s="47">
        <f>(BE18-AA18)/AA18</f>
        <v>0.22285421814495068</v>
      </c>
    </row>
    <row r="18" spans="1:61">
      <c r="A18" s="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>
        <f>Z17</f>
        <v>214</v>
      </c>
      <c r="AA18" s="18">
        <f>'Tkm, Vkm, &amp; Stock Projections'!AA13</f>
        <v>199.59753045719148</v>
      </c>
      <c r="AB18" s="18">
        <f>'Tkm, Vkm, &amp; Stock Projections'!AB13</f>
        <v>213.44292053071757</v>
      </c>
      <c r="AC18" s="18">
        <f>'Tkm, Vkm, &amp; Stock Projections'!AC13</f>
        <v>214.62539407597941</v>
      </c>
      <c r="AD18" s="18">
        <f>'Tkm, Vkm, &amp; Stock Projections'!AD13</f>
        <v>212.98433525101038</v>
      </c>
      <c r="AE18" s="18">
        <f>'Tkm, Vkm, &amp; Stock Projections'!AE13</f>
        <v>210.02549629923979</v>
      </c>
      <c r="AF18" s="18">
        <f>'Tkm, Vkm, &amp; Stock Projections'!AF13</f>
        <v>208.17525435311128</v>
      </c>
      <c r="AG18" s="18">
        <f>'Tkm, Vkm, &amp; Stock Projections'!AG13</f>
        <v>217.70207515511404</v>
      </c>
      <c r="AH18" s="18">
        <f>'Tkm, Vkm, &amp; Stock Projections'!AH13</f>
        <v>222.07718604088296</v>
      </c>
      <c r="AI18" s="18">
        <f>'Tkm, Vkm, &amp; Stock Projections'!AI13</f>
        <v>225.97478995214456</v>
      </c>
      <c r="AJ18" s="18">
        <f>'Tkm, Vkm, &amp; Stock Projections'!AJ13</f>
        <v>230.48168270175785</v>
      </c>
      <c r="AK18" s="18">
        <f>'Tkm, Vkm, &amp; Stock Projections'!AK13</f>
        <v>235.57684205579483</v>
      </c>
      <c r="AL18" s="18">
        <f>'Tkm, Vkm, &amp; Stock Projections'!AL13</f>
        <v>234.875796765476</v>
      </c>
      <c r="AM18" s="18">
        <f>'Tkm, Vkm, &amp; Stock Projections'!AM13</f>
        <v>234.1106704956818</v>
      </c>
      <c r="AN18" s="18">
        <f>'Tkm, Vkm, &amp; Stock Projections'!AN13</f>
        <v>233.34114199594484</v>
      </c>
      <c r="AO18" s="18">
        <f>'Tkm, Vkm, &amp; Stock Projections'!AO13</f>
        <v>232.50992334339935</v>
      </c>
      <c r="AP18" s="18">
        <f>'Tkm, Vkm, &amp; Stock Projections'!AP13</f>
        <v>231.67035375598311</v>
      </c>
      <c r="AQ18" s="18">
        <f>'Tkm, Vkm, &amp; Stock Projections'!AQ13</f>
        <v>232.56870496659738</v>
      </c>
      <c r="AR18" s="18">
        <f>'Tkm, Vkm, &amp; Stock Projections'!AR13</f>
        <v>233.45544397879661</v>
      </c>
      <c r="AS18" s="18">
        <f>'Tkm, Vkm, &amp; Stock Projections'!AS13</f>
        <v>234.34503896029051</v>
      </c>
      <c r="AT18" s="18">
        <f>'Tkm, Vkm, &amp; Stock Projections'!AT13</f>
        <v>235.21714360517069</v>
      </c>
      <c r="AU18" s="18">
        <f>'Tkm, Vkm, &amp; Stock Projections'!AU13</f>
        <v>236.07890215242804</v>
      </c>
      <c r="AV18" s="18">
        <f>'Tkm, Vkm, &amp; Stock Projections'!AV13</f>
        <v>236.92439339510551</v>
      </c>
      <c r="AW18" s="18">
        <f>'Tkm, Vkm, &amp; Stock Projections'!AW13</f>
        <v>237.75949542051939</v>
      </c>
      <c r="AX18" s="18">
        <f>'Tkm, Vkm, &amp; Stock Projections'!AX13</f>
        <v>238.59401426836976</v>
      </c>
      <c r="AY18" s="18">
        <f>'Tkm, Vkm, &amp; Stock Projections'!AY13</f>
        <v>239.40647739061592</v>
      </c>
      <c r="AZ18" s="18">
        <f>'Tkm, Vkm, &amp; Stock Projections'!AZ13</f>
        <v>240.22096942030379</v>
      </c>
      <c r="BA18" s="18">
        <f>'Tkm, Vkm, &amp; Stock Projections'!BA13</f>
        <v>241.00137019021133</v>
      </c>
      <c r="BB18" s="18">
        <f>'Tkm, Vkm, &amp; Stock Projections'!BB13</f>
        <v>241.78268675185379</v>
      </c>
      <c r="BC18" s="18">
        <f>'Tkm, Vkm, &amp; Stock Projections'!BC13</f>
        <v>242.56216064740951</v>
      </c>
      <c r="BD18" s="18">
        <f>'Tkm, Vkm, &amp; Stock Projections'!BD13</f>
        <v>243.3160461864903</v>
      </c>
      <c r="BE18" s="18">
        <f>'Tkm, Vkm, &amp; Stock Projections'!BE13</f>
        <v>244.07868205089187</v>
      </c>
      <c r="BF18" s="29"/>
      <c r="BG18" s="53"/>
      <c r="BI18" s="47"/>
    </row>
    <row r="19" spans="1:61">
      <c r="A19" s="4" t="s">
        <v>69</v>
      </c>
      <c r="B19" s="1">
        <f>'[5]Survey Summary'!B12</f>
        <v>1186</v>
      </c>
      <c r="C19" s="1">
        <f>'[5]Survey Summary'!C12</f>
        <v>1196</v>
      </c>
      <c r="D19" s="1">
        <f>'[5]Survey Summary'!D12</f>
        <v>1386</v>
      </c>
      <c r="E19" s="1">
        <f>'[5]Survey Summary'!E12</f>
        <v>1555</v>
      </c>
      <c r="F19" s="1">
        <f>'[5]Survey Summary'!F12</f>
        <v>1520</v>
      </c>
      <c r="G19" s="1">
        <f>'[5]Survey Summary'!G12</f>
        <v>1777</v>
      </c>
      <c r="H19" s="1">
        <f>'[5]Survey Summary'!H12</f>
        <v>1776</v>
      </c>
      <c r="I19" s="1">
        <f>'[5]Survey Summary'!I12</f>
        <v>2367</v>
      </c>
      <c r="J19" s="1">
        <f>'[5]Survey Summary'!J12</f>
        <v>2747</v>
      </c>
      <c r="K19" s="1">
        <f>'[5]Survey Summary'!K12</f>
        <v>2717</v>
      </c>
      <c r="L19" s="1">
        <f>'[5]Survey Summary'!L12</f>
        <v>2714</v>
      </c>
      <c r="M19" s="1">
        <f>'[5]Survey Summary'!M12</f>
        <v>1556</v>
      </c>
      <c r="N19" s="1">
        <f>'[5]Survey Summary'!N12</f>
        <v>1664</v>
      </c>
      <c r="O19" s="1">
        <f>'[5]Survey Summary'!O12</f>
        <v>1301</v>
      </c>
      <c r="P19" s="1">
        <f>'[5]Survey Summary'!P12</f>
        <v>914</v>
      </c>
      <c r="Q19" s="1">
        <f>'[5]Survey Summary'!Q12</f>
        <v>856</v>
      </c>
      <c r="R19" s="1">
        <f>'[5]Survey Summary'!R12</f>
        <v>744</v>
      </c>
      <c r="S19" s="1">
        <f>'[5]Survey Summary'!S12</f>
        <v>697</v>
      </c>
      <c r="T19" s="1">
        <f>'[5]Survey Summary'!T12</f>
        <v>631</v>
      </c>
      <c r="U19" s="1">
        <f>'[5]Survey Summary'!U12</f>
        <v>586</v>
      </c>
      <c r="V19" s="1">
        <f>'[5]Survey Summary'!V12</f>
        <v>565</v>
      </c>
      <c r="W19" s="1">
        <f>'[5]Survey Summary'!W12</f>
        <v>781</v>
      </c>
      <c r="X19" s="1">
        <f>'[5]Survey Summary'!X12</f>
        <v>814</v>
      </c>
      <c r="Y19" s="1">
        <f>'[5]Survey Summary'!Y12</f>
        <v>890</v>
      </c>
      <c r="Z19" s="1">
        <f>'[5]Survey Summary'!Z12</f>
        <v>888</v>
      </c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29">
        <f t="shared" ref="BF19:BF25" si="2">SUM(B19:BE19)</f>
        <v>33828</v>
      </c>
      <c r="BG19" s="53">
        <f>BF19/$BF$25</f>
        <v>3.9531677113338451E-2</v>
      </c>
      <c r="BI19" s="47">
        <f>(BE20-AA20)/AA20</f>
        <v>0.38703057584385364</v>
      </c>
    </row>
    <row r="20" spans="1:61">
      <c r="A20" s="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>
        <f>Z19</f>
        <v>888</v>
      </c>
      <c r="AA20" s="18">
        <f>'Tkm, Vkm, &amp; Stock Projections'!AA14</f>
        <v>836.64497372150538</v>
      </c>
      <c r="AB20" s="18">
        <f>'Tkm, Vkm, &amp; Stock Projections'!AB14</f>
        <v>903.76318784230477</v>
      </c>
      <c r="AC20" s="18">
        <f>'Tkm, Vkm, &amp; Stock Projections'!AC14</f>
        <v>917.99612663509515</v>
      </c>
      <c r="AD20" s="18">
        <f>'Tkm, Vkm, &amp; Stock Projections'!AD14</f>
        <v>920.22548416688835</v>
      </c>
      <c r="AE20" s="18">
        <f>'Tkm, Vkm, &amp; Stock Projections'!AE14</f>
        <v>916.65405360972022</v>
      </c>
      <c r="AF20" s="18">
        <f>'Tkm, Vkm, &amp; Stock Projections'!AF14</f>
        <v>917.80284139688115</v>
      </c>
      <c r="AG20" s="18">
        <f>'Tkm, Vkm, &amp; Stock Projections'!AG14</f>
        <v>967.07592644829299</v>
      </c>
      <c r="AH20" s="18">
        <f>'Tkm, Vkm, &amp; Stock Projections'!AH14</f>
        <v>993.98460784655549</v>
      </c>
      <c r="AI20" s="18">
        <f>'Tkm, Vkm, &amp; Stock Projections'!AI14</f>
        <v>1019.0920521992866</v>
      </c>
      <c r="AJ20" s="18">
        <f>'Tkm, Vkm, &amp; Stock Projections'!AJ14</f>
        <v>1047.2914281562714</v>
      </c>
      <c r="AK20" s="18">
        <f>'Tkm, Vkm, &amp; Stock Projections'!AK14</f>
        <v>1078.55286904442</v>
      </c>
      <c r="AL20" s="18">
        <f>'Tkm, Vkm, &amp; Stock Projections'!AL14</f>
        <v>1083.4897791206429</v>
      </c>
      <c r="AM20" s="18">
        <f>'Tkm, Vkm, &amp; Stock Projections'!AM14</f>
        <v>1088.1417433285606</v>
      </c>
      <c r="AN20" s="18">
        <f>'Tkm, Vkm, &amp; Stock Projections'!AN14</f>
        <v>1092.7813915973547</v>
      </c>
      <c r="AO20" s="18">
        <f>'Tkm, Vkm, &amp; Stock Projections'!AO14</f>
        <v>1097.137791300232</v>
      </c>
      <c r="AP20" s="18">
        <f>'Tkm, Vkm, &amp; Stock Projections'!AP14</f>
        <v>1101.4577761993837</v>
      </c>
      <c r="AQ20" s="18">
        <f>'Tkm, Vkm, &amp; Stock Projections'!AQ14</f>
        <v>1105.72891366107</v>
      </c>
      <c r="AR20" s="18">
        <f>'Tkm, Vkm, &amp; Stock Projections'!AR14</f>
        <v>1109.9448418737704</v>
      </c>
      <c r="AS20" s="18">
        <f>'Tkm, Vkm, &amp; Stock Projections'!AS14</f>
        <v>1114.1743485592328</v>
      </c>
      <c r="AT20" s="18">
        <f>'Tkm, Vkm, &amp; Stock Projections'!AT14</f>
        <v>1118.3206988677175</v>
      </c>
      <c r="AU20" s="18">
        <f>'Tkm, Vkm, &amp; Stock Projections'!AU14</f>
        <v>1122.4178595000301</v>
      </c>
      <c r="AV20" s="18">
        <f>'Tkm, Vkm, &amp; Stock Projections'!AV14</f>
        <v>1126.4376785612835</v>
      </c>
      <c r="AW20" s="18">
        <f>'Tkm, Vkm, &amp; Stock Projections'!AW14</f>
        <v>1130.4081029375538</v>
      </c>
      <c r="AX20" s="18">
        <f>'Tkm, Vkm, &amp; Stock Projections'!AX14</f>
        <v>1134.3757546437275</v>
      </c>
      <c r="AY20" s="18">
        <f>'Tkm, Vkm, &amp; Stock Projections'!AY14</f>
        <v>1138.2385442038274</v>
      </c>
      <c r="AZ20" s="18">
        <f>'Tkm, Vkm, &amp; Stock Projections'!AZ14</f>
        <v>1142.1109800386562</v>
      </c>
      <c r="BA20" s="18">
        <f>'Tkm, Vkm, &amp; Stock Projections'!BA14</f>
        <v>1145.8213317631244</v>
      </c>
      <c r="BB20" s="18">
        <f>'Tkm, Vkm, &amp; Stock Projections'!BB14</f>
        <v>1149.5360375446023</v>
      </c>
      <c r="BC20" s="18">
        <f>'Tkm, Vkm, &amp; Stock Projections'!BC14</f>
        <v>1153.2419825206637</v>
      </c>
      <c r="BD20" s="18">
        <f>'Tkm, Vkm, &amp; Stock Projections'!BD14</f>
        <v>1156.8262697456892</v>
      </c>
      <c r="BE20" s="18">
        <f>'Tkm, Vkm, &amp; Stock Projections'!BE14</f>
        <v>1160.4521596778054</v>
      </c>
      <c r="BF20" s="29"/>
      <c r="BG20" s="53"/>
      <c r="BI20" s="47"/>
    </row>
    <row r="21" spans="1:61">
      <c r="A21" s="4" t="s">
        <v>70</v>
      </c>
      <c r="B21" s="1">
        <f>'[5]Survey Summary'!B13</f>
        <v>2536</v>
      </c>
      <c r="C21" s="1">
        <f>'[5]Survey Summary'!C13</f>
        <v>3074</v>
      </c>
      <c r="D21" s="1">
        <f>'[5]Survey Summary'!D13</f>
        <v>3322</v>
      </c>
      <c r="E21" s="1">
        <f>'[5]Survey Summary'!E13</f>
        <v>3894</v>
      </c>
      <c r="F21" s="1">
        <f>'[5]Survey Summary'!F13</f>
        <v>5328</v>
      </c>
      <c r="G21" s="1">
        <f>'[5]Survey Summary'!G13</f>
        <v>6054</v>
      </c>
      <c r="H21" s="1">
        <f>'[5]Survey Summary'!H13</f>
        <v>5998</v>
      </c>
      <c r="I21" s="1">
        <f>'[5]Survey Summary'!I13</f>
        <v>6586</v>
      </c>
      <c r="J21" s="1">
        <f>'[5]Survey Summary'!J13</f>
        <v>6712</v>
      </c>
      <c r="K21" s="1">
        <f>'[5]Survey Summary'!K13</f>
        <v>7297</v>
      </c>
      <c r="L21" s="1">
        <f>'[5]Survey Summary'!L13</f>
        <v>7506</v>
      </c>
      <c r="M21" s="1">
        <f>'[5]Survey Summary'!M13</f>
        <v>7723</v>
      </c>
      <c r="N21" s="1">
        <f>'[5]Survey Summary'!N13</f>
        <v>8363</v>
      </c>
      <c r="O21" s="1">
        <f>'[5]Survey Summary'!O13</f>
        <v>6577</v>
      </c>
      <c r="P21" s="1">
        <f>'[5]Survey Summary'!P13</f>
        <v>4392</v>
      </c>
      <c r="Q21" s="1">
        <f>'[5]Survey Summary'!Q13</f>
        <v>3656</v>
      </c>
      <c r="R21" s="1">
        <f>'[5]Survey Summary'!R13</f>
        <v>3056</v>
      </c>
      <c r="S21" s="1">
        <f>'[5]Survey Summary'!S13</f>
        <v>2898</v>
      </c>
      <c r="T21" s="1">
        <f>'[5]Survey Summary'!T13</f>
        <v>2566</v>
      </c>
      <c r="U21" s="1">
        <f>'[5]Survey Summary'!U13</f>
        <v>2563</v>
      </c>
      <c r="V21" s="1">
        <f>'[5]Survey Summary'!V13</f>
        <v>2619</v>
      </c>
      <c r="W21" s="1">
        <f>'[5]Survey Summary'!W13</f>
        <v>2913</v>
      </c>
      <c r="X21" s="1">
        <f>'[5]Survey Summary'!X13</f>
        <v>3081</v>
      </c>
      <c r="Y21" s="1">
        <f>'[5]Survey Summary'!Y13</f>
        <v>2599</v>
      </c>
      <c r="Z21" s="1">
        <f>'[5]Survey Summary'!Z13</f>
        <v>2778</v>
      </c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29">
        <f t="shared" si="2"/>
        <v>114091</v>
      </c>
      <c r="BG21" s="53">
        <f>BF21/$BF$25</f>
        <v>0.1333276745163148</v>
      </c>
      <c r="BI21" s="47">
        <f>(BE22-AA22)/AA22</f>
        <v>0.1020818407518963</v>
      </c>
    </row>
    <row r="22" spans="1:61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>
        <f>Z21</f>
        <v>2778</v>
      </c>
      <c r="AA22" s="18">
        <f>'Tkm, Vkm, &amp; Stock Projections'!AA15</f>
        <v>2525.2747380125948</v>
      </c>
      <c r="AB22" s="18">
        <f>'Tkm, Vkm, &amp; Stock Projections'!AB15</f>
        <v>2631.905113390269</v>
      </c>
      <c r="AC22" s="18">
        <f>'Tkm, Vkm, &amp; Stock Projections'!AC15</f>
        <v>2579.3161728264745</v>
      </c>
      <c r="AD22" s="18">
        <f>'Tkm, Vkm, &amp; Stock Projections'!AD15</f>
        <v>2494.6300010943755</v>
      </c>
      <c r="AE22" s="18">
        <f>'Tkm, Vkm, &amp; Stock Projections'!AE15</f>
        <v>2397.5380061433239</v>
      </c>
      <c r="AF22" s="18">
        <f>'Tkm, Vkm, &amp; Stock Projections'!AF15</f>
        <v>2316.1014969472994</v>
      </c>
      <c r="AG22" s="18">
        <f>'Tkm, Vkm, &amp; Stock Projections'!AG15</f>
        <v>2409.8615252888912</v>
      </c>
      <c r="AH22" s="18">
        <f>'Tkm, Vkm, &amp; Stock Projections'!AH15</f>
        <v>2445.8763680579655</v>
      </c>
      <c r="AI22" s="18">
        <f>'Tkm, Vkm, &amp; Stock Projections'!AI15</f>
        <v>2476.2334297697803</v>
      </c>
      <c r="AJ22" s="18">
        <f>'Tkm, Vkm, &amp; Stock Projections'!AJ15</f>
        <v>2512.8643375201118</v>
      </c>
      <c r="AK22" s="18">
        <f>'Tkm, Vkm, &amp; Stock Projections'!AK15</f>
        <v>2555.4433541500866</v>
      </c>
      <c r="AL22" s="18">
        <f>'Tkm, Vkm, &amp; Stock Projections'!AL15</f>
        <v>2534.970823053839</v>
      </c>
      <c r="AM22" s="18">
        <f>'Tkm, Vkm, &amp; Stock Projections'!AM15</f>
        <v>2513.951780869279</v>
      </c>
      <c r="AN22" s="18">
        <f>'Tkm, Vkm, &amp; Stock Projections'!AN15</f>
        <v>2493.0333574793494</v>
      </c>
      <c r="AO22" s="18">
        <f>'Tkm, Vkm, &amp; Stock Projections'!AO15</f>
        <v>2471.6063332333115</v>
      </c>
      <c r="AP22" s="18">
        <f>'Tkm, Vkm, &amp; Stock Projections'!AP15</f>
        <v>2450.2438292489792</v>
      </c>
      <c r="AQ22" s="18">
        <f>'Tkm, Vkm, &amp; Stock Projections'!AQ15</f>
        <v>2472.1057008236239</v>
      </c>
      <c r="AR22" s="18">
        <f>'Tkm, Vkm, &amp; Stock Projections'!AR15</f>
        <v>2494.0013634595553</v>
      </c>
      <c r="AS22" s="18">
        <f>'Tkm, Vkm, &amp; Stock Projections'!AS15</f>
        <v>2516.0853212706643</v>
      </c>
      <c r="AT22" s="18">
        <f>'Tkm, Vkm, &amp; Stock Projections'!AT15</f>
        <v>2538.139518536007</v>
      </c>
      <c r="AU22" s="18">
        <f>'Tkm, Vkm, &amp; Stock Projections'!AU15</f>
        <v>2560.239628273298</v>
      </c>
      <c r="AV22" s="18">
        <f>'Tkm, Vkm, &amp; Stock Projections'!AV15</f>
        <v>2582.3204539046919</v>
      </c>
      <c r="AW22" s="18">
        <f>'Tkm, Vkm, &amp; Stock Projections'!AW15</f>
        <v>2604.4447418226482</v>
      </c>
      <c r="AX22" s="18">
        <f>'Tkm, Vkm, &amp; Stock Projections'!AX15</f>
        <v>2626.7197556319588</v>
      </c>
      <c r="AY22" s="18">
        <f>'Tkm, Vkm, &amp; Stock Projections'!AY15</f>
        <v>2648.9088365857297</v>
      </c>
      <c r="AZ22" s="18">
        <f>'Tkm, Vkm, &amp; Stock Projections'!AZ15</f>
        <v>2671.2771553657271</v>
      </c>
      <c r="BA22" s="18">
        <f>'Tkm, Vkm, &amp; Stock Projections'!BA15</f>
        <v>2693.422388764619</v>
      </c>
      <c r="BB22" s="18">
        <f>'Tkm, Vkm, &amp; Stock Projections'!BB15</f>
        <v>2715.7330188188275</v>
      </c>
      <c r="BC22" s="18">
        <f>'Tkm, Vkm, &amp; Stock Projections'!BC15</f>
        <v>2738.1790612528948</v>
      </c>
      <c r="BD22" s="18">
        <f>'Tkm, Vkm, &amp; Stock Projections'!BD15</f>
        <v>2760.491807269631</v>
      </c>
      <c r="BE22" s="18">
        <f>'Tkm, Vkm, &amp; Stock Projections'!BE15</f>
        <v>2783.0594316731831</v>
      </c>
      <c r="BF22" s="29"/>
      <c r="BG22" s="53"/>
      <c r="BI22" s="47"/>
    </row>
    <row r="23" spans="1:61">
      <c r="A23" s="4" t="s">
        <v>71</v>
      </c>
      <c r="B23" s="1">
        <f>'[5]Survey Summary'!B14</f>
        <v>1024</v>
      </c>
      <c r="C23" s="1">
        <f>'[5]Survey Summary'!C14</f>
        <v>1210</v>
      </c>
      <c r="D23" s="1">
        <f>'[5]Survey Summary'!D14</f>
        <v>1465</v>
      </c>
      <c r="E23" s="1">
        <f>'[5]Survey Summary'!E14</f>
        <v>1798</v>
      </c>
      <c r="F23" s="1">
        <f>'[5]Survey Summary'!F14</f>
        <v>2411</v>
      </c>
      <c r="G23" s="1">
        <f>'[5]Survey Summary'!G14</f>
        <v>3465</v>
      </c>
      <c r="H23" s="1">
        <f>'[5]Survey Summary'!H14</f>
        <v>3456</v>
      </c>
      <c r="I23" s="1">
        <f>'[5]Survey Summary'!I14</f>
        <v>4107</v>
      </c>
      <c r="J23" s="1">
        <f>'[5]Survey Summary'!J14</f>
        <v>4971</v>
      </c>
      <c r="K23" s="1">
        <f>'[5]Survey Summary'!K14</f>
        <v>5650</v>
      </c>
      <c r="L23" s="1">
        <f>'[5]Survey Summary'!L14</f>
        <v>6150</v>
      </c>
      <c r="M23" s="1">
        <f>'[5]Survey Summary'!M14</f>
        <v>7185</v>
      </c>
      <c r="N23" s="1">
        <f>'[5]Survey Summary'!N14</f>
        <v>7890</v>
      </c>
      <c r="O23" s="1">
        <f>'[5]Survey Summary'!O14</f>
        <v>8273</v>
      </c>
      <c r="P23" s="1">
        <f>'[5]Survey Summary'!P14</f>
        <v>5951</v>
      </c>
      <c r="Q23" s="1">
        <f>'[5]Survey Summary'!Q14</f>
        <v>5852</v>
      </c>
      <c r="R23" s="1">
        <f>'[5]Survey Summary'!R14</f>
        <v>5662</v>
      </c>
      <c r="S23" s="1">
        <f>'[5]Survey Summary'!S14</f>
        <v>5809</v>
      </c>
      <c r="T23" s="1">
        <f>'[5]Survey Summary'!T14</f>
        <v>5522</v>
      </c>
      <c r="U23" s="1">
        <f>'[5]Survey Summary'!U14</f>
        <v>6197</v>
      </c>
      <c r="V23" s="1">
        <f>'[5]Survey Summary'!V14</f>
        <v>6186</v>
      </c>
      <c r="W23" s="1">
        <f>'[5]Survey Summary'!W14</f>
        <v>7305</v>
      </c>
      <c r="X23" s="1">
        <f>'[5]Survey Summary'!X14</f>
        <v>7320</v>
      </c>
      <c r="Y23" s="1">
        <f>'[5]Survey Summary'!Y14</f>
        <v>7436</v>
      </c>
      <c r="Z23" s="1">
        <f>'[5]Survey Summary'!Z14</f>
        <v>8010</v>
      </c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29">
        <f t="shared" si="2"/>
        <v>130305</v>
      </c>
      <c r="BG23" s="53">
        <f>BF23/$BF$25</f>
        <v>0.15227548735525503</v>
      </c>
      <c r="BI23" s="47">
        <f>(BE24-AA24)/AA24</f>
        <v>1.1174802457971171</v>
      </c>
    </row>
    <row r="24" spans="1:61" ht="16" thickBot="1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>
        <f>Z23</f>
        <v>8010</v>
      </c>
      <c r="AA24" s="18">
        <f>'Tkm, Vkm, &amp; Stock Projections'!AA16</f>
        <v>7774.3043998109788</v>
      </c>
      <c r="AB24" s="18">
        <f>'Tkm, Vkm, &amp; Stock Projections'!AB16</f>
        <v>8651.1883467849002</v>
      </c>
      <c r="AC24" s="18">
        <f>'Tkm, Vkm, &amp; Stock Projections'!AC16</f>
        <v>9052.3795114115292</v>
      </c>
      <c r="AD24" s="18">
        <f>'Tkm, Vkm, &amp; Stock Projections'!AD16</f>
        <v>9347.962145967349</v>
      </c>
      <c r="AE24" s="18">
        <f>'Tkm, Vkm, &amp; Stock Projections'!AE16</f>
        <v>9592.4365862838567</v>
      </c>
      <c r="AF24" s="18">
        <f>'Tkm, Vkm, &amp; Stock Projections'!AF16</f>
        <v>9894.0398689434587</v>
      </c>
      <c r="AG24" s="18">
        <f>'Tkm, Vkm, &amp; Stock Projections'!AG16</f>
        <v>10555.852184305313</v>
      </c>
      <c r="AH24" s="18">
        <f>'Tkm, Vkm, &amp; Stock Projections'!AH16</f>
        <v>10985.526000212585</v>
      </c>
      <c r="AI24" s="18">
        <f>'Tkm, Vkm, &amp; Stock Projections'!AI16</f>
        <v>11404.154202468822</v>
      </c>
      <c r="AJ24" s="18">
        <f>'Tkm, Vkm, &amp; Stock Projections'!AJ16</f>
        <v>11866.583098398161</v>
      </c>
      <c r="AK24" s="18">
        <f>'Tkm, Vkm, &amp; Stock Projections'!AK16</f>
        <v>12373.941079488741</v>
      </c>
      <c r="AL24" s="18">
        <f>'Tkm, Vkm, &amp; Stock Projections'!AL16</f>
        <v>12586.35258435843</v>
      </c>
      <c r="AM24" s="18">
        <f>'Tkm, Vkm, &amp; Stock Projections'!AM16</f>
        <v>12798.793002447541</v>
      </c>
      <c r="AN24" s="18">
        <f>'Tkm, Vkm, &amp; Stock Projections'!AN16</f>
        <v>13014.434577950113</v>
      </c>
      <c r="AO24" s="18">
        <f>'Tkm, Vkm, &amp; Stock Projections'!AO16</f>
        <v>13230.055246711076</v>
      </c>
      <c r="AP24" s="18">
        <f>'Tkm, Vkm, &amp; Stock Projections'!AP16</f>
        <v>13448.591613190121</v>
      </c>
      <c r="AQ24" s="18">
        <f>'Tkm, Vkm, &amp; Stock Projections'!AQ16</f>
        <v>13636.427238848468</v>
      </c>
      <c r="AR24" s="18">
        <f>'Tkm, Vkm, &amp; Stock Projections'!AR16</f>
        <v>13825.992333438533</v>
      </c>
      <c r="AS24" s="18">
        <f>'Tkm, Vkm, &amp; Stock Projections'!AS16</f>
        <v>14018.161239286435</v>
      </c>
      <c r="AT24" s="18">
        <f>'Tkm, Vkm, &amp; Stock Projections'!AT16</f>
        <v>14211.739546923414</v>
      </c>
      <c r="AU24" s="18">
        <f>'Tkm, Vkm, &amp; Stock Projections'!AU16</f>
        <v>14407.161545515733</v>
      </c>
      <c r="AV24" s="18">
        <f>'Tkm, Vkm, &amp; Stock Projections'!AV16</f>
        <v>14604.07341113604</v>
      </c>
      <c r="AW24" s="18">
        <f>'Tkm, Vkm, &amp; Stock Projections'!AW16</f>
        <v>14802.841242282224</v>
      </c>
      <c r="AX24" s="18">
        <f>'Tkm, Vkm, &amp; Stock Projections'!AX16</f>
        <v>15004.092611652795</v>
      </c>
      <c r="AY24" s="18">
        <f>'Tkm, Vkm, &amp; Stock Projections'!AY16</f>
        <v>15206.493112116432</v>
      </c>
      <c r="AZ24" s="18">
        <f>'Tkm, Vkm, &amp; Stock Projections'!AZ16</f>
        <v>15411.576603957537</v>
      </c>
      <c r="BA24" s="18">
        <f>'Tkm, Vkm, &amp; Stock Projections'!BA16</f>
        <v>15617.037271785808</v>
      </c>
      <c r="BB24" s="18">
        <f>'Tkm, Vkm, &amp; Stock Projections'!BB16</f>
        <v>15825.131056974185</v>
      </c>
      <c r="BC24" s="18">
        <f>'Tkm, Vkm, &amp; Stock Projections'!BC16</f>
        <v>16035.708375059454</v>
      </c>
      <c r="BD24" s="18">
        <f>'Tkm, Vkm, &amp; Stock Projections'!BD16</f>
        <v>16247.211305723062</v>
      </c>
      <c r="BE24" s="18">
        <f>'Tkm, Vkm, &amp; Stock Projections'!BE16</f>
        <v>16461.93599141336</v>
      </c>
      <c r="BF24" s="29"/>
      <c r="BG24" s="53"/>
      <c r="BI24" s="47"/>
    </row>
    <row r="25" spans="1:61" ht="17" thickTop="1" thickBot="1">
      <c r="A25" s="6" t="s">
        <v>29</v>
      </c>
      <c r="B25" s="7">
        <f t="shared" ref="B25:Y25" si="3">SUM(B15:B23)</f>
        <v>5493</v>
      </c>
      <c r="C25" s="7">
        <f t="shared" si="3"/>
        <v>6316</v>
      </c>
      <c r="D25" s="7">
        <f t="shared" si="3"/>
        <v>6999</v>
      </c>
      <c r="E25" s="7">
        <f t="shared" si="3"/>
        <v>8203</v>
      </c>
      <c r="F25" s="7">
        <f t="shared" si="3"/>
        <v>10274</v>
      </c>
      <c r="G25" s="7">
        <f t="shared" si="3"/>
        <v>12348</v>
      </c>
      <c r="H25" s="7">
        <f t="shared" si="3"/>
        <v>12405</v>
      </c>
      <c r="I25" s="7">
        <f t="shared" si="3"/>
        <v>14448</v>
      </c>
      <c r="J25" s="7">
        <f t="shared" si="3"/>
        <v>15898</v>
      </c>
      <c r="K25" s="7">
        <f t="shared" si="3"/>
        <v>17288</v>
      </c>
      <c r="L25" s="7">
        <f t="shared" si="3"/>
        <v>18152</v>
      </c>
      <c r="M25" s="7">
        <f t="shared" si="3"/>
        <v>17686</v>
      </c>
      <c r="N25" s="7">
        <f t="shared" si="3"/>
        <v>19146</v>
      </c>
      <c r="O25" s="7">
        <f t="shared" si="3"/>
        <v>17290</v>
      </c>
      <c r="P25" s="7">
        <f t="shared" si="3"/>
        <v>12069</v>
      </c>
      <c r="Q25" s="7">
        <f t="shared" si="3"/>
        <v>10924</v>
      </c>
      <c r="R25" s="7">
        <f t="shared" si="3"/>
        <v>9941</v>
      </c>
      <c r="S25" s="7">
        <f t="shared" si="3"/>
        <v>9895</v>
      </c>
      <c r="T25" s="7">
        <f t="shared" si="3"/>
        <v>9138</v>
      </c>
      <c r="U25" s="7">
        <f t="shared" si="3"/>
        <v>9772</v>
      </c>
      <c r="V25" s="7">
        <f t="shared" si="3"/>
        <v>9844</v>
      </c>
      <c r="W25" s="7">
        <f t="shared" si="3"/>
        <v>11564</v>
      </c>
      <c r="X25" s="7">
        <f t="shared" si="3"/>
        <v>11759</v>
      </c>
      <c r="Y25" s="7">
        <f t="shared" si="3"/>
        <v>11445</v>
      </c>
      <c r="Z25" s="12">
        <f>SUM(Z15,Z17,Z19,Z21,Z23)</f>
        <v>12403</v>
      </c>
      <c r="AA25" s="7">
        <f t="shared" ref="AA25:BE25" si="4">SUM(AA16:AA24)</f>
        <v>11845.870552200886</v>
      </c>
      <c r="AB25" s="7">
        <f t="shared" si="4"/>
        <v>12981.721599236538</v>
      </c>
      <c r="AC25" s="7">
        <f t="shared" si="4"/>
        <v>13387.540822720264</v>
      </c>
      <c r="AD25" s="7">
        <f t="shared" si="4"/>
        <v>13635.072293063184</v>
      </c>
      <c r="AE25" s="7">
        <f t="shared" si="4"/>
        <v>13809.666460626602</v>
      </c>
      <c r="AF25" s="7">
        <f t="shared" si="4"/>
        <v>14068.355512603412</v>
      </c>
      <c r="AG25" s="7">
        <f t="shared" si="4"/>
        <v>14943.30923847644</v>
      </c>
      <c r="AH25" s="7">
        <f t="shared" si="4"/>
        <v>15484.806962691991</v>
      </c>
      <c r="AI25" s="7">
        <f t="shared" si="4"/>
        <v>16007.6157853451</v>
      </c>
      <c r="AJ25" s="7">
        <f t="shared" si="4"/>
        <v>16588.785416242583</v>
      </c>
      <c r="AK25" s="7">
        <f t="shared" si="4"/>
        <v>17229.334889579332</v>
      </c>
      <c r="AL25" s="7">
        <f t="shared" si="4"/>
        <v>17457.32458987441</v>
      </c>
      <c r="AM25" s="7">
        <f t="shared" si="4"/>
        <v>17685.177594623834</v>
      </c>
      <c r="AN25" s="7">
        <f t="shared" si="4"/>
        <v>17917.324443723784</v>
      </c>
      <c r="AO25" s="7">
        <f t="shared" si="4"/>
        <v>18149.360085888162</v>
      </c>
      <c r="AP25" s="7">
        <f t="shared" si="4"/>
        <v>18385.361516514662</v>
      </c>
      <c r="AQ25" s="7">
        <f t="shared" si="4"/>
        <v>18622.156382991361</v>
      </c>
      <c r="AR25" s="7">
        <f t="shared" si="4"/>
        <v>18860.987131941896</v>
      </c>
      <c r="AS25" s="7">
        <f t="shared" si="4"/>
        <v>19103.045557205667</v>
      </c>
      <c r="AT25" s="7">
        <f t="shared" si="4"/>
        <v>19346.702368939747</v>
      </c>
      <c r="AU25" s="7">
        <f t="shared" si="4"/>
        <v>19592.550052125334</v>
      </c>
      <c r="AV25" s="7">
        <f t="shared" si="4"/>
        <v>19840.108077906432</v>
      </c>
      <c r="AW25" s="7">
        <f t="shared" si="4"/>
        <v>20089.875017588609</v>
      </c>
      <c r="AX25" s="7">
        <f t="shared" si="4"/>
        <v>20342.702045835256</v>
      </c>
      <c r="AY25" s="7">
        <f t="shared" si="4"/>
        <v>20596.779641146804</v>
      </c>
      <c r="AZ25" s="7">
        <f t="shared" si="4"/>
        <v>20854.186703511485</v>
      </c>
      <c r="BA25" s="7">
        <f t="shared" si="4"/>
        <v>21111.803515204967</v>
      </c>
      <c r="BB25" s="7">
        <f t="shared" si="4"/>
        <v>21372.683344822068</v>
      </c>
      <c r="BC25" s="7">
        <f t="shared" si="4"/>
        <v>21636.622196738223</v>
      </c>
      <c r="BD25" s="7">
        <f t="shared" si="4"/>
        <v>21901.518544812865</v>
      </c>
      <c r="BE25" s="7">
        <f t="shared" si="4"/>
        <v>22170.469327381899</v>
      </c>
      <c r="BF25" s="29">
        <f t="shared" si="2"/>
        <v>855718.81767156383</v>
      </c>
      <c r="BI25" s="47">
        <f>(BE25-AA25)/AA25</f>
        <v>0.87157788274689274</v>
      </c>
    </row>
    <row r="26" spans="1:61">
      <c r="B26" s="1"/>
      <c r="Z26" s="13"/>
    </row>
    <row r="27" spans="1:61" ht="14.5" customHeight="1">
      <c r="A27" s="142" t="s">
        <v>145</v>
      </c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</row>
    <row r="28" spans="1:61" ht="15" customHeight="1" thickBot="1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</row>
    <row r="29" spans="1:61" ht="32">
      <c r="A29" s="27" t="s">
        <v>72</v>
      </c>
      <c r="B29" s="2">
        <v>1995</v>
      </c>
      <c r="C29" s="2">
        <v>1996</v>
      </c>
      <c r="D29" s="2">
        <v>1997</v>
      </c>
      <c r="E29" s="2">
        <v>1998</v>
      </c>
      <c r="F29" s="2">
        <v>1999</v>
      </c>
      <c r="G29" s="2">
        <v>2000</v>
      </c>
      <c r="H29" s="2">
        <v>2001</v>
      </c>
      <c r="I29" s="2">
        <v>2002</v>
      </c>
      <c r="J29" s="2">
        <v>2003</v>
      </c>
      <c r="K29" s="2">
        <v>2004</v>
      </c>
      <c r="L29" s="2">
        <v>2005</v>
      </c>
      <c r="M29" s="2">
        <v>2006</v>
      </c>
      <c r="N29" s="2">
        <v>2007</v>
      </c>
      <c r="O29" s="2">
        <v>2008</v>
      </c>
      <c r="P29" s="2">
        <v>2009</v>
      </c>
      <c r="Q29" s="10">
        <v>2010</v>
      </c>
      <c r="R29" s="2">
        <v>2011</v>
      </c>
      <c r="S29" s="2">
        <v>2012</v>
      </c>
      <c r="T29" s="2">
        <v>2013</v>
      </c>
      <c r="U29" s="2">
        <v>2014</v>
      </c>
      <c r="V29" s="2">
        <v>2015</v>
      </c>
      <c r="W29" s="2">
        <v>2016</v>
      </c>
      <c r="X29" s="2">
        <v>2017</v>
      </c>
      <c r="Y29" s="2">
        <v>2018</v>
      </c>
      <c r="Z29" s="2">
        <v>2019</v>
      </c>
      <c r="AA29" s="2">
        <v>2020</v>
      </c>
      <c r="AB29" s="2">
        <v>2021</v>
      </c>
      <c r="AC29" s="2">
        <v>2022</v>
      </c>
      <c r="AD29" s="2">
        <v>2023</v>
      </c>
      <c r="AE29" s="2">
        <v>2024</v>
      </c>
      <c r="AF29" s="2">
        <v>2025</v>
      </c>
      <c r="AG29" s="2">
        <v>2026</v>
      </c>
      <c r="AH29" s="2">
        <v>2027</v>
      </c>
      <c r="AI29" s="2">
        <v>2028</v>
      </c>
      <c r="AJ29" s="2">
        <v>2029</v>
      </c>
      <c r="AK29" s="2">
        <v>2030</v>
      </c>
      <c r="AL29" s="2">
        <v>2031</v>
      </c>
      <c r="AM29" s="2">
        <v>2032</v>
      </c>
      <c r="AN29" s="2">
        <v>2033</v>
      </c>
      <c r="AO29" s="2">
        <v>2034</v>
      </c>
      <c r="AP29" s="2">
        <v>2035</v>
      </c>
      <c r="AQ29" s="2">
        <v>2036</v>
      </c>
      <c r="AR29" s="2">
        <v>2037</v>
      </c>
      <c r="AS29" s="2">
        <v>2038</v>
      </c>
      <c r="AT29" s="2">
        <v>2039</v>
      </c>
      <c r="AU29" s="2">
        <v>2040</v>
      </c>
      <c r="AV29" s="2">
        <v>2041</v>
      </c>
      <c r="AW29" s="2">
        <v>2042</v>
      </c>
      <c r="AX29" s="2">
        <v>2043</v>
      </c>
      <c r="AY29" s="2">
        <v>2044</v>
      </c>
      <c r="AZ29" s="2">
        <v>2045</v>
      </c>
      <c r="BA29" s="2">
        <v>2046</v>
      </c>
      <c r="BB29" s="2">
        <v>2047</v>
      </c>
      <c r="BC29" s="2">
        <v>2048</v>
      </c>
      <c r="BD29" s="2">
        <v>2049</v>
      </c>
      <c r="BE29" s="3">
        <v>2050</v>
      </c>
      <c r="BI29" s="47">
        <f t="shared" ref="BI29:BI30" si="5">(BE29-AA29)/AA29</f>
        <v>1.4851485148514851E-2</v>
      </c>
    </row>
    <row r="30" spans="1:61" ht="16">
      <c r="A30" s="71" t="s">
        <v>146</v>
      </c>
      <c r="B30" s="1">
        <f>'[5]Survey Summary'!B26</f>
        <v>264</v>
      </c>
      <c r="C30" s="1">
        <f>'[5]Survey Summary'!C26</f>
        <v>349</v>
      </c>
      <c r="D30" s="1">
        <f>'[5]Survey Summary'!D26</f>
        <v>358</v>
      </c>
      <c r="E30" s="1">
        <f>'[5]Survey Summary'!E26</f>
        <v>321</v>
      </c>
      <c r="F30" s="1">
        <f>'[5]Survey Summary'!F26</f>
        <v>294</v>
      </c>
      <c r="G30" s="1">
        <f>'[5]Survey Summary'!G26</f>
        <v>315</v>
      </c>
      <c r="H30" s="1">
        <f>'[5]Survey Summary'!H26</f>
        <v>308</v>
      </c>
      <c r="I30" s="1">
        <f>'[5]Survey Summary'!I26</f>
        <v>346</v>
      </c>
      <c r="J30" s="1">
        <f>'[5]Survey Summary'!J26</f>
        <v>357</v>
      </c>
      <c r="K30" s="1">
        <f>'[5]Survey Summary'!K26</f>
        <v>449</v>
      </c>
      <c r="L30" s="1">
        <f>'[5]Survey Summary'!L26</f>
        <v>581</v>
      </c>
      <c r="M30" s="1">
        <f>'[5]Survey Summary'!M26</f>
        <v>621</v>
      </c>
      <c r="N30" s="1">
        <f>'[5]Survey Summary'!N26</f>
        <v>706</v>
      </c>
      <c r="O30" s="1">
        <f>'[5]Survey Summary'!O26</f>
        <v>532</v>
      </c>
      <c r="P30" s="1">
        <f>'[5]Survey Summary'!P26</f>
        <v>404</v>
      </c>
      <c r="Q30" s="1">
        <f>'[5]Survey Summary'!Q26</f>
        <v>351</v>
      </c>
      <c r="R30" s="1">
        <f>[6]Summary!E4</f>
        <v>1354</v>
      </c>
      <c r="S30" s="1">
        <f>[6]Summary!F4</f>
        <v>1267</v>
      </c>
      <c r="T30" s="1">
        <f>[6]Summary!G4</f>
        <v>1238</v>
      </c>
      <c r="U30" s="1">
        <f>[6]Summary!H4</f>
        <v>1432</v>
      </c>
      <c r="V30" s="1">
        <f>[6]Summary!I4</f>
        <v>1552</v>
      </c>
      <c r="W30" s="1">
        <f>[6]Summary!J4</f>
        <v>1622</v>
      </c>
      <c r="X30" s="1">
        <f>[6]Summary!K4</f>
        <v>1942</v>
      </c>
      <c r="Y30" s="1">
        <f>[6]Summary!L4</f>
        <v>2098</v>
      </c>
      <c r="Z30" s="1">
        <f>[6]Summary!M4</f>
        <v>2266</v>
      </c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I30" s="47" t="e">
        <f t="shared" si="5"/>
        <v>#DIV/0!</v>
      </c>
    </row>
    <row r="31" spans="1:61">
      <c r="A31" s="7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>
        <f>Z30</f>
        <v>2266</v>
      </c>
      <c r="AA31" s="18">
        <f>'Tkm, Vkm, &amp; Stock Projections'!AA22</f>
        <v>2266</v>
      </c>
      <c r="AB31" s="18">
        <f>'Tkm, Vkm, &amp; Stock Projections'!AB22</f>
        <v>2602.5761465819069</v>
      </c>
      <c r="AC31" s="18">
        <f>'Tkm, Vkm, &amp; Stock Projections'!AC22</f>
        <v>2722.8287719639802</v>
      </c>
      <c r="AD31" s="18">
        <f>'Tkm, Vkm, &amp; Stock Projections'!AD22</f>
        <v>2796.1774638221286</v>
      </c>
      <c r="AE31" s="18">
        <f>'Tkm, Vkm, &amp; Stock Projections'!AE22</f>
        <v>2847.9133250404934</v>
      </c>
      <c r="AF31" s="18">
        <f>'Tkm, Vkm, &amp; Stock Projections'!AF22</f>
        <v>2924.5682389964322</v>
      </c>
      <c r="AG31" s="18">
        <f>'Tkm, Vkm, &amp; Stock Projections'!AG22</f>
        <v>3183.8351158112955</v>
      </c>
      <c r="AH31" s="18">
        <f>'Tkm, Vkm, &amp; Stock Projections'!AH22</f>
        <v>3344.2920858294974</v>
      </c>
      <c r="AI31" s="18">
        <f>'Tkm, Vkm, &amp; Stock Projections'!AI22</f>
        <v>3499.2111479607875</v>
      </c>
      <c r="AJ31" s="18">
        <f>'Tkm, Vkm, &amp; Stock Projections'!AJ22</f>
        <v>3671.423724062558</v>
      </c>
      <c r="AK31" s="18">
        <f>'Tkm, Vkm, &amp; Stock Projections'!AK22</f>
        <v>3861.2317750331586</v>
      </c>
      <c r="AL31" s="18">
        <f>'Tkm, Vkm, &amp; Stock Projections'!AL22</f>
        <v>3928.7898364408993</v>
      </c>
      <c r="AM31" s="18">
        <f>'Tkm, Vkm, &amp; Stock Projections'!AM22</f>
        <v>3996.3073921325686</v>
      </c>
      <c r="AN31" s="18">
        <f>'Tkm, Vkm, &amp; Stock Projections'!AN22</f>
        <v>4065.097302671551</v>
      </c>
      <c r="AO31" s="18">
        <f>'Tkm, Vkm, &amp; Stock Projections'!AO22</f>
        <v>4133.8542602965535</v>
      </c>
      <c r="AP31" s="18">
        <f>'Tkm, Vkm, &amp; Stock Projections'!AP22</f>
        <v>4203.7863630272659</v>
      </c>
      <c r="AQ31" s="18">
        <f>'Tkm, Vkm, &amp; Stock Projections'!AQ22</f>
        <v>4273.9535772030194</v>
      </c>
      <c r="AR31" s="18">
        <f>'Tkm, Vkm, &amp; Stock Projections'!AR22</f>
        <v>4344.7240654433836</v>
      </c>
      <c r="AS31" s="18">
        <f>'Tkm, Vkm, &amp; Stock Projections'!AS22</f>
        <v>4416.4509809008177</v>
      </c>
      <c r="AT31" s="18">
        <f>'Tkm, Vkm, &amp; Stock Projections'!AT22</f>
        <v>4488.651531312702</v>
      </c>
      <c r="AU31" s="18">
        <f>'Tkm, Vkm, &amp; Stock Projections'!AU22</f>
        <v>4561.5012822273547</v>
      </c>
      <c r="AV31" s="18">
        <f>'Tkm, Vkm, &amp; Stock Projections'!AV22</f>
        <v>4634.8578430108137</v>
      </c>
      <c r="AW31" s="18">
        <f>'Tkm, Vkm, &amp; Stock Projections'!AW22</f>
        <v>4708.8689506478386</v>
      </c>
      <c r="AX31" s="18">
        <f>'Tkm, Vkm, &amp; Stock Projections'!AX22</f>
        <v>4783.786825787447</v>
      </c>
      <c r="AY31" s="18">
        <f>'Tkm, Vkm, &amp; Stock Projections'!AY22</f>
        <v>4859.0752698012457</v>
      </c>
      <c r="AZ31" s="18">
        <f>'Tkm, Vkm, &amp; Stock Projections'!AZ22</f>
        <v>4935.3503037326573</v>
      </c>
      <c r="BA31" s="18">
        <f>'Tkm, Vkm, &amp; Stock Projections'!BA22</f>
        <v>5011.6874907263209</v>
      </c>
      <c r="BB31" s="18">
        <f>'Tkm, Vkm, &amp; Stock Projections'!BB22</f>
        <v>5088.9915773868233</v>
      </c>
      <c r="BC31" s="18">
        <f>'Tkm, Vkm, &amp; Stock Projections'!BC22</f>
        <v>5167.2021155934272</v>
      </c>
      <c r="BD31" s="18">
        <f>'Tkm, Vkm, &amp; Stock Projections'!BD22</f>
        <v>5245.6963797060216</v>
      </c>
      <c r="BE31" s="18">
        <f>'Tkm, Vkm, &amp; Stock Projections'!BE22</f>
        <v>5325.3920565762583</v>
      </c>
      <c r="BI31" s="47"/>
    </row>
    <row r="32" spans="1:61">
      <c r="A32" s="4" t="s">
        <v>68</v>
      </c>
      <c r="B32" s="1">
        <f>'[5]Survey Summary'!B27</f>
        <v>157</v>
      </c>
      <c r="C32" s="1">
        <f>'[5]Survey Summary'!C27</f>
        <v>182</v>
      </c>
      <c r="D32" s="1">
        <f>'[5]Survey Summary'!D27</f>
        <v>165</v>
      </c>
      <c r="E32" s="1">
        <f>'[5]Survey Summary'!E27</f>
        <v>195</v>
      </c>
      <c r="F32" s="1">
        <f>'[5]Survey Summary'!F27</f>
        <v>172</v>
      </c>
      <c r="G32" s="1">
        <f>'[5]Survey Summary'!G27</f>
        <v>165</v>
      </c>
      <c r="H32" s="1">
        <f>'[5]Survey Summary'!H27</f>
        <v>188</v>
      </c>
      <c r="I32" s="1">
        <f>'[5]Survey Summary'!I27</f>
        <v>229</v>
      </c>
      <c r="J32" s="1">
        <f>'[5]Survey Summary'!J27</f>
        <v>253</v>
      </c>
      <c r="K32" s="1">
        <f>'[5]Survey Summary'!K27</f>
        <v>259</v>
      </c>
      <c r="L32" s="1">
        <f>'[5]Survey Summary'!L27</f>
        <v>255</v>
      </c>
      <c r="M32" s="1">
        <f>'[5]Survey Summary'!M27</f>
        <v>197</v>
      </c>
      <c r="N32" s="1">
        <f>'[5]Survey Summary'!N27</f>
        <v>171</v>
      </c>
      <c r="O32" s="1">
        <f>'[5]Survey Summary'!O27</f>
        <v>142</v>
      </c>
      <c r="P32" s="1">
        <f>'[5]Survey Summary'!P27</f>
        <v>112</v>
      </c>
      <c r="Q32" s="11">
        <f>'[5]Survey Summary'!Q27</f>
        <v>94</v>
      </c>
      <c r="R32" s="19">
        <f>[6]Summary!E5</f>
        <v>110</v>
      </c>
      <c r="S32" s="19">
        <f>[6]Summary!F5</f>
        <v>97</v>
      </c>
      <c r="T32" s="19">
        <f>[6]Summary!G5</f>
        <v>107</v>
      </c>
      <c r="U32" s="19">
        <f>[6]Summary!H5</f>
        <v>124</v>
      </c>
      <c r="V32" s="19">
        <f>[6]Summary!I5</f>
        <v>123</v>
      </c>
      <c r="W32" s="19">
        <f>[6]Summary!J5</f>
        <v>123</v>
      </c>
      <c r="X32" s="19">
        <f>[6]Summary!K5</f>
        <v>113</v>
      </c>
      <c r="Y32" s="19">
        <f>[6]Summary!L5</f>
        <v>113</v>
      </c>
      <c r="Z32" s="20">
        <f>[6]Summary!M5</f>
        <v>111</v>
      </c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I32" s="47">
        <f>(BE33-AA33)/AA33</f>
        <v>6.2426698919796922E-2</v>
      </c>
    </row>
    <row r="33" spans="1:61">
      <c r="A33" s="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1"/>
      <c r="R33" s="19"/>
      <c r="S33" s="19"/>
      <c r="T33" s="19"/>
      <c r="U33" s="19"/>
      <c r="V33" s="19"/>
      <c r="W33" s="19"/>
      <c r="X33" s="19"/>
      <c r="Y33" s="19"/>
      <c r="Z33" s="20">
        <f>Z32</f>
        <v>111</v>
      </c>
      <c r="AA33" s="18">
        <f>'Tkm, Vkm, &amp; Stock Projections'!AA23</f>
        <v>111</v>
      </c>
      <c r="AB33" s="18">
        <f>'Tkm, Vkm, &amp; Stock Projections'!AB23</f>
        <v>113.15686281245743</v>
      </c>
      <c r="AC33" s="18">
        <f>'Tkm, Vkm, &amp; Stock Projections'!AC23</f>
        <v>113.34107092815125</v>
      </c>
      <c r="AD33" s="18">
        <f>'Tkm, Vkm, &amp; Stock Projections'!AD23</f>
        <v>113.08542347193412</v>
      </c>
      <c r="AE33" s="18">
        <f>'Tkm, Vkm, &amp; Stock Projections'!AE23</f>
        <v>112.62448956763572</v>
      </c>
      <c r="AF33" s="18">
        <f>'Tkm, Vkm, &amp; Stock Projections'!AF23</f>
        <v>112.33625514257</v>
      </c>
      <c r="AG33" s="18">
        <f>'Tkm, Vkm, &amp; Stock Projections'!AG23</f>
        <v>113.82036251691375</v>
      </c>
      <c r="AH33" s="18">
        <f>'Tkm, Vkm, &amp; Stock Projections'!AH23</f>
        <v>114.5019261218234</v>
      </c>
      <c r="AI33" s="18">
        <f>'Tkm, Vkm, &amp; Stock Projections'!AI23</f>
        <v>115.10910272640049</v>
      </c>
      <c r="AJ33" s="18">
        <f>'Tkm, Vkm, &amp; Stock Projections'!AJ23</f>
        <v>115.81119557606038</v>
      </c>
      <c r="AK33" s="18">
        <f>'Tkm, Vkm, &amp; Stock Projections'!AK23</f>
        <v>116.60492978476863</v>
      </c>
      <c r="AL33" s="18">
        <f>'Tkm, Vkm, &amp; Stock Projections'!AL23</f>
        <v>116.49571953438874</v>
      </c>
      <c r="AM33" s="18">
        <f>'Tkm, Vkm, &amp; Stock Projections'!AM23</f>
        <v>116.37652661967924</v>
      </c>
      <c r="AN33" s="18">
        <f>'Tkm, Vkm, &amp; Stock Projections'!AN23</f>
        <v>116.2566479167034</v>
      </c>
      <c r="AO33" s="18">
        <f>'Tkm, Vkm, &amp; Stock Projections'!AO23</f>
        <v>116.127158997202</v>
      </c>
      <c r="AP33" s="18">
        <f>'Tkm, Vkm, &amp; Stock Projections'!AP23</f>
        <v>115.99636915221015</v>
      </c>
      <c r="AQ33" s="18">
        <f>'Tkm, Vkm, &amp; Stock Projections'!AQ23</f>
        <v>116.13631611711401</v>
      </c>
      <c r="AR33" s="18">
        <f>'Tkm, Vkm, &amp; Stock Projections'!AR23</f>
        <v>116.27445411030965</v>
      </c>
      <c r="AS33" s="18">
        <f>'Tkm, Vkm, &amp; Stock Projections'!AS23</f>
        <v>116.41303701216677</v>
      </c>
      <c r="AT33" s="18">
        <f>'Tkm, Vkm, &amp; Stock Projections'!AT23</f>
        <v>116.5488952340821</v>
      </c>
      <c r="AU33" s="18">
        <f>'Tkm, Vkm, &amp; Stock Projections'!AU23</f>
        <v>116.68314172002624</v>
      </c>
      <c r="AV33" s="18">
        <f>'Tkm, Vkm, &amp; Stock Projections'!AV23</f>
        <v>116.81485405242751</v>
      </c>
      <c r="AW33" s="18">
        <f>'Tkm, Vkm, &amp; Stock Projections'!AW23</f>
        <v>116.94494793159291</v>
      </c>
      <c r="AX33" s="18">
        <f>'Tkm, Vkm, &amp; Stock Projections'!AX23</f>
        <v>117.07495096218031</v>
      </c>
      <c r="AY33" s="18">
        <f>'Tkm, Vkm, &amp; Stock Projections'!AY23</f>
        <v>117.2015181073138</v>
      </c>
      <c r="AZ33" s="18">
        <f>'Tkm, Vkm, &amp; Stock Projections'!AZ23</f>
        <v>117.3284013197439</v>
      </c>
      <c r="BA33" s="18">
        <f>'Tkm, Vkm, &amp; Stock Projections'!BA23</f>
        <v>117.4499737269125</v>
      </c>
      <c r="BB33" s="18">
        <f>'Tkm, Vkm, &amp; Stock Projections'!BB23</f>
        <v>117.57168879796608</v>
      </c>
      <c r="BC33" s="18">
        <f>'Tkm, Vkm, &amp; Stock Projections'!BC23</f>
        <v>117.69311681477726</v>
      </c>
      <c r="BD33" s="18">
        <f>'Tkm, Vkm, &amp; Stock Projections'!BD23</f>
        <v>117.81055862576689</v>
      </c>
      <c r="BE33" s="18">
        <f>'Tkm, Vkm, &amp; Stock Projections'!BE23</f>
        <v>117.92936358009746</v>
      </c>
      <c r="BI33" s="47"/>
    </row>
    <row r="34" spans="1:61">
      <c r="A34" s="4" t="s">
        <v>69</v>
      </c>
      <c r="B34" s="1">
        <f>'[5]Survey Summary'!B28</f>
        <v>175</v>
      </c>
      <c r="C34" s="1">
        <f>'[5]Survey Summary'!C28</f>
        <v>213</v>
      </c>
      <c r="D34" s="1">
        <f>'[5]Survey Summary'!D28</f>
        <v>225</v>
      </c>
      <c r="E34" s="1">
        <f>'[5]Survey Summary'!E28</f>
        <v>264</v>
      </c>
      <c r="F34" s="1">
        <f>'[5]Survey Summary'!F28</f>
        <v>239</v>
      </c>
      <c r="G34" s="1">
        <f>'[5]Survey Summary'!G28</f>
        <v>271</v>
      </c>
      <c r="H34" s="1">
        <f>'[5]Survey Summary'!H28</f>
        <v>270</v>
      </c>
      <c r="I34" s="1">
        <f>'[5]Survey Summary'!I28</f>
        <v>371</v>
      </c>
      <c r="J34" s="1">
        <f>'[5]Survey Summary'!J28</f>
        <v>410</v>
      </c>
      <c r="K34" s="1">
        <f>'[5]Survey Summary'!K28</f>
        <v>424</v>
      </c>
      <c r="L34" s="1">
        <f>'[5]Survey Summary'!L28</f>
        <v>433</v>
      </c>
      <c r="M34" s="1">
        <f>'[5]Survey Summary'!M28</f>
        <v>285</v>
      </c>
      <c r="N34" s="1">
        <f>'[5]Survey Summary'!N28</f>
        <v>298</v>
      </c>
      <c r="O34" s="1">
        <f>'[5]Survey Summary'!O28</f>
        <v>224</v>
      </c>
      <c r="P34" s="1">
        <f>'[5]Survey Summary'!P28</f>
        <v>158</v>
      </c>
      <c r="Q34" s="11">
        <f>'[5]Survey Summary'!Q28</f>
        <v>152</v>
      </c>
      <c r="R34" s="19">
        <f>[6]Summary!E6</f>
        <v>156</v>
      </c>
      <c r="S34" s="19">
        <f>[6]Summary!F6</f>
        <v>146</v>
      </c>
      <c r="T34" s="19">
        <f>[6]Summary!G6</f>
        <v>163</v>
      </c>
      <c r="U34" s="19">
        <f>[6]Summary!H6</f>
        <v>194</v>
      </c>
      <c r="V34" s="19">
        <f>[6]Summary!I6</f>
        <v>196</v>
      </c>
      <c r="W34" s="19">
        <f>[6]Summary!J6</f>
        <v>204</v>
      </c>
      <c r="X34" s="19">
        <f>[6]Summary!K6</f>
        <v>205</v>
      </c>
      <c r="Y34" s="19">
        <f>[6]Summary!L6</f>
        <v>220</v>
      </c>
      <c r="Z34" s="20">
        <f>[6]Summary!M6</f>
        <v>222</v>
      </c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I34" s="47">
        <f>(BE35-AA35)/AA35</f>
        <v>0.17151200193896982</v>
      </c>
    </row>
    <row r="35" spans="1:61">
      <c r="A35" s="4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1"/>
      <c r="R35" s="19"/>
      <c r="S35" s="19"/>
      <c r="T35" s="19"/>
      <c r="U35" s="19"/>
      <c r="V35" s="19"/>
      <c r="W35" s="19"/>
      <c r="X35" s="19"/>
      <c r="Y35" s="19"/>
      <c r="Z35" s="20">
        <f>Z34</f>
        <v>222</v>
      </c>
      <c r="AA35" s="18">
        <f>'Tkm, Vkm, &amp; Stock Projections'!AA24</f>
        <v>222</v>
      </c>
      <c r="AB35" s="18">
        <f>'Tkm, Vkm, &amp; Stock Projections'!AB24</f>
        <v>229.89226029832338</v>
      </c>
      <c r="AC35" s="18">
        <f>'Tkm, Vkm, &amp; Stock Projections'!AC24</f>
        <v>231.5658754150879</v>
      </c>
      <c r="AD35" s="18">
        <f>'Tkm, Vkm, &amp; Stock Projections'!AD24</f>
        <v>231.82801990402311</v>
      </c>
      <c r="AE35" s="18">
        <f>'Tkm, Vkm, &amp; Stock Projections'!AE24</f>
        <v>231.40806445729703</v>
      </c>
      <c r="AF35" s="18">
        <f>'Tkm, Vkm, &amp; Stock Projections'!AF24</f>
        <v>231.54314749492806</v>
      </c>
      <c r="AG35" s="18">
        <f>'Tkm, Vkm, &amp; Stock Projections'!AG24</f>
        <v>237.337044397895</v>
      </c>
      <c r="AH35" s="18">
        <f>'Tkm, Vkm, &amp; Stock Projections'!AH24</f>
        <v>240.50116788749673</v>
      </c>
      <c r="AI35" s="18">
        <f>'Tkm, Vkm, &amp; Stock Projections'!AI24</f>
        <v>243.45348848858998</v>
      </c>
      <c r="AJ35" s="18">
        <f>'Tkm, Vkm, &amp; Stock Projections'!AJ24</f>
        <v>246.76938147260546</v>
      </c>
      <c r="AK35" s="18">
        <f>'Tkm, Vkm, &amp; Stock Projections'!AK24</f>
        <v>250.44533489332474</v>
      </c>
      <c r="AL35" s="18">
        <f>'Tkm, Vkm, &amp; Stock Projections'!AL24</f>
        <v>251.02585360797406</v>
      </c>
      <c r="AM35" s="18">
        <f>'Tkm, Vkm, &amp; Stock Projections'!AM24</f>
        <v>251.57286626181633</v>
      </c>
      <c r="AN35" s="18">
        <f>'Tkm, Vkm, &amp; Stock Projections'!AN24</f>
        <v>252.11843071566315</v>
      </c>
      <c r="AO35" s="18">
        <f>'Tkm, Vkm, &amp; Stock Projections'!AO24</f>
        <v>252.63068869017908</v>
      </c>
      <c r="AP35" s="18">
        <f>'Tkm, Vkm, &amp; Stock Projections'!AP24</f>
        <v>253.13866474042928</v>
      </c>
      <c r="AQ35" s="18">
        <f>'Tkm, Vkm, &amp; Stock Projections'!AQ24</f>
        <v>253.64089694459489</v>
      </c>
      <c r="AR35" s="18">
        <f>'Tkm, Vkm, &amp; Stock Projections'!AR24</f>
        <v>254.13663723342012</v>
      </c>
      <c r="AS35" s="18">
        <f>'Tkm, Vkm, &amp; Stock Projections'!AS24</f>
        <v>254.63397418036405</v>
      </c>
      <c r="AT35" s="18">
        <f>'Tkm, Vkm, &amp; Stock Projections'!AT24</f>
        <v>255.121532980181</v>
      </c>
      <c r="AU35" s="18">
        <f>'Tkm, Vkm, &amp; Stock Projections'!AU24</f>
        <v>255.60330769093324</v>
      </c>
      <c r="AV35" s="18">
        <f>'Tkm, Vkm, &amp; Stock Projections'!AV24</f>
        <v>256.07598800281511</v>
      </c>
      <c r="AW35" s="18">
        <f>'Tkm, Vkm, &amp; Stock Projections'!AW24</f>
        <v>256.54286011916696</v>
      </c>
      <c r="AX35" s="18">
        <f>'Tkm, Vkm, &amp; Stock Projections'!AX24</f>
        <v>257.00940620428554</v>
      </c>
      <c r="AY35" s="18">
        <f>'Tkm, Vkm, &amp; Stock Projections'!AY24</f>
        <v>257.46362181602819</v>
      </c>
      <c r="AZ35" s="18">
        <f>'Tkm, Vkm, &amp; Stock Projections'!AZ24</f>
        <v>257.91897170871187</v>
      </c>
      <c r="BA35" s="18">
        <f>'Tkm, Vkm, &amp; Stock Projections'!BA24</f>
        <v>258.35526254259986</v>
      </c>
      <c r="BB35" s="18">
        <f>'Tkm, Vkm, &amp; Stock Projections'!BB24</f>
        <v>258.79206535899101</v>
      </c>
      <c r="BC35" s="18">
        <f>'Tkm, Vkm, &amp; Stock Projections'!BC24</f>
        <v>259.22783801452829</v>
      </c>
      <c r="BD35" s="18">
        <f>'Tkm, Vkm, &amp; Stock Projections'!BD24</f>
        <v>259.64930524416798</v>
      </c>
      <c r="BE35" s="18">
        <f>'Tkm, Vkm, &amp; Stock Projections'!BE24</f>
        <v>260.0756644304513</v>
      </c>
      <c r="BI35" s="47"/>
    </row>
    <row r="36" spans="1:61">
      <c r="A36" s="4" t="s">
        <v>70</v>
      </c>
      <c r="B36" s="1">
        <f>'[5]Survey Summary'!B29</f>
        <v>273</v>
      </c>
      <c r="C36" s="1">
        <f>'[5]Survey Summary'!C29</f>
        <v>313</v>
      </c>
      <c r="D36" s="1">
        <f>'[5]Survey Summary'!D29</f>
        <v>319</v>
      </c>
      <c r="E36" s="1">
        <f>'[5]Survey Summary'!E29</f>
        <v>391</v>
      </c>
      <c r="F36" s="1">
        <f>'[5]Survey Summary'!F29</f>
        <v>514</v>
      </c>
      <c r="G36" s="1">
        <f>'[5]Survey Summary'!G29</f>
        <v>584</v>
      </c>
      <c r="H36" s="1">
        <f>'[5]Survey Summary'!H29</f>
        <v>575</v>
      </c>
      <c r="I36" s="1">
        <f>'[5]Survey Summary'!I29</f>
        <v>644</v>
      </c>
      <c r="J36" s="1">
        <f>'[5]Survey Summary'!J29</f>
        <v>663</v>
      </c>
      <c r="K36" s="1">
        <f>'[5]Survey Summary'!K29</f>
        <v>700</v>
      </c>
      <c r="L36" s="1">
        <f>'[5]Survey Summary'!L29</f>
        <v>734</v>
      </c>
      <c r="M36" s="1">
        <f>'[5]Survey Summary'!M29</f>
        <v>758</v>
      </c>
      <c r="N36" s="1">
        <f>'[5]Survey Summary'!N29</f>
        <v>774</v>
      </c>
      <c r="O36" s="1">
        <f>'[5]Survey Summary'!O29</f>
        <v>577</v>
      </c>
      <c r="P36" s="1">
        <f>'[5]Survey Summary'!P29</f>
        <v>379</v>
      </c>
      <c r="Q36" s="11">
        <f>'[5]Survey Summary'!Q29</f>
        <v>350</v>
      </c>
      <c r="R36" s="19">
        <f>[6]Summary!E7</f>
        <v>235</v>
      </c>
      <c r="S36" s="19">
        <f>[6]Summary!F7</f>
        <v>210</v>
      </c>
      <c r="T36" s="19">
        <f>[6]Summary!G7</f>
        <v>263</v>
      </c>
      <c r="U36" s="19">
        <f>[6]Summary!H7</f>
        <v>316</v>
      </c>
      <c r="V36" s="19">
        <f>[6]Summary!I7</f>
        <v>354</v>
      </c>
      <c r="W36" s="19">
        <f>[6]Summary!J7</f>
        <v>366</v>
      </c>
      <c r="X36" s="19">
        <f>[6]Summary!K7</f>
        <v>365</v>
      </c>
      <c r="Y36" s="19">
        <f>[6]Summary!L7</f>
        <v>360</v>
      </c>
      <c r="Z36" s="20">
        <f>[6]Summary!M7</f>
        <v>356</v>
      </c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I36" s="47">
        <f>(BE37-AA37)/AA37</f>
        <v>6.241484525684874E-2</v>
      </c>
    </row>
    <row r="37" spans="1:61">
      <c r="A37" s="4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1"/>
      <c r="R37" s="19"/>
      <c r="S37" s="19"/>
      <c r="T37" s="19"/>
      <c r="U37" s="19"/>
      <c r="V37" s="19"/>
      <c r="W37" s="19"/>
      <c r="X37" s="19"/>
      <c r="Y37" s="19"/>
      <c r="Z37" s="20">
        <f>Z36</f>
        <v>356</v>
      </c>
      <c r="AA37" s="18">
        <f>'Tkm, Vkm, &amp; Stock Projections'!AA25</f>
        <v>356</v>
      </c>
      <c r="AB37" s="18">
        <f>'Tkm, Vkm, &amp; Stock Projections'!AB25</f>
        <v>365.19097759155483</v>
      </c>
      <c r="AC37" s="18">
        <f>'Tkm, Vkm, &amp; Stock Projections'!AC25</f>
        <v>360.65808747864384</v>
      </c>
      <c r="AD37" s="18">
        <f>'Tkm, Vkm, &amp; Stock Projections'!AD25</f>
        <v>353.35858483741754</v>
      </c>
      <c r="AE37" s="18">
        <f>'Tkm, Vkm, &amp; Stock Projections'!AE25</f>
        <v>344.98976547657611</v>
      </c>
      <c r="AF37" s="18">
        <f>'Tkm, Vkm, &amp; Stock Projections'!AF25</f>
        <v>337.97036665607988</v>
      </c>
      <c r="AG37" s="18">
        <f>'Tkm, Vkm, &amp; Stock Projections'!AG25</f>
        <v>346.0519880179001</v>
      </c>
      <c r="AH37" s="18">
        <f>'Tkm, Vkm, &amp; Stock Projections'!AH25</f>
        <v>349.15627806359788</v>
      </c>
      <c r="AI37" s="18">
        <f>'Tkm, Vkm, &amp; Stock Projections'!AI25</f>
        <v>351.77289713626368</v>
      </c>
      <c r="AJ37" s="18">
        <f>'Tkm, Vkm, &amp; Stock Projections'!AJ25</f>
        <v>354.93028874347829</v>
      </c>
      <c r="AK37" s="18">
        <f>'Tkm, Vkm, &amp; Stock Projections'!AK25</f>
        <v>358.60037605518886</v>
      </c>
      <c r="AL37" s="18">
        <f>'Tkm, Vkm, &amp; Stock Projections'!AL25</f>
        <v>356.83575153912983</v>
      </c>
      <c r="AM37" s="18">
        <f>'Tkm, Vkm, &amp; Stock Projections'!AM25</f>
        <v>355.02402064134395</v>
      </c>
      <c r="AN37" s="18">
        <f>'Tkm, Vkm, &amp; Stock Projections'!AN25</f>
        <v>353.22096255450396</v>
      </c>
      <c r="AO37" s="18">
        <f>'Tkm, Vkm, &amp; Stock Projections'!AO25</f>
        <v>351.37406574858437</v>
      </c>
      <c r="AP37" s="18">
        <f>'Tkm, Vkm, &amp; Stock Projections'!AP25</f>
        <v>349.53273024991364</v>
      </c>
      <c r="AQ37" s="18">
        <f>'Tkm, Vkm, &amp; Stock Projections'!AQ25</f>
        <v>351.41710860870984</v>
      </c>
      <c r="AR37" s="18">
        <f>'Tkm, Vkm, &amp; Stock Projections'!AR25</f>
        <v>353.3043995792828</v>
      </c>
      <c r="AS37" s="18">
        <f>'Tkm, Vkm, &amp; Stock Projections'!AS25</f>
        <v>355.20792060371735</v>
      </c>
      <c r="AT37" s="18">
        <f>'Tkm, Vkm, &amp; Stock Projections'!AT25</f>
        <v>357.10887642561664</v>
      </c>
      <c r="AU37" s="18">
        <f>'Tkm, Vkm, &amp; Stock Projections'!AU25</f>
        <v>359.01378966114549</v>
      </c>
      <c r="AV37" s="18">
        <f>'Tkm, Vkm, &amp; Stock Projections'!AV25</f>
        <v>360.91704070816058</v>
      </c>
      <c r="AW37" s="18">
        <f>'Tkm, Vkm, &amp; Stock Projections'!AW25</f>
        <v>362.8240379757105</v>
      </c>
      <c r="AX37" s="18">
        <f>'Tkm, Vkm, &amp; Stock Projections'!AX25</f>
        <v>364.74402702243208</v>
      </c>
      <c r="AY37" s="18">
        <f>'Tkm, Vkm, &amp; Stock Projections'!AY25</f>
        <v>366.65660910892456</v>
      </c>
      <c r="AZ37" s="18">
        <f>'Tkm, Vkm, &amp; Stock Projections'!AZ25</f>
        <v>368.58464055343126</v>
      </c>
      <c r="BA37" s="18">
        <f>'Tkm, Vkm, &amp; Stock Projections'!BA25</f>
        <v>370.49344321128609</v>
      </c>
      <c r="BB37" s="18">
        <f>'Tkm, Vkm, &amp; Stock Projections'!BB25</f>
        <v>372.41650219101319</v>
      </c>
      <c r="BC37" s="18">
        <f>'Tkm, Vkm, &amp; Stock Projections'!BC25</f>
        <v>374.3512330057543</v>
      </c>
      <c r="BD37" s="18">
        <f>'Tkm, Vkm, &amp; Stock Projections'!BD25</f>
        <v>376.27447437032345</v>
      </c>
      <c r="BE37" s="18">
        <f>'Tkm, Vkm, &amp; Stock Projections'!BE25</f>
        <v>378.21968491143815</v>
      </c>
      <c r="BI37" s="47"/>
    </row>
    <row r="38" spans="1:61">
      <c r="A38" s="4" t="s">
        <v>71</v>
      </c>
      <c r="B38" s="1">
        <f>'[5]Survey Summary'!B30</f>
        <v>105</v>
      </c>
      <c r="C38" s="1">
        <f>'[5]Survey Summary'!C30</f>
        <v>118</v>
      </c>
      <c r="D38" s="1">
        <f>'[5]Survey Summary'!D30</f>
        <v>141</v>
      </c>
      <c r="E38" s="1">
        <f>'[5]Survey Summary'!E30</f>
        <v>172</v>
      </c>
      <c r="F38" s="1">
        <f>'[5]Survey Summary'!F30</f>
        <v>233</v>
      </c>
      <c r="G38" s="1">
        <f>'[5]Survey Summary'!G30</f>
        <v>321</v>
      </c>
      <c r="H38" s="1">
        <f>'[5]Survey Summary'!H30</f>
        <v>327</v>
      </c>
      <c r="I38" s="1">
        <f>'[5]Survey Summary'!I30</f>
        <v>382</v>
      </c>
      <c r="J38" s="1">
        <f>'[5]Survey Summary'!J30</f>
        <v>459</v>
      </c>
      <c r="K38" s="1">
        <f>'[5]Survey Summary'!K30</f>
        <v>510</v>
      </c>
      <c r="L38" s="1">
        <f>'[5]Survey Summary'!L30</f>
        <v>564</v>
      </c>
      <c r="M38" s="1">
        <f>'[5]Survey Summary'!M30</f>
        <v>662</v>
      </c>
      <c r="N38" s="1">
        <f>'[5]Survey Summary'!N30</f>
        <v>714</v>
      </c>
      <c r="O38" s="1">
        <f>'[5]Survey Summary'!O30</f>
        <v>732</v>
      </c>
      <c r="P38" s="1">
        <f>'[5]Survey Summary'!P30</f>
        <v>527</v>
      </c>
      <c r="Q38" s="11">
        <f>'[5]Survey Summary'!Q30</f>
        <v>510</v>
      </c>
      <c r="R38" s="19">
        <f>[6]Summary!E8</f>
        <v>378</v>
      </c>
      <c r="S38" s="19">
        <f>[6]Summary!F8</f>
        <v>355</v>
      </c>
      <c r="T38" s="19">
        <f>[6]Summary!G8</f>
        <v>454</v>
      </c>
      <c r="U38" s="19">
        <f>[6]Summary!H8</f>
        <v>574</v>
      </c>
      <c r="V38" s="19">
        <f>[6]Summary!I8</f>
        <v>604</v>
      </c>
      <c r="W38" s="19">
        <f>[6]Summary!J8</f>
        <v>662</v>
      </c>
      <c r="X38" s="19">
        <f>[6]Summary!K8</f>
        <v>728</v>
      </c>
      <c r="Y38" s="19">
        <f>[6]Summary!L8</f>
        <v>780</v>
      </c>
      <c r="Z38" s="20">
        <f>[6]Summary!M8</f>
        <v>830</v>
      </c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I38" s="47">
        <f>(BE39-AA39)/AA39</f>
        <v>0.97032740288401131</v>
      </c>
    </row>
    <row r="39" spans="1:61" ht="16" thickBot="1">
      <c r="A39" s="4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9"/>
      <c r="S39" s="19"/>
      <c r="T39" s="19"/>
      <c r="U39" s="19"/>
      <c r="V39" s="19"/>
      <c r="W39" s="19"/>
      <c r="X39" s="19"/>
      <c r="Y39" s="19"/>
      <c r="Z39" s="19">
        <f>Z38</f>
        <v>830</v>
      </c>
      <c r="AA39" s="18">
        <f>'Tkm, Vkm, &amp; Stock Projections'!AA26</f>
        <v>830</v>
      </c>
      <c r="AB39" s="18">
        <f>'Tkm, Vkm, &amp; Stock Projections'!AB26</f>
        <v>911.28999791932802</v>
      </c>
      <c r="AC39" s="18">
        <f>'Tkm, Vkm, &amp; Stock Projections'!AC26</f>
        <v>948.48172557074236</v>
      </c>
      <c r="AD39" s="18">
        <f>'Tkm, Vkm, &amp; Stock Projections'!AD26</f>
        <v>975.88319851474034</v>
      </c>
      <c r="AE39" s="18">
        <f>'Tkm, Vkm, &amp; Stock Projections'!AE26</f>
        <v>998.54677539197655</v>
      </c>
      <c r="AF39" s="18">
        <f>'Tkm, Vkm, &amp; Stock Projections'!AF26</f>
        <v>1026.5063820246096</v>
      </c>
      <c r="AG39" s="18">
        <f>'Tkm, Vkm, &amp; Stock Projections'!AG26</f>
        <v>1087.8585391993502</v>
      </c>
      <c r="AH39" s="18">
        <f>'Tkm, Vkm, &amp; Stock Projections'!AH26</f>
        <v>1127.6907013932494</v>
      </c>
      <c r="AI39" s="18">
        <f>'Tkm, Vkm, &amp; Stock Projections'!AI26</f>
        <v>1166.4988992258341</v>
      </c>
      <c r="AJ39" s="18">
        <f>'Tkm, Vkm, &amp; Stock Projections'!AJ26</f>
        <v>1209.3675640219647</v>
      </c>
      <c r="AK39" s="18">
        <f>'Tkm, Vkm, &amp; Stock Projections'!AK26</f>
        <v>1256.4013013477938</v>
      </c>
      <c r="AL39" s="18">
        <f>'Tkm, Vkm, &amp; Stock Projections'!AL26</f>
        <v>1276.0925396792579</v>
      </c>
      <c r="AM39" s="18">
        <f>'Tkm, Vkm, &amp; Stock Projections'!AM26</f>
        <v>1295.7864583603334</v>
      </c>
      <c r="AN39" s="18">
        <f>'Tkm, Vkm, &amp; Stock Projections'!AN26</f>
        <v>1315.7771347598934</v>
      </c>
      <c r="AO39" s="18">
        <f>'Tkm, Vkm, &amp; Stock Projections'!AO26</f>
        <v>1335.7658730364126</v>
      </c>
      <c r="AP39" s="18">
        <f>'Tkm, Vkm, &amp; Stock Projections'!AP26</f>
        <v>1356.0249059879047</v>
      </c>
      <c r="AQ39" s="18">
        <f>'Tkm, Vkm, &amp; Stock Projections'!AQ26</f>
        <v>1373.4378802721708</v>
      </c>
      <c r="AR39" s="18">
        <f>'Tkm, Vkm, &amp; Stock Projections'!AR26</f>
        <v>1391.0111819593346</v>
      </c>
      <c r="AS39" s="18">
        <f>'Tkm, Vkm, &amp; Stock Projections'!AS26</f>
        <v>1408.8258654307838</v>
      </c>
      <c r="AT39" s="18">
        <f>'Tkm, Vkm, &amp; Stock Projections'!AT26</f>
        <v>1426.7712050385403</v>
      </c>
      <c r="AU39" s="18">
        <f>'Tkm, Vkm, &amp; Stock Projections'!AU26</f>
        <v>1444.8874608028086</v>
      </c>
      <c r="AV39" s="18">
        <f>'Tkm, Vkm, &amp; Stock Projections'!AV26</f>
        <v>1463.1418320931086</v>
      </c>
      <c r="AW39" s="18">
        <f>'Tkm, Vkm, &amp; Stock Projections'!AW26</f>
        <v>1481.5682574325876</v>
      </c>
      <c r="AX39" s="18">
        <f>'Tkm, Vkm, &amp; Stock Projections'!AX26</f>
        <v>1500.2249148544188</v>
      </c>
      <c r="AY39" s="18">
        <f>'Tkm, Vkm, &amp; Stock Projections'!AY26</f>
        <v>1518.9881004713284</v>
      </c>
      <c r="AZ39" s="18">
        <f>'Tkm, Vkm, &amp; Stock Projections'!AZ26</f>
        <v>1538.000008127505</v>
      </c>
      <c r="BA39" s="18">
        <f>'Tkm, Vkm, &amp; Stock Projections'!BA26</f>
        <v>1557.0468812261645</v>
      </c>
      <c r="BB39" s="18">
        <f>'Tkm, Vkm, &amp; Stock Projections'!BB26</f>
        <v>1576.3378528802407</v>
      </c>
      <c r="BC39" s="18">
        <f>'Tkm, Vkm, &amp; Stock Projections'!BC26</f>
        <v>1595.8590561227927</v>
      </c>
      <c r="BD39" s="18">
        <f>'Tkm, Vkm, &amp; Stock Projections'!BD26</f>
        <v>1615.4660666661021</v>
      </c>
      <c r="BE39" s="18">
        <f>'Tkm, Vkm, &amp; Stock Projections'!BE26</f>
        <v>1635.3717443937294</v>
      </c>
      <c r="BI39" s="47"/>
    </row>
    <row r="40" spans="1:61" ht="17" thickTop="1" thickBot="1">
      <c r="A40" s="6" t="s">
        <v>29</v>
      </c>
      <c r="B40" s="7">
        <f t="shared" ref="B40:U40" si="6">SUM(B30:B38)</f>
        <v>974</v>
      </c>
      <c r="C40" s="7">
        <f t="shared" si="6"/>
        <v>1175</v>
      </c>
      <c r="D40" s="7">
        <f t="shared" si="6"/>
        <v>1208</v>
      </c>
      <c r="E40" s="7">
        <f t="shared" si="6"/>
        <v>1343</v>
      </c>
      <c r="F40" s="7">
        <f t="shared" si="6"/>
        <v>1452</v>
      </c>
      <c r="G40" s="7">
        <f t="shared" si="6"/>
        <v>1656</v>
      </c>
      <c r="H40" s="7">
        <f t="shared" si="6"/>
        <v>1668</v>
      </c>
      <c r="I40" s="7">
        <f t="shared" si="6"/>
        <v>1972</v>
      </c>
      <c r="J40" s="7">
        <f t="shared" si="6"/>
        <v>2142</v>
      </c>
      <c r="K40" s="7">
        <f t="shared" si="6"/>
        <v>2342</v>
      </c>
      <c r="L40" s="7">
        <f t="shared" si="6"/>
        <v>2567</v>
      </c>
      <c r="M40" s="7">
        <f t="shared" si="6"/>
        <v>2523</v>
      </c>
      <c r="N40" s="7">
        <f t="shared" si="6"/>
        <v>2663</v>
      </c>
      <c r="O40" s="7">
        <f t="shared" si="6"/>
        <v>2207</v>
      </c>
      <c r="P40" s="7">
        <f t="shared" si="6"/>
        <v>1580</v>
      </c>
      <c r="Q40" s="7">
        <f t="shared" si="6"/>
        <v>1457</v>
      </c>
      <c r="R40" s="7">
        <f t="shared" si="6"/>
        <v>2233</v>
      </c>
      <c r="S40" s="7">
        <f t="shared" si="6"/>
        <v>2075</v>
      </c>
      <c r="T40" s="7">
        <f t="shared" si="6"/>
        <v>2225</v>
      </c>
      <c r="U40" s="7">
        <f t="shared" si="6"/>
        <v>2640</v>
      </c>
      <c r="V40" s="7">
        <f>SUM(V30:V38)</f>
        <v>2829</v>
      </c>
      <c r="W40" s="7">
        <f t="shared" ref="W40:Y40" si="7">SUM(W30:W38)</f>
        <v>2977</v>
      </c>
      <c r="X40" s="7">
        <f t="shared" si="7"/>
        <v>3353</v>
      </c>
      <c r="Y40" s="7">
        <f t="shared" si="7"/>
        <v>3571</v>
      </c>
      <c r="Z40" s="7">
        <f>SUM(Z30,Z32,Z34,Z36,Z38)</f>
        <v>3785</v>
      </c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I40" s="47">
        <f>(BE41-AA41)/AA41</f>
        <v>1.0388344818737052</v>
      </c>
    </row>
    <row r="41" spans="1:61" ht="17" thickTop="1" thickBot="1">
      <c r="A41" s="1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>
        <f>V40-V30</f>
        <v>1277</v>
      </c>
      <c r="W41" s="1"/>
      <c r="X41" s="1"/>
      <c r="Y41" s="1"/>
      <c r="Z41" s="1"/>
      <c r="AA41" s="7">
        <f>SUM(AA31:AA39)</f>
        <v>3785</v>
      </c>
      <c r="AB41" s="7">
        <f t="shared" ref="AB41:BD41" si="8">SUM(AB31:AB39)</f>
        <v>4222.1062452035703</v>
      </c>
      <c r="AC41" s="7">
        <f t="shared" si="8"/>
        <v>4376.8755313566053</v>
      </c>
      <c r="AD41" s="7">
        <f t="shared" si="8"/>
        <v>4470.3326905502436</v>
      </c>
      <c r="AE41" s="7">
        <f t="shared" si="8"/>
        <v>4535.4824199339782</v>
      </c>
      <c r="AF41" s="7">
        <f t="shared" si="8"/>
        <v>4632.9243903146198</v>
      </c>
      <c r="AG41" s="7">
        <f t="shared" si="8"/>
        <v>4968.9030499433538</v>
      </c>
      <c r="AH41" s="7">
        <f t="shared" si="8"/>
        <v>5176.1421592956649</v>
      </c>
      <c r="AI41" s="7">
        <f t="shared" si="8"/>
        <v>5376.0455355378763</v>
      </c>
      <c r="AJ41" s="7">
        <f t="shared" si="8"/>
        <v>5598.3021538766661</v>
      </c>
      <c r="AK41" s="7">
        <f t="shared" si="8"/>
        <v>5843.2837171142346</v>
      </c>
      <c r="AL41" s="7">
        <f t="shared" si="8"/>
        <v>5929.2397008016496</v>
      </c>
      <c r="AM41" s="7">
        <f t="shared" si="8"/>
        <v>6015.0672640157418</v>
      </c>
      <c r="AN41" s="7">
        <f t="shared" si="8"/>
        <v>6102.4704786183147</v>
      </c>
      <c r="AO41" s="7">
        <f t="shared" si="8"/>
        <v>6189.7520467689319</v>
      </c>
      <c r="AP41" s="7">
        <f t="shared" si="8"/>
        <v>6278.4790331577242</v>
      </c>
      <c r="AQ41" s="7">
        <f t="shared" si="8"/>
        <v>6368.5857791456092</v>
      </c>
      <c r="AR41" s="7">
        <f t="shared" si="8"/>
        <v>6459.4507383257314</v>
      </c>
      <c r="AS41" s="7">
        <f t="shared" si="8"/>
        <v>6551.5317781278491</v>
      </c>
      <c r="AT41" s="7">
        <f t="shared" si="8"/>
        <v>6644.202040991122</v>
      </c>
      <c r="AU41" s="7">
        <f t="shared" si="8"/>
        <v>6737.6889821022687</v>
      </c>
      <c r="AV41" s="7">
        <f t="shared" si="8"/>
        <v>6831.8075578673261</v>
      </c>
      <c r="AW41" s="7">
        <f t="shared" si="8"/>
        <v>6926.7490541068964</v>
      </c>
      <c r="AX41" s="7">
        <f t="shared" si="8"/>
        <v>7022.8401248307637</v>
      </c>
      <c r="AY41" s="7">
        <f t="shared" si="8"/>
        <v>7119.3851193048413</v>
      </c>
      <c r="AZ41" s="7">
        <f t="shared" si="8"/>
        <v>7217.1823254420488</v>
      </c>
      <c r="BA41" s="7">
        <f t="shared" si="8"/>
        <v>7315.0330514332836</v>
      </c>
      <c r="BB41" s="7">
        <f t="shared" si="8"/>
        <v>7414.1096866150338</v>
      </c>
      <c r="BC41" s="7">
        <f t="shared" si="8"/>
        <v>7514.3333595512804</v>
      </c>
      <c r="BD41" s="7">
        <f t="shared" si="8"/>
        <v>7614.8967846123824</v>
      </c>
      <c r="BE41" s="7">
        <f>SUM(BE31:BE39)</f>
        <v>7716.9885138919744</v>
      </c>
    </row>
    <row r="42" spans="1:61" ht="14.5" customHeight="1">
      <c r="A42" s="145" t="s">
        <v>113</v>
      </c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B42" s="26"/>
      <c r="AK42" s="26">
        <f>(AK41-AA41)/AA41</f>
        <v>0.54380018946214914</v>
      </c>
      <c r="AP42" s="26">
        <f>(AP41-V40)/V40</f>
        <v>1.2193280428270499</v>
      </c>
    </row>
    <row r="43" spans="1:61" ht="27.5" hidden="1" customHeight="1">
      <c r="A43" s="34" t="s">
        <v>147</v>
      </c>
      <c r="B43" s="2">
        <v>2000</v>
      </c>
      <c r="C43" s="2">
        <v>2001</v>
      </c>
      <c r="D43" s="2">
        <v>2002</v>
      </c>
      <c r="E43" s="2">
        <v>2003</v>
      </c>
      <c r="F43" s="2">
        <v>2004</v>
      </c>
      <c r="G43" s="2">
        <v>2005</v>
      </c>
      <c r="H43" s="2">
        <v>2006</v>
      </c>
      <c r="I43" s="2">
        <v>2007</v>
      </c>
      <c r="J43" s="2">
        <v>2008</v>
      </c>
      <c r="K43" s="2">
        <v>2009</v>
      </c>
      <c r="L43" s="2">
        <v>2010</v>
      </c>
      <c r="M43" s="2">
        <v>2011</v>
      </c>
      <c r="N43" s="2">
        <v>2012</v>
      </c>
      <c r="O43" s="2">
        <v>2013</v>
      </c>
      <c r="P43" s="2">
        <v>2014</v>
      </c>
      <c r="Q43" s="2">
        <v>2015</v>
      </c>
      <c r="R43" s="2">
        <v>2016</v>
      </c>
      <c r="S43" s="2">
        <v>2017</v>
      </c>
      <c r="T43" s="2">
        <v>2018</v>
      </c>
      <c r="U43" s="2">
        <v>2019</v>
      </c>
      <c r="V43" s="2">
        <v>2020</v>
      </c>
      <c r="W43" s="2">
        <v>2021</v>
      </c>
      <c r="X43" s="2">
        <v>2022</v>
      </c>
      <c r="Y43" s="2">
        <v>2023</v>
      </c>
      <c r="Z43" s="2">
        <v>2024</v>
      </c>
      <c r="AA43" s="2">
        <v>2025</v>
      </c>
      <c r="AB43" s="26"/>
      <c r="AC43" s="2">
        <v>2027</v>
      </c>
      <c r="AD43" s="2">
        <v>2028</v>
      </c>
      <c r="AE43" s="2">
        <v>2029</v>
      </c>
      <c r="AF43" s="2">
        <v>2030</v>
      </c>
      <c r="AG43" s="2">
        <v>2031</v>
      </c>
      <c r="AH43" s="2">
        <v>2032</v>
      </c>
      <c r="AI43" s="2">
        <v>2033</v>
      </c>
      <c r="AJ43" s="2">
        <v>2034</v>
      </c>
      <c r="AK43" s="2">
        <v>2035</v>
      </c>
      <c r="AL43" s="2">
        <v>2036</v>
      </c>
      <c r="AM43" s="2">
        <v>2037</v>
      </c>
      <c r="AN43" s="2">
        <v>2038</v>
      </c>
      <c r="AO43" s="2">
        <v>2039</v>
      </c>
      <c r="AP43" s="2">
        <v>2040</v>
      </c>
      <c r="AQ43" s="2">
        <v>2041</v>
      </c>
      <c r="AR43" s="2">
        <v>2042</v>
      </c>
      <c r="AS43" s="2">
        <v>2043</v>
      </c>
      <c r="AT43" s="2">
        <v>2044</v>
      </c>
      <c r="AU43" s="2">
        <v>2045</v>
      </c>
      <c r="AV43" s="2">
        <v>2046</v>
      </c>
      <c r="AW43" s="2">
        <v>2047</v>
      </c>
      <c r="AX43" s="2">
        <v>2048</v>
      </c>
      <c r="AY43" s="2">
        <v>2049</v>
      </c>
      <c r="AZ43" s="3">
        <v>2050</v>
      </c>
      <c r="BA43" s="1"/>
      <c r="BB43" s="1"/>
      <c r="BC43" s="1"/>
      <c r="BD43" s="1"/>
      <c r="BE43" s="5"/>
    </row>
    <row r="44" spans="1:61" s="30" customFormat="1" ht="16" hidden="1">
      <c r="A44" s="32" t="s">
        <v>67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>
        <f t="shared" ref="O44:Z44" si="9">O126*O73/1000000</f>
        <v>1389.1318731999997</v>
      </c>
      <c r="P44" s="29">
        <f t="shared" si="9"/>
        <v>1509.9998250000001</v>
      </c>
      <c r="Q44" s="29">
        <f t="shared" si="9"/>
        <v>1320.3165061666668</v>
      </c>
      <c r="R44" s="29">
        <f t="shared" si="9"/>
        <v>1316.3903419999999</v>
      </c>
      <c r="S44" s="29">
        <f t="shared" si="9"/>
        <v>1234.2170610000001</v>
      </c>
      <c r="T44" s="29">
        <f t="shared" si="9"/>
        <v>1237.5966960000001</v>
      </c>
      <c r="U44" s="29">
        <f t="shared" si="9"/>
        <v>1431.7822719999999</v>
      </c>
      <c r="V44" s="29">
        <f t="shared" si="9"/>
        <v>1552.160568</v>
      </c>
      <c r="W44" s="29">
        <f t="shared" si="9"/>
        <v>1621.534357</v>
      </c>
      <c r="X44" s="29">
        <f t="shared" si="9"/>
        <v>1942.3621250000001</v>
      </c>
      <c r="Y44" s="29">
        <f t="shared" si="9"/>
        <v>2098.148909</v>
      </c>
      <c r="Z44" s="29">
        <f t="shared" si="9"/>
        <v>2266.313533</v>
      </c>
      <c r="AA44" s="29"/>
      <c r="AB44" s="26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31"/>
    </row>
    <row r="45" spans="1:61" ht="16" hidden="1">
      <c r="A45" s="22" t="s">
        <v>68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f t="shared" ref="O45:Z45" si="10">O127*O74/1000000</f>
        <v>141.23649399999999</v>
      </c>
      <c r="P45" s="1">
        <f t="shared" si="10"/>
        <v>143.6391650909091</v>
      </c>
      <c r="Q45" s="1">
        <f t="shared" si="10"/>
        <v>118.28714100000001</v>
      </c>
      <c r="R45" s="1">
        <f t="shared" si="10"/>
        <v>108.25937500000001</v>
      </c>
      <c r="S45" s="1">
        <f t="shared" si="10"/>
        <v>96.053250000000006</v>
      </c>
      <c r="T45" s="1">
        <f t="shared" si="10"/>
        <v>107.359483</v>
      </c>
      <c r="U45" s="1">
        <f t="shared" si="10"/>
        <v>124.41925999999999</v>
      </c>
      <c r="V45" s="1">
        <f t="shared" si="10"/>
        <v>122.998428</v>
      </c>
      <c r="W45" s="1">
        <f t="shared" si="10"/>
        <v>122.7842</v>
      </c>
      <c r="X45" s="1">
        <f t="shared" si="10"/>
        <v>112.61951999999999</v>
      </c>
      <c r="Y45" s="1">
        <f t="shared" si="10"/>
        <v>112.98244</v>
      </c>
      <c r="Z45" s="1">
        <f t="shared" si="10"/>
        <v>111.29517199999999</v>
      </c>
      <c r="AA45" s="1"/>
      <c r="AB45" s="26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5"/>
    </row>
    <row r="46" spans="1:61" ht="16" hidden="1">
      <c r="A46" s="22" t="s">
        <v>69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N46" s="1"/>
      <c r="O46" s="1">
        <f t="shared" ref="O46:Z46" si="11">O128*O75/1000000</f>
        <v>215.3814624</v>
      </c>
      <c r="P46" s="1">
        <f t="shared" si="11"/>
        <v>200.97124254545454</v>
      </c>
      <c r="Q46" s="1">
        <f t="shared" si="11"/>
        <v>163.44042825</v>
      </c>
      <c r="R46" s="1">
        <f t="shared" si="11"/>
        <v>154.67951569230772</v>
      </c>
      <c r="S46" s="1">
        <f t="shared" si="11"/>
        <v>144.161125</v>
      </c>
      <c r="T46" s="1">
        <f t="shared" si="11"/>
        <v>163.479952</v>
      </c>
      <c r="U46" s="1">
        <f t="shared" si="11"/>
        <v>193.72394399999999</v>
      </c>
      <c r="V46" s="1">
        <f t="shared" si="11"/>
        <v>195.66636</v>
      </c>
      <c r="W46" s="1">
        <f t="shared" si="11"/>
        <v>204.03454500000001</v>
      </c>
      <c r="X46" s="1">
        <f t="shared" si="11"/>
        <v>204.72825599999999</v>
      </c>
      <c r="Y46" s="1">
        <f t="shared" si="11"/>
        <v>220.20504600000001</v>
      </c>
      <c r="Z46" s="1">
        <f t="shared" si="11"/>
        <v>222.06441799999999</v>
      </c>
      <c r="AA46" s="1"/>
      <c r="AB46" s="26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5"/>
    </row>
    <row r="47" spans="1:61" ht="16" hidden="1">
      <c r="A47" s="22" t="s">
        <v>70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f t="shared" ref="O47:Z47" si="12">O129*O76/1000000</f>
        <v>445.67135340000004</v>
      </c>
      <c r="P47" s="1">
        <f t="shared" si="12"/>
        <v>324.47240699999998</v>
      </c>
      <c r="Q47" s="1">
        <f t="shared" si="12"/>
        <v>262.89910666666668</v>
      </c>
      <c r="R47" s="1">
        <f t="shared" si="12"/>
        <v>231.87576461538461</v>
      </c>
      <c r="S47" s="1">
        <f t="shared" si="12"/>
        <v>207.88865799999999</v>
      </c>
      <c r="T47" s="1">
        <f t="shared" si="12"/>
        <v>262.70524799999998</v>
      </c>
      <c r="U47" s="1">
        <f t="shared" si="12"/>
        <v>316.40085399999998</v>
      </c>
      <c r="V47" s="1">
        <f t="shared" si="12"/>
        <v>354.35748599999999</v>
      </c>
      <c r="W47" s="1">
        <f t="shared" si="12"/>
        <v>365.87080200000003</v>
      </c>
      <c r="X47" s="1">
        <f t="shared" si="12"/>
        <v>365.36752000000001</v>
      </c>
      <c r="Y47" s="1">
        <f t="shared" si="12"/>
        <v>359.94271600000002</v>
      </c>
      <c r="Z47" s="1">
        <f t="shared" si="12"/>
        <v>21.097985000000001</v>
      </c>
      <c r="AA47" s="1"/>
      <c r="AB47" s="26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5"/>
    </row>
    <row r="48" spans="1:61" ht="16" hidden="1">
      <c r="A48" s="22" t="s">
        <v>71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f t="shared" ref="O48:Z48" si="13">O130*O77/1000000</f>
        <v>576.44720489999997</v>
      </c>
      <c r="P48" s="1">
        <f t="shared" si="13"/>
        <v>472.57518545454542</v>
      </c>
      <c r="Q48" s="1">
        <f t="shared" si="13"/>
        <v>379.13031216666661</v>
      </c>
      <c r="R48" s="1">
        <f t="shared" si="13"/>
        <v>371.99483569230767</v>
      </c>
      <c r="S48" s="1">
        <f t="shared" si="13"/>
        <v>347.71419200000003</v>
      </c>
      <c r="T48" s="1">
        <f t="shared" si="13"/>
        <v>454.05948000000001</v>
      </c>
      <c r="U48" s="1">
        <f t="shared" si="13"/>
        <v>573.99907399999995</v>
      </c>
      <c r="V48" s="1">
        <f t="shared" si="13"/>
        <v>603.74274000000003</v>
      </c>
      <c r="W48" s="1">
        <f t="shared" si="13"/>
        <v>661.86215200000004</v>
      </c>
      <c r="X48" s="1">
        <f t="shared" si="13"/>
        <v>727.67027199999995</v>
      </c>
      <c r="Y48" s="1">
        <f t="shared" si="13"/>
        <v>779.60716600000001</v>
      </c>
      <c r="Z48" s="1">
        <f t="shared" si="13"/>
        <v>841.20857100000001</v>
      </c>
      <c r="AA48" s="1"/>
      <c r="AB48" s="26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5"/>
    </row>
    <row r="49" spans="1:61" ht="17" hidden="1" thickBot="1">
      <c r="A49" s="23" t="s">
        <v>29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f t="shared" ref="O49:Z49" si="14">SUM(O45:O48)</f>
        <v>1378.7365147</v>
      </c>
      <c r="P49" s="1">
        <f t="shared" si="14"/>
        <v>1141.6580000909091</v>
      </c>
      <c r="Q49" s="1">
        <f t="shared" si="14"/>
        <v>923.75698808333334</v>
      </c>
      <c r="R49" s="1">
        <f t="shared" si="14"/>
        <v>866.80949099999998</v>
      </c>
      <c r="S49" s="1">
        <f t="shared" si="14"/>
        <v>795.81722500000001</v>
      </c>
      <c r="T49" s="1">
        <f t="shared" si="14"/>
        <v>987.60416299999997</v>
      </c>
      <c r="U49" s="1">
        <f t="shared" si="14"/>
        <v>1208.5431319999998</v>
      </c>
      <c r="V49" s="1">
        <f t="shared" si="14"/>
        <v>1276.7650140000001</v>
      </c>
      <c r="W49" s="1">
        <f t="shared" si="14"/>
        <v>1354.5516990000001</v>
      </c>
      <c r="X49" s="1">
        <f t="shared" si="14"/>
        <v>1410.3855679999999</v>
      </c>
      <c r="Y49" s="1">
        <f t="shared" si="14"/>
        <v>1472.7373680000001</v>
      </c>
      <c r="Z49" s="1">
        <f t="shared" si="14"/>
        <v>1195.666146</v>
      </c>
      <c r="AA49" s="1"/>
      <c r="AB49" s="26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5"/>
    </row>
    <row r="50" spans="1:61" hidden="1">
      <c r="A50" s="16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26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5"/>
    </row>
    <row r="51" spans="1:61" ht="14.5" hidden="1" customHeight="1">
      <c r="A51" s="142" t="s">
        <v>148</v>
      </c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B51" s="26"/>
    </row>
    <row r="52" spans="1:61" ht="15" hidden="1" customHeight="1" thickBot="1">
      <c r="A52" s="143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B52" s="26"/>
    </row>
    <row r="53" spans="1:61" ht="28.75" hidden="1" customHeight="1">
      <c r="A53" s="27" t="s">
        <v>121</v>
      </c>
      <c r="B53" s="9">
        <v>1995</v>
      </c>
      <c r="C53" s="9">
        <v>1996</v>
      </c>
      <c r="D53" s="9">
        <v>1997</v>
      </c>
      <c r="E53" s="9">
        <v>1998</v>
      </c>
      <c r="F53" s="9">
        <v>1999</v>
      </c>
      <c r="G53" s="9">
        <v>2000</v>
      </c>
      <c r="H53" s="9">
        <v>2001</v>
      </c>
      <c r="I53" s="9">
        <v>2002</v>
      </c>
      <c r="J53" s="9">
        <v>2003</v>
      </c>
      <c r="K53" s="9">
        <v>2004</v>
      </c>
      <c r="L53" s="9">
        <v>2005</v>
      </c>
      <c r="M53" s="9">
        <v>2006</v>
      </c>
      <c r="N53" s="9">
        <v>2007</v>
      </c>
      <c r="O53" s="9">
        <v>2008</v>
      </c>
      <c r="P53" s="9">
        <v>2009</v>
      </c>
      <c r="Q53" s="9">
        <v>2010</v>
      </c>
      <c r="R53" s="9">
        <v>2011</v>
      </c>
      <c r="S53" s="9">
        <v>2012</v>
      </c>
      <c r="T53" s="9">
        <v>2013</v>
      </c>
      <c r="U53" s="9">
        <v>2014</v>
      </c>
      <c r="V53" s="9">
        <v>2015</v>
      </c>
      <c r="W53" s="9">
        <v>2016</v>
      </c>
      <c r="X53" s="9">
        <v>2017</v>
      </c>
      <c r="Y53" s="9">
        <v>2018</v>
      </c>
      <c r="Z53" s="35">
        <v>2019</v>
      </c>
      <c r="AA53" s="2">
        <v>2020</v>
      </c>
      <c r="AB53" s="2">
        <v>2021</v>
      </c>
      <c r="AC53" s="2">
        <v>2022</v>
      </c>
      <c r="AD53" s="2">
        <v>2023</v>
      </c>
      <c r="AE53" s="2">
        <v>2024</v>
      </c>
      <c r="AF53" s="2">
        <v>2025</v>
      </c>
      <c r="AG53" s="2">
        <v>2026</v>
      </c>
      <c r="AH53" s="2">
        <v>2027</v>
      </c>
      <c r="AI53" s="2">
        <v>2028</v>
      </c>
      <c r="AJ53" s="2">
        <v>2029</v>
      </c>
      <c r="AK53" s="2">
        <v>2030</v>
      </c>
      <c r="AL53" s="2">
        <v>2031</v>
      </c>
      <c r="AM53" s="2">
        <v>2032</v>
      </c>
      <c r="AN53" s="2">
        <v>2033</v>
      </c>
      <c r="AO53" s="2">
        <v>2034</v>
      </c>
      <c r="AP53" s="2">
        <v>2035</v>
      </c>
      <c r="AQ53" s="2">
        <v>2036</v>
      </c>
      <c r="AR53" s="2">
        <v>2037</v>
      </c>
      <c r="AS53" s="2">
        <v>2038</v>
      </c>
      <c r="AT53" s="2">
        <v>2039</v>
      </c>
      <c r="AU53" s="2">
        <v>2040</v>
      </c>
      <c r="AV53" s="2">
        <v>2041</v>
      </c>
      <c r="AW53" s="2">
        <v>2042</v>
      </c>
      <c r="AX53" s="2">
        <v>2043</v>
      </c>
      <c r="AY53" s="2">
        <v>2044</v>
      </c>
      <c r="AZ53" s="2">
        <v>2045</v>
      </c>
      <c r="BA53" s="2">
        <v>2046</v>
      </c>
      <c r="BB53" s="2">
        <v>2047</v>
      </c>
      <c r="BC53" s="2">
        <v>2048</v>
      </c>
      <c r="BD53" s="2">
        <v>2049</v>
      </c>
      <c r="BE53" s="3">
        <v>2050</v>
      </c>
    </row>
    <row r="54" spans="1:61" s="30" customFormat="1" hidden="1">
      <c r="A54" s="28" t="s">
        <v>67</v>
      </c>
      <c r="AA54" s="18">
        <f t="shared" ref="AA54:BE54" si="15">AA30/AA92</f>
        <v>0</v>
      </c>
      <c r="AB54" s="18" t="e">
        <f t="shared" si="15"/>
        <v>#DIV/0!</v>
      </c>
      <c r="AC54" s="18" t="e">
        <f t="shared" si="15"/>
        <v>#DIV/0!</v>
      </c>
      <c r="AD54" s="18" t="e">
        <f t="shared" si="15"/>
        <v>#DIV/0!</v>
      </c>
      <c r="AE54" s="18" t="e">
        <f t="shared" si="15"/>
        <v>#DIV/0!</v>
      </c>
      <c r="AF54" s="18" t="e">
        <f t="shared" si="15"/>
        <v>#DIV/0!</v>
      </c>
      <c r="AG54" s="18" t="e">
        <f t="shared" si="15"/>
        <v>#DIV/0!</v>
      </c>
      <c r="AH54" s="18" t="e">
        <f t="shared" si="15"/>
        <v>#DIV/0!</v>
      </c>
      <c r="AI54" s="18" t="e">
        <f t="shared" si="15"/>
        <v>#DIV/0!</v>
      </c>
      <c r="AJ54" s="18" t="e">
        <f t="shared" si="15"/>
        <v>#DIV/0!</v>
      </c>
      <c r="AK54" s="18" t="e">
        <f t="shared" si="15"/>
        <v>#DIV/0!</v>
      </c>
      <c r="AL54" s="18" t="e">
        <f t="shared" si="15"/>
        <v>#DIV/0!</v>
      </c>
      <c r="AM54" s="18" t="e">
        <f t="shared" si="15"/>
        <v>#DIV/0!</v>
      </c>
      <c r="AN54" s="18" t="e">
        <f t="shared" si="15"/>
        <v>#DIV/0!</v>
      </c>
      <c r="AO54" s="18" t="e">
        <f t="shared" si="15"/>
        <v>#DIV/0!</v>
      </c>
      <c r="AP54" s="18" t="e">
        <f t="shared" si="15"/>
        <v>#DIV/0!</v>
      </c>
      <c r="AQ54" s="18" t="e">
        <f t="shared" si="15"/>
        <v>#DIV/0!</v>
      </c>
      <c r="AR54" s="18" t="e">
        <f t="shared" si="15"/>
        <v>#DIV/0!</v>
      </c>
      <c r="AS54" s="18" t="e">
        <f t="shared" si="15"/>
        <v>#DIV/0!</v>
      </c>
      <c r="AT54" s="18" t="e">
        <f t="shared" si="15"/>
        <v>#DIV/0!</v>
      </c>
      <c r="AU54" s="18" t="e">
        <f t="shared" si="15"/>
        <v>#DIV/0!</v>
      </c>
      <c r="AV54" s="18" t="e">
        <f t="shared" si="15"/>
        <v>#DIV/0!</v>
      </c>
      <c r="AW54" s="18" t="e">
        <f t="shared" si="15"/>
        <v>#DIV/0!</v>
      </c>
      <c r="AX54" s="18" t="e">
        <f t="shared" si="15"/>
        <v>#DIV/0!</v>
      </c>
      <c r="AY54" s="18" t="e">
        <f t="shared" si="15"/>
        <v>#DIV/0!</v>
      </c>
      <c r="AZ54" s="18" t="e">
        <f t="shared" si="15"/>
        <v>#DIV/0!</v>
      </c>
      <c r="BA54" s="18" t="e">
        <f t="shared" si="15"/>
        <v>#DIV/0!</v>
      </c>
      <c r="BB54" s="18" t="e">
        <f t="shared" si="15"/>
        <v>#DIV/0!</v>
      </c>
      <c r="BC54" s="18" t="e">
        <f t="shared" si="15"/>
        <v>#DIV/0!</v>
      </c>
      <c r="BD54" s="18" t="e">
        <f t="shared" si="15"/>
        <v>#DIV/0!</v>
      </c>
      <c r="BE54" s="18" t="e">
        <f t="shared" si="15"/>
        <v>#DIV/0!</v>
      </c>
    </row>
    <row r="55" spans="1:61" hidden="1">
      <c r="A55" s="4" t="s">
        <v>68</v>
      </c>
      <c r="B55" s="18" t="e">
        <f t="shared" ref="B55:Z55" si="16">B32*1000000/B94</f>
        <v>#DIV/0!</v>
      </c>
      <c r="C55" s="18" t="e">
        <f t="shared" si="16"/>
        <v>#DIV/0!</v>
      </c>
      <c r="D55" s="18" t="e">
        <f t="shared" si="16"/>
        <v>#DIV/0!</v>
      </c>
      <c r="E55" s="18" t="e">
        <f t="shared" si="16"/>
        <v>#DIV/0!</v>
      </c>
      <c r="F55" s="18" t="e">
        <f t="shared" si="16"/>
        <v>#DIV/0!</v>
      </c>
      <c r="G55" s="18" t="e">
        <f t="shared" si="16"/>
        <v>#DIV/0!</v>
      </c>
      <c r="H55" s="18" t="e">
        <f t="shared" si="16"/>
        <v>#DIV/0!</v>
      </c>
      <c r="I55" s="18" t="e">
        <f t="shared" si="16"/>
        <v>#DIV/0!</v>
      </c>
      <c r="J55" s="18" t="e">
        <f t="shared" si="16"/>
        <v>#DIV/0!</v>
      </c>
      <c r="K55" s="18" t="e">
        <f t="shared" si="16"/>
        <v>#DIV/0!</v>
      </c>
      <c r="L55" s="18" t="e">
        <f t="shared" si="16"/>
        <v>#DIV/0!</v>
      </c>
      <c r="M55" s="18" t="e">
        <f t="shared" si="16"/>
        <v>#DIV/0!</v>
      </c>
      <c r="N55" s="18" t="e">
        <f t="shared" si="16"/>
        <v>#DIV/0!</v>
      </c>
      <c r="O55" s="18" t="e">
        <f t="shared" si="16"/>
        <v>#DIV/0!</v>
      </c>
      <c r="P55" s="18" t="e">
        <f t="shared" si="16"/>
        <v>#DIV/0!</v>
      </c>
      <c r="Q55" s="18">
        <f t="shared" si="16"/>
        <v>17719.132893496702</v>
      </c>
      <c r="R55" s="18">
        <f t="shared" si="16"/>
        <v>22647.724933086269</v>
      </c>
      <c r="S55" s="18">
        <f t="shared" si="16"/>
        <v>20559.559135226791</v>
      </c>
      <c r="T55" s="18">
        <f t="shared" si="16"/>
        <v>23454.625164401579</v>
      </c>
      <c r="U55" s="18">
        <f t="shared" si="16"/>
        <v>27127.543207175673</v>
      </c>
      <c r="V55" s="18">
        <f t="shared" si="16"/>
        <v>27363.737486095662</v>
      </c>
      <c r="W55" s="18">
        <f t="shared" si="16"/>
        <v>27248.56003544528</v>
      </c>
      <c r="X55" s="18">
        <f t="shared" si="16"/>
        <v>23630.280217482225</v>
      </c>
      <c r="Y55" s="18">
        <f t="shared" si="16"/>
        <v>23473.203157457418</v>
      </c>
      <c r="Z55" s="18">
        <f t="shared" si="16"/>
        <v>22839.506172839505</v>
      </c>
      <c r="AA55" s="18">
        <f t="shared" ref="AA55:BE55" si="17">AA33*1000000/AA95</f>
        <v>23231.477605692759</v>
      </c>
      <c r="AB55" s="18">
        <f t="shared" si="17"/>
        <v>21566.011589948052</v>
      </c>
      <c r="AC55" s="18">
        <f t="shared" si="17"/>
        <v>21312.724883067178</v>
      </c>
      <c r="AD55" s="18">
        <f t="shared" si="17"/>
        <v>21324.801710717355</v>
      </c>
      <c r="AE55" s="18">
        <f t="shared" si="17"/>
        <v>21448.198356053268</v>
      </c>
      <c r="AF55" s="18">
        <f t="shared" si="17"/>
        <v>21450.497449411876</v>
      </c>
      <c r="AG55" s="18">
        <f t="shared" si="17"/>
        <v>20361.424421630367</v>
      </c>
      <c r="AH55" s="18">
        <f t="shared" si="17"/>
        <v>19806.595073832104</v>
      </c>
      <c r="AI55" s="18">
        <f t="shared" si="17"/>
        <v>19313.607840000084</v>
      </c>
      <c r="AJ55" s="18">
        <f t="shared" si="17"/>
        <v>18800.518762347467</v>
      </c>
      <c r="AK55" s="18">
        <f t="shared" si="17"/>
        <v>18270.907205385243</v>
      </c>
      <c r="AL55" s="18">
        <f t="shared" si="17"/>
        <v>18154.233993203794</v>
      </c>
      <c r="AM55" s="18">
        <f t="shared" si="17"/>
        <v>18042.872344136318</v>
      </c>
      <c r="AN55" s="18">
        <f t="shared" si="17"/>
        <v>17929.772966795714</v>
      </c>
      <c r="AO55" s="18">
        <f t="shared" si="17"/>
        <v>17821.847605463783</v>
      </c>
      <c r="AP55" s="18">
        <f t="shared" si="17"/>
        <v>17712.073469569423</v>
      </c>
      <c r="AQ55" s="18">
        <f t="shared" si="17"/>
        <v>17556.51037295752</v>
      </c>
      <c r="AR55" s="18">
        <f t="shared" si="17"/>
        <v>17403.750053930497</v>
      </c>
      <c r="AS55" s="18">
        <f t="shared" si="17"/>
        <v>17254.044317795579</v>
      </c>
      <c r="AT55" s="18">
        <f t="shared" si="17"/>
        <v>17106.839165431102</v>
      </c>
      <c r="AU55" s="18">
        <f t="shared" si="17"/>
        <v>16959.758970934046</v>
      </c>
      <c r="AV55" s="18">
        <f t="shared" si="17"/>
        <v>16817.571847455729</v>
      </c>
      <c r="AW55" s="18">
        <f t="shared" si="17"/>
        <v>16677.830566399447</v>
      </c>
      <c r="AX55" s="18">
        <f t="shared" si="17"/>
        <v>16538.345947475678</v>
      </c>
      <c r="AY55" s="18">
        <f t="shared" si="17"/>
        <v>16403.291547559664</v>
      </c>
      <c r="AZ55" s="18">
        <f t="shared" si="17"/>
        <v>16268.497132521339</v>
      </c>
      <c r="BA55" s="18">
        <f t="shared" si="17"/>
        <v>16137.671575558188</v>
      </c>
      <c r="BB55" s="18">
        <f t="shared" si="17"/>
        <v>16009.21688425464</v>
      </c>
      <c r="BC55" s="18">
        <f t="shared" si="17"/>
        <v>15880.868548748786</v>
      </c>
      <c r="BD55" s="18">
        <f t="shared" si="17"/>
        <v>15756.394091984337</v>
      </c>
      <c r="BE55" s="18">
        <f t="shared" si="17"/>
        <v>15632.206200967319</v>
      </c>
    </row>
    <row r="56" spans="1:61" hidden="1">
      <c r="A56" s="4" t="s">
        <v>69</v>
      </c>
      <c r="B56" s="18" t="e">
        <f t="shared" ref="B56:Z56" si="18">B34*1000000/B96</f>
        <v>#DIV/0!</v>
      </c>
      <c r="C56" s="18" t="e">
        <f t="shared" si="18"/>
        <v>#DIV/0!</v>
      </c>
      <c r="D56" s="18" t="e">
        <f t="shared" si="18"/>
        <v>#DIV/0!</v>
      </c>
      <c r="E56" s="18" t="e">
        <f t="shared" si="18"/>
        <v>#DIV/0!</v>
      </c>
      <c r="F56" s="18" t="e">
        <f t="shared" si="18"/>
        <v>#DIV/0!</v>
      </c>
      <c r="G56" s="18" t="e">
        <f t="shared" si="18"/>
        <v>#DIV/0!</v>
      </c>
      <c r="H56" s="18" t="e">
        <f t="shared" si="18"/>
        <v>#DIV/0!</v>
      </c>
      <c r="I56" s="18" t="e">
        <f t="shared" si="18"/>
        <v>#DIV/0!</v>
      </c>
      <c r="J56" s="18" t="e">
        <f t="shared" si="18"/>
        <v>#DIV/0!</v>
      </c>
      <c r="K56" s="18" t="e">
        <f t="shared" si="18"/>
        <v>#DIV/0!</v>
      </c>
      <c r="L56" s="18" t="e">
        <f t="shared" si="18"/>
        <v>#DIV/0!</v>
      </c>
      <c r="M56" s="18" t="e">
        <f t="shared" si="18"/>
        <v>#DIV/0!</v>
      </c>
      <c r="N56" s="18" t="e">
        <f t="shared" si="18"/>
        <v>#DIV/0!</v>
      </c>
      <c r="O56" s="18" t="e">
        <f t="shared" si="18"/>
        <v>#DIV/0!</v>
      </c>
      <c r="P56" s="18" t="e">
        <f t="shared" si="18"/>
        <v>#DIV/0!</v>
      </c>
      <c r="Q56" s="18">
        <f t="shared" si="18"/>
        <v>45645.645645645644</v>
      </c>
      <c r="R56" s="18">
        <f t="shared" si="18"/>
        <v>52086.811352253753</v>
      </c>
      <c r="S56" s="18">
        <f t="shared" si="18"/>
        <v>49693.669162695711</v>
      </c>
      <c r="T56" s="18">
        <f t="shared" si="18"/>
        <v>56913.407821229048</v>
      </c>
      <c r="U56" s="18">
        <f t="shared" si="18"/>
        <v>64174.660932848165</v>
      </c>
      <c r="V56" s="18">
        <f t="shared" si="18"/>
        <v>63947.797716150082</v>
      </c>
      <c r="W56" s="18">
        <f t="shared" si="18"/>
        <v>59771.46205684149</v>
      </c>
      <c r="X56" s="18">
        <f t="shared" si="18"/>
        <v>53191.48936170213</v>
      </c>
      <c r="Y56" s="18">
        <f t="shared" si="18"/>
        <v>54739.985070913164</v>
      </c>
      <c r="Z56" s="18">
        <f t="shared" si="18"/>
        <v>53714.009194289865</v>
      </c>
      <c r="AA56" s="18">
        <f t="shared" ref="AA56:BE56" si="19">AA35*1000000/AA97</f>
        <v>54093.567251461987</v>
      </c>
      <c r="AB56" s="18">
        <f t="shared" si="19"/>
        <v>50492.479749247395</v>
      </c>
      <c r="AC56" s="18">
        <f t="shared" si="19"/>
        <v>49670.929947466306</v>
      </c>
      <c r="AD56" s="18">
        <f t="shared" si="19"/>
        <v>49356.614840115632</v>
      </c>
      <c r="AE56" s="18">
        <f t="shared" si="19"/>
        <v>49256.718700999794</v>
      </c>
      <c r="AF56" s="18">
        <f t="shared" si="19"/>
        <v>48910.677544344755</v>
      </c>
      <c r="AG56" s="18">
        <f t="shared" si="19"/>
        <v>46738.291531684721</v>
      </c>
      <c r="AH56" s="18">
        <f t="shared" si="19"/>
        <v>45558.092041579228</v>
      </c>
      <c r="AI56" s="18">
        <f t="shared" si="19"/>
        <v>44515.174344229286</v>
      </c>
      <c r="AJ56" s="18">
        <f t="shared" si="19"/>
        <v>43430.02137849445</v>
      </c>
      <c r="AK56" s="18">
        <f t="shared" si="19"/>
        <v>42333.55897453089</v>
      </c>
      <c r="AL56" s="18">
        <f t="shared" si="19"/>
        <v>41984.588327140671</v>
      </c>
      <c r="AM56" s="18">
        <f t="shared" si="19"/>
        <v>41651.136798313957</v>
      </c>
      <c r="AN56" s="18">
        <f t="shared" si="19"/>
        <v>41317.343611219789</v>
      </c>
      <c r="AO56" s="18">
        <f t="shared" si="19"/>
        <v>40991.512037997578</v>
      </c>
      <c r="AP56" s="18">
        <f t="shared" si="19"/>
        <v>40664.845741434423</v>
      </c>
      <c r="AQ56" s="18">
        <f t="shared" si="19"/>
        <v>40133.05331401818</v>
      </c>
      <c r="AR56" s="18">
        <f t="shared" si="19"/>
        <v>39615.999568732674</v>
      </c>
      <c r="AS56" s="18">
        <f t="shared" si="19"/>
        <v>39108.274332723704</v>
      </c>
      <c r="AT56" s="18">
        <f t="shared" si="19"/>
        <v>38607.980172545555</v>
      </c>
      <c r="AU56" s="18">
        <f t="shared" si="19"/>
        <v>38115.61403085792</v>
      </c>
      <c r="AV56" s="18">
        <f t="shared" si="19"/>
        <v>37630.563997474666</v>
      </c>
      <c r="AW56" s="18">
        <f t="shared" si="19"/>
        <v>37158.583447156285</v>
      </c>
      <c r="AX56" s="18">
        <f t="shared" si="19"/>
        <v>36689.422727235622</v>
      </c>
      <c r="AY56" s="18">
        <f t="shared" si="19"/>
        <v>36231.863469747848</v>
      </c>
      <c r="AZ56" s="18">
        <f t="shared" si="19"/>
        <v>35782.321269244152</v>
      </c>
      <c r="BA56" s="18">
        <f t="shared" si="19"/>
        <v>35337.882990370657</v>
      </c>
      <c r="BB56" s="18">
        <f t="shared" si="19"/>
        <v>34905.862605744675</v>
      </c>
      <c r="BC56" s="18">
        <f t="shared" si="19"/>
        <v>34476.371593899225</v>
      </c>
      <c r="BD56" s="18">
        <f t="shared" si="19"/>
        <v>34052.367900874488</v>
      </c>
      <c r="BE56" s="18">
        <f t="shared" si="19"/>
        <v>33636.273206214602</v>
      </c>
    </row>
    <row r="57" spans="1:61" hidden="1">
      <c r="A57" s="4" t="s">
        <v>70</v>
      </c>
      <c r="B57" s="18" t="e">
        <f t="shared" ref="B57:Z57" si="20">B36*1000000/B98</f>
        <v>#DIV/0!</v>
      </c>
      <c r="C57" s="18" t="e">
        <f t="shared" si="20"/>
        <v>#DIV/0!</v>
      </c>
      <c r="D57" s="18" t="e">
        <f t="shared" si="20"/>
        <v>#DIV/0!</v>
      </c>
      <c r="E57" s="18" t="e">
        <f t="shared" si="20"/>
        <v>#DIV/0!</v>
      </c>
      <c r="F57" s="18" t="e">
        <f t="shared" si="20"/>
        <v>#DIV/0!</v>
      </c>
      <c r="G57" s="18" t="e">
        <f t="shared" si="20"/>
        <v>#DIV/0!</v>
      </c>
      <c r="H57" s="18" t="e">
        <f t="shared" si="20"/>
        <v>#DIV/0!</v>
      </c>
      <c r="I57" s="18" t="e">
        <f t="shared" si="20"/>
        <v>#DIV/0!</v>
      </c>
      <c r="J57" s="18" t="e">
        <f t="shared" si="20"/>
        <v>#DIV/0!</v>
      </c>
      <c r="K57" s="18" t="e">
        <f t="shared" si="20"/>
        <v>#DIV/0!</v>
      </c>
      <c r="L57" s="18" t="e">
        <f t="shared" si="20"/>
        <v>#DIV/0!</v>
      </c>
      <c r="M57" s="18" t="e">
        <f t="shared" si="20"/>
        <v>#DIV/0!</v>
      </c>
      <c r="N57" s="18" t="e">
        <f t="shared" si="20"/>
        <v>#DIV/0!</v>
      </c>
      <c r="O57" s="18" t="e">
        <f t="shared" si="20"/>
        <v>#DIV/0!</v>
      </c>
      <c r="P57" s="18" t="e">
        <f t="shared" si="20"/>
        <v>#DIV/0!</v>
      </c>
      <c r="Q57" s="18">
        <f t="shared" si="20"/>
        <v>30853.314527503528</v>
      </c>
      <c r="R57" s="18">
        <f t="shared" si="20"/>
        <v>22980.637590455703</v>
      </c>
      <c r="S57" s="18">
        <f t="shared" si="20"/>
        <v>21667.354519191085</v>
      </c>
      <c r="T57" s="18">
        <f t="shared" si="20"/>
        <v>26678.839521201055</v>
      </c>
      <c r="U57" s="18">
        <f t="shared" si="20"/>
        <v>30859.375</v>
      </c>
      <c r="V57" s="18">
        <f t="shared" si="20"/>
        <v>33068.659504904252</v>
      </c>
      <c r="W57" s="18">
        <f t="shared" si="20"/>
        <v>31535.412717559884</v>
      </c>
      <c r="X57" s="18">
        <f t="shared" si="20"/>
        <v>28380.374776455952</v>
      </c>
      <c r="Y57" s="18">
        <f t="shared" si="20"/>
        <v>27163.661057873687</v>
      </c>
      <c r="Z57" s="18">
        <f t="shared" si="20"/>
        <v>26193.804723714224</v>
      </c>
      <c r="AA57" s="18">
        <f t="shared" ref="AA57:BE57" si="21">AA37*1000000/AA99</f>
        <v>26511.766458147154</v>
      </c>
      <c r="AB57" s="18">
        <f t="shared" si="21"/>
        <v>24636.779166940218</v>
      </c>
      <c r="AC57" s="18">
        <f t="shared" si="21"/>
        <v>23884.641554877075</v>
      </c>
      <c r="AD57" s="18">
        <f t="shared" si="21"/>
        <v>23345.572465474204</v>
      </c>
      <c r="AE57" s="18">
        <f t="shared" si="21"/>
        <v>22903.124575222471</v>
      </c>
      <c r="AF57" s="18">
        <f t="shared" si="21"/>
        <v>22382.143487157609</v>
      </c>
      <c r="AG57" s="18">
        <f t="shared" si="21"/>
        <v>21469.908674643262</v>
      </c>
      <c r="AH57" s="18">
        <f t="shared" si="21"/>
        <v>20945.187646286613</v>
      </c>
      <c r="AI57" s="18">
        <f t="shared" si="21"/>
        <v>20470.955373385921</v>
      </c>
      <c r="AJ57" s="18">
        <f t="shared" si="21"/>
        <v>19982.56326671987</v>
      </c>
      <c r="AK57" s="18">
        <f t="shared" si="21"/>
        <v>19487.032716834521</v>
      </c>
      <c r="AL57" s="18">
        <f t="shared" si="21"/>
        <v>19286.333993034797</v>
      </c>
      <c r="AM57" s="18">
        <f t="shared" si="21"/>
        <v>19089.365557659101</v>
      </c>
      <c r="AN57" s="18">
        <f t="shared" si="21"/>
        <v>18893.87336477689</v>
      </c>
      <c r="AO57" s="18">
        <f t="shared" si="21"/>
        <v>18702.047357280411</v>
      </c>
      <c r="AP57" s="18">
        <f t="shared" si="21"/>
        <v>18512.405606160355</v>
      </c>
      <c r="AQ57" s="18">
        <f t="shared" si="21"/>
        <v>18425.813161111044</v>
      </c>
      <c r="AR57" s="18">
        <f t="shared" si="21"/>
        <v>18342.041303046561</v>
      </c>
      <c r="AS57" s="18">
        <f t="shared" si="21"/>
        <v>18258.862989807614</v>
      </c>
      <c r="AT57" s="18">
        <f t="shared" si="21"/>
        <v>18178.105188374477</v>
      </c>
      <c r="AU57" s="18">
        <f t="shared" si="21"/>
        <v>18099.102120444924</v>
      </c>
      <c r="AV57" s="18">
        <f t="shared" si="21"/>
        <v>18021.52297938586</v>
      </c>
      <c r="AW57" s="18">
        <f t="shared" si="21"/>
        <v>17945.594914220521</v>
      </c>
      <c r="AX57" s="18">
        <f t="shared" si="21"/>
        <v>17870.848947693881</v>
      </c>
      <c r="AY57" s="18">
        <f t="shared" si="21"/>
        <v>17798.000539242006</v>
      </c>
      <c r="AZ57" s="18">
        <f t="shared" si="21"/>
        <v>17725.528544456636</v>
      </c>
      <c r="BA57" s="18">
        <f t="shared" si="21"/>
        <v>17655.99710309217</v>
      </c>
      <c r="BB57" s="18">
        <f t="shared" si="21"/>
        <v>17587.556183755052</v>
      </c>
      <c r="BC57" s="18">
        <f t="shared" si="21"/>
        <v>17519.245273575172</v>
      </c>
      <c r="BD57" s="18">
        <f t="shared" si="21"/>
        <v>17453.24339581258</v>
      </c>
      <c r="BE57" s="18">
        <f t="shared" si="21"/>
        <v>17387.811921268763</v>
      </c>
    </row>
    <row r="58" spans="1:61" ht="16" hidden="1" thickBot="1">
      <c r="A58" s="4" t="s">
        <v>71</v>
      </c>
      <c r="B58" s="18" t="e">
        <f t="shared" ref="B58:Z58" si="22">B38*1000000/B100</f>
        <v>#DIV/0!</v>
      </c>
      <c r="C58" s="18" t="e">
        <f t="shared" si="22"/>
        <v>#DIV/0!</v>
      </c>
      <c r="D58" s="18" t="e">
        <f t="shared" si="22"/>
        <v>#DIV/0!</v>
      </c>
      <c r="E58" s="18" t="e">
        <f t="shared" si="22"/>
        <v>#DIV/0!</v>
      </c>
      <c r="F58" s="18" t="e">
        <f t="shared" si="22"/>
        <v>#DIV/0!</v>
      </c>
      <c r="G58" s="18" t="e">
        <f t="shared" si="22"/>
        <v>#DIV/0!</v>
      </c>
      <c r="H58" s="18" t="e">
        <f t="shared" si="22"/>
        <v>#DIV/0!</v>
      </c>
      <c r="I58" s="18" t="e">
        <f t="shared" si="22"/>
        <v>#DIV/0!</v>
      </c>
      <c r="J58" s="18" t="e">
        <f t="shared" si="22"/>
        <v>#DIV/0!</v>
      </c>
      <c r="K58" s="18" t="e">
        <f t="shared" si="22"/>
        <v>#DIV/0!</v>
      </c>
      <c r="L58" s="18" t="e">
        <f t="shared" si="22"/>
        <v>#DIV/0!</v>
      </c>
      <c r="M58" s="18" t="e">
        <f t="shared" si="22"/>
        <v>#DIV/0!</v>
      </c>
      <c r="N58" s="18" t="e">
        <f t="shared" si="22"/>
        <v>#DIV/0!</v>
      </c>
      <c r="O58" s="18" t="e">
        <f t="shared" si="22"/>
        <v>#DIV/0!</v>
      </c>
      <c r="P58" s="18" t="e">
        <f t="shared" si="22"/>
        <v>#DIV/0!</v>
      </c>
      <c r="Q58" s="18">
        <f t="shared" si="22"/>
        <v>56254.136333553935</v>
      </c>
      <c r="R58" s="18">
        <f t="shared" si="22"/>
        <v>44050.809928912713</v>
      </c>
      <c r="S58" s="18">
        <f t="shared" si="22"/>
        <v>41868.144828399578</v>
      </c>
      <c r="T58" s="18">
        <f t="shared" si="22"/>
        <v>49829.875974097245</v>
      </c>
      <c r="U58" s="18">
        <f t="shared" si="22"/>
        <v>59340.432130673005</v>
      </c>
      <c r="V58" s="18">
        <f t="shared" si="22"/>
        <v>58043.436478954449</v>
      </c>
      <c r="W58" s="18">
        <f t="shared" si="22"/>
        <v>57600.27843034891</v>
      </c>
      <c r="X58" s="18">
        <f t="shared" si="22"/>
        <v>54646.449482059754</v>
      </c>
      <c r="Y58" s="18">
        <f t="shared" si="22"/>
        <v>53926.991150442474</v>
      </c>
      <c r="Z58" s="18">
        <f t="shared" si="22"/>
        <v>54220.015678076823</v>
      </c>
      <c r="AA58" s="18">
        <f t="shared" ref="AA58:BE58" si="23">AA39*1000000/AA101</f>
        <v>52725.193749205944</v>
      </c>
      <c r="AB58" s="18">
        <f t="shared" si="23"/>
        <v>50386.4866703156</v>
      </c>
      <c r="AC58" s="18">
        <f t="shared" si="23"/>
        <v>49459.338038835187</v>
      </c>
      <c r="AD58" s="18">
        <f t="shared" si="23"/>
        <v>48777.087944956285</v>
      </c>
      <c r="AE58" s="18">
        <f t="shared" si="23"/>
        <v>48185.435284079358</v>
      </c>
      <c r="AF58" s="18">
        <f t="shared" si="23"/>
        <v>47472.893771660252</v>
      </c>
      <c r="AG58" s="18">
        <f t="shared" si="23"/>
        <v>46432.137060879686</v>
      </c>
      <c r="AH58" s="18">
        <f t="shared" si="23"/>
        <v>45844.812643029894</v>
      </c>
      <c r="AI58" s="18">
        <f t="shared" si="23"/>
        <v>45315.00657391944</v>
      </c>
      <c r="AJ58" s="18">
        <f t="shared" si="23"/>
        <v>44774.807997851334</v>
      </c>
      <c r="AK58" s="18">
        <f t="shared" si="23"/>
        <v>44227.024125168748</v>
      </c>
      <c r="AL58" s="18">
        <f t="shared" si="23"/>
        <v>44010.779088782823</v>
      </c>
      <c r="AM58" s="18">
        <f t="shared" si="23"/>
        <v>43797.28447104487</v>
      </c>
      <c r="AN58" s="18">
        <f t="shared" si="23"/>
        <v>43581.767240564848</v>
      </c>
      <c r="AO58" s="18">
        <f t="shared" si="23"/>
        <v>43367.613812422082</v>
      </c>
      <c r="AP58" s="18">
        <f t="shared" si="23"/>
        <v>43152.523739431796</v>
      </c>
      <c r="AQ58" s="18">
        <f t="shared" si="23"/>
        <v>43054.479005397203</v>
      </c>
      <c r="AR58" s="18">
        <f t="shared" si="23"/>
        <v>42958.961765266664</v>
      </c>
      <c r="AS58" s="18">
        <f t="shared" si="23"/>
        <v>42864.449613009514</v>
      </c>
      <c r="AT58" s="18">
        <f t="shared" si="23"/>
        <v>42772.767486240977</v>
      </c>
      <c r="AU58" s="18">
        <f t="shared" si="23"/>
        <v>42683.745260193449</v>
      </c>
      <c r="AV58" s="18">
        <f t="shared" si="23"/>
        <v>42597.584490890549</v>
      </c>
      <c r="AW58" s="18">
        <f t="shared" si="23"/>
        <v>42512.719008108681</v>
      </c>
      <c r="AX58" s="18">
        <f t="shared" si="23"/>
        <v>42429.57505668926</v>
      </c>
      <c r="AY58" s="18">
        <f t="shared" si="23"/>
        <v>42349.39501704384</v>
      </c>
      <c r="AZ58" s="18">
        <f t="shared" si="23"/>
        <v>42270.166500687235</v>
      </c>
      <c r="BA58" s="18">
        <f t="shared" si="23"/>
        <v>42192.962123029691</v>
      </c>
      <c r="BB58" s="18">
        <f t="shared" si="23"/>
        <v>42118.790490040097</v>
      </c>
      <c r="BC58" s="18">
        <f t="shared" si="23"/>
        <v>42044.974605406067</v>
      </c>
      <c r="BD58" s="18">
        <f t="shared" si="23"/>
        <v>41973.240144099509</v>
      </c>
      <c r="BE58" s="18">
        <f t="shared" si="23"/>
        <v>41902.524966529912</v>
      </c>
    </row>
    <row r="59" spans="1:61" ht="17" hidden="1" thickTop="1" thickBot="1">
      <c r="A59" s="6" t="s">
        <v>85</v>
      </c>
      <c r="B59" s="25" t="e">
        <f t="shared" ref="B59:BE59" si="24">AVERAGE(B55:B58)</f>
        <v>#DIV/0!</v>
      </c>
      <c r="C59" s="25" t="e">
        <f t="shared" si="24"/>
        <v>#DIV/0!</v>
      </c>
      <c r="D59" s="25" t="e">
        <f t="shared" si="24"/>
        <v>#DIV/0!</v>
      </c>
      <c r="E59" s="25" t="e">
        <f t="shared" si="24"/>
        <v>#DIV/0!</v>
      </c>
      <c r="F59" s="25" t="e">
        <f t="shared" si="24"/>
        <v>#DIV/0!</v>
      </c>
      <c r="G59" s="25" t="e">
        <f t="shared" si="24"/>
        <v>#DIV/0!</v>
      </c>
      <c r="H59" s="25" t="e">
        <f t="shared" si="24"/>
        <v>#DIV/0!</v>
      </c>
      <c r="I59" s="25" t="e">
        <f t="shared" si="24"/>
        <v>#DIV/0!</v>
      </c>
      <c r="J59" s="25" t="e">
        <f t="shared" si="24"/>
        <v>#DIV/0!</v>
      </c>
      <c r="K59" s="25" t="e">
        <f t="shared" si="24"/>
        <v>#DIV/0!</v>
      </c>
      <c r="L59" s="25" t="e">
        <f t="shared" si="24"/>
        <v>#DIV/0!</v>
      </c>
      <c r="M59" s="25" t="e">
        <f t="shared" si="24"/>
        <v>#DIV/0!</v>
      </c>
      <c r="N59" s="25" t="e">
        <f t="shared" si="24"/>
        <v>#DIV/0!</v>
      </c>
      <c r="O59" s="25" t="e">
        <f t="shared" si="24"/>
        <v>#DIV/0!</v>
      </c>
      <c r="P59" s="25" t="e">
        <f t="shared" si="24"/>
        <v>#DIV/0!</v>
      </c>
      <c r="Q59" s="25">
        <f t="shared" si="24"/>
        <v>37618.057350049952</v>
      </c>
      <c r="R59" s="25">
        <f t="shared" si="24"/>
        <v>35441.495951177116</v>
      </c>
      <c r="S59" s="25">
        <f t="shared" si="24"/>
        <v>33447.181911378291</v>
      </c>
      <c r="T59" s="25">
        <f t="shared" si="24"/>
        <v>39219.187120232229</v>
      </c>
      <c r="U59" s="25">
        <f t="shared" si="24"/>
        <v>45375.502817674213</v>
      </c>
      <c r="V59" s="25">
        <f t="shared" si="24"/>
        <v>45605.907796526109</v>
      </c>
      <c r="W59" s="25">
        <f t="shared" si="24"/>
        <v>44038.92831004889</v>
      </c>
      <c r="X59" s="25">
        <f t="shared" si="24"/>
        <v>39962.148459425014</v>
      </c>
      <c r="Y59" s="25">
        <f t="shared" si="24"/>
        <v>39825.960109171683</v>
      </c>
      <c r="Z59" s="25">
        <f t="shared" si="24"/>
        <v>39241.833942230107</v>
      </c>
      <c r="AA59" s="25">
        <f t="shared" si="24"/>
        <v>39140.501266126957</v>
      </c>
      <c r="AB59" s="25">
        <f t="shared" si="24"/>
        <v>36770.439294112817</v>
      </c>
      <c r="AC59" s="25">
        <f t="shared" si="24"/>
        <v>36081.908606061435</v>
      </c>
      <c r="AD59" s="25">
        <f t="shared" si="24"/>
        <v>35701.019240315873</v>
      </c>
      <c r="AE59" s="25">
        <f t="shared" si="24"/>
        <v>35448.369229088727</v>
      </c>
      <c r="AF59" s="25">
        <f t="shared" si="24"/>
        <v>35054.053063143627</v>
      </c>
      <c r="AG59" s="25">
        <f t="shared" si="24"/>
        <v>33750.440422209504</v>
      </c>
      <c r="AH59" s="25">
        <f t="shared" si="24"/>
        <v>33038.671851181964</v>
      </c>
      <c r="AI59" s="25">
        <f t="shared" si="24"/>
        <v>32403.686032883685</v>
      </c>
      <c r="AJ59" s="25">
        <f t="shared" si="24"/>
        <v>31746.97785135328</v>
      </c>
      <c r="AK59" s="25">
        <f t="shared" si="24"/>
        <v>31079.630755479848</v>
      </c>
      <c r="AL59" s="25">
        <f t="shared" si="24"/>
        <v>30858.983850540521</v>
      </c>
      <c r="AM59" s="25">
        <f t="shared" si="24"/>
        <v>30645.164792788561</v>
      </c>
      <c r="AN59" s="25">
        <f t="shared" si="24"/>
        <v>30430.689295839311</v>
      </c>
      <c r="AO59" s="25">
        <f t="shared" si="24"/>
        <v>30220.755203290966</v>
      </c>
      <c r="AP59" s="25">
        <f t="shared" si="24"/>
        <v>30010.462139148996</v>
      </c>
      <c r="AQ59" s="25">
        <f t="shared" si="24"/>
        <v>29792.463963370988</v>
      </c>
      <c r="AR59" s="25">
        <f t="shared" si="24"/>
        <v>29580.1881727441</v>
      </c>
      <c r="AS59" s="25">
        <f t="shared" si="24"/>
        <v>29371.407813334103</v>
      </c>
      <c r="AT59" s="25">
        <f t="shared" si="24"/>
        <v>29166.423003148029</v>
      </c>
      <c r="AU59" s="25">
        <f t="shared" si="24"/>
        <v>28964.555095607586</v>
      </c>
      <c r="AV59" s="25">
        <f t="shared" si="24"/>
        <v>28766.810828801703</v>
      </c>
      <c r="AW59" s="25">
        <f t="shared" si="24"/>
        <v>28573.681983971233</v>
      </c>
      <c r="AX59" s="25">
        <f t="shared" si="24"/>
        <v>28382.04816977361</v>
      </c>
      <c r="AY59" s="25">
        <f t="shared" si="24"/>
        <v>28195.637643398339</v>
      </c>
      <c r="AZ59" s="25">
        <f t="shared" si="24"/>
        <v>28011.62836172734</v>
      </c>
      <c r="BA59" s="25">
        <f t="shared" si="24"/>
        <v>27831.128448012678</v>
      </c>
      <c r="BB59" s="25">
        <f t="shared" si="24"/>
        <v>27655.356540948618</v>
      </c>
      <c r="BC59" s="25">
        <f t="shared" si="24"/>
        <v>27480.365005407311</v>
      </c>
      <c r="BD59" s="25">
        <f t="shared" si="24"/>
        <v>27308.811383192726</v>
      </c>
      <c r="BE59" s="25">
        <f t="shared" si="24"/>
        <v>27139.704073745146</v>
      </c>
      <c r="BI59" s="47">
        <f>(BE59-AA59)/AA59</f>
        <v>-0.30660816300703747</v>
      </c>
    </row>
    <row r="60" spans="1:61">
      <c r="A60" s="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>
        <f>AP41-AP31</f>
        <v>2074.6926701304583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I60" s="47"/>
    </row>
    <row r="61" spans="1:61">
      <c r="A61" s="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35">
        <f>(AP60-V41)/V41</f>
        <v>0.62466144881006913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I61" s="47"/>
    </row>
    <row r="62" spans="1:61" ht="14.5" customHeight="1">
      <c r="A62" s="145" t="s">
        <v>120</v>
      </c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</row>
    <row r="63" spans="1:61" ht="14.5" hidden="1" customHeight="1" thickBo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61" ht="14.5" hidden="1" customHeight="1">
      <c r="A64" s="27" t="s">
        <v>121</v>
      </c>
      <c r="B64" s="9">
        <v>1995</v>
      </c>
      <c r="C64" s="9">
        <v>1996</v>
      </c>
      <c r="D64" s="9">
        <v>1997</v>
      </c>
      <c r="E64" s="9">
        <v>1998</v>
      </c>
      <c r="F64" s="9">
        <v>1999</v>
      </c>
      <c r="G64" s="9">
        <v>2000</v>
      </c>
      <c r="H64" s="9">
        <v>2001</v>
      </c>
      <c r="I64" s="9">
        <v>2002</v>
      </c>
      <c r="J64" s="9">
        <v>2003</v>
      </c>
      <c r="K64" s="9">
        <v>2004</v>
      </c>
      <c r="L64" s="9">
        <v>2005</v>
      </c>
      <c r="M64" s="9">
        <v>2006</v>
      </c>
      <c r="N64" s="9">
        <v>2007</v>
      </c>
      <c r="O64" s="9">
        <v>2008</v>
      </c>
      <c r="P64" s="9">
        <v>2009</v>
      </c>
      <c r="Q64" s="9">
        <v>2010</v>
      </c>
      <c r="R64" s="9">
        <v>2011</v>
      </c>
      <c r="S64" s="9">
        <v>2012</v>
      </c>
      <c r="T64" s="9">
        <v>2013</v>
      </c>
      <c r="U64" s="9">
        <v>2014</v>
      </c>
      <c r="V64" s="9">
        <v>2015</v>
      </c>
      <c r="W64" s="9">
        <v>2016</v>
      </c>
      <c r="X64" s="9">
        <v>2017</v>
      </c>
      <c r="Y64" s="9">
        <v>2018</v>
      </c>
      <c r="Z64" s="35">
        <v>2019</v>
      </c>
    </row>
    <row r="65" spans="1:57" ht="14.5" hidden="1" customHeight="1">
      <c r="A65" s="28" t="s">
        <v>67</v>
      </c>
      <c r="B65" s="29">
        <f t="shared" ref="B65:Z65" si="25">B30*1000000/B118</f>
        <v>15386.408672339434</v>
      </c>
      <c r="C65" s="29">
        <f t="shared" si="25"/>
        <v>19176.877850431341</v>
      </c>
      <c r="D65" s="29">
        <f t="shared" si="25"/>
        <v>16764.22383516741</v>
      </c>
      <c r="E65" s="29">
        <f t="shared" si="25"/>
        <v>15309.772499642295</v>
      </c>
      <c r="F65" s="29">
        <f t="shared" si="25"/>
        <v>12993.900822063113</v>
      </c>
      <c r="G65" s="29">
        <f t="shared" si="25"/>
        <v>11597.084161696488</v>
      </c>
      <c r="H65" s="29">
        <f t="shared" si="25"/>
        <v>10155.631759430229</v>
      </c>
      <c r="I65" s="29">
        <f t="shared" si="25"/>
        <v>11318.285901210336</v>
      </c>
      <c r="J65" s="29">
        <f t="shared" si="25"/>
        <v>10573.391778225328</v>
      </c>
      <c r="K65" s="29">
        <f t="shared" si="25"/>
        <v>11630.919075743446</v>
      </c>
      <c r="L65" s="29">
        <f t="shared" si="25"/>
        <v>12854.551086331254</v>
      </c>
      <c r="M65" s="29">
        <f t="shared" si="25"/>
        <v>10889.960543621219</v>
      </c>
      <c r="N65" s="29">
        <f t="shared" si="25"/>
        <v>10012.338150411981</v>
      </c>
      <c r="O65" s="29">
        <f t="shared" si="25"/>
        <v>9341.8557280325913</v>
      </c>
      <c r="P65" s="29">
        <f t="shared" si="25"/>
        <v>7521.8767454850122</v>
      </c>
      <c r="Q65" s="29">
        <f t="shared" si="25"/>
        <v>6551.0741148584329</v>
      </c>
      <c r="R65" s="29">
        <f t="shared" si="25"/>
        <v>25581.922611850059</v>
      </c>
      <c r="S65" s="29">
        <f t="shared" si="25"/>
        <v>23931.849949000793</v>
      </c>
      <c r="T65" s="29">
        <f t="shared" si="25"/>
        <v>24142.907289675884</v>
      </c>
      <c r="U65" s="29">
        <f t="shared" si="25"/>
        <v>25549.984834157047</v>
      </c>
      <c r="V65" s="29">
        <f t="shared" si="25"/>
        <v>25940.597369168798</v>
      </c>
      <c r="W65" s="29">
        <f t="shared" si="25"/>
        <v>23815.466838944601</v>
      </c>
      <c r="X65" s="29">
        <f t="shared" si="25"/>
        <v>25642.379908627565</v>
      </c>
      <c r="Y65" s="29">
        <f t="shared" si="25"/>
        <v>25019.37868940433</v>
      </c>
      <c r="Z65" s="29">
        <f t="shared" si="25"/>
        <v>24375.026892130289</v>
      </c>
    </row>
    <row r="66" spans="1:57" ht="14.5" hidden="1" customHeight="1">
      <c r="A66" s="4" t="s">
        <v>68</v>
      </c>
      <c r="B66" s="1">
        <f t="shared" ref="B66:Z66" si="26">B32*1000000/B119</f>
        <v>21814.64499096846</v>
      </c>
      <c r="C66" s="1">
        <f t="shared" si="26"/>
        <v>22614.314115308152</v>
      </c>
      <c r="D66" s="1">
        <f t="shared" si="26"/>
        <v>20981.688708036621</v>
      </c>
      <c r="E66" s="1">
        <f t="shared" si="26"/>
        <v>21332.45815556285</v>
      </c>
      <c r="F66" s="1">
        <f t="shared" si="26"/>
        <v>17963.446475195822</v>
      </c>
      <c r="G66" s="1">
        <f t="shared" si="26"/>
        <v>16754.670999187652</v>
      </c>
      <c r="H66" s="1">
        <f t="shared" si="26"/>
        <v>15373.292992068034</v>
      </c>
      <c r="I66" s="1">
        <f t="shared" si="26"/>
        <v>19233.999664034942</v>
      </c>
      <c r="J66" s="1">
        <f t="shared" si="26"/>
        <v>22635.769884584413</v>
      </c>
      <c r="K66" s="1">
        <f t="shared" si="26"/>
        <v>25019.319938176199</v>
      </c>
      <c r="L66" s="1">
        <f t="shared" si="26"/>
        <v>23578.363384188626</v>
      </c>
      <c r="M66" s="1">
        <f t="shared" si="26"/>
        <v>19757.296158860696</v>
      </c>
      <c r="N66" s="1">
        <f t="shared" si="26"/>
        <v>18657.937806873979</v>
      </c>
      <c r="O66" s="1">
        <f t="shared" si="26"/>
        <v>20570.766333478197</v>
      </c>
      <c r="P66" s="1">
        <f t="shared" si="26"/>
        <v>18052.869116698905</v>
      </c>
      <c r="Q66" s="1">
        <f t="shared" si="26"/>
        <v>16399.162595952548</v>
      </c>
      <c r="R66" s="1">
        <f t="shared" si="26"/>
        <v>20545.38662682107</v>
      </c>
      <c r="S66" s="1">
        <f t="shared" si="26"/>
        <v>19139.700078926599</v>
      </c>
      <c r="T66" s="1">
        <f t="shared" si="26"/>
        <v>22277.743077243391</v>
      </c>
      <c r="U66" s="1">
        <f t="shared" si="26"/>
        <v>24012.393493415955</v>
      </c>
      <c r="V66" s="1">
        <f t="shared" si="26"/>
        <v>25261.860751694392</v>
      </c>
      <c r="W66" s="1">
        <f t="shared" si="26"/>
        <v>24179.280518969925</v>
      </c>
      <c r="X66" s="1">
        <f t="shared" si="26"/>
        <v>21536.115875738516</v>
      </c>
      <c r="Y66" s="1">
        <f t="shared" si="26"/>
        <v>21643.363340356253</v>
      </c>
      <c r="Z66" s="1">
        <f t="shared" si="26"/>
        <v>21195.340843994654</v>
      </c>
    </row>
    <row r="67" spans="1:57" ht="14.5" hidden="1" customHeight="1">
      <c r="A67" s="4" t="s">
        <v>69</v>
      </c>
      <c r="B67" s="1">
        <f t="shared" ref="B67:Z67" si="27">B34*1000000/B120</f>
        <v>35547.430428600448</v>
      </c>
      <c r="C67" s="1">
        <f t="shared" si="27"/>
        <v>32165.508909694956</v>
      </c>
      <c r="D67" s="1">
        <f t="shared" si="27"/>
        <v>32341.526520051746</v>
      </c>
      <c r="E67" s="1">
        <f t="shared" si="27"/>
        <v>31036.915118739715</v>
      </c>
      <c r="F67" s="1">
        <f t="shared" si="27"/>
        <v>25964.149918522544</v>
      </c>
      <c r="G67" s="1">
        <f t="shared" si="27"/>
        <v>25443.620317341094</v>
      </c>
      <c r="H67" s="1">
        <f t="shared" si="27"/>
        <v>23506.877938359743</v>
      </c>
      <c r="I67" s="1">
        <f t="shared" si="27"/>
        <v>28133.768104951847</v>
      </c>
      <c r="J67" s="1">
        <f t="shared" si="27"/>
        <v>31652.898942329961</v>
      </c>
      <c r="K67" s="1">
        <f t="shared" si="27"/>
        <v>33917.286617070633</v>
      </c>
      <c r="L67" s="1">
        <f t="shared" si="27"/>
        <v>32654.600301659124</v>
      </c>
      <c r="M67" s="1">
        <f t="shared" si="27"/>
        <v>27522.935779816515</v>
      </c>
      <c r="N67" s="1">
        <f t="shared" si="27"/>
        <v>27837.45913124708</v>
      </c>
      <c r="O67" s="1">
        <f t="shared" si="27"/>
        <v>27979.015738196355</v>
      </c>
      <c r="P67" s="1">
        <f t="shared" si="27"/>
        <v>24056.029232643119</v>
      </c>
      <c r="Q67" s="1">
        <f t="shared" si="27"/>
        <v>25341.780593531177</v>
      </c>
      <c r="R67" s="1">
        <f t="shared" si="27"/>
        <v>28493.150684931508</v>
      </c>
      <c r="S67" s="1">
        <f t="shared" si="27"/>
        <v>27878.55642543441</v>
      </c>
      <c r="T67" s="1">
        <f t="shared" si="27"/>
        <v>32929.292929292926</v>
      </c>
      <c r="U67" s="1">
        <f t="shared" si="27"/>
        <v>37647.972055113525</v>
      </c>
      <c r="V67" s="1">
        <f t="shared" si="27"/>
        <v>38273.774653388013</v>
      </c>
      <c r="W67" s="1">
        <f t="shared" si="27"/>
        <v>36240.895363297212</v>
      </c>
      <c r="X67" s="1">
        <f t="shared" si="27"/>
        <v>34172.362060343388</v>
      </c>
      <c r="Y67" s="1">
        <f t="shared" si="27"/>
        <v>35273.368606701937</v>
      </c>
      <c r="Z67" s="1">
        <f t="shared" si="27"/>
        <v>34655.010927255695</v>
      </c>
    </row>
    <row r="68" spans="1:57" ht="14.5" hidden="1" customHeight="1">
      <c r="A68" s="4" t="s">
        <v>70</v>
      </c>
      <c r="B68" s="1">
        <f t="shared" ref="B68:Z68" si="28">B36*1000000/B121</f>
        <v>56149.732620320858</v>
      </c>
      <c r="C68" s="1">
        <f t="shared" si="28"/>
        <v>57866.518765021261</v>
      </c>
      <c r="D68" s="1">
        <f t="shared" si="28"/>
        <v>49541.854325205779</v>
      </c>
      <c r="E68" s="1">
        <f t="shared" si="28"/>
        <v>44588.892690158515</v>
      </c>
      <c r="F68" s="1">
        <f t="shared" si="28"/>
        <v>42687.484428203636</v>
      </c>
      <c r="G68" s="1">
        <f t="shared" si="28"/>
        <v>42404.879465582344</v>
      </c>
      <c r="H68" s="1">
        <f t="shared" si="28"/>
        <v>38132.502155315342</v>
      </c>
      <c r="I68" s="1">
        <f t="shared" si="28"/>
        <v>42682.92682926829</v>
      </c>
      <c r="J68" s="1">
        <f t="shared" si="28"/>
        <v>45695.775036184437</v>
      </c>
      <c r="K68" s="1">
        <f t="shared" si="28"/>
        <v>49592.631951824304</v>
      </c>
      <c r="L68" s="1">
        <f t="shared" si="28"/>
        <v>48890.961166988607</v>
      </c>
      <c r="M68" s="1">
        <f t="shared" si="28"/>
        <v>46769.914234589989</v>
      </c>
      <c r="N68" s="1">
        <f t="shared" si="28"/>
        <v>45425.201009448909</v>
      </c>
      <c r="O68" s="1">
        <f t="shared" si="28"/>
        <v>46849.626502111074</v>
      </c>
      <c r="P68" s="1">
        <f t="shared" si="28"/>
        <v>38626.172034243784</v>
      </c>
      <c r="Q68" s="1">
        <f t="shared" si="28"/>
        <v>40485.829959514173</v>
      </c>
      <c r="R68" s="1">
        <f t="shared" si="28"/>
        <v>30174.627632254749</v>
      </c>
      <c r="S68" s="1">
        <f t="shared" si="28"/>
        <v>28921.636138272966</v>
      </c>
      <c r="T68" s="1">
        <f t="shared" si="28"/>
        <v>38563.049853372431</v>
      </c>
      <c r="U68" s="1">
        <f t="shared" si="28"/>
        <v>45448.008054077378</v>
      </c>
      <c r="V68" s="1">
        <f t="shared" si="28"/>
        <v>49112.097669256385</v>
      </c>
      <c r="W68" s="1">
        <f t="shared" si="28"/>
        <v>46066.708621774698</v>
      </c>
      <c r="X68" s="1">
        <f t="shared" si="28"/>
        <v>43159.512829608611</v>
      </c>
      <c r="Y68" s="1">
        <f t="shared" si="28"/>
        <v>42775.665399239544</v>
      </c>
      <c r="Z68" s="1">
        <f t="shared" si="28"/>
        <v>41877.426185154691</v>
      </c>
    </row>
    <row r="69" spans="1:57" ht="14.5" hidden="1" customHeight="1" thickBot="1">
      <c r="A69" s="4" t="s">
        <v>71</v>
      </c>
      <c r="B69" s="1">
        <f t="shared" ref="B69:Z69" si="29">B38*1000000/B122</f>
        <v>53353.658536585368</v>
      </c>
      <c r="C69" s="1">
        <f t="shared" si="29"/>
        <v>59686.393525543754</v>
      </c>
      <c r="D69" s="1">
        <f t="shared" si="29"/>
        <v>53409.090909090912</v>
      </c>
      <c r="E69" s="1">
        <f t="shared" si="29"/>
        <v>47058.823529411762</v>
      </c>
      <c r="F69" s="1">
        <f t="shared" si="29"/>
        <v>47165.991902834008</v>
      </c>
      <c r="G69" s="1">
        <f t="shared" si="29"/>
        <v>46888.694127957933</v>
      </c>
      <c r="H69" s="1">
        <f t="shared" si="29"/>
        <v>42177.221720624271</v>
      </c>
      <c r="I69" s="1">
        <f t="shared" si="29"/>
        <v>47738.065483629092</v>
      </c>
      <c r="J69" s="1">
        <f t="shared" si="29"/>
        <v>53235.90814196242</v>
      </c>
      <c r="K69" s="1">
        <f t="shared" si="29"/>
        <v>55585.831062670302</v>
      </c>
      <c r="L69" s="1">
        <f t="shared" si="29"/>
        <v>53419.208183368064</v>
      </c>
      <c r="M69" s="1">
        <f t="shared" si="29"/>
        <v>53703.25302182202</v>
      </c>
      <c r="N69" s="1">
        <f t="shared" si="29"/>
        <v>50021.017234131985</v>
      </c>
      <c r="O69" s="1">
        <f t="shared" si="29"/>
        <v>54351.05435105435</v>
      </c>
      <c r="P69" s="1">
        <f t="shared" si="29"/>
        <v>46794.530278813712</v>
      </c>
      <c r="Q69" s="1">
        <f t="shared" si="29"/>
        <v>50640.452785224901</v>
      </c>
      <c r="R69" s="1">
        <f t="shared" si="29"/>
        <v>39240.11211460604</v>
      </c>
      <c r="S69" s="1">
        <f t="shared" si="29"/>
        <v>37514.530275811056</v>
      </c>
      <c r="T69" s="1">
        <f t="shared" si="29"/>
        <v>49802.544975866607</v>
      </c>
      <c r="U69" s="1">
        <f t="shared" si="29"/>
        <v>55550.179038033486</v>
      </c>
      <c r="V69" s="1">
        <f t="shared" si="29"/>
        <v>59998.013310817521</v>
      </c>
      <c r="W69" s="1">
        <f t="shared" si="29"/>
        <v>55691.091107933033</v>
      </c>
      <c r="X69" s="1">
        <f t="shared" si="29"/>
        <v>55819.659561416964</v>
      </c>
      <c r="Y69" s="1">
        <f t="shared" si="29"/>
        <v>54530.201342281878</v>
      </c>
      <c r="Z69" s="1">
        <f t="shared" si="29"/>
        <v>54159.869494290375</v>
      </c>
    </row>
    <row r="70" spans="1:57" ht="17" hidden="1" thickTop="1" thickBot="1">
      <c r="A70" s="6" t="s">
        <v>85</v>
      </c>
      <c r="B70" s="25">
        <f t="shared" ref="B70:Z70" si="30">AVERAGE(B66:B69)</f>
        <v>41716.366644118782</v>
      </c>
      <c r="C70" s="25">
        <f t="shared" si="30"/>
        <v>43083.183828892026</v>
      </c>
      <c r="D70" s="25">
        <f t="shared" si="30"/>
        <v>39068.540115596261</v>
      </c>
      <c r="E70" s="25">
        <f t="shared" si="30"/>
        <v>36004.272373468208</v>
      </c>
      <c r="F70" s="25">
        <f t="shared" si="30"/>
        <v>33445.268181189007</v>
      </c>
      <c r="G70" s="25">
        <f t="shared" si="30"/>
        <v>32872.96622751726</v>
      </c>
      <c r="H70" s="25">
        <f t="shared" si="30"/>
        <v>29797.473701591851</v>
      </c>
      <c r="I70" s="25">
        <f t="shared" si="30"/>
        <v>34447.19002047104</v>
      </c>
      <c r="J70" s="25">
        <f t="shared" si="30"/>
        <v>38305.088001265307</v>
      </c>
      <c r="K70" s="25">
        <f t="shared" si="30"/>
        <v>41028.767392435358</v>
      </c>
      <c r="L70" s="25">
        <f t="shared" si="30"/>
        <v>39635.783259051103</v>
      </c>
      <c r="M70" s="25">
        <f t="shared" si="30"/>
        <v>36938.349798772309</v>
      </c>
      <c r="N70" s="25">
        <f t="shared" si="30"/>
        <v>35485.403795425489</v>
      </c>
      <c r="O70" s="25">
        <f t="shared" si="30"/>
        <v>37437.615731209997</v>
      </c>
      <c r="P70" s="25">
        <f t="shared" si="30"/>
        <v>31882.40016559988</v>
      </c>
      <c r="Q70" s="25">
        <f t="shared" si="30"/>
        <v>33216.806483555702</v>
      </c>
      <c r="R70" s="25">
        <f t="shared" si="30"/>
        <v>29613.319264653343</v>
      </c>
      <c r="S70" s="25">
        <f t="shared" si="30"/>
        <v>28363.605729611256</v>
      </c>
      <c r="T70" s="25">
        <f t="shared" si="30"/>
        <v>35893.157708943836</v>
      </c>
      <c r="U70" s="25">
        <f t="shared" si="30"/>
        <v>40664.638160160088</v>
      </c>
      <c r="V70" s="25">
        <f t="shared" si="30"/>
        <v>43161.436596289073</v>
      </c>
      <c r="W70" s="25">
        <f t="shared" si="30"/>
        <v>40544.493902993716</v>
      </c>
      <c r="X70" s="25">
        <f t="shared" si="30"/>
        <v>38671.912581776865</v>
      </c>
      <c r="Y70" s="25">
        <f t="shared" si="30"/>
        <v>38555.6496721449</v>
      </c>
      <c r="Z70" s="25">
        <f t="shared" si="30"/>
        <v>37971.911862673856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spans="1:57" hidden="1">
      <c r="A71" s="16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 spans="1:57" ht="16" hidden="1">
      <c r="A72" s="34" t="s">
        <v>119</v>
      </c>
      <c r="B72" s="9">
        <v>1995</v>
      </c>
      <c r="C72" s="9">
        <v>1996</v>
      </c>
      <c r="D72" s="9">
        <v>1997</v>
      </c>
      <c r="E72" s="9">
        <v>1998</v>
      </c>
      <c r="F72" s="9">
        <v>1999</v>
      </c>
      <c r="G72" s="9">
        <v>2000</v>
      </c>
      <c r="H72" s="9">
        <v>2001</v>
      </c>
      <c r="I72" s="9">
        <v>2002</v>
      </c>
      <c r="J72" s="9">
        <v>2003</v>
      </c>
      <c r="K72" s="9">
        <v>2004</v>
      </c>
      <c r="L72" s="9">
        <v>2005</v>
      </c>
      <c r="M72" s="9">
        <v>2006</v>
      </c>
      <c r="N72" s="9">
        <v>2007</v>
      </c>
      <c r="O72" s="9">
        <v>2008</v>
      </c>
      <c r="P72" s="9">
        <v>2009</v>
      </c>
      <c r="Q72" s="9">
        <v>2010</v>
      </c>
      <c r="R72" s="9">
        <v>2011</v>
      </c>
      <c r="S72" s="9">
        <v>2012</v>
      </c>
      <c r="T72" s="9">
        <v>2013</v>
      </c>
      <c r="U72" s="9">
        <v>2014</v>
      </c>
      <c r="V72" s="9">
        <v>2015</v>
      </c>
      <c r="W72" s="9">
        <v>2016</v>
      </c>
      <c r="X72" s="9">
        <v>2017</v>
      </c>
      <c r="Y72" s="9">
        <v>2018</v>
      </c>
      <c r="Z72" s="35">
        <v>2019</v>
      </c>
      <c r="AA72" s="2">
        <v>2020</v>
      </c>
      <c r="AB72" s="2">
        <v>2021</v>
      </c>
      <c r="AC72" s="2">
        <v>2022</v>
      </c>
      <c r="AD72" s="2">
        <v>2023</v>
      </c>
      <c r="AE72" s="2">
        <v>2024</v>
      </c>
      <c r="AF72" s="2">
        <v>2025</v>
      </c>
      <c r="AG72" s="2">
        <v>2026</v>
      </c>
      <c r="AH72" s="2">
        <v>2027</v>
      </c>
      <c r="AI72" s="2">
        <v>2028</v>
      </c>
      <c r="AJ72" s="2">
        <v>2029</v>
      </c>
      <c r="AK72" s="2">
        <v>2030</v>
      </c>
      <c r="AL72" s="2">
        <v>2031</v>
      </c>
      <c r="AM72" s="2">
        <v>2032</v>
      </c>
      <c r="AN72" s="2">
        <v>2033</v>
      </c>
      <c r="AO72" s="2">
        <v>2034</v>
      </c>
      <c r="AP72" s="2">
        <v>2035</v>
      </c>
      <c r="AQ72" s="2">
        <v>2036</v>
      </c>
      <c r="AR72" s="2">
        <v>2037</v>
      </c>
      <c r="AS72" s="2">
        <v>2038</v>
      </c>
      <c r="AT72" s="2">
        <v>2039</v>
      </c>
      <c r="AU72" s="2">
        <v>2040</v>
      </c>
      <c r="AV72" s="2">
        <v>2041</v>
      </c>
      <c r="AW72" s="2">
        <v>2042</v>
      </c>
      <c r="AX72" s="2">
        <v>2043</v>
      </c>
      <c r="AY72" s="2">
        <v>2044</v>
      </c>
      <c r="AZ72" s="2">
        <v>2045</v>
      </c>
      <c r="BA72" s="2">
        <v>2046</v>
      </c>
      <c r="BB72" s="2">
        <v>2047</v>
      </c>
      <c r="BC72" s="2">
        <v>2048</v>
      </c>
      <c r="BD72" s="2">
        <v>2049</v>
      </c>
      <c r="BE72" s="3">
        <v>2050</v>
      </c>
    </row>
    <row r="73" spans="1:57" s="30" customFormat="1" hidden="1">
      <c r="A73" s="28" t="s">
        <v>67</v>
      </c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>
        <f>[6]Summary!B20</f>
        <v>23174.6</v>
      </c>
      <c r="P73" s="29">
        <f>[6]Summary!C20</f>
        <v>24643</v>
      </c>
      <c r="Q73" s="29">
        <f>[6]Summary!D20</f>
        <v>21599.916666666668</v>
      </c>
      <c r="R73" s="29">
        <f>[6]Summary!E20</f>
        <v>21709</v>
      </c>
      <c r="S73" s="29">
        <f>[6]Summary!F20</f>
        <v>20471</v>
      </c>
      <c r="T73" s="29">
        <f>[6]Summary!G20</f>
        <v>20378</v>
      </c>
      <c r="U73" s="29">
        <f>[6]Summary!H20</f>
        <v>22336</v>
      </c>
      <c r="V73" s="29">
        <f>[6]Summary!I20</f>
        <v>21994</v>
      </c>
      <c r="W73" s="29">
        <f>[6]Summary!J20</f>
        <v>21961</v>
      </c>
      <c r="X73" s="29">
        <f>[6]Summary!K20</f>
        <v>23089</v>
      </c>
      <c r="Y73" s="29">
        <f>[6]Summary!L20</f>
        <v>22777</v>
      </c>
      <c r="Z73" s="29">
        <f>[6]Summary!M20</f>
        <v>22517</v>
      </c>
    </row>
    <row r="74" spans="1:57" hidden="1">
      <c r="A74" s="4" t="s">
        <v>68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>
        <f>[6]Summary!B21</f>
        <v>25820.2</v>
      </c>
      <c r="P74" s="1">
        <f>[6]Summary!C21</f>
        <v>27880.272727272728</v>
      </c>
      <c r="Q74" s="1">
        <f>[6]Summary!D21</f>
        <v>24704.916666666668</v>
      </c>
      <c r="R74" s="1">
        <f>[6]Summary!E21</f>
        <v>24278.846153846152</v>
      </c>
      <c r="S74" s="1">
        <f>[6]Summary!F21</f>
        <v>22250</v>
      </c>
      <c r="T74" s="1">
        <f>[6]Summary!G21</f>
        <v>25267</v>
      </c>
      <c r="U74" s="1">
        <f>[6]Summary!H21</f>
        <v>29138</v>
      </c>
      <c r="V74" s="1">
        <f>[6]Summary!I21</f>
        <v>28812</v>
      </c>
      <c r="W74" s="1">
        <f>[6]Summary!J21</f>
        <v>29480</v>
      </c>
      <c r="X74" s="1">
        <f>[6]Summary!K21</f>
        <v>24960</v>
      </c>
      <c r="Y74" s="1">
        <f>[6]Summary!L21</f>
        <v>24886</v>
      </c>
      <c r="Z74" s="1">
        <f>[6]Summary!M21</f>
        <v>24482</v>
      </c>
    </row>
    <row r="75" spans="1:57" hidden="1">
      <c r="A75" s="4" t="s">
        <v>69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>
        <f>[6]Summary!B22</f>
        <v>32427.200000000001</v>
      </c>
      <c r="P75" s="1">
        <f>[6]Summary!C22</f>
        <v>34454.181818181816</v>
      </c>
      <c r="Q75" s="1">
        <f>[6]Summary!D22</f>
        <v>31019.25</v>
      </c>
      <c r="R75" s="1">
        <f>[6]Summary!E22</f>
        <v>31742.153846153848</v>
      </c>
      <c r="S75" s="1">
        <f>[6]Summary!F22</f>
        <v>30575</v>
      </c>
      <c r="T75" s="1">
        <f>[6]Summary!G22</f>
        <v>34504</v>
      </c>
      <c r="U75" s="1">
        <f>[6]Summary!H22</f>
        <v>38838</v>
      </c>
      <c r="V75" s="1">
        <f>[6]Summary!I22</f>
        <v>38517</v>
      </c>
      <c r="W75" s="1">
        <f>[6]Summary!J22</f>
        <v>38753</v>
      </c>
      <c r="X75" s="1">
        <f>[6]Summary!K22</f>
        <v>33192</v>
      </c>
      <c r="Y75" s="1">
        <f>[6]Summary!L22</f>
        <v>33909</v>
      </c>
      <c r="Z75" s="1">
        <f>[6]Summary!M22</f>
        <v>33338</v>
      </c>
    </row>
    <row r="76" spans="1:57" hidden="1">
      <c r="A76" s="4" t="s">
        <v>70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f>[6]Summary!B23</f>
        <v>46491.9</v>
      </c>
      <c r="P76" s="1">
        <f>[6]Summary!C23</f>
        <v>42101</v>
      </c>
      <c r="Q76" s="1">
        <f>[6]Summary!D23</f>
        <v>40076.083333333336</v>
      </c>
      <c r="R76" s="1">
        <f>[6]Summary!E23</f>
        <v>38453.692307692305</v>
      </c>
      <c r="S76" s="1">
        <f>[6]Summary!F23</f>
        <v>36814</v>
      </c>
      <c r="T76" s="1">
        <f>[6]Summary!G23</f>
        <v>44316</v>
      </c>
      <c r="U76" s="1">
        <f>[6]Summary!H23</f>
        <v>50111</v>
      </c>
      <c r="V76" s="1">
        <f>[6]Summary!I23</f>
        <v>52242</v>
      </c>
      <c r="W76" s="1">
        <f>[6]Summary!J23</f>
        <v>52613</v>
      </c>
      <c r="X76" s="1">
        <f>[6]Summary!K23</f>
        <v>44996</v>
      </c>
      <c r="Y76" s="1">
        <f>[6]Summary!L23</f>
        <v>43778</v>
      </c>
      <c r="Z76" s="1">
        <f>[6]Summary!M23</f>
        <v>43501</v>
      </c>
    </row>
    <row r="77" spans="1:57" hidden="1">
      <c r="A77" s="4" t="s">
        <v>71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f>[6]Summary!B24</f>
        <v>54572.3</v>
      </c>
      <c r="P77" s="1">
        <f>[6]Summary!C24</f>
        <v>51817.454545454544</v>
      </c>
      <c r="Q77" s="1">
        <f>[6]Summary!D24</f>
        <v>48618.916666666664</v>
      </c>
      <c r="R77" s="1">
        <f>[6]Summary!E24</f>
        <v>49745.230769230766</v>
      </c>
      <c r="S77" s="1">
        <f>[6]Summary!F24</f>
        <v>46648</v>
      </c>
      <c r="T77" s="1">
        <f>[6]Summary!G24</f>
        <v>57505</v>
      </c>
      <c r="U77" s="1">
        <f>[6]Summary!H24</f>
        <v>66814</v>
      </c>
      <c r="V77" s="1">
        <f>[6]Summary!I24</f>
        <v>65199</v>
      </c>
      <c r="W77" s="1">
        <f>[6]Summary!J24</f>
        <v>65492</v>
      </c>
      <c r="X77" s="1">
        <f>[6]Summary!K24</f>
        <v>59528</v>
      </c>
      <c r="Y77" s="1">
        <f>[6]Summary!L24</f>
        <v>58054</v>
      </c>
      <c r="Z77" s="1">
        <f>[6]Summary!M24</f>
        <v>58527</v>
      </c>
    </row>
    <row r="78" spans="1:57" ht="17" hidden="1" thickTop="1" thickBot="1">
      <c r="A78" s="6" t="s">
        <v>29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</row>
    <row r="79" spans="1:57" hidden="1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57" hidden="1">
      <c r="B80" s="9" t="s">
        <v>123</v>
      </c>
      <c r="C80" s="9"/>
      <c r="D80" s="9" t="s">
        <v>124</v>
      </c>
      <c r="E80" s="9"/>
      <c r="F80" s="9" t="s">
        <v>125</v>
      </c>
      <c r="H80" s="9" t="s">
        <v>126</v>
      </c>
      <c r="J80" t="s">
        <v>149</v>
      </c>
      <c r="M80" s="146" t="s">
        <v>128</v>
      </c>
      <c r="N80" s="146"/>
    </row>
    <row r="81" spans="1:58" hidden="1">
      <c r="A81" s="9" t="s">
        <v>129</v>
      </c>
    </row>
    <row r="82" spans="1:58" hidden="1">
      <c r="A82" s="28" t="s">
        <v>67</v>
      </c>
      <c r="B82" s="1">
        <f>AVERAGE(B65:Z65)</f>
        <v>16643.106684305967</v>
      </c>
      <c r="D82" s="1">
        <f>AVERAGE(O65:Z65)</f>
        <v>20617.860080944614</v>
      </c>
      <c r="F82" s="1">
        <f>AVERAGE(O73:Z73)</f>
        <v>22220.793055555554</v>
      </c>
      <c r="H82" s="1">
        <f>AVERAGE(D82,F82)</f>
        <v>21419.326568250086</v>
      </c>
      <c r="I82" s="1" t="e">
        <f>AVERAGE(E82,G82)</f>
        <v>#DIV/0!</v>
      </c>
      <c r="J82">
        <v>21419.326568250086</v>
      </c>
      <c r="M82" s="147" t="s">
        <v>130</v>
      </c>
      <c r="N82" s="147"/>
      <c r="O82" s="14">
        <f>AVERAGE('[1]Mileage '!$G$10:$G$17,'[1]Mileage '!$G$19:$G$25)</f>
        <v>24189.689543067892</v>
      </c>
    </row>
    <row r="83" spans="1:58" hidden="1">
      <c r="A83" s="4" t="s">
        <v>68</v>
      </c>
      <c r="B83" s="1">
        <f>AVERAGE(B66:Z66)</f>
        <v>20821.247437053473</v>
      </c>
      <c r="D83" s="1">
        <f>AVERAGE(O66:Z66)</f>
        <v>21234.498554440866</v>
      </c>
      <c r="F83" s="1">
        <f>AVERAGE(O74:Z74)</f>
        <v>25996.602962315461</v>
      </c>
      <c r="H83" s="1">
        <f t="shared" ref="H83:I86" si="31">AVERAGE(D83,F83)</f>
        <v>23615.550758378165</v>
      </c>
      <c r="I83" s="1" t="e">
        <f t="shared" si="31"/>
        <v>#DIV/0!</v>
      </c>
      <c r="J83">
        <v>23615.550758378165</v>
      </c>
      <c r="M83" s="144" t="s">
        <v>131</v>
      </c>
      <c r="N83" s="144"/>
      <c r="O83" s="14">
        <f>AVERAGE('[1]Mileage '!$G$26:$G$39)</f>
        <v>53073.979595893987</v>
      </c>
    </row>
    <row r="84" spans="1:58" hidden="1">
      <c r="A84" s="4" t="s">
        <v>69</v>
      </c>
      <c r="B84" s="1">
        <f>AVERAGE(B67:Z67)</f>
        <v>30826.647491940592</v>
      </c>
      <c r="D84" s="1">
        <f>AVERAGE(O67:Z67)</f>
        <v>31911.767439177438</v>
      </c>
      <c r="F84" s="1">
        <f>AVERAGE(O75:Z75)</f>
        <v>34272.398805361307</v>
      </c>
      <c r="H84" s="1">
        <f t="shared" si="31"/>
        <v>33092.083122269374</v>
      </c>
      <c r="I84" s="1" t="e">
        <f t="shared" si="31"/>
        <v>#DIV/0!</v>
      </c>
      <c r="J84">
        <v>33092.083122269374</v>
      </c>
      <c r="M84" s="144" t="s">
        <v>132</v>
      </c>
      <c r="N84" s="144"/>
      <c r="O84" s="14">
        <f>AVERAGE('[1]Mileage '!$G$40:$G$46,'[1]Mileage '!$G$49:$G$53,'[1]Mileage '!$G$56:$G$60)</f>
        <v>69520.254789191036</v>
      </c>
    </row>
    <row r="85" spans="1:58" hidden="1">
      <c r="A85" s="4" t="s">
        <v>70</v>
      </c>
      <c r="B85" s="1">
        <f>AVERAGE(B68:Z68)</f>
        <v>44099.585422279706</v>
      </c>
      <c r="D85" s="1">
        <f>AVERAGE(O68:Z68)</f>
        <v>41005.030073240043</v>
      </c>
      <c r="F85" s="1">
        <f>AVERAGE(O76:Z76)</f>
        <v>44624.472970085473</v>
      </c>
      <c r="H85" s="1">
        <f t="shared" si="31"/>
        <v>42814.751521662758</v>
      </c>
      <c r="I85" s="1" t="e">
        <f t="shared" si="31"/>
        <v>#DIV/0!</v>
      </c>
      <c r="J85">
        <v>42814.751521662758</v>
      </c>
      <c r="M85" s="144" t="s">
        <v>133</v>
      </c>
      <c r="N85" s="144"/>
      <c r="O85" s="14">
        <f>AVERAGE('[1]Mileage '!$G$63:$G$67,'[1]Mileage '!$G$70:$G$74)</f>
        <v>77972.075392575571</v>
      </c>
    </row>
    <row r="86" spans="1:58" hidden="1">
      <c r="A86" s="4" t="s">
        <v>71</v>
      </c>
      <c r="B86" s="1">
        <f>AVERAGE(B69:Z69)</f>
        <v>51101.415840631278</v>
      </c>
      <c r="D86" s="1">
        <f>AVERAGE(O69:Z69)</f>
        <v>51174.353219679157</v>
      </c>
      <c r="F86" s="1">
        <f>AVERAGE(O77:Z77)</f>
        <v>56876.741831779327</v>
      </c>
      <c r="H86" s="1">
        <f t="shared" si="31"/>
        <v>54025.547525729242</v>
      </c>
      <c r="I86" s="1" t="e">
        <f t="shared" si="31"/>
        <v>#DIV/0!</v>
      </c>
      <c r="J86">
        <v>54025.547525729242</v>
      </c>
      <c r="M86" s="144" t="s">
        <v>134</v>
      </c>
      <c r="N86" s="144"/>
      <c r="O86" s="1">
        <f>AVERAGE('[1]Mileage '!$G$77:$G$81,'[1]Mileage '!$G$84:$G$88)</f>
        <v>77972.075392575571</v>
      </c>
    </row>
    <row r="87" spans="1:58" hidden="1">
      <c r="A87" s="4"/>
      <c r="B87" s="1"/>
      <c r="D87" s="1"/>
      <c r="F87" s="1"/>
      <c r="H87" s="1"/>
      <c r="M87" s="38"/>
      <c r="N87" s="38"/>
      <c r="O87" s="1"/>
    </row>
    <row r="88" spans="1:58">
      <c r="B88" s="1"/>
      <c r="D88" s="1"/>
      <c r="F88" s="1"/>
      <c r="H88" s="1"/>
      <c r="M88" s="38"/>
      <c r="N88" s="38"/>
      <c r="O88" s="1"/>
    </row>
    <row r="89" spans="1:58">
      <c r="A89" s="142" t="s">
        <v>150</v>
      </c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58" ht="16" thickBot="1">
      <c r="A90" s="143"/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</row>
    <row r="91" spans="1:58" ht="16">
      <c r="A91" s="21" t="s">
        <v>136</v>
      </c>
      <c r="B91" s="2">
        <v>1995</v>
      </c>
      <c r="C91" s="2">
        <v>1996</v>
      </c>
      <c r="D91" s="2">
        <v>1997</v>
      </c>
      <c r="E91" s="2">
        <v>1998</v>
      </c>
      <c r="F91" s="2">
        <v>1999</v>
      </c>
      <c r="G91" s="2">
        <v>2000</v>
      </c>
      <c r="H91" s="2">
        <v>2001</v>
      </c>
      <c r="I91" s="2">
        <v>2002</v>
      </c>
      <c r="J91" s="2">
        <v>2003</v>
      </c>
      <c r="K91" s="2">
        <v>2004</v>
      </c>
      <c r="L91" s="2">
        <v>2005</v>
      </c>
      <c r="M91" s="2">
        <v>2006</v>
      </c>
      <c r="N91" s="2">
        <v>2007</v>
      </c>
      <c r="O91" s="2">
        <v>2008</v>
      </c>
      <c r="P91" s="2">
        <v>2009</v>
      </c>
      <c r="Q91" s="2">
        <v>2010</v>
      </c>
      <c r="R91" s="2">
        <v>2011</v>
      </c>
      <c r="S91" s="2">
        <v>2012</v>
      </c>
      <c r="T91" s="2">
        <v>2013</v>
      </c>
      <c r="U91" s="2">
        <v>2014</v>
      </c>
      <c r="V91" s="2">
        <v>2015</v>
      </c>
      <c r="W91" s="2">
        <v>2016</v>
      </c>
      <c r="X91" s="2">
        <v>2017</v>
      </c>
      <c r="Y91" s="2">
        <v>2018</v>
      </c>
      <c r="Z91" s="10">
        <v>2019</v>
      </c>
      <c r="AA91" s="2">
        <v>2020</v>
      </c>
      <c r="AB91" s="2">
        <v>2021</v>
      </c>
      <c r="AC91" s="2">
        <v>2022</v>
      </c>
      <c r="AD91" s="2">
        <v>2023</v>
      </c>
      <c r="AE91" s="2">
        <v>2024</v>
      </c>
      <c r="AF91" s="2">
        <v>2025</v>
      </c>
      <c r="AG91" s="2">
        <v>2026</v>
      </c>
      <c r="AH91" s="2">
        <v>2027</v>
      </c>
      <c r="AI91" s="2">
        <v>2028</v>
      </c>
      <c r="AJ91" s="2">
        <v>2029</v>
      </c>
      <c r="AK91" s="2">
        <v>2030</v>
      </c>
      <c r="AL91" s="2">
        <v>2031</v>
      </c>
      <c r="AM91" s="2">
        <v>2032</v>
      </c>
      <c r="AN91" s="2">
        <v>2033</v>
      </c>
      <c r="AO91" s="2">
        <v>2034</v>
      </c>
      <c r="AP91" s="2">
        <v>2035</v>
      </c>
      <c r="AQ91" s="2">
        <v>2036</v>
      </c>
      <c r="AR91" s="2">
        <v>2037</v>
      </c>
      <c r="AS91" s="2">
        <v>2038</v>
      </c>
      <c r="AT91" s="2">
        <v>2039</v>
      </c>
      <c r="AU91" s="2">
        <v>2040</v>
      </c>
      <c r="AV91" s="2">
        <v>2041</v>
      </c>
      <c r="AW91" s="2">
        <v>2042</v>
      </c>
      <c r="AX91" s="2">
        <v>2043</v>
      </c>
      <c r="AY91" s="2">
        <v>2044</v>
      </c>
      <c r="AZ91" s="2">
        <v>2045</v>
      </c>
      <c r="BA91" s="2">
        <v>2046</v>
      </c>
      <c r="BB91" s="2">
        <v>2047</v>
      </c>
      <c r="BC91" s="2">
        <v>2048</v>
      </c>
      <c r="BD91" s="2">
        <v>2049</v>
      </c>
      <c r="BE91" s="3">
        <v>2050</v>
      </c>
    </row>
    <row r="92" spans="1:58">
      <c r="A92" s="4" t="s">
        <v>67</v>
      </c>
      <c r="B92" s="18">
        <f>'Tkm, Vkm, &amp; Stock Projections'!B83</f>
        <v>0</v>
      </c>
      <c r="C92" s="18">
        <f>'Tkm, Vkm, &amp; Stock Projections'!C83</f>
        <v>0</v>
      </c>
      <c r="D92" s="18">
        <f>'Tkm, Vkm, &amp; Stock Projections'!D83</f>
        <v>0</v>
      </c>
      <c r="E92" s="18">
        <f>'Tkm, Vkm, &amp; Stock Projections'!E83</f>
        <v>0</v>
      </c>
      <c r="F92" s="18">
        <f>'Tkm, Vkm, &amp; Stock Projections'!F83</f>
        <v>0</v>
      </c>
      <c r="G92" s="18">
        <f>'Tkm, Vkm, &amp; Stock Projections'!G83</f>
        <v>0</v>
      </c>
      <c r="H92" s="18">
        <f>'Tkm, Vkm, &amp; Stock Projections'!H83</f>
        <v>0</v>
      </c>
      <c r="I92" s="18">
        <f>'Tkm, Vkm, &amp; Stock Projections'!I83</f>
        <v>0</v>
      </c>
      <c r="J92" s="18">
        <f>'Tkm, Vkm, &amp; Stock Projections'!J83</f>
        <v>0</v>
      </c>
      <c r="K92" s="18">
        <f>'Tkm, Vkm, &amp; Stock Projections'!K83</f>
        <v>0</v>
      </c>
      <c r="L92" s="18">
        <f>'Tkm, Vkm, &amp; Stock Projections'!L83</f>
        <v>0</v>
      </c>
      <c r="M92" s="18">
        <f>'Tkm, Vkm, &amp; Stock Projections'!M83</f>
        <v>0</v>
      </c>
      <c r="N92" s="18">
        <f>'Tkm, Vkm, &amp; Stock Projections'!N83</f>
        <v>0</v>
      </c>
      <c r="O92" s="18">
        <f>'Tkm, Vkm, &amp; Stock Projections'!O83</f>
        <v>0</v>
      </c>
      <c r="P92" s="18">
        <f>'Tkm, Vkm, &amp; Stock Projections'!P83</f>
        <v>0</v>
      </c>
      <c r="Q92" s="18">
        <f>'Tkm, Vkm, &amp; Stock Projections'!Q83</f>
        <v>61937</v>
      </c>
      <c r="R92" s="18">
        <f>'Tkm, Vkm, &amp; Stock Projections'!R83</f>
        <v>58864</v>
      </c>
      <c r="S92" s="18">
        <f>'Tkm, Vkm, &amp; Stock Projections'!S83</f>
        <v>58513</v>
      </c>
      <c r="T92" s="18">
        <f>'Tkm, Vkm, &amp; Stock Projections'!T83</f>
        <v>57142</v>
      </c>
      <c r="U92" s="18">
        <f>'Tkm, Vkm, &amp; Stock Projections'!U83</f>
        <v>60751</v>
      </c>
      <c r="V92" s="18">
        <f>'Tkm, Vkm, &amp; Stock Projections'!V83</f>
        <v>67289</v>
      </c>
      <c r="W92" s="18">
        <f>'Tkm, Vkm, &amp; Stock Projections'!W83</f>
        <v>69331</v>
      </c>
      <c r="X92" s="18">
        <f>'Tkm, Vkm, &amp; Stock Projections'!X83</f>
        <v>80333</v>
      </c>
      <c r="Y92" s="18">
        <f>'Tkm, Vkm, &amp; Stock Projections'!Y83</f>
        <v>88247</v>
      </c>
      <c r="Z92" s="18">
        <f>'Tkm, Vkm, &amp; Stock Projections'!Z83</f>
        <v>96299</v>
      </c>
      <c r="AA92" s="18">
        <f>AA93</f>
        <v>98060</v>
      </c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</row>
    <row r="93" spans="1:58">
      <c r="A93" s="4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>
        <f>Z92</f>
        <v>96299</v>
      </c>
      <c r="AA93" s="18">
        <f>'Tkm, Vkm, &amp; Stock Projections'!AA83</f>
        <v>98060</v>
      </c>
      <c r="AB93" s="18">
        <f>'Tkm, Vkm, &amp; Stock Projections'!AB83</f>
        <v>111555</v>
      </c>
      <c r="AC93" s="18">
        <f>'Tkm, Vkm, &amp; Stock Projections'!AC83</f>
        <v>117122</v>
      </c>
      <c r="AD93" s="18">
        <f>'Tkm, Vkm, &amp; Stock Projections'!AD83</f>
        <v>120994</v>
      </c>
      <c r="AE93" s="18">
        <f>'Tkm, Vkm, &amp; Stock Projections'!AE83</f>
        <v>124096</v>
      </c>
      <c r="AF93" s="18">
        <f>'Tkm, Vkm, &amp; Stock Projections'!AF83</f>
        <v>128214</v>
      </c>
      <c r="AG93" s="18">
        <f>'Tkm, Vkm, &amp; Stock Projections'!AG83</f>
        <v>138926</v>
      </c>
      <c r="AH93" s="18">
        <f>'Tkm, Vkm, &amp; Stock Projections'!AH83</f>
        <v>145860</v>
      </c>
      <c r="AI93" s="18">
        <f>'Tkm, Vkm, &amp; Stock Projections'!AI83</f>
        <v>152637</v>
      </c>
      <c r="AJ93" s="18">
        <f>'Tkm, Vkm, &amp; Stock Projections'!AJ83</f>
        <v>160160</v>
      </c>
      <c r="AK93" s="18">
        <f>'Tkm, Vkm, &amp; Stock Projections'!AK83</f>
        <v>168450</v>
      </c>
      <c r="AL93" s="18">
        <f>'Tkm, Vkm, &amp; Stock Projections'!AL83</f>
        <v>171929</v>
      </c>
      <c r="AM93" s="18">
        <f>'Tkm, Vkm, &amp; Stock Projections'!AM83</f>
        <v>175436</v>
      </c>
      <c r="AN93" s="18">
        <f>'Tkm, Vkm, &amp; Stock Projections'!AN83</f>
        <v>179023</v>
      </c>
      <c r="AO93" s="18">
        <f>'Tkm, Vkm, &amp; Stock Projections'!AO83</f>
        <v>182638</v>
      </c>
      <c r="AP93" s="18">
        <f>'Tkm, Vkm, &amp; Stock Projections'!AP83</f>
        <v>186331</v>
      </c>
      <c r="AQ93" s="18">
        <f>'Tkm, Vkm, &amp; Stock Projections'!AQ83</f>
        <v>189628</v>
      </c>
      <c r="AR93" s="18">
        <f>'Tkm, Vkm, &amp; Stock Projections'!AR83</f>
        <v>192963</v>
      </c>
      <c r="AS93" s="18">
        <f>'Tkm, Vkm, &amp; Stock Projections'!AS83</f>
        <v>196353</v>
      </c>
      <c r="AT93" s="18">
        <f>'Tkm, Vkm, &amp; Stock Projections'!AT83</f>
        <v>199777</v>
      </c>
      <c r="AU93" s="18">
        <f>'Tkm, Vkm, &amp; Stock Projections'!AU83</f>
        <v>203243</v>
      </c>
      <c r="AV93" s="18">
        <f>'Tkm, Vkm, &amp; Stock Projections'!AV83</f>
        <v>206745</v>
      </c>
      <c r="AW93" s="18">
        <f>'Tkm, Vkm, &amp; Stock Projections'!AW83</f>
        <v>210290</v>
      </c>
      <c r="AX93" s="18">
        <f>'Tkm, Vkm, &amp; Stock Projections'!AX83</f>
        <v>213888</v>
      </c>
      <c r="AY93" s="18">
        <f>'Tkm, Vkm, &amp; Stock Projections'!AY83</f>
        <v>217518</v>
      </c>
      <c r="AZ93" s="18">
        <f>'Tkm, Vkm, &amp; Stock Projections'!AZ83</f>
        <v>221204</v>
      </c>
      <c r="BA93" s="18">
        <f>'Tkm, Vkm, &amp; Stock Projections'!BA83</f>
        <v>224910</v>
      </c>
      <c r="BB93" s="18">
        <f>'Tkm, Vkm, &amp; Stock Projections'!BB83</f>
        <v>228672</v>
      </c>
      <c r="BC93" s="18">
        <f>'Tkm, Vkm, &amp; Stock Projections'!BC83</f>
        <v>232490</v>
      </c>
      <c r="BD93" s="18">
        <f>'Tkm, Vkm, &amp; Stock Projections'!BD83</f>
        <v>236335</v>
      </c>
      <c r="BE93" s="18">
        <f>'Tkm, Vkm, &amp; Stock Projections'!BE83</f>
        <v>240249</v>
      </c>
    </row>
    <row r="94" spans="1:58">
      <c r="A94" s="4" t="s">
        <v>68</v>
      </c>
      <c r="B94" s="18">
        <f>'Tkm, Vkm, &amp; Stock Projections'!B84</f>
        <v>0</v>
      </c>
      <c r="C94" s="18">
        <f>'Tkm, Vkm, &amp; Stock Projections'!C84</f>
        <v>0</v>
      </c>
      <c r="D94" s="18">
        <f>'Tkm, Vkm, &amp; Stock Projections'!D84</f>
        <v>0</v>
      </c>
      <c r="E94" s="18">
        <f>'Tkm, Vkm, &amp; Stock Projections'!E84</f>
        <v>0</v>
      </c>
      <c r="F94" s="18">
        <f>'Tkm, Vkm, &amp; Stock Projections'!F84</f>
        <v>0</v>
      </c>
      <c r="G94" s="18">
        <f>'Tkm, Vkm, &amp; Stock Projections'!G84</f>
        <v>0</v>
      </c>
      <c r="H94" s="18">
        <f>'Tkm, Vkm, &amp; Stock Projections'!H84</f>
        <v>0</v>
      </c>
      <c r="I94" s="18">
        <f>'Tkm, Vkm, &amp; Stock Projections'!I84</f>
        <v>0</v>
      </c>
      <c r="J94" s="18">
        <f>'Tkm, Vkm, &amp; Stock Projections'!J84</f>
        <v>0</v>
      </c>
      <c r="K94" s="18">
        <f>'Tkm, Vkm, &amp; Stock Projections'!K84</f>
        <v>0</v>
      </c>
      <c r="L94" s="18">
        <f>'Tkm, Vkm, &amp; Stock Projections'!L84</f>
        <v>0</v>
      </c>
      <c r="M94" s="18">
        <f>'Tkm, Vkm, &amp; Stock Projections'!M84</f>
        <v>0</v>
      </c>
      <c r="N94" s="18">
        <f>'Tkm, Vkm, &amp; Stock Projections'!N84</f>
        <v>0</v>
      </c>
      <c r="O94" s="18">
        <f>'Tkm, Vkm, &amp; Stock Projections'!O84</f>
        <v>0</v>
      </c>
      <c r="P94" s="18">
        <f>'Tkm, Vkm, &amp; Stock Projections'!P84</f>
        <v>0</v>
      </c>
      <c r="Q94" s="18">
        <f>'Tkm, Vkm, &amp; Stock Projections'!Q84</f>
        <v>5305</v>
      </c>
      <c r="R94" s="18">
        <f>'Tkm, Vkm, &amp; Stock Projections'!R84</f>
        <v>4857</v>
      </c>
      <c r="S94" s="18">
        <f>'Tkm, Vkm, &amp; Stock Projections'!S84</f>
        <v>4718</v>
      </c>
      <c r="T94" s="18">
        <f>'Tkm, Vkm, &amp; Stock Projections'!T84</f>
        <v>4562</v>
      </c>
      <c r="U94" s="18">
        <f>'Tkm, Vkm, &amp; Stock Projections'!U84</f>
        <v>4571</v>
      </c>
      <c r="V94" s="18">
        <f>'Tkm, Vkm, &amp; Stock Projections'!V84</f>
        <v>4495</v>
      </c>
      <c r="W94" s="18">
        <f>'Tkm, Vkm, &amp; Stock Projections'!W84</f>
        <v>4514</v>
      </c>
      <c r="X94" s="18">
        <f>'Tkm, Vkm, &amp; Stock Projections'!X84</f>
        <v>4782</v>
      </c>
      <c r="Y94" s="18">
        <f>'Tkm, Vkm, &amp; Stock Projections'!Y84</f>
        <v>4814</v>
      </c>
      <c r="Z94" s="18">
        <f>'Tkm, Vkm, &amp; Stock Projections'!Z84</f>
        <v>4860</v>
      </c>
      <c r="AA94" s="18">
        <f>AA95</f>
        <v>4778</v>
      </c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</row>
    <row r="95" spans="1:58">
      <c r="A95" s="4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>
        <f>Z94</f>
        <v>4860</v>
      </c>
      <c r="AA95" s="18">
        <f>'Tkm, Vkm, &amp; Stock Projections'!AA84</f>
        <v>4778</v>
      </c>
      <c r="AB95" s="18">
        <f>'Tkm, Vkm, &amp; Stock Projections'!AB84</f>
        <v>5247</v>
      </c>
      <c r="AC95" s="18">
        <f>'Tkm, Vkm, &amp; Stock Projections'!AC84</f>
        <v>5318</v>
      </c>
      <c r="AD95" s="18">
        <f>'Tkm, Vkm, &amp; Stock Projections'!AD84</f>
        <v>5303</v>
      </c>
      <c r="AE95" s="18">
        <f>'Tkm, Vkm, &amp; Stock Projections'!AE84</f>
        <v>5251</v>
      </c>
      <c r="AF95" s="18">
        <f>'Tkm, Vkm, &amp; Stock Projections'!AF84</f>
        <v>5237</v>
      </c>
      <c r="AG95" s="18">
        <f>'Tkm, Vkm, &amp; Stock Projections'!AG84</f>
        <v>5590</v>
      </c>
      <c r="AH95" s="18">
        <f>'Tkm, Vkm, &amp; Stock Projections'!AH84</f>
        <v>5781</v>
      </c>
      <c r="AI95" s="18">
        <f>'Tkm, Vkm, &amp; Stock Projections'!AI84</f>
        <v>5960</v>
      </c>
      <c r="AJ95" s="18">
        <f>'Tkm, Vkm, &amp; Stock Projections'!AJ84</f>
        <v>6160</v>
      </c>
      <c r="AK95" s="18">
        <f>'Tkm, Vkm, &amp; Stock Projections'!AK84</f>
        <v>6382</v>
      </c>
      <c r="AL95" s="18">
        <f>'Tkm, Vkm, &amp; Stock Projections'!AL84</f>
        <v>6417</v>
      </c>
      <c r="AM95" s="18">
        <f>'Tkm, Vkm, &amp; Stock Projections'!AM84</f>
        <v>6450</v>
      </c>
      <c r="AN95" s="18">
        <f>'Tkm, Vkm, &amp; Stock Projections'!AN84</f>
        <v>6484</v>
      </c>
      <c r="AO95" s="18">
        <f>'Tkm, Vkm, &amp; Stock Projections'!AO84</f>
        <v>6516</v>
      </c>
      <c r="AP95" s="18">
        <f>'Tkm, Vkm, &amp; Stock Projections'!AP84</f>
        <v>6549</v>
      </c>
      <c r="AQ95" s="18">
        <f>'Tkm, Vkm, &amp; Stock Projections'!AQ84</f>
        <v>6615</v>
      </c>
      <c r="AR95" s="18">
        <f>'Tkm, Vkm, &amp; Stock Projections'!AR84</f>
        <v>6681</v>
      </c>
      <c r="AS95" s="18">
        <f>'Tkm, Vkm, &amp; Stock Projections'!AS84</f>
        <v>6747</v>
      </c>
      <c r="AT95" s="18">
        <f>'Tkm, Vkm, &amp; Stock Projections'!AT84</f>
        <v>6813</v>
      </c>
      <c r="AU95" s="18">
        <f>'Tkm, Vkm, &amp; Stock Projections'!AU84</f>
        <v>6880</v>
      </c>
      <c r="AV95" s="18">
        <f>'Tkm, Vkm, &amp; Stock Projections'!AV84</f>
        <v>6946</v>
      </c>
      <c r="AW95" s="18">
        <f>'Tkm, Vkm, &amp; Stock Projections'!AW84</f>
        <v>7012</v>
      </c>
      <c r="AX95" s="18">
        <f>'Tkm, Vkm, &amp; Stock Projections'!AX84</f>
        <v>7079</v>
      </c>
      <c r="AY95" s="18">
        <f>'Tkm, Vkm, &amp; Stock Projections'!AY84</f>
        <v>7145</v>
      </c>
      <c r="AZ95" s="18">
        <f>'Tkm, Vkm, &amp; Stock Projections'!AZ84</f>
        <v>7212</v>
      </c>
      <c r="BA95" s="18">
        <f>'Tkm, Vkm, &amp; Stock Projections'!BA84</f>
        <v>7278</v>
      </c>
      <c r="BB95" s="18">
        <f>'Tkm, Vkm, &amp; Stock Projections'!BB84</f>
        <v>7344</v>
      </c>
      <c r="BC95" s="18">
        <f>'Tkm, Vkm, &amp; Stock Projections'!BC84</f>
        <v>7411</v>
      </c>
      <c r="BD95" s="18">
        <f>'Tkm, Vkm, &amp; Stock Projections'!BD84</f>
        <v>7477</v>
      </c>
      <c r="BE95" s="18">
        <f>'Tkm, Vkm, &amp; Stock Projections'!BE84</f>
        <v>7544</v>
      </c>
      <c r="BF95">
        <v>8497.8279568554372</v>
      </c>
    </row>
    <row r="96" spans="1:58">
      <c r="A96" s="4" t="s">
        <v>69</v>
      </c>
      <c r="B96" s="18">
        <f>'Tkm, Vkm, &amp; Stock Projections'!B85</f>
        <v>0</v>
      </c>
      <c r="C96" s="18">
        <f>'Tkm, Vkm, &amp; Stock Projections'!C85</f>
        <v>0</v>
      </c>
      <c r="D96" s="18">
        <f>'Tkm, Vkm, &amp; Stock Projections'!D85</f>
        <v>0</v>
      </c>
      <c r="E96" s="18">
        <f>'Tkm, Vkm, &amp; Stock Projections'!E85</f>
        <v>0</v>
      </c>
      <c r="F96" s="18">
        <f>'Tkm, Vkm, &amp; Stock Projections'!F85</f>
        <v>0</v>
      </c>
      <c r="G96" s="18">
        <f>'Tkm, Vkm, &amp; Stock Projections'!G85</f>
        <v>0</v>
      </c>
      <c r="H96" s="18">
        <f>'Tkm, Vkm, &amp; Stock Projections'!H85</f>
        <v>0</v>
      </c>
      <c r="I96" s="18">
        <f>'Tkm, Vkm, &amp; Stock Projections'!I85</f>
        <v>0</v>
      </c>
      <c r="J96" s="18">
        <f>'Tkm, Vkm, &amp; Stock Projections'!J85</f>
        <v>0</v>
      </c>
      <c r="K96" s="18">
        <f>'Tkm, Vkm, &amp; Stock Projections'!K85</f>
        <v>0</v>
      </c>
      <c r="L96" s="18">
        <f>'Tkm, Vkm, &amp; Stock Projections'!L85</f>
        <v>0</v>
      </c>
      <c r="M96" s="18">
        <f>'Tkm, Vkm, &amp; Stock Projections'!M85</f>
        <v>0</v>
      </c>
      <c r="N96" s="18">
        <f>'Tkm, Vkm, &amp; Stock Projections'!N85</f>
        <v>0</v>
      </c>
      <c r="O96" s="18">
        <f>'Tkm, Vkm, &amp; Stock Projections'!O85</f>
        <v>0</v>
      </c>
      <c r="P96" s="18">
        <f>'Tkm, Vkm, &amp; Stock Projections'!P85</f>
        <v>0</v>
      </c>
      <c r="Q96" s="18">
        <f>'Tkm, Vkm, &amp; Stock Projections'!Q85</f>
        <v>3330</v>
      </c>
      <c r="R96" s="18">
        <f>'Tkm, Vkm, &amp; Stock Projections'!R85</f>
        <v>2995</v>
      </c>
      <c r="S96" s="18">
        <f>'Tkm, Vkm, &amp; Stock Projections'!S85</f>
        <v>2938</v>
      </c>
      <c r="T96" s="18">
        <f>'Tkm, Vkm, &amp; Stock Projections'!T85</f>
        <v>2864</v>
      </c>
      <c r="U96" s="18">
        <f>'Tkm, Vkm, &amp; Stock Projections'!U85</f>
        <v>3023</v>
      </c>
      <c r="V96" s="18">
        <f>'Tkm, Vkm, &amp; Stock Projections'!V85</f>
        <v>3065</v>
      </c>
      <c r="W96" s="18">
        <f>'Tkm, Vkm, &amp; Stock Projections'!W85</f>
        <v>3413</v>
      </c>
      <c r="X96" s="18">
        <f>'Tkm, Vkm, &amp; Stock Projections'!X85</f>
        <v>3854</v>
      </c>
      <c r="Y96" s="18">
        <f>'Tkm, Vkm, &amp; Stock Projections'!Y85</f>
        <v>4019</v>
      </c>
      <c r="Z96" s="18">
        <f>'Tkm, Vkm, &amp; Stock Projections'!Z85</f>
        <v>4133</v>
      </c>
      <c r="AA96" s="18">
        <f>AA97</f>
        <v>4104</v>
      </c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</row>
    <row r="97" spans="1:61">
      <c r="A97" s="4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>
        <f>Z96</f>
        <v>4133</v>
      </c>
      <c r="AA97" s="18">
        <f>'Tkm, Vkm, &amp; Stock Projections'!AA85</f>
        <v>4104</v>
      </c>
      <c r="AB97" s="18">
        <f>'Tkm, Vkm, &amp; Stock Projections'!AB85</f>
        <v>4553</v>
      </c>
      <c r="AC97" s="18">
        <f>'Tkm, Vkm, &amp; Stock Projections'!AC85</f>
        <v>4662</v>
      </c>
      <c r="AD97" s="18">
        <f>'Tkm, Vkm, &amp; Stock Projections'!AD85</f>
        <v>4697</v>
      </c>
      <c r="AE97" s="18">
        <f>'Tkm, Vkm, &amp; Stock Projections'!AE85</f>
        <v>4698</v>
      </c>
      <c r="AF97" s="18">
        <f>'Tkm, Vkm, &amp; Stock Projections'!AF85</f>
        <v>4734</v>
      </c>
      <c r="AG97" s="18">
        <f>'Tkm, Vkm, &amp; Stock Projections'!AG85</f>
        <v>5078</v>
      </c>
      <c r="AH97" s="18">
        <f>'Tkm, Vkm, &amp; Stock Projections'!AH85</f>
        <v>5279</v>
      </c>
      <c r="AI97" s="18">
        <f>'Tkm, Vkm, &amp; Stock Projections'!AI85</f>
        <v>5469</v>
      </c>
      <c r="AJ97" s="18">
        <f>'Tkm, Vkm, &amp; Stock Projections'!AJ85</f>
        <v>5682</v>
      </c>
      <c r="AK97" s="18">
        <f>'Tkm, Vkm, &amp; Stock Projections'!AK85</f>
        <v>5916</v>
      </c>
      <c r="AL97" s="18">
        <f>'Tkm, Vkm, &amp; Stock Projections'!AL85</f>
        <v>5979</v>
      </c>
      <c r="AM97" s="18">
        <f>'Tkm, Vkm, &amp; Stock Projections'!AM85</f>
        <v>6040</v>
      </c>
      <c r="AN97" s="18">
        <f>'Tkm, Vkm, &amp; Stock Projections'!AN85</f>
        <v>6102</v>
      </c>
      <c r="AO97" s="18">
        <f>'Tkm, Vkm, &amp; Stock Projections'!AO85</f>
        <v>6163</v>
      </c>
      <c r="AP97" s="18">
        <f>'Tkm, Vkm, &amp; Stock Projections'!AP85</f>
        <v>6225</v>
      </c>
      <c r="AQ97" s="18">
        <f>'Tkm, Vkm, &amp; Stock Projections'!AQ85</f>
        <v>6320</v>
      </c>
      <c r="AR97" s="18">
        <f>'Tkm, Vkm, &amp; Stock Projections'!AR85</f>
        <v>6415</v>
      </c>
      <c r="AS97" s="18">
        <f>'Tkm, Vkm, &amp; Stock Projections'!AS85</f>
        <v>6511</v>
      </c>
      <c r="AT97" s="18">
        <f>'Tkm, Vkm, &amp; Stock Projections'!AT85</f>
        <v>6608</v>
      </c>
      <c r="AU97" s="18">
        <f>'Tkm, Vkm, &amp; Stock Projections'!AU85</f>
        <v>6706</v>
      </c>
      <c r="AV97" s="18">
        <f>'Tkm, Vkm, &amp; Stock Projections'!AV85</f>
        <v>6805</v>
      </c>
      <c r="AW97" s="18">
        <f>'Tkm, Vkm, &amp; Stock Projections'!AW85</f>
        <v>6904</v>
      </c>
      <c r="AX97" s="18">
        <f>'Tkm, Vkm, &amp; Stock Projections'!AX85</f>
        <v>7005</v>
      </c>
      <c r="AY97" s="18">
        <f>'Tkm, Vkm, &amp; Stock Projections'!AY85</f>
        <v>7106</v>
      </c>
      <c r="AZ97" s="18">
        <f>'Tkm, Vkm, &amp; Stock Projections'!AZ85</f>
        <v>7208</v>
      </c>
      <c r="BA97" s="18">
        <f>'Tkm, Vkm, &amp; Stock Projections'!BA85</f>
        <v>7311</v>
      </c>
      <c r="BB97" s="18">
        <f>'Tkm, Vkm, &amp; Stock Projections'!BB85</f>
        <v>7414</v>
      </c>
      <c r="BC97" s="18">
        <f>'Tkm, Vkm, &amp; Stock Projections'!BC85</f>
        <v>7519</v>
      </c>
      <c r="BD97" s="18">
        <f>'Tkm, Vkm, &amp; Stock Projections'!BD85</f>
        <v>7625</v>
      </c>
      <c r="BE97" s="18">
        <f>'Tkm, Vkm, &amp; Stock Projections'!BE85</f>
        <v>7732</v>
      </c>
      <c r="BF97">
        <v>6373.3655200128242</v>
      </c>
    </row>
    <row r="98" spans="1:61">
      <c r="A98" s="4" t="s">
        <v>70</v>
      </c>
      <c r="B98" s="18">
        <f>'Tkm, Vkm, &amp; Stock Projections'!B86</f>
        <v>0</v>
      </c>
      <c r="C98" s="18">
        <f>'Tkm, Vkm, &amp; Stock Projections'!C86</f>
        <v>0</v>
      </c>
      <c r="D98" s="18">
        <f>'Tkm, Vkm, &amp; Stock Projections'!D86</f>
        <v>0</v>
      </c>
      <c r="E98" s="18">
        <f>'Tkm, Vkm, &amp; Stock Projections'!E86</f>
        <v>0</v>
      </c>
      <c r="F98" s="18">
        <f>'Tkm, Vkm, &amp; Stock Projections'!F86</f>
        <v>0</v>
      </c>
      <c r="G98" s="18">
        <f>'Tkm, Vkm, &amp; Stock Projections'!G86</f>
        <v>0</v>
      </c>
      <c r="H98" s="18">
        <f>'Tkm, Vkm, &amp; Stock Projections'!H86</f>
        <v>0</v>
      </c>
      <c r="I98" s="18">
        <f>'Tkm, Vkm, &amp; Stock Projections'!I86</f>
        <v>0</v>
      </c>
      <c r="J98" s="18">
        <f>'Tkm, Vkm, &amp; Stock Projections'!J86</f>
        <v>0</v>
      </c>
      <c r="K98" s="18">
        <f>'Tkm, Vkm, &amp; Stock Projections'!K86</f>
        <v>0</v>
      </c>
      <c r="L98" s="18">
        <f>'Tkm, Vkm, &amp; Stock Projections'!L86</f>
        <v>0</v>
      </c>
      <c r="M98" s="18">
        <f>'Tkm, Vkm, &amp; Stock Projections'!M86</f>
        <v>0</v>
      </c>
      <c r="N98" s="18">
        <f>'Tkm, Vkm, &amp; Stock Projections'!N86</f>
        <v>0</v>
      </c>
      <c r="O98" s="18">
        <f>'Tkm, Vkm, &amp; Stock Projections'!O86</f>
        <v>0</v>
      </c>
      <c r="P98" s="18">
        <f>'Tkm, Vkm, &amp; Stock Projections'!P86</f>
        <v>0</v>
      </c>
      <c r="Q98" s="18">
        <f>'Tkm, Vkm, &amp; Stock Projections'!Q86</f>
        <v>11344</v>
      </c>
      <c r="R98" s="18">
        <f>'Tkm, Vkm, &amp; Stock Projections'!R86</f>
        <v>10226</v>
      </c>
      <c r="S98" s="18">
        <f>'Tkm, Vkm, &amp; Stock Projections'!S86</f>
        <v>9692</v>
      </c>
      <c r="T98" s="18">
        <f>'Tkm, Vkm, &amp; Stock Projections'!T86</f>
        <v>9858</v>
      </c>
      <c r="U98" s="18">
        <f>'Tkm, Vkm, &amp; Stock Projections'!U86</f>
        <v>10240</v>
      </c>
      <c r="V98" s="18">
        <f>'Tkm, Vkm, &amp; Stock Projections'!V86</f>
        <v>10705</v>
      </c>
      <c r="W98" s="18">
        <f>'Tkm, Vkm, &amp; Stock Projections'!W86</f>
        <v>11606</v>
      </c>
      <c r="X98" s="18">
        <f>'Tkm, Vkm, &amp; Stock Projections'!X86</f>
        <v>12861</v>
      </c>
      <c r="Y98" s="18">
        <f>'Tkm, Vkm, &amp; Stock Projections'!Y86</f>
        <v>13253</v>
      </c>
      <c r="Z98" s="18">
        <f>'Tkm, Vkm, &amp; Stock Projections'!Z86</f>
        <v>13591</v>
      </c>
      <c r="AA98" s="18">
        <f>AA99</f>
        <v>13428</v>
      </c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</row>
    <row r="99" spans="1:61">
      <c r="A99" s="4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>
        <f>Z98</f>
        <v>13591</v>
      </c>
      <c r="AA99" s="18">
        <f>'Tkm, Vkm, &amp; Stock Projections'!AA86</f>
        <v>13428</v>
      </c>
      <c r="AB99" s="18">
        <f>'Tkm, Vkm, &amp; Stock Projections'!AB86</f>
        <v>14823</v>
      </c>
      <c r="AC99" s="18">
        <f>'Tkm, Vkm, &amp; Stock Projections'!AC86</f>
        <v>15100</v>
      </c>
      <c r="AD99" s="18">
        <f>'Tkm, Vkm, &amp; Stock Projections'!AD86</f>
        <v>15136</v>
      </c>
      <c r="AE99" s="18">
        <f>'Tkm, Vkm, &amp; Stock Projections'!AE86</f>
        <v>15063</v>
      </c>
      <c r="AF99" s="18">
        <f>'Tkm, Vkm, &amp; Stock Projections'!AF86</f>
        <v>15100</v>
      </c>
      <c r="AG99" s="18">
        <f>'Tkm, Vkm, &amp; Stock Projections'!AG86</f>
        <v>16118</v>
      </c>
      <c r="AH99" s="18">
        <f>'Tkm, Vkm, &amp; Stock Projections'!AH86</f>
        <v>16670</v>
      </c>
      <c r="AI99" s="18">
        <f>'Tkm, Vkm, &amp; Stock Projections'!AI86</f>
        <v>17184</v>
      </c>
      <c r="AJ99" s="18">
        <f>'Tkm, Vkm, &amp; Stock Projections'!AJ86</f>
        <v>17762</v>
      </c>
      <c r="AK99" s="18">
        <f>'Tkm, Vkm, &amp; Stock Projections'!AK86</f>
        <v>18402</v>
      </c>
      <c r="AL99" s="18">
        <f>'Tkm, Vkm, &amp; Stock Projections'!AL86</f>
        <v>18502</v>
      </c>
      <c r="AM99" s="18">
        <f>'Tkm, Vkm, &amp; Stock Projections'!AM86</f>
        <v>18598</v>
      </c>
      <c r="AN99" s="18">
        <f>'Tkm, Vkm, &amp; Stock Projections'!AN86</f>
        <v>18695</v>
      </c>
      <c r="AO99" s="18">
        <f>'Tkm, Vkm, &amp; Stock Projections'!AO86</f>
        <v>18788</v>
      </c>
      <c r="AP99" s="18">
        <f>'Tkm, Vkm, &amp; Stock Projections'!AP86</f>
        <v>18881</v>
      </c>
      <c r="AQ99" s="18">
        <f>'Tkm, Vkm, &amp; Stock Projections'!AQ86</f>
        <v>19072</v>
      </c>
      <c r="AR99" s="18">
        <f>'Tkm, Vkm, &amp; Stock Projections'!AR86</f>
        <v>19262</v>
      </c>
      <c r="AS99" s="18">
        <f>'Tkm, Vkm, &amp; Stock Projections'!AS86</f>
        <v>19454</v>
      </c>
      <c r="AT99" s="18">
        <f>'Tkm, Vkm, &amp; Stock Projections'!AT86</f>
        <v>19645</v>
      </c>
      <c r="AU99" s="18">
        <f>'Tkm, Vkm, &amp; Stock Projections'!AU86</f>
        <v>19836</v>
      </c>
      <c r="AV99" s="18">
        <f>'Tkm, Vkm, &amp; Stock Projections'!AV86</f>
        <v>20027</v>
      </c>
      <c r="AW99" s="18">
        <f>'Tkm, Vkm, &amp; Stock Projections'!AW86</f>
        <v>20218</v>
      </c>
      <c r="AX99" s="18">
        <f>'Tkm, Vkm, &amp; Stock Projections'!AX86</f>
        <v>20410</v>
      </c>
      <c r="AY99" s="18">
        <f>'Tkm, Vkm, &amp; Stock Projections'!AY86</f>
        <v>20601</v>
      </c>
      <c r="AZ99" s="18">
        <f>'Tkm, Vkm, &amp; Stock Projections'!AZ86</f>
        <v>20794</v>
      </c>
      <c r="BA99" s="18">
        <f>'Tkm, Vkm, &amp; Stock Projections'!BA86</f>
        <v>20984</v>
      </c>
      <c r="BB99" s="18">
        <f>'Tkm, Vkm, &amp; Stock Projections'!BB86</f>
        <v>21175</v>
      </c>
      <c r="BC99" s="18">
        <f>'Tkm, Vkm, &amp; Stock Projections'!BC86</f>
        <v>21368</v>
      </c>
      <c r="BD99" s="18">
        <f>'Tkm, Vkm, &amp; Stock Projections'!BD86</f>
        <v>21559</v>
      </c>
      <c r="BE99" s="18">
        <f>'Tkm, Vkm, &amp; Stock Projections'!BE86</f>
        <v>21752</v>
      </c>
      <c r="BF99">
        <v>11143.634508716301</v>
      </c>
    </row>
    <row r="100" spans="1:61">
      <c r="A100" s="4" t="s">
        <v>71</v>
      </c>
      <c r="B100" s="18">
        <f>'Tkm, Vkm, &amp; Stock Projections'!B87</f>
        <v>0</v>
      </c>
      <c r="C100" s="18">
        <f>'Tkm, Vkm, &amp; Stock Projections'!C87</f>
        <v>0</v>
      </c>
      <c r="D100" s="18">
        <f>'Tkm, Vkm, &amp; Stock Projections'!D87</f>
        <v>0</v>
      </c>
      <c r="E100" s="18">
        <f>'Tkm, Vkm, &amp; Stock Projections'!E87</f>
        <v>0</v>
      </c>
      <c r="F100" s="18">
        <f>'Tkm, Vkm, &amp; Stock Projections'!F87</f>
        <v>0</v>
      </c>
      <c r="G100" s="18">
        <f>'Tkm, Vkm, &amp; Stock Projections'!G87</f>
        <v>0</v>
      </c>
      <c r="H100" s="18">
        <f>'Tkm, Vkm, &amp; Stock Projections'!H87</f>
        <v>0</v>
      </c>
      <c r="I100" s="18">
        <f>'Tkm, Vkm, &amp; Stock Projections'!I87</f>
        <v>0</v>
      </c>
      <c r="J100" s="18">
        <f>'Tkm, Vkm, &amp; Stock Projections'!J87</f>
        <v>0</v>
      </c>
      <c r="K100" s="18">
        <f>'Tkm, Vkm, &amp; Stock Projections'!K87</f>
        <v>0</v>
      </c>
      <c r="L100" s="18">
        <f>'Tkm, Vkm, &amp; Stock Projections'!L87</f>
        <v>0</v>
      </c>
      <c r="M100" s="18">
        <f>'Tkm, Vkm, &amp; Stock Projections'!M87</f>
        <v>0</v>
      </c>
      <c r="N100" s="18">
        <f>'Tkm, Vkm, &amp; Stock Projections'!N87</f>
        <v>0</v>
      </c>
      <c r="O100" s="18">
        <f>'Tkm, Vkm, &amp; Stock Projections'!O87</f>
        <v>0</v>
      </c>
      <c r="P100" s="18">
        <f>'Tkm, Vkm, &amp; Stock Projections'!P87</f>
        <v>0</v>
      </c>
      <c r="Q100" s="18">
        <f>'Tkm, Vkm, &amp; Stock Projections'!Q87</f>
        <v>9066</v>
      </c>
      <c r="R100" s="18">
        <f>'Tkm, Vkm, &amp; Stock Projections'!R87</f>
        <v>8581</v>
      </c>
      <c r="S100" s="18">
        <f>'Tkm, Vkm, &amp; Stock Projections'!S87</f>
        <v>8479</v>
      </c>
      <c r="T100" s="18">
        <f>'Tkm, Vkm, &amp; Stock Projections'!T87</f>
        <v>9111</v>
      </c>
      <c r="U100" s="18">
        <f>'Tkm, Vkm, &amp; Stock Projections'!U87</f>
        <v>9673</v>
      </c>
      <c r="V100" s="18">
        <f>'Tkm, Vkm, &amp; Stock Projections'!V87</f>
        <v>10406</v>
      </c>
      <c r="W100" s="18">
        <f>'Tkm, Vkm, &amp; Stock Projections'!W87</f>
        <v>11493</v>
      </c>
      <c r="X100" s="18">
        <f>'Tkm, Vkm, &amp; Stock Projections'!X87</f>
        <v>13322</v>
      </c>
      <c r="Y100" s="18">
        <f>'Tkm, Vkm, &amp; Stock Projections'!Y87</f>
        <v>14464</v>
      </c>
      <c r="Z100" s="18">
        <f>'Tkm, Vkm, &amp; Stock Projections'!Z87</f>
        <v>15308</v>
      </c>
      <c r="AA100" s="18">
        <f>AA101</f>
        <v>15742</v>
      </c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</row>
    <row r="101" spans="1:61" ht="16" thickBot="1">
      <c r="A101" s="4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>
        <f>Z100</f>
        <v>15308</v>
      </c>
      <c r="AA101" s="18">
        <f>'Tkm, Vkm, &amp; Stock Projections'!AA87</f>
        <v>15742</v>
      </c>
      <c r="AB101" s="18">
        <f>'Tkm, Vkm, &amp; Stock Projections'!AB87</f>
        <v>18086</v>
      </c>
      <c r="AC101" s="18">
        <f>'Tkm, Vkm, &amp; Stock Projections'!AC87</f>
        <v>19177</v>
      </c>
      <c r="AD101" s="18">
        <f>'Tkm, Vkm, &amp; Stock Projections'!AD87</f>
        <v>20007</v>
      </c>
      <c r="AE101" s="18">
        <f>'Tkm, Vkm, &amp; Stock Projections'!AE87</f>
        <v>20723</v>
      </c>
      <c r="AF101" s="18">
        <f>'Tkm, Vkm, &amp; Stock Projections'!AF87</f>
        <v>21623</v>
      </c>
      <c r="AG101" s="18">
        <f>'Tkm, Vkm, &amp; Stock Projections'!AG87</f>
        <v>23429</v>
      </c>
      <c r="AH101" s="18">
        <f>'Tkm, Vkm, &amp; Stock Projections'!AH87</f>
        <v>24598</v>
      </c>
      <c r="AI101" s="18">
        <f>'Tkm, Vkm, &amp; Stock Projections'!AI87</f>
        <v>25742</v>
      </c>
      <c r="AJ101" s="18">
        <f>'Tkm, Vkm, &amp; Stock Projections'!AJ87</f>
        <v>27010</v>
      </c>
      <c r="AK101" s="18">
        <f>'Tkm, Vkm, &amp; Stock Projections'!AK87</f>
        <v>28408</v>
      </c>
      <c r="AL101" s="18">
        <f>'Tkm, Vkm, &amp; Stock Projections'!AL87</f>
        <v>28995</v>
      </c>
      <c r="AM101" s="18">
        <f>'Tkm, Vkm, &amp; Stock Projections'!AM87</f>
        <v>29586</v>
      </c>
      <c r="AN101" s="18">
        <f>'Tkm, Vkm, &amp; Stock Projections'!AN87</f>
        <v>30191</v>
      </c>
      <c r="AO101" s="18">
        <f>'Tkm, Vkm, &amp; Stock Projections'!AO87</f>
        <v>30801</v>
      </c>
      <c r="AP101" s="18">
        <f>'Tkm, Vkm, &amp; Stock Projections'!AP87</f>
        <v>31424</v>
      </c>
      <c r="AQ101" s="18">
        <f>'Tkm, Vkm, &amp; Stock Projections'!AQ87</f>
        <v>31900</v>
      </c>
      <c r="AR101" s="18">
        <f>'Tkm, Vkm, &amp; Stock Projections'!AR87</f>
        <v>32380</v>
      </c>
      <c r="AS101" s="18">
        <f>'Tkm, Vkm, &amp; Stock Projections'!AS87</f>
        <v>32867</v>
      </c>
      <c r="AT101" s="18">
        <f>'Tkm, Vkm, &amp; Stock Projections'!AT87</f>
        <v>33357</v>
      </c>
      <c r="AU101" s="18">
        <f>'Tkm, Vkm, &amp; Stock Projections'!AU87</f>
        <v>33851</v>
      </c>
      <c r="AV101" s="18">
        <f>'Tkm, Vkm, &amp; Stock Projections'!AV87</f>
        <v>34348</v>
      </c>
      <c r="AW101" s="18">
        <f>'Tkm, Vkm, &amp; Stock Projections'!AW87</f>
        <v>34850</v>
      </c>
      <c r="AX101" s="18">
        <f>'Tkm, Vkm, &amp; Stock Projections'!AX87</f>
        <v>35358</v>
      </c>
      <c r="AY101" s="18">
        <f>'Tkm, Vkm, &amp; Stock Projections'!AY87</f>
        <v>35868</v>
      </c>
      <c r="AZ101" s="18">
        <f>'Tkm, Vkm, &amp; Stock Projections'!AZ87</f>
        <v>36385</v>
      </c>
      <c r="BA101" s="18">
        <f>'Tkm, Vkm, &amp; Stock Projections'!BA87</f>
        <v>36903</v>
      </c>
      <c r="BB101" s="18">
        <f>'Tkm, Vkm, &amp; Stock Projections'!BB87</f>
        <v>37426</v>
      </c>
      <c r="BC101" s="18">
        <f>'Tkm, Vkm, &amp; Stock Projections'!BC87</f>
        <v>37956</v>
      </c>
      <c r="BD101" s="18">
        <f>'Tkm, Vkm, &amp; Stock Projections'!BD87</f>
        <v>38488</v>
      </c>
      <c r="BE101" s="18">
        <f>'Tkm, Vkm, &amp; Stock Projections'!BE87</f>
        <v>39028</v>
      </c>
      <c r="BF101">
        <v>31598.981285928374</v>
      </c>
    </row>
    <row r="102" spans="1:61" ht="17" thickTop="1" thickBot="1">
      <c r="A102" s="6" t="s">
        <v>29</v>
      </c>
      <c r="B102" s="7">
        <f t="shared" ref="B102:P102" si="32">SUM(B94:B100)</f>
        <v>0</v>
      </c>
      <c r="C102" s="7">
        <f t="shared" si="32"/>
        <v>0</v>
      </c>
      <c r="D102" s="7">
        <f t="shared" si="32"/>
        <v>0</v>
      </c>
      <c r="E102" s="7">
        <f t="shared" si="32"/>
        <v>0</v>
      </c>
      <c r="F102" s="7">
        <f t="shared" si="32"/>
        <v>0</v>
      </c>
      <c r="G102" s="7">
        <f t="shared" si="32"/>
        <v>0</v>
      </c>
      <c r="H102" s="7">
        <f t="shared" si="32"/>
        <v>0</v>
      </c>
      <c r="I102" s="7">
        <f t="shared" si="32"/>
        <v>0</v>
      </c>
      <c r="J102" s="7">
        <f t="shared" si="32"/>
        <v>0</v>
      </c>
      <c r="K102" s="7">
        <f t="shared" si="32"/>
        <v>0</v>
      </c>
      <c r="L102" s="7">
        <f t="shared" si="32"/>
        <v>0</v>
      </c>
      <c r="M102" s="7">
        <f t="shared" si="32"/>
        <v>0</v>
      </c>
      <c r="N102" s="7">
        <f t="shared" si="32"/>
        <v>0</v>
      </c>
      <c r="O102" s="7">
        <f t="shared" si="32"/>
        <v>0</v>
      </c>
      <c r="P102" s="7">
        <f t="shared" si="32"/>
        <v>0</v>
      </c>
      <c r="Q102" s="7">
        <f>SUM(Q92:Q100)</f>
        <v>90982</v>
      </c>
      <c r="R102" s="7">
        <f t="shared" ref="R102:Y102" si="33">SUM(R92:R100)</f>
        <v>85523</v>
      </c>
      <c r="S102" s="7">
        <f t="shared" si="33"/>
        <v>84340</v>
      </c>
      <c r="T102" s="7">
        <f t="shared" si="33"/>
        <v>83537</v>
      </c>
      <c r="U102" s="7">
        <f t="shared" si="33"/>
        <v>88258</v>
      </c>
      <c r="V102" s="7">
        <f t="shared" si="33"/>
        <v>95960</v>
      </c>
      <c r="W102" s="7">
        <f t="shared" si="33"/>
        <v>100357</v>
      </c>
      <c r="X102" s="7">
        <f t="shared" si="33"/>
        <v>115152</v>
      </c>
      <c r="Y102" s="7">
        <f t="shared" si="33"/>
        <v>124797</v>
      </c>
      <c r="Z102" s="7">
        <f>SUM(Z94,Z96,Z98,Z100,Z92)</f>
        <v>134191</v>
      </c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I102" s="47">
        <f>(BE103-AA103)/AA103</f>
        <v>1.3238582931703302</v>
      </c>
    </row>
    <row r="103" spans="1:61" ht="17" thickTop="1" thickBot="1">
      <c r="A103" s="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7">
        <f>SUM(AA93, AA95,AA97,AA99,AA101)</f>
        <v>136112</v>
      </c>
      <c r="AB103" s="7">
        <f t="shared" ref="AB103:BE103" si="34">SUM(AB93:AB101)</f>
        <v>154264</v>
      </c>
      <c r="AC103" s="7">
        <f t="shared" si="34"/>
        <v>161379</v>
      </c>
      <c r="AD103" s="7">
        <f t="shared" si="34"/>
        <v>166137</v>
      </c>
      <c r="AE103" s="7">
        <f t="shared" si="34"/>
        <v>169831</v>
      </c>
      <c r="AF103" s="7">
        <f t="shared" si="34"/>
        <v>174908</v>
      </c>
      <c r="AG103" s="7">
        <f t="shared" si="34"/>
        <v>189141</v>
      </c>
      <c r="AH103" s="7">
        <f t="shared" si="34"/>
        <v>198188</v>
      </c>
      <c r="AI103" s="7">
        <f t="shared" si="34"/>
        <v>206992</v>
      </c>
      <c r="AJ103" s="7">
        <f t="shared" si="34"/>
        <v>216774</v>
      </c>
      <c r="AK103" s="7">
        <f>SUM(AK93:AK101)</f>
        <v>227558</v>
      </c>
      <c r="AL103" s="7">
        <f t="shared" si="34"/>
        <v>231822</v>
      </c>
      <c r="AM103" s="7">
        <f t="shared" si="34"/>
        <v>236110</v>
      </c>
      <c r="AN103" s="7">
        <f t="shared" si="34"/>
        <v>240495</v>
      </c>
      <c r="AO103" s="7">
        <f t="shared" si="34"/>
        <v>244906</v>
      </c>
      <c r="AP103" s="7">
        <f t="shared" si="34"/>
        <v>249410</v>
      </c>
      <c r="AQ103" s="7">
        <f t="shared" si="34"/>
        <v>253535</v>
      </c>
      <c r="AR103" s="7">
        <f t="shared" si="34"/>
        <v>257701</v>
      </c>
      <c r="AS103" s="7">
        <f t="shared" si="34"/>
        <v>261932</v>
      </c>
      <c r="AT103" s="7">
        <f t="shared" si="34"/>
        <v>266200</v>
      </c>
      <c r="AU103" s="7">
        <f t="shared" si="34"/>
        <v>270516</v>
      </c>
      <c r="AV103" s="7">
        <f t="shared" si="34"/>
        <v>274871</v>
      </c>
      <c r="AW103" s="7">
        <f t="shared" si="34"/>
        <v>279274</v>
      </c>
      <c r="AX103" s="7">
        <f t="shared" si="34"/>
        <v>283740</v>
      </c>
      <c r="AY103" s="7">
        <f t="shared" si="34"/>
        <v>288238</v>
      </c>
      <c r="AZ103" s="7">
        <f t="shared" si="34"/>
        <v>292803</v>
      </c>
      <c r="BA103" s="7">
        <f t="shared" si="34"/>
        <v>297386</v>
      </c>
      <c r="BB103" s="7">
        <f t="shared" si="34"/>
        <v>302031</v>
      </c>
      <c r="BC103" s="7">
        <f t="shared" si="34"/>
        <v>306744</v>
      </c>
      <c r="BD103" s="7">
        <f t="shared" si="34"/>
        <v>311484</v>
      </c>
      <c r="BE103" s="7">
        <f t="shared" si="34"/>
        <v>316305</v>
      </c>
      <c r="BF103">
        <v>57613.809271512931</v>
      </c>
      <c r="BI103" s="47"/>
    </row>
    <row r="104" spans="1:61">
      <c r="AK104" s="26">
        <f>(AK103-AA103)/AA103</f>
        <v>0.6718437757141178</v>
      </c>
    </row>
    <row r="105" spans="1:61" ht="19">
      <c r="A105" s="145" t="s">
        <v>137</v>
      </c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</row>
    <row r="106" spans="1:61" ht="19" hidden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26">
        <f t="shared" ref="AK106:AK133" si="35">(AK94-AA94)/AA94</f>
        <v>-1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</row>
    <row r="107" spans="1:61" ht="14.5" hidden="1" customHeight="1">
      <c r="A107" s="142" t="s">
        <v>138</v>
      </c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K107" s="26">
        <f t="shared" si="35"/>
        <v>0.33570531603181247</v>
      </c>
    </row>
    <row r="108" spans="1:61" ht="15" hidden="1" customHeight="1" thickBot="1">
      <c r="A108" s="143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  <c r="AK108" s="26">
        <f t="shared" si="35"/>
        <v>-1</v>
      </c>
    </row>
    <row r="109" spans="1:61" ht="29.5" hidden="1" customHeight="1">
      <c r="A109" s="21" t="s">
        <v>136</v>
      </c>
      <c r="B109" s="2">
        <v>1995</v>
      </c>
      <c r="C109" s="2">
        <v>1996</v>
      </c>
      <c r="D109" s="2">
        <v>1997</v>
      </c>
      <c r="E109" s="2">
        <v>1998</v>
      </c>
      <c r="F109" s="2">
        <v>1999</v>
      </c>
      <c r="G109" s="2">
        <v>2000</v>
      </c>
      <c r="H109" s="2">
        <v>2001</v>
      </c>
      <c r="I109" s="2">
        <v>2002</v>
      </c>
      <c r="J109" s="2">
        <v>2003</v>
      </c>
      <c r="K109" s="2">
        <v>2004</v>
      </c>
      <c r="L109" s="2">
        <v>2005</v>
      </c>
      <c r="M109" s="2">
        <v>2006</v>
      </c>
      <c r="N109" s="2">
        <v>2007</v>
      </c>
      <c r="O109" s="2">
        <v>2008</v>
      </c>
      <c r="P109" s="2">
        <v>2009</v>
      </c>
      <c r="Q109" s="2">
        <v>2010</v>
      </c>
      <c r="R109" s="2">
        <v>2011</v>
      </c>
      <c r="S109" s="2">
        <v>2012</v>
      </c>
      <c r="T109" s="2">
        <v>2013</v>
      </c>
      <c r="U109" s="2">
        <v>2014</v>
      </c>
      <c r="V109" s="2">
        <v>2015</v>
      </c>
      <c r="W109" s="2">
        <v>2016</v>
      </c>
      <c r="X109" s="2">
        <v>2017</v>
      </c>
      <c r="Y109" s="2">
        <v>2018</v>
      </c>
      <c r="Z109" s="10">
        <v>2019</v>
      </c>
      <c r="AA109" s="2">
        <v>2020</v>
      </c>
      <c r="AB109" s="2">
        <v>2021</v>
      </c>
      <c r="AC109" s="2">
        <v>2022</v>
      </c>
      <c r="AD109" s="2">
        <v>2023</v>
      </c>
      <c r="AE109" s="2">
        <v>2024</v>
      </c>
      <c r="AF109" s="2">
        <v>2025</v>
      </c>
      <c r="AG109" s="2">
        <v>2026</v>
      </c>
      <c r="AH109" s="2">
        <v>2027</v>
      </c>
      <c r="AI109" s="2">
        <v>2028</v>
      </c>
      <c r="AJ109" s="2">
        <v>2029</v>
      </c>
      <c r="AK109" s="26">
        <f t="shared" si="35"/>
        <v>0.44152046783625731</v>
      </c>
      <c r="AL109" s="2">
        <v>2031</v>
      </c>
      <c r="AM109" s="2">
        <v>2032</v>
      </c>
      <c r="AN109" s="2">
        <v>2033</v>
      </c>
      <c r="AO109" s="2">
        <v>2034</v>
      </c>
      <c r="AP109" s="2">
        <v>2035</v>
      </c>
      <c r="AQ109" s="2">
        <v>2036</v>
      </c>
      <c r="AR109" s="2">
        <v>2037</v>
      </c>
      <c r="AS109" s="2">
        <v>2038</v>
      </c>
      <c r="AT109" s="2">
        <v>2039</v>
      </c>
      <c r="AU109" s="2">
        <v>2040</v>
      </c>
      <c r="AV109" s="2">
        <v>2041</v>
      </c>
      <c r="AW109" s="2">
        <v>2042</v>
      </c>
      <c r="AX109" s="2">
        <v>2043</v>
      </c>
      <c r="AY109" s="2">
        <v>2044</v>
      </c>
      <c r="AZ109" s="2">
        <v>2045</v>
      </c>
      <c r="BA109" s="2">
        <v>2046</v>
      </c>
      <c r="BB109" s="2">
        <v>2047</v>
      </c>
      <c r="BC109" s="2">
        <v>2048</v>
      </c>
      <c r="BD109" s="2">
        <v>2049</v>
      </c>
      <c r="BE109" s="3">
        <v>2050</v>
      </c>
    </row>
    <row r="110" spans="1:61" s="30" customFormat="1" hidden="1">
      <c r="A110" s="28" t="s">
        <v>67</v>
      </c>
      <c r="B110" s="18">
        <f>Graphs!B30*1000000/Graphs!B65</f>
        <v>17158</v>
      </c>
      <c r="C110" s="18">
        <f>Graphs!C30*1000000/Graphs!C65</f>
        <v>18199</v>
      </c>
      <c r="D110" s="18">
        <f>Graphs!D30*1000000/Graphs!D65</f>
        <v>21354.999999999996</v>
      </c>
      <c r="E110" s="18">
        <f>Graphs!E30*1000000/Graphs!E65</f>
        <v>20967</v>
      </c>
      <c r="F110" s="18">
        <f>Graphs!F30*1000000/Graphs!F65</f>
        <v>22626</v>
      </c>
      <c r="G110" s="18">
        <f>Graphs!G30*1000000/Graphs!G65</f>
        <v>27162</v>
      </c>
      <c r="H110" s="18">
        <f>Graphs!H30*1000000/Graphs!H65</f>
        <v>30328</v>
      </c>
      <c r="I110" s="18">
        <f>Graphs!I30*1000000/Graphs!I65</f>
        <v>30570</v>
      </c>
      <c r="J110" s="18">
        <f>Graphs!J30*1000000/Graphs!J65</f>
        <v>33764</v>
      </c>
      <c r="K110" s="18">
        <f>Graphs!K30*1000000/Graphs!K65</f>
        <v>38604</v>
      </c>
      <c r="L110" s="18">
        <f>Graphs!L30*1000000/Graphs!L65</f>
        <v>45198</v>
      </c>
      <c r="M110" s="18">
        <f>Graphs!M30*1000000/Graphs!M65</f>
        <v>57025</v>
      </c>
      <c r="N110" s="18">
        <f>Graphs!N30*1000000/Graphs!N65</f>
        <v>70513</v>
      </c>
      <c r="O110" s="18">
        <f>Graphs!O30*1000000/Graphs!O65</f>
        <v>56948</v>
      </c>
      <c r="P110" s="18">
        <f>Graphs!P30*1000000/Graphs!P65</f>
        <v>53710</v>
      </c>
      <c r="Q110" s="18">
        <f>Graphs!Q30*1000000/Graphs!Q65</f>
        <v>53579</v>
      </c>
      <c r="R110" s="18">
        <f>Graphs!R30*1000000/Graphs!R65</f>
        <v>52928</v>
      </c>
      <c r="S110" s="18">
        <f>Graphs!S30*1000000/Graphs!S65</f>
        <v>52942</v>
      </c>
      <c r="T110" s="18">
        <f>Graphs!T30*1000000/Graphs!T65</f>
        <v>51278</v>
      </c>
      <c r="U110" s="18">
        <f>Graphs!U30*1000000/Graphs!U65</f>
        <v>56047</v>
      </c>
      <c r="V110" s="18">
        <f>Graphs!V30*1000000/Graphs!V65</f>
        <v>59829</v>
      </c>
      <c r="W110" s="18">
        <f>Graphs!W30*1000000/Graphs!W65</f>
        <v>68107</v>
      </c>
      <c r="X110" s="18">
        <f>Graphs!X30*1000000/Graphs!X65</f>
        <v>75734</v>
      </c>
      <c r="Y110" s="18">
        <f>Graphs!Y30*1000000/Graphs!Y65</f>
        <v>83855</v>
      </c>
      <c r="Z110" s="18">
        <f>Graphs!Z30*1000000/Graphs!Z65</f>
        <v>92964</v>
      </c>
      <c r="AA110" s="18" t="e">
        <f>Graphs!AA30*1000000/Graphs!AA54</f>
        <v>#DIV/0!</v>
      </c>
      <c r="AB110" s="18" t="e">
        <f>Graphs!AB30*1000000/Graphs!AB54</f>
        <v>#DIV/0!</v>
      </c>
      <c r="AC110" s="18" t="e">
        <f>Graphs!AC30*1000000/Graphs!AC54</f>
        <v>#DIV/0!</v>
      </c>
      <c r="AD110" s="18" t="e">
        <f>Graphs!AD30*1000000/Graphs!AD54</f>
        <v>#DIV/0!</v>
      </c>
      <c r="AE110" s="18" t="e">
        <f>Graphs!AE30*1000000/Graphs!AE54</f>
        <v>#DIV/0!</v>
      </c>
      <c r="AF110" s="18" t="e">
        <f>Graphs!AF30*1000000/Graphs!AF54</f>
        <v>#DIV/0!</v>
      </c>
      <c r="AG110" s="18" t="e">
        <f>Graphs!AG30*1000000/Graphs!AG54</f>
        <v>#DIV/0!</v>
      </c>
      <c r="AH110" s="18" t="e">
        <f>Graphs!AH30*1000000/Graphs!AH54</f>
        <v>#DIV/0!</v>
      </c>
      <c r="AI110" s="18" t="e">
        <f>Graphs!AI30*1000000/Graphs!AI54</f>
        <v>#DIV/0!</v>
      </c>
      <c r="AJ110" s="18" t="e">
        <f>Graphs!AJ30*1000000/Graphs!AJ54</f>
        <v>#DIV/0!</v>
      </c>
      <c r="AK110" s="26">
        <f t="shared" si="35"/>
        <v>-1</v>
      </c>
      <c r="AL110" s="18" t="e">
        <f>Graphs!AL30*1000000/Graphs!AL54</f>
        <v>#DIV/0!</v>
      </c>
      <c r="AM110" s="18" t="e">
        <f>Graphs!AM30*1000000/Graphs!AM54</f>
        <v>#DIV/0!</v>
      </c>
      <c r="AN110" s="18" t="e">
        <f>Graphs!AN30*1000000/Graphs!AN54</f>
        <v>#DIV/0!</v>
      </c>
      <c r="AO110" s="18" t="e">
        <f>Graphs!AO30*1000000/Graphs!AO54</f>
        <v>#DIV/0!</v>
      </c>
      <c r="AP110" s="18" t="e">
        <f>Graphs!AP30*1000000/Graphs!AP54</f>
        <v>#DIV/0!</v>
      </c>
      <c r="AQ110" s="18" t="e">
        <f>Graphs!AQ30*1000000/Graphs!AQ54</f>
        <v>#DIV/0!</v>
      </c>
      <c r="AR110" s="18" t="e">
        <f>Graphs!AR30*1000000/Graphs!AR54</f>
        <v>#DIV/0!</v>
      </c>
      <c r="AS110" s="18" t="e">
        <f>Graphs!AS30*1000000/Graphs!AS54</f>
        <v>#DIV/0!</v>
      </c>
      <c r="AT110" s="18" t="e">
        <f>Graphs!AT30*1000000/Graphs!AT54</f>
        <v>#DIV/0!</v>
      </c>
      <c r="AU110" s="18" t="e">
        <f>Graphs!AU30*1000000/Graphs!AU54</f>
        <v>#DIV/0!</v>
      </c>
      <c r="AV110" s="18" t="e">
        <f>Graphs!AV30*1000000/Graphs!AV54</f>
        <v>#DIV/0!</v>
      </c>
      <c r="AW110" s="18" t="e">
        <f>Graphs!AW30*1000000/Graphs!AW54</f>
        <v>#DIV/0!</v>
      </c>
      <c r="AX110" s="18" t="e">
        <f>Graphs!AX30*1000000/Graphs!AX54</f>
        <v>#DIV/0!</v>
      </c>
      <c r="AY110" s="18" t="e">
        <f>Graphs!AY30*1000000/Graphs!AY54</f>
        <v>#DIV/0!</v>
      </c>
      <c r="AZ110" s="18" t="e">
        <f>Graphs!AZ30*1000000/Graphs!AZ54</f>
        <v>#DIV/0!</v>
      </c>
      <c r="BA110" s="18" t="e">
        <f>Graphs!BA30*1000000/Graphs!BA54</f>
        <v>#DIV/0!</v>
      </c>
      <c r="BB110" s="18" t="e">
        <f>Graphs!BB30*1000000/Graphs!BB54</f>
        <v>#DIV/0!</v>
      </c>
      <c r="BC110" s="18" t="e">
        <f>Graphs!BC30*1000000/Graphs!BC54</f>
        <v>#DIV/0!</v>
      </c>
      <c r="BD110" s="18" t="e">
        <f>Graphs!BD30*1000000/Graphs!BD54</f>
        <v>#DIV/0!</v>
      </c>
      <c r="BE110" s="18" t="e">
        <f>Graphs!BE30*1000000/Graphs!BE54</f>
        <v>#DIV/0!</v>
      </c>
    </row>
    <row r="111" spans="1:61" hidden="1">
      <c r="A111" s="4" t="s">
        <v>68</v>
      </c>
      <c r="B111" s="18">
        <f>Graphs!B32*1000000/Graphs!B66</f>
        <v>7197</v>
      </c>
      <c r="C111" s="18">
        <f>Graphs!C32*1000000/Graphs!C66</f>
        <v>8047.9999999999991</v>
      </c>
      <c r="D111" s="18">
        <f>Graphs!D32*1000000/Graphs!D66</f>
        <v>7864</v>
      </c>
      <c r="E111" s="18">
        <f>Graphs!E32*1000000/Graphs!E66</f>
        <v>9141</v>
      </c>
      <c r="F111" s="18">
        <f>Graphs!F32*1000000/Graphs!F66</f>
        <v>9575</v>
      </c>
      <c r="G111" s="18">
        <f>Graphs!G32*1000000/Graphs!G66</f>
        <v>9848</v>
      </c>
      <c r="H111" s="18">
        <f>Graphs!H32*1000000/Graphs!H66</f>
        <v>12229</v>
      </c>
      <c r="I111" s="18">
        <f>Graphs!I32*1000000/Graphs!I66</f>
        <v>11906</v>
      </c>
      <c r="J111" s="18">
        <f>Graphs!J32*1000000/Graphs!J66</f>
        <v>11177</v>
      </c>
      <c r="K111" s="18">
        <f>Graphs!K32*1000000/Graphs!K66</f>
        <v>10352</v>
      </c>
      <c r="L111" s="18">
        <f>Graphs!L32*1000000/Graphs!L66</f>
        <v>10815</v>
      </c>
      <c r="M111" s="18">
        <f>Graphs!M32*1000000/Graphs!M66</f>
        <v>9971</v>
      </c>
      <c r="N111" s="18">
        <f>Graphs!N32*1000000/Graphs!N66</f>
        <v>9165</v>
      </c>
      <c r="O111" s="18">
        <f>Graphs!O32*1000000/Graphs!O66</f>
        <v>6903</v>
      </c>
      <c r="P111" s="18">
        <f>Graphs!P32*1000000/Graphs!P66</f>
        <v>6204</v>
      </c>
      <c r="Q111" s="18">
        <f>Graphs!Q32*1000000/Graphs!Q66</f>
        <v>5732</v>
      </c>
      <c r="R111" s="18">
        <f>Graphs!R32*1000000/Graphs!R66</f>
        <v>5354</v>
      </c>
      <c r="S111" s="18">
        <f>Graphs!S32*1000000/Graphs!S66</f>
        <v>5068</v>
      </c>
      <c r="T111" s="18">
        <f>Graphs!T32*1000000/Graphs!T66</f>
        <v>4803</v>
      </c>
      <c r="U111" s="18">
        <f>Graphs!U32*1000000/Graphs!U66</f>
        <v>5164</v>
      </c>
      <c r="V111" s="18">
        <f>Graphs!V32*1000000/Graphs!V66</f>
        <v>4869</v>
      </c>
      <c r="W111" s="18">
        <f>Graphs!W32*1000000/Graphs!W66</f>
        <v>5087</v>
      </c>
      <c r="X111" s="18">
        <f>Graphs!X32*1000000/Graphs!X66</f>
        <v>5247</v>
      </c>
      <c r="Y111" s="18">
        <f>Graphs!Y32*1000000/Graphs!Y66</f>
        <v>5221</v>
      </c>
      <c r="Z111" s="18">
        <f>Graphs!Z32*1000000/Graphs!Z66</f>
        <v>5237</v>
      </c>
      <c r="AA111" s="18">
        <f>Graphs!AA33*1000000/$H$83</f>
        <v>4700.2926645960251</v>
      </c>
      <c r="AB111" s="18">
        <f>Graphs!AB33*1000000/$H$83</f>
        <v>4791.6249750098414</v>
      </c>
      <c r="AC111" s="18">
        <f>Graphs!AC33*1000000/$H$83</f>
        <v>4799.4252637932177</v>
      </c>
      <c r="AD111" s="18">
        <f>Graphs!AD33*1000000/$H$83</f>
        <v>4788.5998776384431</v>
      </c>
      <c r="AE111" s="18">
        <f>Graphs!AE33*1000000/$H$83</f>
        <v>4769.0816411588266</v>
      </c>
      <c r="AF111" s="18">
        <f>Graphs!AF33*1000000/$H$83</f>
        <v>4756.8763604937776</v>
      </c>
      <c r="AG111" s="18">
        <f>Graphs!AG33*1000000/$H$83</f>
        <v>4819.7208560352256</v>
      </c>
      <c r="AH111" s="18">
        <f>Graphs!AH33*1000000/$H$83</f>
        <v>4848.5816525452483</v>
      </c>
      <c r="AI111" s="18">
        <f>Graphs!AI33*1000000/$H$83</f>
        <v>4874.2925330912667</v>
      </c>
      <c r="AJ111" s="18">
        <f>Graphs!AJ33*1000000/$H$83</f>
        <v>4904.022640038309</v>
      </c>
      <c r="AK111" s="26">
        <f t="shared" si="35"/>
        <v>0.37042001787310097</v>
      </c>
      <c r="AL111" s="18">
        <f>Graphs!AL33*1000000/$H$83</f>
        <v>4933.0087926515616</v>
      </c>
      <c r="AM111" s="18">
        <f>Graphs!AM33*1000000/$H$83</f>
        <v>4927.9615711859678</v>
      </c>
      <c r="AN111" s="18">
        <f>Graphs!AN33*1000000/$H$83</f>
        <v>4922.8853100306651</v>
      </c>
      <c r="AO111" s="18">
        <f>Graphs!AO33*1000000/$H$83</f>
        <v>4917.4021044587835</v>
      </c>
      <c r="AP111" s="18">
        <f>Graphs!AP33*1000000/$H$83</f>
        <v>4911.8638112243789</v>
      </c>
      <c r="AQ111" s="18">
        <f>Graphs!AQ33*1000000/$H$83</f>
        <v>4917.7898625087937</v>
      </c>
      <c r="AR111" s="18">
        <f>Graphs!AR33*1000000/$H$83</f>
        <v>4923.6393129242852</v>
      </c>
      <c r="AS111" s="18">
        <f>Graphs!AS33*1000000/$H$83</f>
        <v>4929.5076029876855</v>
      </c>
      <c r="AT111" s="18">
        <f>Graphs!AT33*1000000/$H$83</f>
        <v>4935.2605165362775</v>
      </c>
      <c r="AU111" s="18">
        <f>Graphs!AU33*1000000/$H$83</f>
        <v>4940.9451811590798</v>
      </c>
      <c r="AV111" s="18">
        <f>Graphs!AV33*1000000/$H$83</f>
        <v>4946.5225371034257</v>
      </c>
      <c r="AW111" s="18">
        <f>Graphs!AW33*1000000/$H$83</f>
        <v>4952.0313596795522</v>
      </c>
      <c r="AX111" s="18">
        <f>Graphs!AX33*1000000/$H$83</f>
        <v>4957.5363352745544</v>
      </c>
      <c r="AY111" s="18">
        <f>Graphs!AY33*1000000/$H$83</f>
        <v>4962.8958183722998</v>
      </c>
      <c r="AZ111" s="18">
        <f>Graphs!AZ33*1000000/$H$83</f>
        <v>4968.2686853330715</v>
      </c>
      <c r="BA111" s="18">
        <f>Graphs!BA33*1000000/$H$83</f>
        <v>4973.4166663567812</v>
      </c>
      <c r="BB111" s="18">
        <f>Graphs!BB33*1000000/$H$83</f>
        <v>4978.5706884797</v>
      </c>
      <c r="BC111" s="18">
        <f>Graphs!BC33*1000000/$H$83</f>
        <v>4983.7125552967627</v>
      </c>
      <c r="BD111" s="18">
        <f>Graphs!BD33*1000000/$H$83</f>
        <v>4988.6856263121817</v>
      </c>
      <c r="BE111" s="18">
        <f>Graphs!BE33*1000000/$H$83</f>
        <v>4993.7164196036911</v>
      </c>
    </row>
    <row r="112" spans="1:61" hidden="1">
      <c r="A112" s="4" t="s">
        <v>69</v>
      </c>
      <c r="B112" s="18">
        <f>Graphs!B34*1000000/Graphs!B67</f>
        <v>4923</v>
      </c>
      <c r="C112" s="18">
        <f>Graphs!C34*1000000/Graphs!C67</f>
        <v>6622</v>
      </c>
      <c r="D112" s="18">
        <f>Graphs!D34*1000000/Graphs!D67</f>
        <v>6957</v>
      </c>
      <c r="E112" s="18">
        <f>Graphs!E34*1000000/Graphs!E67</f>
        <v>8506</v>
      </c>
      <c r="F112" s="18">
        <f>Graphs!F34*1000000/Graphs!F67</f>
        <v>9205</v>
      </c>
      <c r="G112" s="18">
        <f>Graphs!G34*1000000/Graphs!G67</f>
        <v>10651</v>
      </c>
      <c r="H112" s="18">
        <f>Graphs!H34*1000000/Graphs!H67</f>
        <v>11486</v>
      </c>
      <c r="I112" s="18">
        <f>Graphs!I34*1000000/Graphs!I67</f>
        <v>13187</v>
      </c>
      <c r="J112" s="18">
        <f>Graphs!J34*1000000/Graphs!J67</f>
        <v>12953</v>
      </c>
      <c r="K112" s="18">
        <f>Graphs!K34*1000000/Graphs!K67</f>
        <v>12501</v>
      </c>
      <c r="L112" s="18">
        <f>Graphs!L34*1000000/Graphs!L67</f>
        <v>13260</v>
      </c>
      <c r="M112" s="18">
        <f>Graphs!M34*1000000/Graphs!M67</f>
        <v>10355</v>
      </c>
      <c r="N112" s="18">
        <f>Graphs!N34*1000000/Graphs!N67</f>
        <v>10705</v>
      </c>
      <c r="O112" s="18">
        <f>Graphs!O34*1000000/Graphs!O67</f>
        <v>8005.9999999999991</v>
      </c>
      <c r="P112" s="18">
        <f>Graphs!P34*1000000/Graphs!P67</f>
        <v>6568</v>
      </c>
      <c r="Q112" s="18">
        <f>Graphs!Q34*1000000/Graphs!Q67</f>
        <v>5998</v>
      </c>
      <c r="R112" s="18">
        <f>Graphs!R34*1000000/Graphs!R67</f>
        <v>5475</v>
      </c>
      <c r="S112" s="18">
        <f>Graphs!S34*1000000/Graphs!S67</f>
        <v>5237</v>
      </c>
      <c r="T112" s="18">
        <f>Graphs!T34*1000000/Graphs!T67</f>
        <v>4950.0000000000009</v>
      </c>
      <c r="U112" s="18">
        <f>Graphs!U34*1000000/Graphs!U67</f>
        <v>5153</v>
      </c>
      <c r="V112" s="18">
        <f>Graphs!V34*1000000/Graphs!V67</f>
        <v>5121</v>
      </c>
      <c r="W112" s="18">
        <f>Graphs!W34*1000000/Graphs!W67</f>
        <v>5629</v>
      </c>
      <c r="X112" s="18">
        <f>Graphs!X34*1000000/Graphs!X67</f>
        <v>5999</v>
      </c>
      <c r="Y112" s="18">
        <f>Graphs!Y34*1000000/Graphs!Y67</f>
        <v>6237.0000000000009</v>
      </c>
      <c r="Z112" s="18">
        <f>Graphs!Z34*1000000/Graphs!Z67</f>
        <v>6406.0000000000009</v>
      </c>
      <c r="AA112" s="18">
        <f>Graphs!AA35*1000000/$H$84</f>
        <v>6708.55319623577</v>
      </c>
      <c r="AB112" s="18">
        <f>Graphs!AB35*1000000/$H$84</f>
        <v>6947.0471063701943</v>
      </c>
      <c r="AC112" s="18">
        <f>Graphs!AC35*1000000/$H$84</f>
        <v>6997.6215930406406</v>
      </c>
      <c r="AD112" s="18">
        <f>Graphs!AD35*1000000/$H$84</f>
        <v>7005.5432608294777</v>
      </c>
      <c r="AE112" s="18">
        <f>Graphs!AE35*1000000/$H$84</f>
        <v>6992.8527497735722</v>
      </c>
      <c r="AF112" s="18">
        <f>Graphs!AF35*1000000/$H$84</f>
        <v>6996.9347846558112</v>
      </c>
      <c r="AG112" s="18">
        <f>Graphs!AG35*1000000/$H$84</f>
        <v>7172.0188638767995</v>
      </c>
      <c r="AH112" s="18">
        <f>Graphs!AH35*1000000/$H$84</f>
        <v>7267.6345879734317</v>
      </c>
      <c r="AI112" s="18">
        <f>Graphs!AI35*1000000/$H$84</f>
        <v>7356.8499024093626</v>
      </c>
      <c r="AJ112" s="18">
        <f>Graphs!AJ35*1000000/$H$84</f>
        <v>7457.0519045548263</v>
      </c>
      <c r="AK112" s="26">
        <f t="shared" si="35"/>
        <v>-1</v>
      </c>
      <c r="AL112" s="18">
        <f>Graphs!AL35*1000000/$H$84</f>
        <v>7585.6769935116527</v>
      </c>
      <c r="AM112" s="18">
        <f>Graphs!AM35*1000000/$H$84</f>
        <v>7602.2070092202785</v>
      </c>
      <c r="AN112" s="18">
        <f>Graphs!AN35*1000000/$H$84</f>
        <v>7618.693262195985</v>
      </c>
      <c r="AO112" s="18">
        <f>Graphs!AO35*1000000/$H$84</f>
        <v>7634.1730363952465</v>
      </c>
      <c r="AP112" s="18">
        <f>Graphs!AP35*1000000/$H$84</f>
        <v>7649.5234163750538</v>
      </c>
      <c r="AQ112" s="18">
        <f>Graphs!AQ35*1000000/$H$84</f>
        <v>7664.7002247467099</v>
      </c>
      <c r="AR112" s="18">
        <f>Graphs!AR35*1000000/$H$84</f>
        <v>7679.6808558237426</v>
      </c>
      <c r="AS112" s="18">
        <f>Graphs!AS35*1000000/$H$84</f>
        <v>7694.7097358463861</v>
      </c>
      <c r="AT112" s="18">
        <f>Graphs!AT35*1000000/$H$84</f>
        <v>7709.4431328953278</v>
      </c>
      <c r="AU112" s="18">
        <f>Graphs!AU35*1000000/$H$84</f>
        <v>7724.0017422452484</v>
      </c>
      <c r="AV112" s="18">
        <f>Graphs!AV35*1000000/$H$84</f>
        <v>7738.2855306104411</v>
      </c>
      <c r="AW112" s="18">
        <f>Graphs!AW35*1000000/$H$84</f>
        <v>7752.3938028103767</v>
      </c>
      <c r="AX112" s="18">
        <f>Graphs!AX35*1000000/$H$84</f>
        <v>7766.4922227676443</v>
      </c>
      <c r="AY112" s="18">
        <f>Graphs!AY35*1000000/$H$84</f>
        <v>7780.2180317493403</v>
      </c>
      <c r="AZ112" s="18">
        <f>Graphs!AZ35*1000000/$H$84</f>
        <v>7793.9781172356852</v>
      </c>
      <c r="BA112" s="18">
        <f>Graphs!BA35*1000000/$H$84</f>
        <v>7807.1622625877926</v>
      </c>
      <c r="BB112" s="18">
        <f>Graphs!BB35*1000000/$H$84</f>
        <v>7820.3618793897094</v>
      </c>
      <c r="BC112" s="18">
        <f>Graphs!BC35*1000000/$H$84</f>
        <v>7833.5303660614964</v>
      </c>
      <c r="BD112" s="18">
        <f>Graphs!BD35*1000000/$H$84</f>
        <v>7846.266561243965</v>
      </c>
      <c r="BE112" s="18">
        <f>Graphs!BE35*1000000/$H$84</f>
        <v>7859.1505850362419</v>
      </c>
    </row>
    <row r="113" spans="1:57" hidden="1">
      <c r="A113" s="4" t="s">
        <v>70</v>
      </c>
      <c r="B113" s="18">
        <f>Graphs!B36*1000000/Graphs!B68</f>
        <v>4862</v>
      </c>
      <c r="C113" s="18">
        <f>Graphs!C36*1000000/Graphs!C68</f>
        <v>5409</v>
      </c>
      <c r="D113" s="18">
        <f>Graphs!D36*1000000/Graphs!D68</f>
        <v>6439</v>
      </c>
      <c r="E113" s="18">
        <f>Graphs!E36*1000000/Graphs!E68</f>
        <v>8769</v>
      </c>
      <c r="F113" s="18">
        <f>Graphs!F36*1000000/Graphs!F68</f>
        <v>12041</v>
      </c>
      <c r="G113" s="18">
        <f>Graphs!G36*1000000/Graphs!G68</f>
        <v>13771.999999999998</v>
      </c>
      <c r="H113" s="18">
        <f>Graphs!H36*1000000/Graphs!H68</f>
        <v>15078.999999999998</v>
      </c>
      <c r="I113" s="18">
        <f>Graphs!I36*1000000/Graphs!I68</f>
        <v>15088.000000000002</v>
      </c>
      <c r="J113" s="18">
        <f>Graphs!J36*1000000/Graphs!J68</f>
        <v>14509</v>
      </c>
      <c r="K113" s="18">
        <f>Graphs!K36*1000000/Graphs!K68</f>
        <v>14115</v>
      </c>
      <c r="L113" s="18">
        <f>Graphs!L36*1000000/Graphs!L68</f>
        <v>15013</v>
      </c>
      <c r="M113" s="18">
        <f>Graphs!M36*1000000/Graphs!M68</f>
        <v>16207.000000000002</v>
      </c>
      <c r="N113" s="18">
        <f>Graphs!N36*1000000/Graphs!N68</f>
        <v>17039</v>
      </c>
      <c r="O113" s="18">
        <f>Graphs!O36*1000000/Graphs!O68</f>
        <v>12316</v>
      </c>
      <c r="P113" s="18">
        <f>Graphs!P36*1000000/Graphs!P68</f>
        <v>9812</v>
      </c>
      <c r="Q113" s="18">
        <f>Graphs!Q36*1000000/Graphs!Q68</f>
        <v>8645</v>
      </c>
      <c r="R113" s="18">
        <f>Graphs!R36*1000000/Graphs!R68</f>
        <v>7788</v>
      </c>
      <c r="S113" s="18">
        <f>Graphs!S36*1000000/Graphs!S68</f>
        <v>7261</v>
      </c>
      <c r="T113" s="18">
        <f>Graphs!T36*1000000/Graphs!T68</f>
        <v>6820.0000000000009</v>
      </c>
      <c r="U113" s="18">
        <f>Graphs!U36*1000000/Graphs!U68</f>
        <v>6953</v>
      </c>
      <c r="V113" s="18">
        <f>Graphs!V36*1000000/Graphs!V68</f>
        <v>7207.9999999999991</v>
      </c>
      <c r="W113" s="18">
        <f>Graphs!W36*1000000/Graphs!W68</f>
        <v>7945.0000000000009</v>
      </c>
      <c r="X113" s="18">
        <f>Graphs!X36*1000000/Graphs!X68</f>
        <v>8457</v>
      </c>
      <c r="Y113" s="18">
        <f>Graphs!Y36*1000000/Graphs!Y68</f>
        <v>8416</v>
      </c>
      <c r="Z113" s="18">
        <f>Graphs!Z36*1000000/Graphs!Z68</f>
        <v>8501</v>
      </c>
      <c r="AA113" s="18">
        <f>Graphs!AA37*1000000/$H$85</f>
        <v>8314.8911846394003</v>
      </c>
      <c r="AB113" s="18">
        <f>Graphs!AB37*1000000/$H$85</f>
        <v>8529.5596637243361</v>
      </c>
      <c r="AC113" s="18">
        <f>Graphs!AC37*1000000/$H$85</f>
        <v>8423.6875063064072</v>
      </c>
      <c r="AD113" s="18">
        <f>Graphs!AD37*1000000/$H$85</f>
        <v>8253.1971406777993</v>
      </c>
      <c r="AE113" s="18">
        <f>Graphs!AE37*1000000/$H$85</f>
        <v>8057.7313476179679</v>
      </c>
      <c r="AF113" s="18">
        <f>Graphs!AF37*1000000/$H$85</f>
        <v>7893.7832089269223</v>
      </c>
      <c r="AG113" s="18">
        <f>Graphs!AG37*1000000/$H$85</f>
        <v>8082.5410803285868</v>
      </c>
      <c r="AH113" s="18">
        <f>Graphs!AH37*1000000/$H$85</f>
        <v>8155.0462318329019</v>
      </c>
      <c r="AI113" s="18">
        <f>Graphs!AI37*1000000/$H$85</f>
        <v>8216.1611275094983</v>
      </c>
      <c r="AJ113" s="18">
        <f>Graphs!AJ37*1000000/$H$85</f>
        <v>8289.9065422322037</v>
      </c>
      <c r="AK113" s="26">
        <f t="shared" si="35"/>
        <v>0.80459916147884636</v>
      </c>
      <c r="AL113" s="18">
        <f>Graphs!AL37*1000000/$H$85</f>
        <v>8334.411361901366</v>
      </c>
      <c r="AM113" s="18">
        <f>Graphs!AM37*1000000/$H$85</f>
        <v>8292.0957852976044</v>
      </c>
      <c r="AN113" s="18">
        <f>Graphs!AN37*1000000/$H$85</f>
        <v>8249.9827746468782</v>
      </c>
      <c r="AO113" s="18">
        <f>Graphs!AO37*1000000/$H$85</f>
        <v>8206.8458477635086</v>
      </c>
      <c r="AP113" s="18">
        <f>Graphs!AP37*1000000/$H$85</f>
        <v>8163.8388131964839</v>
      </c>
      <c r="AQ113" s="18">
        <f>Graphs!AQ37*1000000/$H$85</f>
        <v>8207.8511755674936</v>
      </c>
      <c r="AR113" s="18">
        <f>Graphs!AR37*1000000/$H$85</f>
        <v>8251.9315661688051</v>
      </c>
      <c r="AS113" s="18">
        <f>Graphs!AS37*1000000/$H$85</f>
        <v>8296.3910329829814</v>
      </c>
      <c r="AT113" s="18">
        <f>Graphs!AT37*1000000/$H$85</f>
        <v>8340.7905858085414</v>
      </c>
      <c r="AU113" s="18">
        <f>Graphs!AU37*1000000/$H$85</f>
        <v>8385.2825697119169</v>
      </c>
      <c r="AV113" s="18">
        <f>Graphs!AV37*1000000/$H$85</f>
        <v>8429.7357308157971</v>
      </c>
      <c r="AW113" s="18">
        <f>Graphs!AW37*1000000/$H$85</f>
        <v>8474.2763902795123</v>
      </c>
      <c r="AX113" s="18">
        <f>Graphs!AX37*1000000/$H$85</f>
        <v>8519.1204914008304</v>
      </c>
      <c r="AY113" s="18">
        <f>Graphs!AY37*1000000/$H$85</f>
        <v>8563.7915923302553</v>
      </c>
      <c r="AZ113" s="18">
        <f>Graphs!AZ37*1000000/$H$85</f>
        <v>8608.8235352000211</v>
      </c>
      <c r="BA113" s="18">
        <f>Graphs!BA37*1000000/$H$85</f>
        <v>8653.4063621466867</v>
      </c>
      <c r="BB113" s="18">
        <f>Graphs!BB37*1000000/$H$85</f>
        <v>8698.3221659615047</v>
      </c>
      <c r="BC113" s="18">
        <f>Graphs!BC37*1000000/$H$85</f>
        <v>8743.5105822427995</v>
      </c>
      <c r="BD113" s="18">
        <f>Graphs!BD37*1000000/$H$85</f>
        <v>8788.4306459174895</v>
      </c>
      <c r="BE113" s="18">
        <f>Graphs!BE37*1000000/$H$85</f>
        <v>8833.8638312562034</v>
      </c>
    </row>
    <row r="114" spans="1:57" hidden="1">
      <c r="A114" s="4" t="s">
        <v>71</v>
      </c>
      <c r="B114" s="18">
        <f>Graphs!B38*1000000/Graphs!B69</f>
        <v>1968</v>
      </c>
      <c r="C114" s="18">
        <f>Graphs!C38*1000000/Graphs!C69</f>
        <v>1977</v>
      </c>
      <c r="D114" s="18">
        <f>Graphs!D38*1000000/Graphs!D69</f>
        <v>2640</v>
      </c>
      <c r="E114" s="18">
        <f>Graphs!E38*1000000/Graphs!E69</f>
        <v>3655</v>
      </c>
      <c r="F114" s="18">
        <f>Graphs!F38*1000000/Graphs!F69</f>
        <v>4940</v>
      </c>
      <c r="G114" s="18">
        <f>Graphs!G38*1000000/Graphs!G69</f>
        <v>6846</v>
      </c>
      <c r="H114" s="18">
        <f>Graphs!H38*1000000/Graphs!H69</f>
        <v>7753.0000000000009</v>
      </c>
      <c r="I114" s="18">
        <f>Graphs!I38*1000000/Graphs!I69</f>
        <v>8002</v>
      </c>
      <c r="J114" s="18">
        <f>Graphs!J38*1000000/Graphs!J69</f>
        <v>8622</v>
      </c>
      <c r="K114" s="18">
        <f>Graphs!K38*1000000/Graphs!K69</f>
        <v>9175</v>
      </c>
      <c r="L114" s="18">
        <f>Graphs!L38*1000000/Graphs!L69</f>
        <v>10558</v>
      </c>
      <c r="M114" s="18">
        <f>Graphs!M38*1000000/Graphs!M69</f>
        <v>12327</v>
      </c>
      <c r="N114" s="18">
        <f>Graphs!N38*1000000/Graphs!N69</f>
        <v>14274.000000000002</v>
      </c>
      <c r="O114" s="18">
        <f>Graphs!O38*1000000/Graphs!O69</f>
        <v>13468</v>
      </c>
      <c r="P114" s="18">
        <f>Graphs!P38*1000000/Graphs!P69</f>
        <v>11262</v>
      </c>
      <c r="Q114" s="18">
        <f>Graphs!Q38*1000000/Graphs!Q69</f>
        <v>10071</v>
      </c>
      <c r="R114" s="18">
        <f>Graphs!R38*1000000/Graphs!R69</f>
        <v>9633</v>
      </c>
      <c r="S114" s="18">
        <f>Graphs!S38*1000000/Graphs!S69</f>
        <v>9463</v>
      </c>
      <c r="T114" s="18">
        <f>Graphs!T38*1000000/Graphs!T69</f>
        <v>9116</v>
      </c>
      <c r="U114" s="18">
        <f>Graphs!U38*1000000/Graphs!U69</f>
        <v>10333</v>
      </c>
      <c r="V114" s="18">
        <f>Graphs!V38*1000000/Graphs!V69</f>
        <v>10067</v>
      </c>
      <c r="W114" s="18">
        <f>Graphs!W38*1000000/Graphs!W69</f>
        <v>11887</v>
      </c>
      <c r="X114" s="18">
        <f>Graphs!X38*1000000/Graphs!X69</f>
        <v>13042</v>
      </c>
      <c r="Y114" s="18">
        <f>Graphs!Y38*1000000/Graphs!Y69</f>
        <v>14304</v>
      </c>
      <c r="Z114" s="18">
        <f>Graphs!Z38*1000000/Graphs!Z69</f>
        <v>15325</v>
      </c>
      <c r="AA114" s="18">
        <f>Graphs!AA39*1000000/$H$86</f>
        <v>15363.102051019827</v>
      </c>
      <c r="AB114" s="18">
        <f>Graphs!AB39*1000000/$H$86</f>
        <v>16867.760525431662</v>
      </c>
      <c r="AC114" s="18">
        <f>Graphs!AC39*1000000/$H$86</f>
        <v>17556.170534302044</v>
      </c>
      <c r="AD114" s="18">
        <f>Graphs!AD39*1000000/$H$86</f>
        <v>18063.365263442887</v>
      </c>
      <c r="AE114" s="18">
        <f>Graphs!AE39*1000000/$H$86</f>
        <v>18482.862666341818</v>
      </c>
      <c r="AF114" s="18">
        <f>Graphs!AF39*1000000/$H$86</f>
        <v>19000.388316948458</v>
      </c>
      <c r="AG114" s="18">
        <f>Graphs!AG39*1000000/$H$86</f>
        <v>20136.002114208393</v>
      </c>
      <c r="AH114" s="18">
        <f>Graphs!AH39*1000000/$H$86</f>
        <v>20873.28593673568</v>
      </c>
      <c r="AI114" s="18">
        <f>Graphs!AI39*1000000/$H$86</f>
        <v>21591.61642314311</v>
      </c>
      <c r="AJ114" s="18">
        <f>Graphs!AJ39*1000000/$H$86</f>
        <v>22385.10518465385</v>
      </c>
      <c r="AK114" s="26" t="e">
        <f t="shared" si="35"/>
        <v>#DIV/0!</v>
      </c>
      <c r="AL114" s="18">
        <f>Graphs!AL39*1000000/$H$86</f>
        <v>23620.168570647598</v>
      </c>
      <c r="AM114" s="18">
        <f>Graphs!AM39*1000000/$H$86</f>
        <v>23984.698308577535</v>
      </c>
      <c r="AN114" s="18">
        <f>Graphs!AN39*1000000/$H$86</f>
        <v>24354.720961102059</v>
      </c>
      <c r="AO114" s="18">
        <f>Graphs!AO39*1000000/$H$86</f>
        <v>24724.70773943132</v>
      </c>
      <c r="AP114" s="18">
        <f>Graphs!AP39*1000000/$H$86</f>
        <v>25099.697607731021</v>
      </c>
      <c r="AQ114" s="18">
        <f>Graphs!AQ39*1000000/$H$86</f>
        <v>25422.007608864711</v>
      </c>
      <c r="AR114" s="18">
        <f>Graphs!AR39*1000000/$H$86</f>
        <v>25747.285231989117</v>
      </c>
      <c r="AS114" s="18">
        <f>Graphs!AS39*1000000/$H$86</f>
        <v>26077.030774372837</v>
      </c>
      <c r="AT114" s="18">
        <f>Graphs!AT39*1000000/$H$86</f>
        <v>26409.194730679072</v>
      </c>
      <c r="AU114" s="18">
        <f>Graphs!AU39*1000000/$H$86</f>
        <v>26744.522304280068</v>
      </c>
      <c r="AV114" s="18">
        <f>Graphs!AV39*1000000/$H$86</f>
        <v>27082.406363328366</v>
      </c>
      <c r="AW114" s="18">
        <f>Graphs!AW39*1000000/$H$86</f>
        <v>27423.475101793319</v>
      </c>
      <c r="AX114" s="18">
        <f>Graphs!AX39*1000000/$H$86</f>
        <v>27768.805381193932</v>
      </c>
      <c r="AY114" s="18">
        <f>Graphs!AY39*1000000/$H$86</f>
        <v>28116.107472079249</v>
      </c>
      <c r="AZ114" s="18">
        <f>Graphs!AZ39*1000000/$H$86</f>
        <v>28468.013348592991</v>
      </c>
      <c r="BA114" s="18">
        <f>Graphs!BA39*1000000/$H$86</f>
        <v>28820.566427108086</v>
      </c>
      <c r="BB114" s="18">
        <f>Graphs!BB39*1000000/$H$86</f>
        <v>29177.637711668209</v>
      </c>
      <c r="BC114" s="18">
        <f>Graphs!BC39*1000000/$H$86</f>
        <v>29538.970528022459</v>
      </c>
      <c r="BD114" s="18">
        <f>Graphs!BD39*1000000/$H$86</f>
        <v>29901.891617049303</v>
      </c>
      <c r="BE114" s="18">
        <f>Graphs!BE39*1000000/$H$86</f>
        <v>30270.340964427924</v>
      </c>
    </row>
    <row r="115" spans="1:57" ht="17" hidden="1" thickTop="1" thickBot="1">
      <c r="A115" s="6" t="s">
        <v>29</v>
      </c>
      <c r="B115" s="7">
        <f t="shared" ref="B115:Y115" si="36">SUM(B111:B114)</f>
        <v>18950</v>
      </c>
      <c r="C115" s="7">
        <f t="shared" si="36"/>
        <v>22056</v>
      </c>
      <c r="D115" s="7">
        <f t="shared" si="36"/>
        <v>23900</v>
      </c>
      <c r="E115" s="7">
        <f t="shared" si="36"/>
        <v>30071</v>
      </c>
      <c r="F115" s="7">
        <f t="shared" si="36"/>
        <v>35761</v>
      </c>
      <c r="G115" s="7">
        <f t="shared" si="36"/>
        <v>41117</v>
      </c>
      <c r="H115" s="7">
        <f t="shared" si="36"/>
        <v>46547</v>
      </c>
      <c r="I115" s="7">
        <f t="shared" si="36"/>
        <v>48183</v>
      </c>
      <c r="J115" s="7">
        <f t="shared" si="36"/>
        <v>47261</v>
      </c>
      <c r="K115" s="7">
        <f t="shared" si="36"/>
        <v>46143</v>
      </c>
      <c r="L115" s="7">
        <f t="shared" si="36"/>
        <v>49646</v>
      </c>
      <c r="M115" s="7">
        <f t="shared" si="36"/>
        <v>48860</v>
      </c>
      <c r="N115" s="7">
        <f t="shared" si="36"/>
        <v>51183</v>
      </c>
      <c r="O115" s="7">
        <f t="shared" si="36"/>
        <v>40693</v>
      </c>
      <c r="P115" s="7">
        <f t="shared" si="36"/>
        <v>33846</v>
      </c>
      <c r="Q115" s="7">
        <f t="shared" si="36"/>
        <v>30446</v>
      </c>
      <c r="R115" s="7">
        <f t="shared" si="36"/>
        <v>28250</v>
      </c>
      <c r="S115" s="7">
        <f t="shared" si="36"/>
        <v>27029</v>
      </c>
      <c r="T115" s="7">
        <f t="shared" si="36"/>
        <v>25689</v>
      </c>
      <c r="U115" s="7">
        <f t="shared" si="36"/>
        <v>27603</v>
      </c>
      <c r="V115" s="7">
        <f t="shared" si="36"/>
        <v>27265</v>
      </c>
      <c r="W115" s="7">
        <f t="shared" si="36"/>
        <v>30548</v>
      </c>
      <c r="X115" s="7">
        <f t="shared" si="36"/>
        <v>32745</v>
      </c>
      <c r="Y115" s="7">
        <f t="shared" si="36"/>
        <v>34178</v>
      </c>
      <c r="Z115" s="7">
        <f>SUM(Z111:Z114)</f>
        <v>35469</v>
      </c>
      <c r="AA115" s="7">
        <f t="shared" ref="AA115:BE115" si="37">SUM(AA111:AA114)</f>
        <v>35086.839096491021</v>
      </c>
      <c r="AB115" s="7">
        <f t="shared" si="37"/>
        <v>37135.992270536037</v>
      </c>
      <c r="AC115" s="7">
        <f t="shared" si="37"/>
        <v>37776.904897442306</v>
      </c>
      <c r="AD115" s="7">
        <f t="shared" si="37"/>
        <v>38110.705542588606</v>
      </c>
      <c r="AE115" s="7">
        <f t="shared" si="37"/>
        <v>38302.528404892182</v>
      </c>
      <c r="AF115" s="7">
        <f t="shared" si="37"/>
        <v>38647.982671024969</v>
      </c>
      <c r="AG115" s="7">
        <f t="shared" si="37"/>
        <v>40210.282914449002</v>
      </c>
      <c r="AH115" s="7">
        <f t="shared" si="37"/>
        <v>41144.548409087263</v>
      </c>
      <c r="AI115" s="7">
        <f t="shared" si="37"/>
        <v>42038.91998615324</v>
      </c>
      <c r="AJ115" s="7">
        <f t="shared" si="37"/>
        <v>43036.086271479187</v>
      </c>
      <c r="AK115" s="26">
        <f t="shared" si="35"/>
        <v>0.6718437757141178</v>
      </c>
      <c r="AL115" s="7">
        <f t="shared" si="37"/>
        <v>44473.26571871218</v>
      </c>
      <c r="AM115" s="7">
        <f t="shared" si="37"/>
        <v>44806.962674281385</v>
      </c>
      <c r="AN115" s="7">
        <f t="shared" si="37"/>
        <v>45146.282307975591</v>
      </c>
      <c r="AO115" s="7">
        <f t="shared" si="37"/>
        <v>45483.128728048861</v>
      </c>
      <c r="AP115" s="7">
        <f t="shared" si="37"/>
        <v>45824.923648526936</v>
      </c>
      <c r="AQ115" s="7">
        <f t="shared" si="37"/>
        <v>46212.348871687711</v>
      </c>
      <c r="AR115" s="7">
        <f t="shared" si="37"/>
        <v>46602.536966905951</v>
      </c>
      <c r="AS115" s="7">
        <f t="shared" si="37"/>
        <v>46997.639146189889</v>
      </c>
      <c r="AT115" s="7">
        <f t="shared" si="37"/>
        <v>47394.688965919224</v>
      </c>
      <c r="AU115" s="7">
        <f t="shared" si="37"/>
        <v>47794.751797396311</v>
      </c>
      <c r="AV115" s="7">
        <f t="shared" si="37"/>
        <v>48196.950161858033</v>
      </c>
      <c r="AW115" s="7">
        <f t="shared" si="37"/>
        <v>48602.176654562762</v>
      </c>
      <c r="AX115" s="7">
        <f t="shared" si="37"/>
        <v>49011.954430636964</v>
      </c>
      <c r="AY115" s="7">
        <f t="shared" si="37"/>
        <v>49423.012914531151</v>
      </c>
      <c r="AZ115" s="7">
        <f t="shared" si="37"/>
        <v>49839.083686361766</v>
      </c>
      <c r="BA115" s="7">
        <f t="shared" si="37"/>
        <v>50254.551718199349</v>
      </c>
      <c r="BB115" s="7">
        <f t="shared" si="37"/>
        <v>50674.892445499121</v>
      </c>
      <c r="BC115" s="7">
        <f t="shared" si="37"/>
        <v>51099.724031623518</v>
      </c>
      <c r="BD115" s="7">
        <f t="shared" si="37"/>
        <v>51525.274450522942</v>
      </c>
      <c r="BE115" s="7">
        <f t="shared" si="37"/>
        <v>51957.071800324062</v>
      </c>
    </row>
    <row r="116" spans="1:57" ht="19" hidden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26" t="e">
        <f t="shared" si="35"/>
        <v>#DIV/0!</v>
      </c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</row>
    <row r="117" spans="1:57" ht="28.75" hidden="1" customHeight="1">
      <c r="A117" s="21" t="s">
        <v>140</v>
      </c>
      <c r="B117" s="2">
        <v>1995</v>
      </c>
      <c r="C117" s="2">
        <v>1996</v>
      </c>
      <c r="D117" s="2">
        <v>1997</v>
      </c>
      <c r="E117" s="2">
        <v>1998</v>
      </c>
      <c r="F117" s="2">
        <v>1999</v>
      </c>
      <c r="G117" s="2">
        <v>2000</v>
      </c>
      <c r="H117" s="2">
        <v>2001</v>
      </c>
      <c r="I117" s="2">
        <v>2002</v>
      </c>
      <c r="J117" s="2">
        <v>2003</v>
      </c>
      <c r="K117" s="2">
        <v>2004</v>
      </c>
      <c r="L117" s="2">
        <v>2005</v>
      </c>
      <c r="M117" s="2">
        <v>2006</v>
      </c>
      <c r="N117" s="2">
        <v>2007</v>
      </c>
      <c r="O117" s="2">
        <v>2008</v>
      </c>
      <c r="P117" s="2">
        <v>2009</v>
      </c>
      <c r="Q117" s="2">
        <v>2010</v>
      </c>
      <c r="R117" s="2">
        <v>2011</v>
      </c>
      <c r="S117" s="2">
        <v>2012</v>
      </c>
      <c r="T117" s="2">
        <v>2013</v>
      </c>
      <c r="U117" s="2">
        <v>2014</v>
      </c>
      <c r="V117" s="2">
        <v>2015</v>
      </c>
      <c r="W117" s="2">
        <v>2016</v>
      </c>
      <c r="X117" s="2">
        <v>2017</v>
      </c>
      <c r="Y117" s="2">
        <v>2018</v>
      </c>
      <c r="Z117" s="2">
        <v>2019</v>
      </c>
      <c r="AA117" s="2">
        <v>2020</v>
      </c>
      <c r="AB117" s="2">
        <v>2021</v>
      </c>
      <c r="AC117" s="2">
        <v>2022</v>
      </c>
      <c r="AD117" s="2">
        <v>2023</v>
      </c>
      <c r="AE117" s="2">
        <v>2024</v>
      </c>
      <c r="AF117" s="2">
        <v>2025</v>
      </c>
      <c r="AG117" s="2">
        <v>2026</v>
      </c>
      <c r="AH117" s="2">
        <v>2027</v>
      </c>
      <c r="AI117" s="2">
        <v>2028</v>
      </c>
      <c r="AJ117" s="2">
        <v>2029</v>
      </c>
      <c r="AK117" s="26" t="e">
        <f>(AK134-AA105)/AA105</f>
        <v>#DIV/0!</v>
      </c>
      <c r="AL117" s="2">
        <v>2031</v>
      </c>
      <c r="AM117" s="2">
        <v>2032</v>
      </c>
      <c r="AN117" s="2">
        <v>2033</v>
      </c>
      <c r="AO117" s="2">
        <v>2034</v>
      </c>
      <c r="AP117" s="2">
        <v>2035</v>
      </c>
      <c r="AQ117" s="2">
        <v>2036</v>
      </c>
      <c r="AR117" s="2">
        <v>2037</v>
      </c>
      <c r="AS117" s="2">
        <v>2038</v>
      </c>
      <c r="AT117" s="2">
        <v>2039</v>
      </c>
      <c r="AU117" s="2">
        <v>2040</v>
      </c>
      <c r="AV117" s="2">
        <v>2041</v>
      </c>
      <c r="AW117" s="2">
        <v>2042</v>
      </c>
      <c r="AX117" s="2">
        <v>2043</v>
      </c>
      <c r="AY117" s="2">
        <v>2044</v>
      </c>
      <c r="AZ117" s="2">
        <v>2045</v>
      </c>
      <c r="BA117" s="2">
        <v>2046</v>
      </c>
      <c r="BB117" s="2">
        <v>2047</v>
      </c>
      <c r="BC117" s="2">
        <v>2048</v>
      </c>
      <c r="BD117" s="2">
        <v>2049</v>
      </c>
      <c r="BE117" s="2">
        <v>2050</v>
      </c>
    </row>
    <row r="118" spans="1:57" s="30" customFormat="1" ht="16" hidden="1">
      <c r="A118" s="32" t="s">
        <v>67</v>
      </c>
      <c r="B118" s="33">
        <f>'[5]Survey Summary'!B2</f>
        <v>17158</v>
      </c>
      <c r="C118" s="33">
        <f>'[5]Survey Summary'!C2</f>
        <v>18199</v>
      </c>
      <c r="D118" s="33">
        <f>'[5]Survey Summary'!D2</f>
        <v>21355</v>
      </c>
      <c r="E118" s="33">
        <f>'[5]Survey Summary'!E2</f>
        <v>20967</v>
      </c>
      <c r="F118" s="33">
        <f>'[5]Survey Summary'!F2</f>
        <v>22626</v>
      </c>
      <c r="G118" s="33">
        <f>'[5]Survey Summary'!G2</f>
        <v>27162</v>
      </c>
      <c r="H118" s="33">
        <f>'[5]Survey Summary'!H2</f>
        <v>30328</v>
      </c>
      <c r="I118" s="33">
        <f>'[5]Survey Summary'!I2</f>
        <v>30570</v>
      </c>
      <c r="J118" s="33">
        <f>'[5]Survey Summary'!J2</f>
        <v>33764</v>
      </c>
      <c r="K118" s="33">
        <f>'[5]Survey Summary'!K2</f>
        <v>38604</v>
      </c>
      <c r="L118" s="33">
        <f>'[5]Survey Summary'!L2</f>
        <v>45198</v>
      </c>
      <c r="M118" s="33">
        <f>'[5]Survey Summary'!M2</f>
        <v>57025</v>
      </c>
      <c r="N118" s="33">
        <f>'[5]Survey Summary'!N2</f>
        <v>70513</v>
      </c>
      <c r="O118" s="33">
        <f>'[5]Survey Summary'!O2</f>
        <v>56948</v>
      </c>
      <c r="P118" s="33">
        <f>'[5]Survey Summary'!P2</f>
        <v>53710</v>
      </c>
      <c r="Q118" s="33">
        <f>'[5]Survey Summary'!Q2</f>
        <v>53579</v>
      </c>
      <c r="R118" s="33">
        <f>'[5]Survey Summary'!R2</f>
        <v>52928</v>
      </c>
      <c r="S118" s="33">
        <f>'[5]Survey Summary'!S2</f>
        <v>52942</v>
      </c>
      <c r="T118" s="33">
        <f>'[5]Survey Summary'!T2</f>
        <v>51278</v>
      </c>
      <c r="U118" s="33">
        <f>'[5]Survey Summary'!U2</f>
        <v>56047</v>
      </c>
      <c r="V118" s="33">
        <f>'[5]Survey Summary'!V2</f>
        <v>59829</v>
      </c>
      <c r="W118" s="33">
        <f>'[5]Survey Summary'!W2</f>
        <v>68107</v>
      </c>
      <c r="X118" s="33">
        <f>'[5]Survey Summary'!X2</f>
        <v>75734</v>
      </c>
      <c r="Y118" s="33">
        <f>'[5]Survey Summary'!Y2</f>
        <v>83855</v>
      </c>
      <c r="Z118" s="33">
        <f>'[5]Survey Summary'!Z2</f>
        <v>92964</v>
      </c>
      <c r="AK118" s="26" t="e">
        <f t="shared" si="35"/>
        <v>#DIV/0!</v>
      </c>
    </row>
    <row r="119" spans="1:57" ht="16" hidden="1">
      <c r="A119" s="22" t="s">
        <v>68</v>
      </c>
      <c r="B119" s="14">
        <f>'[5]Survey Summary'!B3</f>
        <v>7197</v>
      </c>
      <c r="C119" s="14">
        <f>'[5]Survey Summary'!C3</f>
        <v>8048</v>
      </c>
      <c r="D119" s="14">
        <f>'[5]Survey Summary'!D3</f>
        <v>7864</v>
      </c>
      <c r="E119" s="14">
        <f>'[5]Survey Summary'!E3</f>
        <v>9141</v>
      </c>
      <c r="F119" s="14">
        <f>'[5]Survey Summary'!F3</f>
        <v>9575</v>
      </c>
      <c r="G119" s="14">
        <f>'[5]Survey Summary'!G3</f>
        <v>9848</v>
      </c>
      <c r="H119" s="14">
        <f>'[5]Survey Summary'!H3</f>
        <v>12229</v>
      </c>
      <c r="I119" s="14">
        <f>'[5]Survey Summary'!I3</f>
        <v>11906</v>
      </c>
      <c r="J119" s="14">
        <f>'[5]Survey Summary'!J3</f>
        <v>11177</v>
      </c>
      <c r="K119" s="14">
        <f>'[5]Survey Summary'!K3</f>
        <v>10352</v>
      </c>
      <c r="L119" s="14">
        <f>'[5]Survey Summary'!L3</f>
        <v>10815</v>
      </c>
      <c r="M119" s="14">
        <f>'[5]Survey Summary'!M3</f>
        <v>9971</v>
      </c>
      <c r="N119" s="14">
        <f>'[5]Survey Summary'!N3</f>
        <v>9165</v>
      </c>
      <c r="O119" s="14">
        <f>'[5]Survey Summary'!O3</f>
        <v>6903</v>
      </c>
      <c r="P119" s="14">
        <f>'[5]Survey Summary'!P3</f>
        <v>6204</v>
      </c>
      <c r="Q119" s="14">
        <f>'[5]Survey Summary'!Q3</f>
        <v>5732</v>
      </c>
      <c r="R119" s="14">
        <f>'[5]Survey Summary'!R3</f>
        <v>5354</v>
      </c>
      <c r="S119" s="14">
        <f>'[5]Survey Summary'!S3</f>
        <v>5068</v>
      </c>
      <c r="T119" s="14">
        <f>'[5]Survey Summary'!T3</f>
        <v>4803</v>
      </c>
      <c r="U119" s="14">
        <f>'[5]Survey Summary'!U3</f>
        <v>5164</v>
      </c>
      <c r="V119" s="14">
        <f>'[5]Survey Summary'!V3</f>
        <v>4869</v>
      </c>
      <c r="W119" s="14">
        <f>'[5]Survey Summary'!W3</f>
        <v>5087</v>
      </c>
      <c r="X119" s="14">
        <f>'[5]Survey Summary'!X3</f>
        <v>5247</v>
      </c>
      <c r="Y119" s="14">
        <f>'[5]Survey Summary'!Y3</f>
        <v>5221</v>
      </c>
      <c r="Z119" s="14">
        <f>'[5]Survey Summary'!Z3</f>
        <v>5237</v>
      </c>
      <c r="AK119" s="26" t="e">
        <f t="shared" si="35"/>
        <v>#DIV/0!</v>
      </c>
    </row>
    <row r="120" spans="1:57" ht="16" hidden="1">
      <c r="A120" s="22" t="s">
        <v>69</v>
      </c>
      <c r="B120" s="14">
        <f>'[5]Survey Summary'!B4</f>
        <v>4923</v>
      </c>
      <c r="C120" s="14">
        <f>'[5]Survey Summary'!C4</f>
        <v>6622</v>
      </c>
      <c r="D120" s="14">
        <f>'[5]Survey Summary'!D4</f>
        <v>6957</v>
      </c>
      <c r="E120" s="14">
        <f>'[5]Survey Summary'!E4</f>
        <v>8506</v>
      </c>
      <c r="F120" s="14">
        <f>'[5]Survey Summary'!F4</f>
        <v>9205</v>
      </c>
      <c r="G120" s="14">
        <f>'[5]Survey Summary'!G4</f>
        <v>10651</v>
      </c>
      <c r="H120" s="14">
        <f>'[5]Survey Summary'!H4</f>
        <v>11486</v>
      </c>
      <c r="I120" s="14">
        <f>'[5]Survey Summary'!I4</f>
        <v>13187</v>
      </c>
      <c r="J120" s="14">
        <f>'[5]Survey Summary'!J4</f>
        <v>12953</v>
      </c>
      <c r="K120" s="14">
        <f>'[5]Survey Summary'!K4</f>
        <v>12501</v>
      </c>
      <c r="L120" s="14">
        <f>'[5]Survey Summary'!L4</f>
        <v>13260</v>
      </c>
      <c r="M120" s="14">
        <f>'[5]Survey Summary'!M4</f>
        <v>10355</v>
      </c>
      <c r="N120" s="14">
        <f>'[5]Survey Summary'!N4</f>
        <v>10705</v>
      </c>
      <c r="O120" s="14">
        <f>'[5]Survey Summary'!O4</f>
        <v>8006</v>
      </c>
      <c r="P120" s="14">
        <f>'[5]Survey Summary'!P4</f>
        <v>6568</v>
      </c>
      <c r="Q120" s="14">
        <f>'[5]Survey Summary'!Q4</f>
        <v>5998</v>
      </c>
      <c r="R120" s="14">
        <f>'[5]Survey Summary'!R4</f>
        <v>5475</v>
      </c>
      <c r="S120" s="14">
        <f>'[5]Survey Summary'!S4</f>
        <v>5237</v>
      </c>
      <c r="T120" s="14">
        <f>'[5]Survey Summary'!T4</f>
        <v>4950</v>
      </c>
      <c r="U120" s="14">
        <f>'[5]Survey Summary'!U4</f>
        <v>5153</v>
      </c>
      <c r="V120" s="14">
        <f>'[5]Survey Summary'!V4</f>
        <v>5121</v>
      </c>
      <c r="W120" s="14">
        <f>'[5]Survey Summary'!W4</f>
        <v>5629</v>
      </c>
      <c r="X120" s="14">
        <f>'[5]Survey Summary'!X4</f>
        <v>5999</v>
      </c>
      <c r="Y120" s="14">
        <f>'[5]Survey Summary'!Y4</f>
        <v>6237</v>
      </c>
      <c r="Z120" s="14">
        <f>'[5]Survey Summary'!Z4</f>
        <v>6406</v>
      </c>
      <c r="AK120" s="26" t="e">
        <f t="shared" si="35"/>
        <v>#DIV/0!</v>
      </c>
    </row>
    <row r="121" spans="1:57" ht="16" hidden="1">
      <c r="A121" s="22" t="s">
        <v>70</v>
      </c>
      <c r="B121" s="14">
        <f>'[5]Survey Summary'!B5</f>
        <v>4862</v>
      </c>
      <c r="C121" s="14">
        <f>'[5]Survey Summary'!C5</f>
        <v>5409</v>
      </c>
      <c r="D121" s="14">
        <f>'[5]Survey Summary'!D5</f>
        <v>6439</v>
      </c>
      <c r="E121" s="14">
        <f>'[5]Survey Summary'!E5</f>
        <v>8769</v>
      </c>
      <c r="F121" s="14">
        <f>'[5]Survey Summary'!F5</f>
        <v>12041</v>
      </c>
      <c r="G121" s="14">
        <f>'[5]Survey Summary'!G5</f>
        <v>13772</v>
      </c>
      <c r="H121" s="14">
        <f>'[5]Survey Summary'!H5</f>
        <v>15079</v>
      </c>
      <c r="I121" s="14">
        <f>'[5]Survey Summary'!I5</f>
        <v>15088</v>
      </c>
      <c r="J121" s="14">
        <f>'[5]Survey Summary'!J5</f>
        <v>14509</v>
      </c>
      <c r="K121" s="14">
        <f>'[5]Survey Summary'!K5</f>
        <v>14115</v>
      </c>
      <c r="L121" s="14">
        <f>'[5]Survey Summary'!L5</f>
        <v>15013</v>
      </c>
      <c r="M121" s="14">
        <f>'[5]Survey Summary'!M5</f>
        <v>16207</v>
      </c>
      <c r="N121" s="14">
        <f>'[5]Survey Summary'!N5</f>
        <v>17039</v>
      </c>
      <c r="O121" s="14">
        <f>'[5]Survey Summary'!O5</f>
        <v>12316</v>
      </c>
      <c r="P121" s="14">
        <f>'[5]Survey Summary'!P5</f>
        <v>9812</v>
      </c>
      <c r="Q121" s="14">
        <f>'[5]Survey Summary'!Q5</f>
        <v>8645</v>
      </c>
      <c r="R121" s="14">
        <f>'[5]Survey Summary'!R5</f>
        <v>7788</v>
      </c>
      <c r="S121" s="14">
        <f>'[5]Survey Summary'!S5</f>
        <v>7261</v>
      </c>
      <c r="T121" s="14">
        <f>'[5]Survey Summary'!T5</f>
        <v>6820</v>
      </c>
      <c r="U121" s="14">
        <f>'[5]Survey Summary'!U5</f>
        <v>6953</v>
      </c>
      <c r="V121" s="14">
        <f>'[5]Survey Summary'!V5</f>
        <v>7208</v>
      </c>
      <c r="W121" s="14">
        <f>'[5]Survey Summary'!W5</f>
        <v>7945</v>
      </c>
      <c r="X121" s="14">
        <f>'[5]Survey Summary'!X5</f>
        <v>8457</v>
      </c>
      <c r="Y121" s="14">
        <f>'[5]Survey Summary'!Y5</f>
        <v>8416</v>
      </c>
      <c r="Z121" s="14">
        <f>'[5]Survey Summary'!Z5</f>
        <v>8501</v>
      </c>
      <c r="AK121" s="26">
        <f t="shared" si="35"/>
        <v>-0.99978142551097215</v>
      </c>
    </row>
    <row r="122" spans="1:57" ht="16" hidden="1">
      <c r="A122" s="22" t="s">
        <v>71</v>
      </c>
      <c r="B122" s="14">
        <f>'[5]Survey Summary'!B6</f>
        <v>1968</v>
      </c>
      <c r="C122" s="14">
        <f>'[5]Survey Summary'!C6</f>
        <v>1977</v>
      </c>
      <c r="D122" s="14">
        <f>'[5]Survey Summary'!D6</f>
        <v>2640</v>
      </c>
      <c r="E122" s="14">
        <f>'[5]Survey Summary'!E6</f>
        <v>3655</v>
      </c>
      <c r="F122" s="14">
        <f>'[5]Survey Summary'!F6</f>
        <v>4940</v>
      </c>
      <c r="G122" s="14">
        <f>'[5]Survey Summary'!G6</f>
        <v>6846</v>
      </c>
      <c r="H122" s="14">
        <f>'[5]Survey Summary'!H6</f>
        <v>7753</v>
      </c>
      <c r="I122" s="14">
        <f>'[5]Survey Summary'!I6</f>
        <v>8002</v>
      </c>
      <c r="J122" s="14">
        <f>'[5]Survey Summary'!J6</f>
        <v>8622</v>
      </c>
      <c r="K122" s="14">
        <f>'[5]Survey Summary'!K6</f>
        <v>9175</v>
      </c>
      <c r="L122" s="14">
        <f>'[5]Survey Summary'!L6</f>
        <v>10558</v>
      </c>
      <c r="M122" s="14">
        <f>'[5]Survey Summary'!M6</f>
        <v>12327</v>
      </c>
      <c r="N122" s="14">
        <f>'[5]Survey Summary'!N6</f>
        <v>14274</v>
      </c>
      <c r="O122" s="14">
        <f>'[5]Survey Summary'!O6</f>
        <v>13468</v>
      </c>
      <c r="P122" s="14">
        <f>'[5]Survey Summary'!P6</f>
        <v>11262</v>
      </c>
      <c r="Q122" s="14">
        <f>'[5]Survey Summary'!Q6</f>
        <v>10071</v>
      </c>
      <c r="R122" s="14">
        <f>'[5]Survey Summary'!R6</f>
        <v>9633</v>
      </c>
      <c r="S122" s="14">
        <f>'[5]Survey Summary'!S6</f>
        <v>9463</v>
      </c>
      <c r="T122" s="14">
        <f>'[5]Survey Summary'!T6</f>
        <v>9116</v>
      </c>
      <c r="U122" s="14">
        <f>'[5]Survey Summary'!U6</f>
        <v>10333</v>
      </c>
      <c r="V122" s="14">
        <f>'[5]Survey Summary'!V6</f>
        <v>10067</v>
      </c>
      <c r="W122" s="14">
        <f>'[5]Survey Summary'!W6</f>
        <v>11887</v>
      </c>
      <c r="X122" s="14">
        <f>'[5]Survey Summary'!X6</f>
        <v>13042</v>
      </c>
      <c r="Y122" s="14">
        <f>'[5]Survey Summary'!Y6</f>
        <v>14304</v>
      </c>
      <c r="Z122" s="14">
        <f>'[5]Survey Summary'!Z6</f>
        <v>15325</v>
      </c>
      <c r="AK122" s="26" t="e">
        <f t="shared" si="35"/>
        <v>#DIV/0!</v>
      </c>
    </row>
    <row r="123" spans="1:57" ht="17" hidden="1" thickBot="1">
      <c r="A123" s="23" t="s">
        <v>29</v>
      </c>
      <c r="B123" s="24">
        <f t="shared" ref="B123:Z123" si="38">SUM(B119:B122)</f>
        <v>18950</v>
      </c>
      <c r="C123" s="24">
        <f t="shared" si="38"/>
        <v>22056</v>
      </c>
      <c r="D123" s="24">
        <f t="shared" si="38"/>
        <v>23900</v>
      </c>
      <c r="E123" s="24">
        <f t="shared" si="38"/>
        <v>30071</v>
      </c>
      <c r="F123" s="24">
        <f t="shared" si="38"/>
        <v>35761</v>
      </c>
      <c r="G123" s="24">
        <f t="shared" si="38"/>
        <v>41117</v>
      </c>
      <c r="H123" s="24">
        <f t="shared" si="38"/>
        <v>46547</v>
      </c>
      <c r="I123" s="24">
        <f t="shared" si="38"/>
        <v>48183</v>
      </c>
      <c r="J123" s="24">
        <f t="shared" si="38"/>
        <v>47261</v>
      </c>
      <c r="K123" s="24">
        <f t="shared" si="38"/>
        <v>46143</v>
      </c>
      <c r="L123" s="24">
        <f t="shared" si="38"/>
        <v>49646</v>
      </c>
      <c r="M123" s="24">
        <f t="shared" si="38"/>
        <v>48860</v>
      </c>
      <c r="N123" s="24">
        <f t="shared" si="38"/>
        <v>51183</v>
      </c>
      <c r="O123" s="24">
        <f t="shared" si="38"/>
        <v>40693</v>
      </c>
      <c r="P123" s="24">
        <f t="shared" si="38"/>
        <v>33846</v>
      </c>
      <c r="Q123" s="24">
        <f t="shared" si="38"/>
        <v>30446</v>
      </c>
      <c r="R123" s="24">
        <f t="shared" si="38"/>
        <v>28250</v>
      </c>
      <c r="S123" s="24">
        <f t="shared" si="38"/>
        <v>27029</v>
      </c>
      <c r="T123" s="24">
        <f t="shared" si="38"/>
        <v>25689</v>
      </c>
      <c r="U123" s="24">
        <f t="shared" si="38"/>
        <v>27603</v>
      </c>
      <c r="V123" s="24">
        <f t="shared" si="38"/>
        <v>27265</v>
      </c>
      <c r="W123" s="24">
        <f t="shared" si="38"/>
        <v>30548</v>
      </c>
      <c r="X123" s="24">
        <f t="shared" si="38"/>
        <v>32745</v>
      </c>
      <c r="Y123" s="24">
        <f t="shared" si="38"/>
        <v>34178</v>
      </c>
      <c r="Z123" s="24">
        <f t="shared" si="38"/>
        <v>35469</v>
      </c>
      <c r="AK123" s="26">
        <f t="shared" si="35"/>
        <v>-0.99992119213753161</v>
      </c>
    </row>
    <row r="124" spans="1:57" hidden="1">
      <c r="AK124" s="26">
        <f t="shared" si="35"/>
        <v>-1.0001490634374877</v>
      </c>
    </row>
    <row r="125" spans="1:57" ht="16" hidden="1">
      <c r="A125" s="21" t="s">
        <v>141</v>
      </c>
      <c r="B125" s="2">
        <v>1995</v>
      </c>
      <c r="C125" s="2">
        <v>1996</v>
      </c>
      <c r="D125" s="2">
        <v>1997</v>
      </c>
      <c r="E125" s="2">
        <v>1998</v>
      </c>
      <c r="F125" s="2">
        <v>1999</v>
      </c>
      <c r="G125" s="2">
        <v>2000</v>
      </c>
      <c r="H125" s="2">
        <v>2001</v>
      </c>
      <c r="I125" s="2">
        <v>2002</v>
      </c>
      <c r="J125" s="2">
        <v>2003</v>
      </c>
      <c r="K125" s="2">
        <v>2004</v>
      </c>
      <c r="L125" s="2">
        <v>2005</v>
      </c>
      <c r="M125" s="2">
        <v>2006</v>
      </c>
      <c r="N125" s="2">
        <v>2007</v>
      </c>
      <c r="O125" s="2">
        <v>2008</v>
      </c>
      <c r="P125" s="2">
        <v>2009</v>
      </c>
      <c r="Q125" s="2">
        <v>2010</v>
      </c>
      <c r="R125" s="2">
        <v>2011</v>
      </c>
      <c r="S125" s="2">
        <v>2012</v>
      </c>
      <c r="T125" s="2">
        <v>2013</v>
      </c>
      <c r="U125" s="2">
        <v>2014</v>
      </c>
      <c r="V125" s="2">
        <v>2015</v>
      </c>
      <c r="W125" s="2">
        <v>2016</v>
      </c>
      <c r="X125" s="2">
        <v>2017</v>
      </c>
      <c r="Y125" s="2">
        <v>2018</v>
      </c>
      <c r="Z125" s="10">
        <v>2019</v>
      </c>
      <c r="AA125" s="2">
        <v>2020</v>
      </c>
      <c r="AB125" s="2">
        <v>2021</v>
      </c>
      <c r="AC125" s="2">
        <v>2022</v>
      </c>
      <c r="AD125" s="2">
        <v>2023</v>
      </c>
      <c r="AE125" s="2">
        <v>2024</v>
      </c>
      <c r="AF125" s="2">
        <v>2025</v>
      </c>
      <c r="AG125" s="2">
        <v>2026</v>
      </c>
      <c r="AH125" s="2">
        <v>2027</v>
      </c>
      <c r="AI125" s="2">
        <v>2028</v>
      </c>
      <c r="AJ125" s="2">
        <v>2029</v>
      </c>
      <c r="AK125" s="26">
        <f t="shared" si="35"/>
        <v>-0.99990323395176062</v>
      </c>
      <c r="AL125" s="2">
        <v>2031</v>
      </c>
      <c r="AM125" s="2">
        <v>2032</v>
      </c>
      <c r="AN125" s="2">
        <v>2033</v>
      </c>
      <c r="AO125" s="2">
        <v>2034</v>
      </c>
      <c r="AP125" s="2">
        <v>2035</v>
      </c>
      <c r="AQ125" s="2">
        <v>2036</v>
      </c>
      <c r="AR125" s="2">
        <v>2037</v>
      </c>
      <c r="AS125" s="2">
        <v>2038</v>
      </c>
      <c r="AT125" s="2">
        <v>2039</v>
      </c>
      <c r="AU125" s="2">
        <v>2040</v>
      </c>
      <c r="AV125" s="2">
        <v>2041</v>
      </c>
      <c r="AW125" s="2">
        <v>2042</v>
      </c>
      <c r="AX125" s="2">
        <v>2043</v>
      </c>
      <c r="AY125" s="2">
        <v>2044</v>
      </c>
      <c r="AZ125" s="2">
        <v>2045</v>
      </c>
      <c r="BA125" s="2">
        <v>2046</v>
      </c>
      <c r="BB125" s="2">
        <v>2047</v>
      </c>
      <c r="BC125" s="2">
        <v>2048</v>
      </c>
      <c r="BD125" s="2">
        <v>2049</v>
      </c>
      <c r="BE125" s="3">
        <v>2050</v>
      </c>
    </row>
    <row r="126" spans="1:57" s="30" customFormat="1" hidden="1">
      <c r="A126" s="28" t="s">
        <v>67</v>
      </c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>
        <f>[6]Summary!B12</f>
        <v>59942</v>
      </c>
      <c r="P126" s="29">
        <f>[6]Summary!C12</f>
        <v>61275</v>
      </c>
      <c r="Q126" s="29">
        <f>[6]Summary!D12</f>
        <v>61126</v>
      </c>
      <c r="R126" s="29">
        <f>[6]Summary!E12</f>
        <v>60638</v>
      </c>
      <c r="S126" s="29">
        <f>[6]Summary!F12</f>
        <v>60291</v>
      </c>
      <c r="T126" s="29">
        <f>[6]Summary!G12</f>
        <v>60732</v>
      </c>
      <c r="U126" s="29">
        <f>[6]Summary!H12</f>
        <v>64102</v>
      </c>
      <c r="V126" s="29">
        <f>[6]Summary!I12</f>
        <v>70572</v>
      </c>
      <c r="W126" s="29">
        <f>[6]Summary!J12</f>
        <v>73837</v>
      </c>
      <c r="X126" s="29">
        <f>[6]Summary!K12</f>
        <v>84125</v>
      </c>
      <c r="Y126" s="29">
        <f>[6]Summary!L12</f>
        <v>92117</v>
      </c>
      <c r="Z126" s="29">
        <f>[6]Summary!M12</f>
        <v>100649</v>
      </c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6" t="e">
        <f t="shared" si="35"/>
        <v>#DIV/0!</v>
      </c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31"/>
    </row>
    <row r="127" spans="1:57" hidden="1">
      <c r="A127" s="4" t="s">
        <v>68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f>[6]Summary!B13</f>
        <v>5470</v>
      </c>
      <c r="P127" s="1">
        <f>[6]Summary!C13</f>
        <v>5152</v>
      </c>
      <c r="Q127" s="1">
        <f>[6]Summary!D13</f>
        <v>4788</v>
      </c>
      <c r="R127" s="1">
        <f>[6]Summary!E13</f>
        <v>4459</v>
      </c>
      <c r="S127" s="1">
        <f>[6]Summary!F13</f>
        <v>4317</v>
      </c>
      <c r="T127" s="1">
        <f>[6]Summary!G13</f>
        <v>4249</v>
      </c>
      <c r="U127" s="1">
        <f>[6]Summary!H13</f>
        <v>4270</v>
      </c>
      <c r="V127" s="1">
        <f>[6]Summary!I13</f>
        <v>4269</v>
      </c>
      <c r="W127" s="1">
        <f>[6]Summary!J13</f>
        <v>4165</v>
      </c>
      <c r="X127" s="1">
        <f>[6]Summary!K13</f>
        <v>4512</v>
      </c>
      <c r="Y127" s="1">
        <f>[6]Summary!L13</f>
        <v>4540</v>
      </c>
      <c r="Z127" s="1">
        <f>[6]Summary!M13</f>
        <v>4546</v>
      </c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26">
        <f t="shared" si="35"/>
        <v>-0.99998085197204944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5"/>
    </row>
    <row r="128" spans="1:57" hidden="1">
      <c r="A128" s="4" t="s">
        <v>69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f>[6]Summary!B14</f>
        <v>6642</v>
      </c>
      <c r="P128" s="1">
        <f>[6]Summary!C14</f>
        <v>5833</v>
      </c>
      <c r="Q128" s="1">
        <f>[6]Summary!D14</f>
        <v>5269</v>
      </c>
      <c r="R128" s="1">
        <f>[6]Summary!E14</f>
        <v>4873</v>
      </c>
      <c r="S128" s="1">
        <f>[6]Summary!F14</f>
        <v>4715</v>
      </c>
      <c r="T128" s="1">
        <f>[6]Summary!G14</f>
        <v>4738</v>
      </c>
      <c r="U128" s="1">
        <f>[6]Summary!H14</f>
        <v>4988</v>
      </c>
      <c r="V128" s="1">
        <f>[6]Summary!I14</f>
        <v>5080</v>
      </c>
      <c r="W128" s="1">
        <f>[6]Summary!J14</f>
        <v>5265</v>
      </c>
      <c r="X128" s="1">
        <f>[6]Summary!K14</f>
        <v>6168</v>
      </c>
      <c r="Y128" s="1">
        <f>[6]Summary!L14</f>
        <v>6494</v>
      </c>
      <c r="Z128" s="1">
        <f>[6]Summary!M14</f>
        <v>6661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26" t="e">
        <f t="shared" si="35"/>
        <v>#DIV/0!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5"/>
    </row>
    <row r="129" spans="1:57" hidden="1">
      <c r="A129" s="4" t="s">
        <v>70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f>[6]Summary!B15</f>
        <v>9586</v>
      </c>
      <c r="P129" s="1">
        <f>[6]Summary!C15</f>
        <v>7707</v>
      </c>
      <c r="Q129" s="1">
        <f>[6]Summary!D15</f>
        <v>6560</v>
      </c>
      <c r="R129" s="1">
        <f>[6]Summary!E15</f>
        <v>6030</v>
      </c>
      <c r="S129" s="1">
        <f>[6]Summary!F15</f>
        <v>5647</v>
      </c>
      <c r="T129" s="1">
        <f>[6]Summary!G15</f>
        <v>5928</v>
      </c>
      <c r="U129" s="1">
        <f>[6]Summary!H15</f>
        <v>6314</v>
      </c>
      <c r="V129" s="1">
        <f>[6]Summary!I15</f>
        <v>6783</v>
      </c>
      <c r="W129" s="1">
        <f>[6]Summary!J15</f>
        <v>6954</v>
      </c>
      <c r="X129" s="1">
        <f>[6]Summary!K15</f>
        <v>8120</v>
      </c>
      <c r="Y129" s="1">
        <f>[6]Summary!L15</f>
        <v>8222</v>
      </c>
      <c r="Z129" s="1">
        <f>[6]Summary!M15</f>
        <v>485</v>
      </c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26" t="e">
        <f t="shared" si="35"/>
        <v>#DIV/0!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5"/>
    </row>
    <row r="130" spans="1:57" hidden="1">
      <c r="A130" s="4" t="s">
        <v>71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f>[6]Summary!B16</f>
        <v>10563</v>
      </c>
      <c r="P130" s="1">
        <f>[6]Summary!C16</f>
        <v>9120</v>
      </c>
      <c r="Q130" s="1">
        <f>[6]Summary!D16</f>
        <v>7798</v>
      </c>
      <c r="R130" s="1">
        <f>[6]Summary!E16</f>
        <v>7478</v>
      </c>
      <c r="S130" s="1">
        <f>[6]Summary!F16</f>
        <v>7454</v>
      </c>
      <c r="T130" s="1">
        <f>[6]Summary!G16</f>
        <v>7896</v>
      </c>
      <c r="U130" s="1">
        <f>[6]Summary!H16</f>
        <v>8591</v>
      </c>
      <c r="V130" s="1">
        <f>[6]Summary!I16</f>
        <v>9260</v>
      </c>
      <c r="W130" s="1">
        <f>[6]Summary!J16</f>
        <v>10106</v>
      </c>
      <c r="X130" s="1">
        <f>[6]Summary!K16</f>
        <v>12224</v>
      </c>
      <c r="Y130" s="1">
        <f>[6]Summary!L16</f>
        <v>13429</v>
      </c>
      <c r="Z130" s="1">
        <f>[6]Summary!M16</f>
        <v>14373</v>
      </c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26" t="e">
        <f t="shared" si="35"/>
        <v>#DIV/0!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5"/>
    </row>
    <row r="131" spans="1:57" ht="17" hidden="1" thickTop="1" thickBot="1">
      <c r="A131" s="6" t="s">
        <v>29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>
        <f t="shared" ref="O131:Z131" si="39">SUM(O127:O130)</f>
        <v>32261</v>
      </c>
      <c r="P131" s="7">
        <f t="shared" si="39"/>
        <v>27812</v>
      </c>
      <c r="Q131" s="7">
        <f t="shared" si="39"/>
        <v>24415</v>
      </c>
      <c r="R131" s="7">
        <f t="shared" si="39"/>
        <v>22840</v>
      </c>
      <c r="S131" s="7">
        <f t="shared" si="39"/>
        <v>22133</v>
      </c>
      <c r="T131" s="7">
        <f t="shared" si="39"/>
        <v>22811</v>
      </c>
      <c r="U131" s="7">
        <f t="shared" si="39"/>
        <v>24163</v>
      </c>
      <c r="V131" s="7">
        <f t="shared" si="39"/>
        <v>25392</v>
      </c>
      <c r="W131" s="7">
        <f t="shared" si="39"/>
        <v>26490</v>
      </c>
      <c r="X131" s="7">
        <f t="shared" si="39"/>
        <v>31024</v>
      </c>
      <c r="Y131" s="7">
        <f t="shared" si="39"/>
        <v>32685</v>
      </c>
      <c r="Z131" s="7">
        <f t="shared" si="39"/>
        <v>26065</v>
      </c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26" t="e">
        <f t="shared" si="35"/>
        <v>#DIV/0!</v>
      </c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8"/>
    </row>
    <row r="132" spans="1:57" hidden="1">
      <c r="AK132" s="26" t="e">
        <f t="shared" si="35"/>
        <v>#DIV/0!</v>
      </c>
    </row>
    <row r="133" spans="1:57" hidden="1">
      <c r="AK133" s="26" t="e">
        <f t="shared" si="35"/>
        <v>#DIV/0!</v>
      </c>
    </row>
    <row r="134" spans="1:57">
      <c r="AK134" s="26">
        <f>(AK93-AA93)/AA93</f>
        <v>0.7178258209259637</v>
      </c>
    </row>
    <row r="135" spans="1:57">
      <c r="AK135" s="26">
        <f>(AK95-AA95)/AA95</f>
        <v>0.33570531603181247</v>
      </c>
    </row>
    <row r="136" spans="1:57">
      <c r="AK136" s="26">
        <f>(AK97-AA97)/AA9</f>
        <v>0.38582642009226398</v>
      </c>
    </row>
    <row r="137" spans="1:57">
      <c r="AK137" s="26">
        <f>(AK99-AA99)/AA99</f>
        <v>0.37042001787310097</v>
      </c>
    </row>
    <row r="138" spans="1:57">
      <c r="AK138" s="26">
        <f>(AK101-AA101)/AA101</f>
        <v>0.80459916147884636</v>
      </c>
    </row>
    <row r="141" spans="1:57" ht="15.5" customHeight="1">
      <c r="Z141" s="13"/>
    </row>
    <row r="144" spans="1:57">
      <c r="B144" s="1"/>
    </row>
    <row r="145" spans="2:29">
      <c r="B145" s="1"/>
      <c r="R145" s="1"/>
    </row>
    <row r="146" spans="2:29">
      <c r="B146" s="1"/>
      <c r="U146" s="1"/>
      <c r="V146" s="1"/>
    </row>
    <row r="147" spans="2:29">
      <c r="B147" s="1"/>
    </row>
    <row r="148" spans="2:29">
      <c r="B148" s="1"/>
    </row>
    <row r="149" spans="2:29">
      <c r="B149" s="1"/>
    </row>
    <row r="150" spans="2:29">
      <c r="B150" s="1"/>
    </row>
    <row r="151" spans="2:29">
      <c r="B151" s="1"/>
    </row>
    <row r="152" spans="2:29">
      <c r="B152" s="1"/>
    </row>
    <row r="153" spans="2:29">
      <c r="B153" s="1"/>
    </row>
    <row r="154" spans="2:29">
      <c r="B154" s="1"/>
    </row>
    <row r="155" spans="2:29">
      <c r="B155" s="1"/>
    </row>
    <row r="156" spans="2:29">
      <c r="B156" s="1"/>
    </row>
    <row r="157" spans="2:29">
      <c r="B157" s="1"/>
    </row>
    <row r="158" spans="2:29">
      <c r="B158" s="1"/>
    </row>
    <row r="159" spans="2:29">
      <c r="B159" s="1"/>
    </row>
    <row r="160" spans="2:29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</sheetData>
  <mergeCells count="15">
    <mergeCell ref="A62:Z62"/>
    <mergeCell ref="A1:Z2"/>
    <mergeCell ref="A12:Z13"/>
    <mergeCell ref="A27:Z28"/>
    <mergeCell ref="A42:Z42"/>
    <mergeCell ref="A51:Z52"/>
    <mergeCell ref="A89:Z90"/>
    <mergeCell ref="A105:Z105"/>
    <mergeCell ref="A107:Z108"/>
    <mergeCell ref="M80:N80"/>
    <mergeCell ref="M82:N82"/>
    <mergeCell ref="M83:N83"/>
    <mergeCell ref="M84:N84"/>
    <mergeCell ref="M85:N85"/>
    <mergeCell ref="M86:N8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Nomenclature etc</vt:lpstr>
      <vt:lpstr>From R Inputs_HERMES</vt:lpstr>
      <vt:lpstr>TKm to VKm</vt:lpstr>
      <vt:lpstr>Share by weight band</vt:lpstr>
      <vt:lpstr>Tkm, Vkm, &amp; Stock Projections</vt:lpstr>
      <vt:lpstr>Graphs</vt:lpstr>
    </vt:vector>
  </TitlesOfParts>
  <Manager/>
  <Company>University College Cork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Eamonn Mulholland 110345319</dc:creator>
  <cp:keywords/>
  <dc:description/>
  <cp:lastModifiedBy>Microsoft Office User</cp:lastModifiedBy>
  <cp:revision/>
  <dcterms:created xsi:type="dcterms:W3CDTF">2016-12-21T18:49:14Z</dcterms:created>
  <dcterms:modified xsi:type="dcterms:W3CDTF">2022-03-15T16:06:49Z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26577234268188</vt:r8>
  </property>
</Properties>
</file>