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1C17C76-D374-4B3F-9B17-0EAF716F75EA}" xr6:coauthVersionLast="45" xr6:coauthVersionMax="47" xr10:uidLastSave="{00000000-0000-0000-0000-000000000000}"/>
  <bookViews>
    <workbookView xWindow="-120" yWindow="-120" windowWidth="29040" windowHeight="15840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6" i="56"/>
  <c r="I21" i="56"/>
  <c r="I15" i="56"/>
  <c r="I10" i="56"/>
  <c r="I19" i="56"/>
  <c r="I13" i="56"/>
  <c r="I7" i="56"/>
  <c r="I9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<sst xmlns="http://schemas.openxmlformats.org/spreadsheetml/2006/main" count="2199" uniqueCount="739">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</sst>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abSelected="1" topLeftCell="A10" zoomScaleNormal="100" workbookViewId="0">
      <selection activeCell="B27" sqref="B27:D2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722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738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723</v>
      </c>
      <c r="B20" s="519" t="s">
        <v>733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724</v>
      </c>
      <c r="B21" s="514" t="s">
        <v>734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725</v>
      </c>
      <c r="B23" s="519" t="s">
        <v>735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736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737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726</v>
      </c>
      <c r="B26" s="519" t="s">
        <v>735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737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727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728</v>
      </c>
      <c r="B30" s="521" t="s">
        <v>729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730</v>
      </c>
      <c r="B31" s="519" t="s">
        <v>731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732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707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708</v>
      </c>
    </row>
    <row r="23" spans="2:8" ht="15" customHeight="1" x14ac:dyDescent="0.25">
      <c r="B23" s="496" t="s">
        <v>709</v>
      </c>
      <c r="C23" s="499" t="s">
        <v>710</v>
      </c>
      <c r="D23" s="497">
        <v>43952</v>
      </c>
      <c r="E23" s="498" t="s">
        <v>188</v>
      </c>
      <c r="F23" s="502" t="s">
        <v>711</v>
      </c>
      <c r="G23" s="153" t="s">
        <v>721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708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708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708</v>
      </c>
    </row>
    <row r="27" spans="2:8" ht="15" customHeight="1" x14ac:dyDescent="0.25">
      <c r="B27" s="188" t="s">
        <v>208</v>
      </c>
      <c r="C27" s="197" t="s">
        <v>712</v>
      </c>
      <c r="D27" s="196">
        <v>43983</v>
      </c>
      <c r="E27" s="170" t="s">
        <v>188</v>
      </c>
      <c r="F27" s="500" t="s">
        <v>708</v>
      </c>
    </row>
    <row r="28" spans="2:8" ht="15" x14ac:dyDescent="0.25">
      <c r="B28" s="188" t="s">
        <v>714</v>
      </c>
      <c r="C28" s="208" t="s">
        <v>713</v>
      </c>
      <c r="D28" s="196">
        <v>43983</v>
      </c>
      <c r="E28" s="170" t="s">
        <v>188</v>
      </c>
      <c r="F28" s="495" t="s">
        <v>708</v>
      </c>
    </row>
    <row r="29" spans="2:8" x14ac:dyDescent="0.2">
      <c r="B29" s="153" t="s">
        <v>716</v>
      </c>
      <c r="C29" s="208" t="s">
        <v>715</v>
      </c>
      <c r="D29" s="196">
        <v>44013</v>
      </c>
      <c r="E29" s="170" t="s">
        <v>188</v>
      </c>
      <c r="F29" s="502" t="s">
        <v>711</v>
      </c>
      <c r="G29" s="153" t="s">
        <v>717</v>
      </c>
    </row>
    <row r="30" spans="2:8" x14ac:dyDescent="0.2">
      <c r="B30" s="153" t="s">
        <v>718</v>
      </c>
      <c r="C30" s="153" t="s">
        <v>719</v>
      </c>
      <c r="D30" s="501">
        <v>44287</v>
      </c>
      <c r="E30" s="170" t="s">
        <v>188</v>
      </c>
      <c r="F30" s="495" t="s">
        <v>708</v>
      </c>
      <c r="G30" s="153" t="s">
        <v>720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583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309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309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309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9.7109375" style="3" customWidth="1"/>
    <col min="32" max="32" width="12.28515625" style="3" customWidth="1"/>
    <col min="33" max="33" width="10.7109375" style="3" customWidth="1"/>
    <col min="34" max="36" width="9.140625" style="3"/>
    <col min="37" max="37" width="24.28515625" style="3" customWidth="1"/>
    <col min="38" max="38" width="23.42578125" style="3" bestFit="1" customWidth="1"/>
    <col min="39" max="39" width="57.140625" style="3" bestFit="1" customWidth="1"/>
    <col min="40" max="41" width="9.140625" style="3"/>
    <col min="42" max="42" width="13" style="3" bestFit="1" customWidth="1"/>
    <col min="43" max="16384" width="9.140625" style="3"/>
  </cols>
  <sheetData>
    <row r="2" spans="3:43" x14ac:dyDescent="0.2">
      <c r="H2" s="5" t="s">
        <v>19</v>
      </c>
    </row>
    <row r="3" spans="3:43" ht="45.75" thickBot="1" x14ac:dyDescent="0.25">
      <c r="C3" s="14" t="s">
        <v>21</v>
      </c>
      <c r="D3" s="15" t="s">
        <v>32</v>
      </c>
      <c r="E3" s="14" t="s">
        <v>23</v>
      </c>
      <c r="F3" s="14" t="s">
        <v>601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321</v>
      </c>
      <c r="AC3" s="17" t="s">
        <v>322</v>
      </c>
      <c r="AD3" s="17" t="s">
        <v>323</v>
      </c>
      <c r="AE3" s="17" t="s">
        <v>254</v>
      </c>
      <c r="AF3" s="17" t="s">
        <v>77</v>
      </c>
      <c r="AG3" s="17" t="s">
        <v>308</v>
      </c>
      <c r="AH3" s="17" t="s">
        <v>78</v>
      </c>
      <c r="AI3" s="17" t="s">
        <v>599</v>
      </c>
    </row>
    <row r="4" spans="3:43" ht="38.25" x14ac:dyDescent="0.2">
      <c r="C4" s="16" t="s">
        <v>319</v>
      </c>
      <c r="D4" s="16" t="s">
        <v>33</v>
      </c>
      <c r="E4" s="16" t="s">
        <v>80</v>
      </c>
      <c r="F4" s="16" t="s">
        <v>602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40" t="s">
        <v>86</v>
      </c>
      <c r="W4" s="541"/>
      <c r="X4" s="541"/>
      <c r="Y4" s="542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253</v>
      </c>
      <c r="AF4" s="60" t="s">
        <v>66</v>
      </c>
      <c r="AG4" s="60" t="s">
        <v>87</v>
      </c>
      <c r="AH4" s="60"/>
      <c r="AI4" s="60"/>
      <c r="AK4" s="10" t="s">
        <v>20</v>
      </c>
      <c r="AL4" s="11"/>
      <c r="AM4" s="11"/>
      <c r="AN4" s="11"/>
      <c r="AO4" s="11"/>
      <c r="AP4" s="11"/>
      <c r="AQ4" s="11"/>
    </row>
    <row r="5" spans="3:43" ht="15.75" thickBot="1" x14ac:dyDescent="0.25">
      <c r="C5" s="14" t="s">
        <v>318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K5" s="12" t="s">
        <v>27</v>
      </c>
      <c r="AL5" s="12" t="s">
        <v>21</v>
      </c>
      <c r="AM5" s="12" t="s">
        <v>22</v>
      </c>
      <c r="AN5" s="12" t="s">
        <v>28</v>
      </c>
      <c r="AO5" s="12" t="s">
        <v>29</v>
      </c>
      <c r="AP5" s="12" t="s">
        <v>30</v>
      </c>
      <c r="AQ5" s="12" t="s">
        <v>67</v>
      </c>
    </row>
    <row r="6" spans="3:43" ht="33.75" x14ac:dyDescent="0.2">
      <c r="C6" s="37" t="s">
        <v>310</v>
      </c>
      <c r="D6" s="38"/>
      <c r="E6" s="38"/>
      <c r="F6" s="38"/>
      <c r="G6" s="39"/>
      <c r="H6" s="531" t="s">
        <v>34</v>
      </c>
      <c r="I6" s="532"/>
      <c r="J6" s="532"/>
      <c r="K6" s="533"/>
      <c r="L6" s="532" t="s">
        <v>34</v>
      </c>
      <c r="M6" s="532"/>
      <c r="N6" s="532"/>
      <c r="O6" s="533"/>
      <c r="P6" s="531" t="s">
        <v>34</v>
      </c>
      <c r="Q6" s="532"/>
      <c r="R6" s="532"/>
      <c r="S6" s="533"/>
      <c r="T6" s="531" t="s">
        <v>68</v>
      </c>
      <c r="U6" s="533"/>
      <c r="V6" s="531" t="s">
        <v>544</v>
      </c>
      <c r="W6" s="532"/>
      <c r="X6" s="532"/>
      <c r="Y6" s="533"/>
      <c r="Z6" s="61" t="s">
        <v>556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70" t="s">
        <v>324</v>
      </c>
      <c r="AG6" s="61" t="s">
        <v>34</v>
      </c>
      <c r="AH6" s="61" t="s">
        <v>94</v>
      </c>
      <c r="AI6" s="61" t="s">
        <v>600</v>
      </c>
      <c r="AK6" s="212" t="s">
        <v>69</v>
      </c>
      <c r="AL6" s="212" t="s">
        <v>70</v>
      </c>
      <c r="AM6" s="212" t="s">
        <v>33</v>
      </c>
      <c r="AN6" s="212" t="s">
        <v>71</v>
      </c>
      <c r="AO6" s="212" t="s">
        <v>72</v>
      </c>
      <c r="AP6" s="212" t="s">
        <v>73</v>
      </c>
      <c r="AQ6" s="212" t="s">
        <v>74</v>
      </c>
    </row>
    <row r="7" spans="3:43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85">
        <f>31.536*(AI7/1000)</f>
        <v>0.47304000000000002</v>
      </c>
      <c r="AG7" s="88"/>
      <c r="AH7" s="88">
        <v>2019</v>
      </c>
      <c r="AI7" s="88">
        <v>15</v>
      </c>
      <c r="AK7" s="106" t="s">
        <v>31</v>
      </c>
      <c r="AL7" s="105" t="str">
        <f t="shared" ref="AL7:AM14" si="1">C7</f>
        <v>R-SH_Apt_KER_N1</v>
      </c>
      <c r="AM7" s="105" t="str">
        <f t="shared" si="1"/>
        <v>Residential Kerosene Heating Oil - New 1 SH</v>
      </c>
      <c r="AN7" s="106" t="s">
        <v>13</v>
      </c>
      <c r="AO7" s="106" t="s">
        <v>183</v>
      </c>
      <c r="AP7" s="106"/>
      <c r="AQ7" s="106" t="s">
        <v>75</v>
      </c>
    </row>
    <row r="8" spans="3:43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2">I8*0.7</f>
        <v>0.7</v>
      </c>
      <c r="R8" s="248">
        <f t="shared" ref="R8" si="3">J8*0.7</f>
        <v>0.7</v>
      </c>
      <c r="S8" s="249">
        <f t="shared" ref="S8" si="4">K8*0.7</f>
        <v>0.7</v>
      </c>
      <c r="T8" s="53">
        <v>20</v>
      </c>
      <c r="U8" s="24"/>
      <c r="V8" s="384">
        <f>V10*1.3</f>
        <v>3.6576075949367097</v>
      </c>
      <c r="W8" s="384">
        <f t="shared" ref="W8:Y8" si="5">W10*1.3</f>
        <v>3.6576075949367097</v>
      </c>
      <c r="X8" s="384">
        <f t="shared" si="5"/>
        <v>3.6576075949367097</v>
      </c>
      <c r="Y8" s="384">
        <f t="shared" si="5"/>
        <v>3.6576075949367097</v>
      </c>
      <c r="Z8" s="384">
        <v>0.12</v>
      </c>
      <c r="AA8" s="66"/>
      <c r="AB8" s="73"/>
      <c r="AC8" s="73"/>
      <c r="AD8" s="73"/>
      <c r="AE8" s="73"/>
      <c r="AF8" s="63">
        <f t="shared" ref="AF8:AF14" si="6">31.536*(AI8/1000)</f>
        <v>0.56764799999999993</v>
      </c>
      <c r="AG8" s="66"/>
      <c r="AH8" s="66">
        <v>2019</v>
      </c>
      <c r="AI8" s="66">
        <v>18</v>
      </c>
      <c r="AK8" s="106"/>
      <c r="AL8" s="105" t="str">
        <f t="shared" si="1"/>
        <v>R-SW_Apt_KER_N1</v>
      </c>
      <c r="AM8" s="105" t="str">
        <f t="shared" si="1"/>
        <v>Residential Kerosene Heating Oil - New 2 SH + WH</v>
      </c>
      <c r="AN8" s="106" t="s">
        <v>13</v>
      </c>
      <c r="AO8" s="106" t="s">
        <v>183</v>
      </c>
      <c r="AP8" s="106"/>
      <c r="AQ8" s="106" t="s">
        <v>75</v>
      </c>
    </row>
    <row r="9" spans="3:43" ht="15" x14ac:dyDescent="0.25">
      <c r="C9" s="29" t="str">
        <f>"R-SH_Apt"&amp;"_"&amp;RIGHT(E9,3)&amp;"_N1"</f>
        <v>R-SH_Apt_GAS_N1</v>
      </c>
      <c r="D9" s="40" t="s">
        <v>95</v>
      </c>
      <c r="E9" s="30" t="s">
        <v>302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7">2.79</f>
        <v>2.79</v>
      </c>
      <c r="X9" s="383">
        <f t="shared" si="7"/>
        <v>2.79</v>
      </c>
      <c r="Y9" s="383">
        <f t="shared" si="7"/>
        <v>2.79</v>
      </c>
      <c r="Z9" s="383">
        <v>0.12</v>
      </c>
      <c r="AA9" s="65"/>
      <c r="AB9" s="72"/>
      <c r="AC9" s="72"/>
      <c r="AD9" s="72"/>
      <c r="AE9" s="72"/>
      <c r="AF9" s="62">
        <f t="shared" si="6"/>
        <v>0.47304000000000002</v>
      </c>
      <c r="AG9" s="65"/>
      <c r="AH9" s="65">
        <v>2019</v>
      </c>
      <c r="AI9" s="65">
        <v>15</v>
      </c>
      <c r="AK9" s="106"/>
      <c r="AL9" s="105" t="str">
        <f t="shared" si="1"/>
        <v>R-SH_Apt_GAS_N1</v>
      </c>
      <c r="AM9" s="105" t="str">
        <f t="shared" si="1"/>
        <v>Residential Natural Gas Heating - New 1 SH</v>
      </c>
      <c r="AN9" s="106" t="s">
        <v>13</v>
      </c>
      <c r="AO9" s="106" t="s">
        <v>183</v>
      </c>
      <c r="AP9" s="106"/>
      <c r="AQ9" s="106" t="s">
        <v>75</v>
      </c>
    </row>
    <row r="10" spans="3:43" ht="15" x14ac:dyDescent="0.25">
      <c r="C10" s="23" t="str">
        <f>"R-SW_Apt"&amp;"_"&amp;RIGHT(E10,3)&amp;"_N1"</f>
        <v>R-SW_Apt_GAS_N1</v>
      </c>
      <c r="D10" s="22" t="s">
        <v>99</v>
      </c>
      <c r="E10" s="24" t="s">
        <v>302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8">I10*0.7</f>
        <v>0.7</v>
      </c>
      <c r="R10" s="248">
        <f t="shared" ref="R10" si="9">J10*0.7</f>
        <v>0.7</v>
      </c>
      <c r="S10" s="249">
        <f t="shared" ref="S10" si="10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63">
        <f t="shared" si="6"/>
        <v>0.56764799999999993</v>
      </c>
      <c r="AG10" s="66"/>
      <c r="AH10" s="66">
        <v>2019</v>
      </c>
      <c r="AI10" s="66">
        <v>18</v>
      </c>
      <c r="AK10" s="106"/>
      <c r="AL10" s="105" t="str">
        <f t="shared" si="1"/>
        <v>R-SW_Apt_GAS_N1</v>
      </c>
      <c r="AM10" s="105" t="str">
        <f t="shared" si="1"/>
        <v>Residential Natural Gas Heating - New 2 SH + WH</v>
      </c>
      <c r="AN10" s="106" t="s">
        <v>13</v>
      </c>
      <c r="AO10" s="106" t="s">
        <v>183</v>
      </c>
      <c r="AP10" s="106"/>
      <c r="AQ10" s="106" t="s">
        <v>75</v>
      </c>
    </row>
    <row r="11" spans="3:43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SUM(2.79+0.25)</f>
        <v>3.04</v>
      </c>
      <c r="W11" s="383">
        <f t="shared" ref="W11:Y11" si="11">SUM(2.79+0.25)</f>
        <v>3.04</v>
      </c>
      <c r="X11" s="383">
        <f t="shared" si="11"/>
        <v>3.04</v>
      </c>
      <c r="Y11" s="383">
        <f t="shared" si="11"/>
        <v>3.04</v>
      </c>
      <c r="Z11" s="383">
        <f>0.12+0.15</f>
        <v>0.27</v>
      </c>
      <c r="AA11" s="65"/>
      <c r="AB11" s="72"/>
      <c r="AC11" s="72"/>
      <c r="AD11" s="72"/>
      <c r="AE11" s="72"/>
      <c r="AF11" s="62">
        <f t="shared" si="6"/>
        <v>0.47304000000000002</v>
      </c>
      <c r="AG11" s="65"/>
      <c r="AH11" s="65">
        <v>2019</v>
      </c>
      <c r="AI11" s="65">
        <v>15</v>
      </c>
      <c r="AK11" s="106"/>
      <c r="AL11" s="105" t="str">
        <f t="shared" si="1"/>
        <v>R-SH_Apt_LPG_N1</v>
      </c>
      <c r="AM11" s="105" t="str">
        <f t="shared" si="1"/>
        <v>Residential Liquid Petroleum Gas- New 1 SH</v>
      </c>
      <c r="AN11" s="106" t="s">
        <v>13</v>
      </c>
      <c r="AO11" s="106" t="s">
        <v>183</v>
      </c>
      <c r="AP11" s="106"/>
      <c r="AQ11" s="106" t="s">
        <v>75</v>
      </c>
    </row>
    <row r="12" spans="3:43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2">I12*0.7</f>
        <v>0.7</v>
      </c>
      <c r="R12" s="248">
        <f t="shared" si="12"/>
        <v>0.7</v>
      </c>
      <c r="S12" s="249">
        <f t="shared" si="12"/>
        <v>0.7</v>
      </c>
      <c r="T12" s="53">
        <v>22</v>
      </c>
      <c r="U12" s="24"/>
      <c r="V12" s="384">
        <f>V11*($U$150/$U$149)</f>
        <v>3.0656540084388189</v>
      </c>
      <c r="W12" s="384">
        <f>W11*($U$150/$U$149)</f>
        <v>3.0656540084388189</v>
      </c>
      <c r="X12" s="384">
        <f>X11*($U$150/$U$149)</f>
        <v>3.0656540084388189</v>
      </c>
      <c r="Y12" s="384">
        <f>Y11*($U$150/$U$149)</f>
        <v>3.0656540084388189</v>
      </c>
      <c r="Z12" s="384">
        <f>0.12+0.15</f>
        <v>0.27</v>
      </c>
      <c r="AA12" s="66"/>
      <c r="AB12" s="73"/>
      <c r="AC12" s="73"/>
      <c r="AD12" s="73"/>
      <c r="AE12" s="73"/>
      <c r="AF12" s="63">
        <f t="shared" si="6"/>
        <v>0.56764799999999993</v>
      </c>
      <c r="AG12" s="66"/>
      <c r="AH12" s="66">
        <v>2019</v>
      </c>
      <c r="AI12" s="66">
        <v>18</v>
      </c>
      <c r="AK12" s="106"/>
      <c r="AL12" s="105" t="str">
        <f t="shared" si="1"/>
        <v>R-SW_Apt_LPG_N1</v>
      </c>
      <c r="AM12" s="105" t="str">
        <f t="shared" si="1"/>
        <v>Residential Liquid Petroleum Gas- New 2 SH + WH</v>
      </c>
      <c r="AN12" s="106" t="s">
        <v>13</v>
      </c>
      <c r="AO12" s="106" t="s">
        <v>183</v>
      </c>
      <c r="AP12" s="106"/>
      <c r="AQ12" s="106" t="s">
        <v>75</v>
      </c>
    </row>
    <row r="13" spans="3:43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62">
        <f t="shared" si="6"/>
        <v>0.47304000000000002</v>
      </c>
      <c r="AG13" s="65"/>
      <c r="AH13" s="65">
        <v>2019</v>
      </c>
      <c r="AI13" s="65">
        <v>15</v>
      </c>
      <c r="AK13" s="106"/>
      <c r="AL13" s="105" t="str">
        <f t="shared" si="1"/>
        <v>R-SH_Apt_WOO_N1</v>
      </c>
      <c r="AM13" s="105" t="str">
        <f t="shared" si="1"/>
        <v>Residential Biomass Boiler - New 1 SH</v>
      </c>
      <c r="AN13" s="106" t="s">
        <v>13</v>
      </c>
      <c r="AO13" s="106" t="s">
        <v>183</v>
      </c>
      <c r="AP13" s="106"/>
      <c r="AQ13" s="106" t="s">
        <v>75</v>
      </c>
    </row>
    <row r="14" spans="3:43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3">H14*0.7</f>
        <v>0.7</v>
      </c>
      <c r="Q14" s="248">
        <f t="shared" si="13"/>
        <v>0.7</v>
      </c>
      <c r="R14" s="248">
        <f t="shared" si="13"/>
        <v>0.7</v>
      </c>
      <c r="S14" s="249">
        <f t="shared" si="13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63">
        <f t="shared" si="6"/>
        <v>0.56764799999999993</v>
      </c>
      <c r="AG14" s="66"/>
      <c r="AH14" s="66">
        <v>2019</v>
      </c>
      <c r="AI14" s="66">
        <v>18</v>
      </c>
      <c r="AK14" s="109"/>
      <c r="AL14" s="108" t="str">
        <f t="shared" si="1"/>
        <v>R-SW_Apt_WOO_N1</v>
      </c>
      <c r="AM14" s="108" t="str">
        <f t="shared" si="1"/>
        <v>Residential Biomass Boiler - New 2 SH + WH</v>
      </c>
      <c r="AN14" s="109" t="s">
        <v>13</v>
      </c>
      <c r="AO14" s="109" t="s">
        <v>183</v>
      </c>
      <c r="AP14" s="109"/>
      <c r="AQ14" s="109" t="s">
        <v>75</v>
      </c>
    </row>
    <row r="15" spans="3:43" ht="15.75" thickBot="1" x14ac:dyDescent="0.3">
      <c r="C15" s="33" t="s">
        <v>311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3"/>
      <c r="AG15" s="34"/>
      <c r="AH15" s="34"/>
      <c r="AI15" s="34"/>
      <c r="AK15" s="110"/>
      <c r="AL15" s="111" t="str">
        <f>C16</f>
        <v>R-SH_Apt_ELC_N1</v>
      </c>
      <c r="AM15" s="111" t="str">
        <f>D16</f>
        <v>Residential Electric Heater - New 1 SH</v>
      </c>
      <c r="AN15" s="110" t="s">
        <v>13</v>
      </c>
      <c r="AO15" s="110" t="s">
        <v>183</v>
      </c>
      <c r="AP15" s="110"/>
      <c r="AQ15" s="110" t="s">
        <v>75</v>
      </c>
    </row>
    <row r="16" spans="3:43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2">
        <f>31.536*(AI16/1000)</f>
        <v>0.47304000000000002</v>
      </c>
      <c r="AG16" s="83"/>
      <c r="AH16" s="83">
        <v>2019</v>
      </c>
      <c r="AI16" s="83">
        <v>15</v>
      </c>
      <c r="AK16" s="104"/>
      <c r="AL16" s="103" t="str">
        <f t="shared" ref="AL16:AM21" si="14">C18</f>
        <v>R-SH_Apt_ELC_HPN1</v>
      </c>
      <c r="AM16" s="103" t="str">
        <f t="shared" si="14"/>
        <v>Residential Electric Heat Pump - Air to Air - SH</v>
      </c>
      <c r="AN16" s="104" t="s">
        <v>13</v>
      </c>
      <c r="AO16" s="104" t="s">
        <v>183</v>
      </c>
      <c r="AP16" s="104"/>
      <c r="AQ16" s="104" t="s">
        <v>75</v>
      </c>
    </row>
    <row r="17" spans="3:43" ht="15" x14ac:dyDescent="0.25">
      <c r="C17" s="33" t="s">
        <v>312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3"/>
      <c r="AG17" s="34"/>
      <c r="AH17" s="34"/>
      <c r="AI17" s="34"/>
      <c r="AK17" s="106"/>
      <c r="AL17" s="105" t="str">
        <f t="shared" si="14"/>
        <v>R-HC_Apt_ELC_HPN1</v>
      </c>
      <c r="AM17" s="105" t="str">
        <f t="shared" si="14"/>
        <v>Residential Electric Heat Pump - Air to Air - SH + SC</v>
      </c>
      <c r="AN17" s="106" t="s">
        <v>13</v>
      </c>
      <c r="AO17" s="106" t="s">
        <v>183</v>
      </c>
      <c r="AP17" s="106"/>
      <c r="AQ17" s="106" t="s">
        <v>75</v>
      </c>
    </row>
    <row r="18" spans="3:43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603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85">
        <f t="shared" ref="AF18:AF23" si="15">31.536*(AI18/1000)</f>
        <v>0.15768000000000001</v>
      </c>
      <c r="AG18" s="88"/>
      <c r="AH18" s="88">
        <v>2100</v>
      </c>
      <c r="AI18" s="88">
        <v>5</v>
      </c>
      <c r="AK18" s="106"/>
      <c r="AL18" s="105" t="str">
        <f t="shared" si="14"/>
        <v>R-SH_Apt_ELC_HPN2</v>
      </c>
      <c r="AM18" s="105" t="str">
        <f t="shared" si="14"/>
        <v>Residential Electric Heat Pump - Air to Water - SH</v>
      </c>
      <c r="AN18" s="106" t="s">
        <v>13</v>
      </c>
      <c r="AO18" s="106" t="s">
        <v>183</v>
      </c>
      <c r="AP18" s="106"/>
      <c r="AQ18" s="106" t="s">
        <v>75</v>
      </c>
    </row>
    <row r="19" spans="3:43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603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63">
        <f t="shared" si="15"/>
        <v>0.15768000000000001</v>
      </c>
      <c r="AG19" s="66"/>
      <c r="AH19" s="66">
        <v>2100</v>
      </c>
      <c r="AI19" s="66">
        <v>5</v>
      </c>
      <c r="AK19" s="106"/>
      <c r="AL19" s="105" t="str">
        <f t="shared" si="14"/>
        <v>R-SW_Apt_ELC_HPN1</v>
      </c>
      <c r="AM19" s="105" t="str">
        <f t="shared" si="14"/>
        <v>Residential Electric Heat Pump - Air to Water - SH + WH</v>
      </c>
      <c r="AN19" s="106" t="s">
        <v>13</v>
      </c>
      <c r="AO19" s="106" t="s">
        <v>183</v>
      </c>
      <c r="AP19" s="106"/>
      <c r="AQ19" s="106" t="s">
        <v>75</v>
      </c>
    </row>
    <row r="20" spans="3:43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603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62">
        <f t="shared" si="15"/>
        <v>0.15768000000000001</v>
      </c>
      <c r="AG20" s="65"/>
      <c r="AH20" s="65">
        <v>2019</v>
      </c>
      <c r="AI20" s="65">
        <v>5</v>
      </c>
      <c r="AK20" s="213"/>
      <c r="AL20" s="105" t="str">
        <f t="shared" si="14"/>
        <v>R-SH_Apt_ELC_HPN3</v>
      </c>
      <c r="AM20" s="105" t="str">
        <f t="shared" si="14"/>
        <v>Residential Electric Heat Pump - Ground to Water - SH</v>
      </c>
      <c r="AN20" s="106" t="s">
        <v>13</v>
      </c>
      <c r="AO20" s="106" t="s">
        <v>183</v>
      </c>
      <c r="AP20" s="106"/>
      <c r="AQ20" s="106" t="s">
        <v>75</v>
      </c>
    </row>
    <row r="21" spans="3:43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706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6">I21*0.7</f>
        <v>0.76999999999999991</v>
      </c>
      <c r="R21" s="23">
        <f t="shared" si="16"/>
        <v>0.86333333333333329</v>
      </c>
      <c r="S21" s="57">
        <f t="shared" si="16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63">
        <f t="shared" si="15"/>
        <v>0.18921600000000002</v>
      </c>
      <c r="AG21" s="66"/>
      <c r="AH21" s="66">
        <v>2019</v>
      </c>
      <c r="AI21" s="66">
        <v>6</v>
      </c>
      <c r="AK21" s="112"/>
      <c r="AL21" s="108" t="str">
        <f t="shared" si="14"/>
        <v>R-HC_Apt_ELC_HPN2</v>
      </c>
      <c r="AM21" s="108" t="str">
        <f t="shared" si="14"/>
        <v>Residential Electric Heat Pump - Ground to Water - SH + SC</v>
      </c>
      <c r="AN21" s="109" t="s">
        <v>13</v>
      </c>
      <c r="AO21" s="109" t="s">
        <v>183</v>
      </c>
      <c r="AP21" s="109"/>
      <c r="AQ21" s="109" t="s">
        <v>75</v>
      </c>
    </row>
    <row r="22" spans="3:43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603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62">
        <f t="shared" si="15"/>
        <v>0.15768000000000001</v>
      </c>
      <c r="AG22" s="65"/>
      <c r="AH22" s="65">
        <v>2019</v>
      </c>
      <c r="AI22" s="65">
        <v>5</v>
      </c>
      <c r="AK22" s="113"/>
      <c r="AL22" s="103" t="str">
        <f>C25</f>
        <v>R-SW_Apt_GAS_HPN1</v>
      </c>
      <c r="AM22" s="103" t="str">
        <f>D25</f>
        <v>Residential Gas Absorption Heat Pump - Air to Water - SH + WH</v>
      </c>
      <c r="AN22" s="104" t="s">
        <v>13</v>
      </c>
      <c r="AO22" s="104" t="s">
        <v>183</v>
      </c>
      <c r="AP22" s="104"/>
      <c r="AQ22" s="104" t="s">
        <v>75</v>
      </c>
    </row>
    <row r="23" spans="3:43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603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63">
        <f t="shared" si="15"/>
        <v>0.15768000000000001</v>
      </c>
      <c r="AG23" s="66"/>
      <c r="AH23" s="66">
        <v>2019</v>
      </c>
      <c r="AI23" s="66">
        <v>5</v>
      </c>
      <c r="AK23" s="214"/>
      <c r="AL23" s="108" t="str">
        <f>C26</f>
        <v>R-SW_Apt_GAS_HPN2</v>
      </c>
      <c r="AM23" s="108" t="str">
        <f>D26</f>
        <v>Residential Gas Engine Heat Pump - Air to Water - SH + WH</v>
      </c>
      <c r="AN23" s="109" t="s">
        <v>13</v>
      </c>
      <c r="AO23" s="109" t="s">
        <v>183</v>
      </c>
      <c r="AP23" s="109"/>
      <c r="AQ23" s="109" t="s">
        <v>75</v>
      </c>
    </row>
    <row r="24" spans="3:43" ht="15.75" thickBot="1" x14ac:dyDescent="0.3">
      <c r="C24" s="33" t="s">
        <v>313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3"/>
      <c r="AG24" s="34"/>
      <c r="AH24" s="34"/>
      <c r="AI24" s="34"/>
      <c r="AK24" s="215"/>
      <c r="AL24" s="111" t="str">
        <f>C28</f>
        <v>R-SW_Apt_GAS_HHPN1</v>
      </c>
      <c r="AM24" s="111" t="str">
        <f>D28</f>
        <v>Residential Gas Hybrid Heat Pump - Air to Water - SH + WH</v>
      </c>
      <c r="AN24" s="110" t="s">
        <v>13</v>
      </c>
      <c r="AO24" s="110" t="s">
        <v>183</v>
      </c>
      <c r="AP24" s="110"/>
      <c r="AQ24" s="110" t="s">
        <v>75</v>
      </c>
    </row>
    <row r="25" spans="3:43" ht="15" x14ac:dyDescent="0.25">
      <c r="C25" s="19" t="str">
        <f>"R-SW_Apt"&amp;"_"&amp;RIGHT(E25,3)&amp;"_HPN1"</f>
        <v>R-SW_Apt_GAS_HPN1</v>
      </c>
      <c r="D25" s="20" t="s">
        <v>116</v>
      </c>
      <c r="E25" s="89" t="s">
        <v>302</v>
      </c>
      <c r="F25" s="89" t="s">
        <v>706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7">I25*0.7</f>
        <v>1.2530864197530862</v>
      </c>
      <c r="R25" s="20">
        <f t="shared" si="17"/>
        <v>1.4691358024691357</v>
      </c>
      <c r="S25" s="56">
        <f t="shared" si="17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>
        <f t="shared" ref="AF25:AF26" si="18">31.536*(AI25/1000)</f>
        <v>0.56764799999999993</v>
      </c>
      <c r="AG25" s="88"/>
      <c r="AH25" s="88">
        <v>2019</v>
      </c>
      <c r="AI25" s="88">
        <v>18</v>
      </c>
      <c r="AK25" s="216"/>
      <c r="AL25" s="103" t="str">
        <f>C30</f>
        <v>R-SW_Apt_HET_N1</v>
      </c>
      <c r="AM25" s="103" t="str">
        <f>D30</f>
        <v>Residential District Heating Centralized - SH + WH</v>
      </c>
      <c r="AN25" s="104" t="s">
        <v>13</v>
      </c>
      <c r="AO25" s="104" t="s">
        <v>183</v>
      </c>
      <c r="AP25" s="104"/>
      <c r="AQ25" s="104" t="s">
        <v>75</v>
      </c>
    </row>
    <row r="26" spans="3:43" ht="15.75" thickBot="1" x14ac:dyDescent="0.3">
      <c r="C26" s="256" t="str">
        <f>"R-SW_Apt"&amp;"_"&amp;RIGHT(E26,3)&amp;"_HPN2"</f>
        <v>R-SW_Apt_GAS_HPN2</v>
      </c>
      <c r="D26" s="26" t="s">
        <v>117</v>
      </c>
      <c r="E26" s="27" t="s">
        <v>302</v>
      </c>
      <c r="F26" s="27" t="s">
        <v>706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19">I26*0.7</f>
        <v>1.2055555555555555</v>
      </c>
      <c r="R26" s="26">
        <f t="shared" ref="R26" si="20">J26*0.7</f>
        <v>1.2055555555555555</v>
      </c>
      <c r="S26" s="59">
        <f t="shared" ref="S26" si="21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>
        <f t="shared" si="18"/>
        <v>0.56764799999999993</v>
      </c>
      <c r="AG26" s="67"/>
      <c r="AH26" s="67">
        <v>2019</v>
      </c>
      <c r="AI26" s="67">
        <v>18</v>
      </c>
      <c r="AK26" s="114"/>
      <c r="AL26" s="108" t="str">
        <f>C31</f>
        <v>R-SW_Apt_HET_N2</v>
      </c>
      <c r="AM26" s="108" t="str">
        <f>D31</f>
        <v>Residential District Heating Decentralized - SH + WH</v>
      </c>
      <c r="AN26" s="109" t="s">
        <v>13</v>
      </c>
      <c r="AO26" s="109" t="s">
        <v>183</v>
      </c>
      <c r="AP26" s="109"/>
      <c r="AQ26" s="109" t="s">
        <v>75</v>
      </c>
    </row>
    <row r="27" spans="3:43" ht="15" x14ac:dyDescent="0.25">
      <c r="C27" s="33" t="s">
        <v>314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3"/>
      <c r="AG27" s="34"/>
      <c r="AH27" s="34"/>
      <c r="AI27" s="34"/>
      <c r="AK27" s="216"/>
      <c r="AL27" s="103" t="str">
        <f>C33</f>
        <v>R-WH_Apt_ELC_N1</v>
      </c>
      <c r="AM27" s="103" t="str">
        <f>D33</f>
        <v xml:space="preserve">Residential Electric Water Heater </v>
      </c>
      <c r="AN27" s="104" t="s">
        <v>13</v>
      </c>
      <c r="AO27" s="104" t="s">
        <v>183</v>
      </c>
      <c r="AP27" s="104"/>
      <c r="AQ27" s="104" t="s">
        <v>75</v>
      </c>
    </row>
    <row r="28" spans="3:43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306</v>
      </c>
      <c r="F28" s="121" t="s">
        <v>706</v>
      </c>
      <c r="G28" s="98" t="s">
        <v>290</v>
      </c>
      <c r="H28" s="383">
        <f>1*$AD$28+JRC_Data!AD18*(1.2-$AD$28)</f>
        <v>3.2699999999999996</v>
      </c>
      <c r="I28" s="383">
        <f>1*$AD$28+JRC_Data!AE18*(1.2-$AD$28)</f>
        <v>3.6299999999999994</v>
      </c>
      <c r="J28" s="383">
        <f>1*$AD$28+JRC_Data!AF18*(1.2-$AD$28)</f>
        <v>3.8999999999999995</v>
      </c>
      <c r="K28" s="383">
        <f>1*$AD$28+JRC_Data!AG18*(1.2-$AD$28)</f>
        <v>3.8999999999999995</v>
      </c>
      <c r="L28" s="49"/>
      <c r="M28" s="50"/>
      <c r="N28" s="50"/>
      <c r="O28" s="51"/>
      <c r="P28" s="256">
        <f>H28*0.7</f>
        <v>2.2889999999999997</v>
      </c>
      <c r="Q28" s="26">
        <f>I28*0.7</f>
        <v>2.5409999999999995</v>
      </c>
      <c r="R28" s="26">
        <f t="shared" ref="R28:S28" si="22">J28*0.7</f>
        <v>2.7299999999999995</v>
      </c>
      <c r="S28" s="59">
        <f t="shared" si="22"/>
        <v>2.7299999999999995</v>
      </c>
      <c r="T28" s="260">
        <v>20</v>
      </c>
      <c r="U28" s="261"/>
      <c r="V28" s="79">
        <f>(V21+V10)*0.8</f>
        <v>8.3046953586497896</v>
      </c>
      <c r="W28" s="79">
        <f t="shared" ref="W28:Y28" si="23">(W21+W10)*0.8</f>
        <v>7.7598479662447266</v>
      </c>
      <c r="X28" s="79">
        <f t="shared" si="23"/>
        <v>7.2640368391561196</v>
      </c>
      <c r="Y28" s="79">
        <f t="shared" si="23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</v>
      </c>
      <c r="AE28" s="66">
        <v>5</v>
      </c>
      <c r="AF28" s="82">
        <f>31.536*(AI28/1000)</f>
        <v>0.30274559999999995</v>
      </c>
      <c r="AG28" s="83"/>
      <c r="AH28" s="83">
        <v>2019</v>
      </c>
      <c r="AI28" s="83">
        <f>AI10*AD28+AI21*(1-AD28)</f>
        <v>9.5999999999999979</v>
      </c>
      <c r="AK28" s="2"/>
      <c r="AL28" s="105" t="str">
        <f>C34</f>
        <v>R-WH_Apt_SOL_N1</v>
      </c>
      <c r="AM28" s="105" t="str">
        <f>D34</f>
        <v xml:space="preserve">Residential Solar Water Heater </v>
      </c>
      <c r="AN28" s="106" t="s">
        <v>13</v>
      </c>
      <c r="AO28" s="106" t="s">
        <v>183</v>
      </c>
      <c r="AP28" s="106"/>
      <c r="AQ28" s="106" t="s">
        <v>75</v>
      </c>
    </row>
    <row r="29" spans="3:43" ht="15.75" thickBot="1" x14ac:dyDescent="0.3">
      <c r="C29" s="33" t="s">
        <v>315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561</v>
      </c>
      <c r="W29" s="33"/>
      <c r="X29" s="33"/>
      <c r="Y29" s="33"/>
      <c r="Z29" s="33"/>
      <c r="AA29" s="34"/>
      <c r="AB29" s="36"/>
      <c r="AC29" s="36"/>
      <c r="AD29" s="36"/>
      <c r="AE29" s="36"/>
      <c r="AF29" s="33"/>
      <c r="AG29" s="34"/>
      <c r="AH29" s="34"/>
      <c r="AI29" s="34"/>
      <c r="AK29" s="2"/>
      <c r="AL29" s="105" t="str">
        <f>C36</f>
        <v>R-SC_Apt_ELC_N1</v>
      </c>
      <c r="AM29" s="105" t="str">
        <f>D36</f>
        <v>Room Residential Electric Air Conditioning</v>
      </c>
      <c r="AN29" s="104" t="s">
        <v>13</v>
      </c>
      <c r="AO29" s="104" t="s">
        <v>183</v>
      </c>
      <c r="AP29" s="104"/>
      <c r="AQ29" s="104" t="s">
        <v>75</v>
      </c>
    </row>
    <row r="30" spans="3:43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>
        <f t="shared" ref="AF30:AF31" si="24">31.536*(AI30/1000)</f>
        <v>0.56764799999999993</v>
      </c>
      <c r="AG30" s="88"/>
      <c r="AH30" s="88">
        <v>2019</v>
      </c>
      <c r="AI30" s="88">
        <v>18</v>
      </c>
      <c r="AL30" s="105" t="str">
        <f>C37</f>
        <v>R-SC_Apt_ELC_N2</v>
      </c>
      <c r="AM30" s="105" t="str">
        <f>D37</f>
        <v>Centralized Residential Electric Air Conditioning</v>
      </c>
      <c r="AN30" s="104" t="s">
        <v>13</v>
      </c>
      <c r="AO30" s="104" t="s">
        <v>183</v>
      </c>
      <c r="AP30" s="104"/>
      <c r="AQ30" s="104" t="s">
        <v>75</v>
      </c>
    </row>
    <row r="31" spans="3:43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4">
        <f t="shared" si="24"/>
        <v>0.56764799999999993</v>
      </c>
      <c r="AG31" s="67"/>
      <c r="AH31" s="67">
        <v>2019</v>
      </c>
      <c r="AI31" s="67">
        <v>18</v>
      </c>
    </row>
    <row r="32" spans="3:43" x14ac:dyDescent="0.2">
      <c r="C32" s="33" t="s">
        <v>316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3"/>
      <c r="AG32" s="34"/>
      <c r="AH32" s="34"/>
      <c r="AI32" s="34"/>
    </row>
    <row r="33" spans="3:44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>
        <f t="shared" ref="AF33:AF34" si="25">31.536*(AI33/1000)</f>
        <v>0.15768000000000001</v>
      </c>
      <c r="AG33" s="88"/>
      <c r="AH33" s="88">
        <v>2019</v>
      </c>
      <c r="AI33" s="88">
        <v>5</v>
      </c>
    </row>
    <row r="34" spans="3:44" x14ac:dyDescent="0.2">
      <c r="C34" s="23" t="str">
        <f>"R-WH_Apt"&amp;"_"&amp;RIGHT(E34,3)&amp;"_N1"</f>
        <v>R-WH_Apt_SOL_N1</v>
      </c>
      <c r="D34" s="23" t="s">
        <v>123</v>
      </c>
      <c r="E34" s="24" t="s">
        <v>307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>
        <f t="shared" si="25"/>
        <v>0.15768000000000001</v>
      </c>
      <c r="AG34" s="66"/>
      <c r="AH34" s="66">
        <v>2019</v>
      </c>
      <c r="AI34" s="66">
        <v>5</v>
      </c>
    </row>
    <row r="35" spans="3:44" x14ac:dyDescent="0.2">
      <c r="C35" s="33" t="s">
        <v>317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3"/>
      <c r="AG35" s="34"/>
      <c r="AH35" s="34"/>
      <c r="AI35" s="34"/>
    </row>
    <row r="36" spans="3:44" x14ac:dyDescent="0.2">
      <c r="C36" s="19" t="str">
        <f>"R-SC_Apt"&amp;"_"&amp;RIGHT(E36,3)&amp;"_N1"</f>
        <v>R-SC_Apt_ELC_N1</v>
      </c>
      <c r="D36" s="20" t="s">
        <v>563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>
        <f t="shared" ref="AF36:AF37" si="26">31.536*(AI36/1000)</f>
        <v>0.15768000000000001</v>
      </c>
      <c r="AG36" s="88"/>
      <c r="AH36" s="88">
        <v>2019</v>
      </c>
      <c r="AI36" s="88">
        <v>5</v>
      </c>
    </row>
    <row r="37" spans="3:44" ht="15" x14ac:dyDescent="0.25">
      <c r="C37" s="256" t="str">
        <f>"R-SC_Apt"&amp;"_"&amp;RIGHT(E37,3)&amp;"_N2"</f>
        <v>R-SC_Apt_ELC_N2</v>
      </c>
      <c r="D37" s="26" t="s">
        <v>564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4">
        <f t="shared" si="26"/>
        <v>0.15768000000000001</v>
      </c>
      <c r="AG37" s="67"/>
      <c r="AH37" s="67">
        <v>2019</v>
      </c>
      <c r="AI37" s="67">
        <v>5</v>
      </c>
      <c r="AK37" s="488" t="s">
        <v>688</v>
      </c>
      <c r="AL37" s="489"/>
      <c r="AM37" s="489"/>
      <c r="AN37" s="489"/>
      <c r="AO37" s="489"/>
      <c r="AP37" s="489"/>
      <c r="AQ37" s="489"/>
      <c r="AR37" s="490"/>
    </row>
    <row r="38" spans="3:44" ht="15.75" thickBot="1" x14ac:dyDescent="0.25">
      <c r="AK38" s="129" t="s">
        <v>689</v>
      </c>
      <c r="AL38" s="129" t="s">
        <v>690</v>
      </c>
      <c r="AM38" s="129" t="s">
        <v>691</v>
      </c>
      <c r="AN38" s="129" t="s">
        <v>692</v>
      </c>
      <c r="AO38" s="129" t="s">
        <v>693</v>
      </c>
      <c r="AP38" s="129" t="s">
        <v>694</v>
      </c>
      <c r="AQ38" s="129" t="s">
        <v>695</v>
      </c>
      <c r="AR38" s="129" t="s">
        <v>696</v>
      </c>
    </row>
    <row r="39" spans="3:44" ht="48.75" thickBot="1" x14ac:dyDescent="0.25">
      <c r="AK39" s="491" t="s">
        <v>697</v>
      </c>
      <c r="AL39" s="491" t="s">
        <v>698</v>
      </c>
      <c r="AM39" s="491" t="s">
        <v>699</v>
      </c>
      <c r="AN39" s="492" t="s">
        <v>692</v>
      </c>
      <c r="AO39" s="492" t="s">
        <v>700</v>
      </c>
      <c r="AP39" s="492" t="s">
        <v>701</v>
      </c>
      <c r="AQ39" s="492" t="s">
        <v>702</v>
      </c>
      <c r="AR39" s="492" t="s">
        <v>703</v>
      </c>
    </row>
    <row r="40" spans="3:44" x14ac:dyDescent="0.2">
      <c r="H40" s="5" t="s">
        <v>19</v>
      </c>
      <c r="AK40" s="493" t="str">
        <f>AI40&amp;"NRG"</f>
        <v>NRG</v>
      </c>
      <c r="AL40" s="493" t="s">
        <v>704</v>
      </c>
      <c r="AM40" s="493" t="s">
        <v>705</v>
      </c>
      <c r="AN40" s="494" t="s">
        <v>13</v>
      </c>
      <c r="AO40" s="493" t="s">
        <v>491</v>
      </c>
      <c r="AP40" s="493"/>
      <c r="AQ40" s="493" t="s">
        <v>491</v>
      </c>
      <c r="AR40" s="493" t="s">
        <v>491</v>
      </c>
    </row>
    <row r="41" spans="3:44" ht="45.75" thickBot="1" x14ac:dyDescent="0.25">
      <c r="C41" s="14" t="s">
        <v>21</v>
      </c>
      <c r="D41" s="15" t="s">
        <v>32</v>
      </c>
      <c r="E41" s="14" t="s">
        <v>23</v>
      </c>
      <c r="F41" s="14" t="s">
        <v>601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321</v>
      </c>
      <c r="AC41" s="17" t="s">
        <v>322</v>
      </c>
      <c r="AD41" s="17" t="s">
        <v>323</v>
      </c>
      <c r="AE41" s="17" t="s">
        <v>254</v>
      </c>
      <c r="AF41" s="17" t="s">
        <v>77</v>
      </c>
      <c r="AG41" s="17" t="s">
        <v>308</v>
      </c>
      <c r="AH41" s="17" t="s">
        <v>78</v>
      </c>
      <c r="AI41" s="17" t="s">
        <v>599</v>
      </c>
    </row>
    <row r="42" spans="3:44" ht="38.25" x14ac:dyDescent="0.2">
      <c r="C42" s="16" t="s">
        <v>79</v>
      </c>
      <c r="D42" s="16" t="s">
        <v>33</v>
      </c>
      <c r="E42" s="16" t="s">
        <v>80</v>
      </c>
      <c r="F42" s="16" t="s">
        <v>602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40" t="s">
        <v>86</v>
      </c>
      <c r="W42" s="541"/>
      <c r="X42" s="541"/>
      <c r="Y42" s="542"/>
      <c r="Z42" s="60"/>
      <c r="AA42" s="60"/>
      <c r="AB42" s="68" t="s">
        <v>215</v>
      </c>
      <c r="AC42" s="71" t="s">
        <v>215</v>
      </c>
      <c r="AD42" s="71" t="s">
        <v>215</v>
      </c>
      <c r="AE42" s="71" t="s">
        <v>253</v>
      </c>
      <c r="AF42" s="60" t="s">
        <v>66</v>
      </c>
      <c r="AG42" s="60" t="s">
        <v>87</v>
      </c>
      <c r="AH42" s="60"/>
      <c r="AI42" s="60"/>
      <c r="AK42" s="10" t="s">
        <v>20</v>
      </c>
      <c r="AL42" s="11"/>
      <c r="AM42" s="11"/>
      <c r="AN42" s="11"/>
      <c r="AO42" s="11"/>
      <c r="AP42" s="11"/>
      <c r="AQ42" s="11"/>
    </row>
    <row r="43" spans="3:44" ht="15.75" thickBot="1" x14ac:dyDescent="0.25">
      <c r="C43" s="14" t="s">
        <v>320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K43" s="12" t="s">
        <v>27</v>
      </c>
      <c r="AL43" s="12" t="s">
        <v>21</v>
      </c>
      <c r="AM43" s="12" t="s">
        <v>22</v>
      </c>
      <c r="AN43" s="12" t="s">
        <v>28</v>
      </c>
      <c r="AO43" s="12" t="s">
        <v>29</v>
      </c>
      <c r="AP43" s="12" t="s">
        <v>30</v>
      </c>
      <c r="AQ43" s="12" t="s">
        <v>67</v>
      </c>
    </row>
    <row r="44" spans="3:44" ht="33.75" x14ac:dyDescent="0.2">
      <c r="C44" s="37" t="s">
        <v>310</v>
      </c>
      <c r="D44" s="38"/>
      <c r="E44" s="38"/>
      <c r="F44" s="38"/>
      <c r="G44" s="39"/>
      <c r="H44" s="531" t="s">
        <v>34</v>
      </c>
      <c r="I44" s="532"/>
      <c r="J44" s="532"/>
      <c r="K44" s="533"/>
      <c r="L44" s="532" t="s">
        <v>34</v>
      </c>
      <c r="M44" s="532"/>
      <c r="N44" s="532"/>
      <c r="O44" s="533"/>
      <c r="P44" s="531" t="s">
        <v>34</v>
      </c>
      <c r="Q44" s="532"/>
      <c r="R44" s="532"/>
      <c r="S44" s="533"/>
      <c r="T44" s="534" t="s">
        <v>68</v>
      </c>
      <c r="U44" s="535"/>
      <c r="V44" s="534" t="s">
        <v>544</v>
      </c>
      <c r="W44" s="536"/>
      <c r="X44" s="536"/>
      <c r="Y44" s="535"/>
      <c r="Z44" s="377" t="s">
        <v>556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9" t="s">
        <v>324</v>
      </c>
      <c r="AG44" s="377" t="s">
        <v>34</v>
      </c>
      <c r="AH44" s="377" t="s">
        <v>94</v>
      </c>
      <c r="AI44" s="377" t="s">
        <v>600</v>
      </c>
      <c r="AK44" s="212" t="s">
        <v>69</v>
      </c>
      <c r="AL44" s="212" t="s">
        <v>70</v>
      </c>
      <c r="AM44" s="212" t="s">
        <v>33</v>
      </c>
      <c r="AN44" s="212" t="s">
        <v>71</v>
      </c>
      <c r="AO44" s="212" t="s">
        <v>72</v>
      </c>
      <c r="AP44" s="212" t="s">
        <v>73</v>
      </c>
      <c r="AQ44" s="212" t="s">
        <v>74</v>
      </c>
    </row>
    <row r="45" spans="3:44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7">W49*1.3</f>
        <v>4.2250000000000005</v>
      </c>
      <c r="X45" s="383">
        <f t="shared" si="27"/>
        <v>4.2250000000000005</v>
      </c>
      <c r="Y45" s="383">
        <f t="shared" si="27"/>
        <v>4.2250000000000005</v>
      </c>
      <c r="Z45" s="383">
        <v>0.12</v>
      </c>
      <c r="AA45" s="65"/>
      <c r="AB45" s="42"/>
      <c r="AC45" s="72"/>
      <c r="AD45" s="72"/>
      <c r="AE45" s="72"/>
      <c r="AF45" s="62">
        <f t="shared" ref="AF45:AF83" si="28">31.536*(AI45/1000)</f>
        <v>0.63072000000000006</v>
      </c>
      <c r="AG45" s="65"/>
      <c r="AH45" s="65">
        <v>2019</v>
      </c>
      <c r="AI45" s="65">
        <v>20</v>
      </c>
      <c r="AK45" s="106" t="s">
        <v>31</v>
      </c>
      <c r="AL45" s="105" t="str">
        <f t="shared" ref="AL45:AL60" si="29">C45</f>
        <v>R-SH_Att_KER_N1</v>
      </c>
      <c r="AM45" s="105" t="str">
        <f t="shared" ref="AM45:AM60" si="30">D45</f>
        <v>Residential Kerosene Heating Oil - New 1 SH</v>
      </c>
      <c r="AN45" s="106" t="s">
        <v>13</v>
      </c>
      <c r="AO45" s="106" t="s">
        <v>183</v>
      </c>
      <c r="AP45" s="106"/>
      <c r="AQ45" s="106" t="s">
        <v>75</v>
      </c>
    </row>
    <row r="46" spans="3:44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1">I46*0.7</f>
        <v>0.7</v>
      </c>
      <c r="R46" s="23">
        <f t="shared" ref="R46:R48" si="32">J46*0.7</f>
        <v>0.7</v>
      </c>
      <c r="S46" s="57">
        <f t="shared" ref="S46:S48" si="33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4">W50*1.3</f>
        <v>4.2773760330578519</v>
      </c>
      <c r="X46" s="384">
        <f t="shared" si="34"/>
        <v>4.2773760330578519</v>
      </c>
      <c r="Y46" s="384">
        <f t="shared" si="34"/>
        <v>4.2773760330578519</v>
      </c>
      <c r="Z46" s="384">
        <v>0.12</v>
      </c>
      <c r="AA46" s="66"/>
      <c r="AB46" s="44"/>
      <c r="AC46" s="73"/>
      <c r="AD46" s="73"/>
      <c r="AE46" s="73"/>
      <c r="AF46" s="63">
        <f t="shared" si="28"/>
        <v>0.7884000000000001</v>
      </c>
      <c r="AG46" s="66"/>
      <c r="AH46" s="66">
        <v>2019</v>
      </c>
      <c r="AI46" s="66">
        <v>25</v>
      </c>
      <c r="AK46" s="106"/>
      <c r="AL46" s="105" t="str">
        <f t="shared" si="29"/>
        <v>R-SW_Att_KER_N1</v>
      </c>
      <c r="AM46" s="105" t="str">
        <f t="shared" si="30"/>
        <v>Residential Kerosene Heating Oil - New 2 SH + WH</v>
      </c>
      <c r="AN46" s="106" t="s">
        <v>13</v>
      </c>
      <c r="AO46" s="106" t="s">
        <v>183</v>
      </c>
      <c r="AP46" s="106"/>
      <c r="AQ46" s="106" t="s">
        <v>75</v>
      </c>
    </row>
    <row r="47" spans="3:44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1"/>
        <v>0.7</v>
      </c>
      <c r="R47" s="29">
        <f t="shared" si="32"/>
        <v>0.7</v>
      </c>
      <c r="S47" s="58">
        <f t="shared" si="33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0.1</v>
      </c>
      <c r="AC47" s="72"/>
      <c r="AD47" s="72"/>
      <c r="AE47" s="217">
        <v>5</v>
      </c>
      <c r="AF47" s="62">
        <f t="shared" si="28"/>
        <v>0.7884000000000001</v>
      </c>
      <c r="AG47" s="65"/>
      <c r="AH47" s="65">
        <v>2019</v>
      </c>
      <c r="AI47" s="65">
        <v>25</v>
      </c>
      <c r="AK47" s="106"/>
      <c r="AL47" s="105" t="str">
        <f t="shared" si="29"/>
        <v>R-SW_Att_KER_N2</v>
      </c>
      <c r="AM47" s="105" t="str">
        <f t="shared" si="30"/>
        <v>Residential Kerosene Heating Oil - New 3 SH+WH + Solar</v>
      </c>
      <c r="AN47" s="106" t="s">
        <v>13</v>
      </c>
      <c r="AO47" s="106" t="s">
        <v>183</v>
      </c>
      <c r="AP47" s="106"/>
      <c r="AQ47" s="106" t="s">
        <v>75</v>
      </c>
    </row>
    <row r="48" spans="3:44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1"/>
        <v>0.71749999999999992</v>
      </c>
      <c r="R48" s="23">
        <f t="shared" si="32"/>
        <v>0.71749999999999992</v>
      </c>
      <c r="S48" s="57">
        <f t="shared" si="33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66">
        <v>5</v>
      </c>
      <c r="AF48" s="63">
        <f>31.536*(AI48/1000)</f>
        <v>0.7884000000000001</v>
      </c>
      <c r="AG48" s="66"/>
      <c r="AH48" s="66">
        <v>2019</v>
      </c>
      <c r="AI48" s="66">
        <v>25</v>
      </c>
      <c r="AK48" s="106"/>
      <c r="AL48" s="105" t="str">
        <f t="shared" si="29"/>
        <v>R-SW_Att_KER_N3</v>
      </c>
      <c r="AM48" s="105" t="str">
        <f t="shared" si="30"/>
        <v>Residential Kerosene Heating Oil - New 3 SH+WH + Wood Stove</v>
      </c>
      <c r="AN48" s="107" t="s">
        <v>13</v>
      </c>
      <c r="AO48" s="107" t="s">
        <v>183</v>
      </c>
      <c r="AP48" s="106"/>
      <c r="AQ48" s="106"/>
    </row>
    <row r="49" spans="3:43" ht="15" x14ac:dyDescent="0.25">
      <c r="C49" s="40" t="str">
        <f>"R-SH_Att"&amp;"_"&amp;RIGHT(E49,3)&amp;"_N1"</f>
        <v>R-SH_Att_GAS_N1</v>
      </c>
      <c r="D49" s="29" t="s">
        <v>95</v>
      </c>
      <c r="E49" s="30" t="s">
        <v>302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5">3.25</f>
        <v>3.25</v>
      </c>
      <c r="X49" s="383">
        <f t="shared" si="35"/>
        <v>3.25</v>
      </c>
      <c r="Y49" s="383">
        <f t="shared" si="35"/>
        <v>3.25</v>
      </c>
      <c r="Z49" s="383">
        <v>0.12</v>
      </c>
      <c r="AA49" s="65"/>
      <c r="AB49" s="42"/>
      <c r="AC49" s="72"/>
      <c r="AD49" s="72"/>
      <c r="AE49" s="72"/>
      <c r="AF49" s="62">
        <f t="shared" si="28"/>
        <v>0.63072000000000006</v>
      </c>
      <c r="AG49" s="65"/>
      <c r="AH49" s="65">
        <v>2019</v>
      </c>
      <c r="AI49" s="65">
        <v>20</v>
      </c>
      <c r="AK49" s="106"/>
      <c r="AL49" s="105" t="str">
        <f t="shared" si="29"/>
        <v>R-SH_Att_GAS_N1</v>
      </c>
      <c r="AM49" s="105" t="str">
        <f t="shared" si="30"/>
        <v>Residential Natural Gas Heating - New 1 SH</v>
      </c>
      <c r="AN49" s="106" t="s">
        <v>13</v>
      </c>
      <c r="AO49" s="106" t="s">
        <v>183</v>
      </c>
      <c r="AP49" s="106"/>
      <c r="AQ49" s="106" t="s">
        <v>75</v>
      </c>
    </row>
    <row r="50" spans="3:43" ht="15" x14ac:dyDescent="0.25">
      <c r="C50" s="22" t="str">
        <f>"R-SW_Att"&amp;"_"&amp;RIGHT(E50,3)&amp;"_N1"</f>
        <v>R-SW_Att_GAS_N1</v>
      </c>
      <c r="D50" s="23" t="s">
        <v>99</v>
      </c>
      <c r="E50" s="24" t="s">
        <v>302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6">I50*0.7</f>
        <v>0.7</v>
      </c>
      <c r="R50" s="23">
        <f t="shared" ref="R50:R52" si="37">J50*0.7</f>
        <v>0.7</v>
      </c>
      <c r="S50" s="57">
        <f t="shared" ref="S50:S52" si="38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63">
        <f t="shared" si="28"/>
        <v>0.7884000000000001</v>
      </c>
      <c r="AG50" s="66"/>
      <c r="AH50" s="66">
        <v>2019</v>
      </c>
      <c r="AI50" s="66">
        <v>25</v>
      </c>
      <c r="AK50" s="106"/>
      <c r="AL50" s="105" t="str">
        <f t="shared" si="29"/>
        <v>R-SW_Att_GAS_N1</v>
      </c>
      <c r="AM50" s="105" t="str">
        <f t="shared" si="30"/>
        <v>Residential Natural Gas Heating - New 2 SH + WH</v>
      </c>
      <c r="AN50" s="106" t="s">
        <v>13</v>
      </c>
      <c r="AO50" s="106" t="s">
        <v>183</v>
      </c>
      <c r="AP50" s="106"/>
      <c r="AQ50" s="106" t="s">
        <v>75</v>
      </c>
    </row>
    <row r="51" spans="3:43" ht="15" x14ac:dyDescent="0.25">
      <c r="C51" s="40" t="str">
        <f>"R-SW_Att"&amp;"_"&amp;RIGHT(E51,3)&amp;"_N2"</f>
        <v>R-SW_Att_GAS_N2</v>
      </c>
      <c r="D51" s="29" t="s">
        <v>100</v>
      </c>
      <c r="E51" s="30" t="s">
        <v>303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6"/>
        <v>0.7</v>
      </c>
      <c r="R51" s="29">
        <f t="shared" si="37"/>
        <v>0.7</v>
      </c>
      <c r="S51" s="58">
        <f t="shared" si="38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0.1</v>
      </c>
      <c r="AC51" s="72"/>
      <c r="AD51" s="72"/>
      <c r="AE51" s="217">
        <v>5</v>
      </c>
      <c r="AF51" s="62">
        <f t="shared" si="28"/>
        <v>0.7884000000000001</v>
      </c>
      <c r="AG51" s="65"/>
      <c r="AH51" s="65">
        <v>2019</v>
      </c>
      <c r="AI51" s="65">
        <v>25</v>
      </c>
      <c r="AK51" s="106"/>
      <c r="AL51" s="105" t="str">
        <f t="shared" si="29"/>
        <v>R-SW_Att_GAS_N2</v>
      </c>
      <c r="AM51" s="105" t="str">
        <f t="shared" si="30"/>
        <v>Residential Natural Gas Heating - New 3 SH + WH + Solar</v>
      </c>
      <c r="AN51" s="106" t="s">
        <v>13</v>
      </c>
      <c r="AO51" s="106" t="s">
        <v>183</v>
      </c>
      <c r="AP51" s="106"/>
      <c r="AQ51" s="106" t="s">
        <v>75</v>
      </c>
    </row>
    <row r="52" spans="3:43" ht="15" x14ac:dyDescent="0.25">
      <c r="C52" s="22" t="str">
        <f>"R-SW_Att"&amp;"_"&amp;RIGHT(E52,3)&amp;"_N3"</f>
        <v>R-SW_Att_GAS_N3</v>
      </c>
      <c r="D52" s="23" t="s">
        <v>101</v>
      </c>
      <c r="E52" s="24" t="s">
        <v>304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6"/>
        <v>0.71749999999999992</v>
      </c>
      <c r="R52" s="23">
        <f t="shared" si="37"/>
        <v>0.71749999999999992</v>
      </c>
      <c r="S52" s="57">
        <f t="shared" si="38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66">
        <v>5</v>
      </c>
      <c r="AF52" s="63">
        <f t="shared" si="28"/>
        <v>0.7884000000000001</v>
      </c>
      <c r="AG52" s="66"/>
      <c r="AH52" s="66">
        <v>2019</v>
      </c>
      <c r="AI52" s="66">
        <v>25</v>
      </c>
      <c r="AK52" s="106"/>
      <c r="AL52" s="105" t="str">
        <f t="shared" si="29"/>
        <v>R-SW_Att_GAS_N3</v>
      </c>
      <c r="AM52" s="105" t="str">
        <f t="shared" si="30"/>
        <v>Residential Natural Gas Heating - New 4 SH + WH + Wood Stove</v>
      </c>
      <c r="AN52" s="106" t="s">
        <v>13</v>
      </c>
      <c r="AO52" s="106" t="s">
        <v>183</v>
      </c>
      <c r="AP52" s="106"/>
      <c r="AQ52" s="106" t="s">
        <v>75</v>
      </c>
    </row>
    <row r="53" spans="3:43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SUM(V49+0.25)</f>
        <v>3.5</v>
      </c>
      <c r="W53" s="383">
        <f t="shared" ref="W53:Y53" si="39">SUM(W49+0.25)</f>
        <v>3.5</v>
      </c>
      <c r="X53" s="383">
        <f t="shared" si="39"/>
        <v>3.5</v>
      </c>
      <c r="Y53" s="383">
        <f t="shared" si="39"/>
        <v>3.5</v>
      </c>
      <c r="Z53" s="383">
        <f>SUM(0.12+0.15)</f>
        <v>0.27</v>
      </c>
      <c r="AA53" s="65"/>
      <c r="AB53" s="42"/>
      <c r="AC53" s="72"/>
      <c r="AD53" s="72"/>
      <c r="AE53" s="72"/>
      <c r="AF53" s="62">
        <f t="shared" si="28"/>
        <v>0.63072000000000006</v>
      </c>
      <c r="AG53" s="65"/>
      <c r="AH53" s="65">
        <v>2019</v>
      </c>
      <c r="AI53" s="65">
        <v>20</v>
      </c>
      <c r="AK53" s="106"/>
      <c r="AL53" s="105" t="str">
        <f t="shared" si="29"/>
        <v>R-SH_Att_LPG_N1</v>
      </c>
      <c r="AM53" s="105" t="str">
        <f t="shared" si="30"/>
        <v>Residential Liquid Petroleum Gas- New 1 SH</v>
      </c>
      <c r="AN53" s="106" t="s">
        <v>13</v>
      </c>
      <c r="AO53" s="106" t="s">
        <v>183</v>
      </c>
      <c r="AP53" s="106"/>
      <c r="AQ53" s="106" t="s">
        <v>75</v>
      </c>
    </row>
    <row r="54" spans="3:43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4">
        <f>V49*($U$152/$U$151)+0.25</f>
        <v>3.5402892561983474</v>
      </c>
      <c r="W54" s="384">
        <f t="shared" ref="W54:Y54" si="43">W49*($U$152/$U$151)+0.25</f>
        <v>3.5402892561983474</v>
      </c>
      <c r="X54" s="384">
        <f t="shared" si="43"/>
        <v>3.5402892561983474</v>
      </c>
      <c r="Y54" s="384">
        <f t="shared" si="43"/>
        <v>3.5402892561983474</v>
      </c>
      <c r="Z54" s="383">
        <f>SUM(0.12+0.15)</f>
        <v>0.27</v>
      </c>
      <c r="AA54" s="66"/>
      <c r="AB54" s="44"/>
      <c r="AC54" s="73"/>
      <c r="AD54" s="73"/>
      <c r="AE54" s="73"/>
      <c r="AF54" s="63">
        <f t="shared" si="28"/>
        <v>0.7884000000000001</v>
      </c>
      <c r="AG54" s="66"/>
      <c r="AH54" s="66">
        <v>2019</v>
      </c>
      <c r="AI54" s="66">
        <v>25</v>
      </c>
      <c r="AK54" s="106"/>
      <c r="AL54" s="105" t="str">
        <f t="shared" si="29"/>
        <v>R-SW_Att_LPG_N1</v>
      </c>
      <c r="AM54" s="105" t="str">
        <f t="shared" si="30"/>
        <v>Residential Liquid Petroleum Gas- New 2 SH + WH</v>
      </c>
      <c r="AN54" s="106" t="s">
        <v>13</v>
      </c>
      <c r="AO54" s="106" t="s">
        <v>183</v>
      </c>
      <c r="AP54" s="106"/>
      <c r="AQ54" s="106" t="s">
        <v>75</v>
      </c>
    </row>
    <row r="55" spans="3:43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62">
        <f t="shared" si="28"/>
        <v>0.63072000000000006</v>
      </c>
      <c r="AG55" s="65"/>
      <c r="AH55" s="65">
        <v>2019</v>
      </c>
      <c r="AI55" s="65">
        <v>20</v>
      </c>
      <c r="AK55" s="106"/>
      <c r="AL55" s="105" t="str">
        <f t="shared" si="29"/>
        <v>R-SH_Att_WOO_N1</v>
      </c>
      <c r="AM55" s="105" t="str">
        <f t="shared" si="30"/>
        <v>Residential Biomass Boiler - New 1 SH</v>
      </c>
      <c r="AN55" s="106" t="s">
        <v>13</v>
      </c>
      <c r="AO55" s="106" t="s">
        <v>183</v>
      </c>
      <c r="AP55" s="106"/>
      <c r="AQ55" s="106" t="s">
        <v>75</v>
      </c>
    </row>
    <row r="56" spans="3:43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4">H56*0.7</f>
        <v>0.7</v>
      </c>
      <c r="Q56" s="23">
        <f t="shared" si="44"/>
        <v>0.7</v>
      </c>
      <c r="R56" s="23">
        <f t="shared" si="44"/>
        <v>0.7</v>
      </c>
      <c r="S56" s="57">
        <f t="shared" si="44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63">
        <f t="shared" si="28"/>
        <v>0.7884000000000001</v>
      </c>
      <c r="AG56" s="66"/>
      <c r="AH56" s="66">
        <v>2019</v>
      </c>
      <c r="AI56" s="66">
        <v>25</v>
      </c>
      <c r="AK56" s="109"/>
      <c r="AL56" s="108" t="str">
        <f t="shared" si="29"/>
        <v>R-SW_Att_WOO_N1</v>
      </c>
      <c r="AM56" s="108" t="str">
        <f t="shared" si="30"/>
        <v>Residential Biomass Boiler - New 2 SH + WH</v>
      </c>
      <c r="AN56" s="109" t="s">
        <v>13</v>
      </c>
      <c r="AO56" s="109" t="s">
        <v>183</v>
      </c>
      <c r="AP56" s="109"/>
      <c r="AQ56" s="109" t="s">
        <v>75</v>
      </c>
    </row>
    <row r="57" spans="3:43" ht="15.75" thickBot="1" x14ac:dyDescent="0.3">
      <c r="C57" s="40" t="str">
        <f>"R-SH_Att"&amp;"_"&amp;"FPL"&amp;"_N1"</f>
        <v>R-SH_Att_FPL_N1</v>
      </c>
      <c r="D57" s="29" t="s">
        <v>608</v>
      </c>
      <c r="E57" s="30" t="s">
        <v>605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63">
        <f t="shared" si="28"/>
        <v>0.63072000000000006</v>
      </c>
      <c r="AG57" s="66"/>
      <c r="AH57" s="65">
        <v>2019</v>
      </c>
      <c r="AI57" s="66">
        <v>20</v>
      </c>
      <c r="AK57" s="109"/>
      <c r="AL57" s="108" t="s">
        <v>606</v>
      </c>
      <c r="AM57" s="108" t="str">
        <f t="shared" si="30"/>
        <v>Residential  Stove New 1 - SH</v>
      </c>
      <c r="AN57" s="106" t="s">
        <v>13</v>
      </c>
      <c r="AO57" s="106" t="s">
        <v>183</v>
      </c>
      <c r="AP57" s="109"/>
      <c r="AQ57" s="109"/>
    </row>
    <row r="58" spans="3:43" ht="15.75" thickBot="1" x14ac:dyDescent="0.3">
      <c r="C58" s="22" t="str">
        <f>"R-SW_Att"&amp;"_"&amp;"FPL"&amp;"_N1"</f>
        <v>R-SW_Att_FPL_N1</v>
      </c>
      <c r="D58" s="23" t="s">
        <v>609</v>
      </c>
      <c r="E58" s="24" t="s">
        <v>605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5">H58*0.7</f>
        <v>0.38500000000000001</v>
      </c>
      <c r="Q58" s="23">
        <f t="shared" ref="Q58" si="46">I58*0.7</f>
        <v>0.38500000000000001</v>
      </c>
      <c r="R58" s="23">
        <f t="shared" ref="R58" si="47">J58*0.7</f>
        <v>0.38500000000000001</v>
      </c>
      <c r="S58" s="57">
        <f t="shared" ref="S58" si="48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63">
        <f t="shared" si="28"/>
        <v>0.63072000000000006</v>
      </c>
      <c r="AG58" s="66"/>
      <c r="AH58" s="66">
        <v>2019</v>
      </c>
      <c r="AI58" s="66">
        <v>20</v>
      </c>
      <c r="AK58" s="109"/>
      <c r="AL58" s="108" t="s">
        <v>607</v>
      </c>
      <c r="AM58" s="108" t="str">
        <f t="shared" si="30"/>
        <v>Residential  Stove with back boiler New 1 - SH +WH</v>
      </c>
      <c r="AN58" s="109" t="s">
        <v>13</v>
      </c>
      <c r="AO58" s="109" t="s">
        <v>183</v>
      </c>
      <c r="AP58" s="109"/>
      <c r="AQ58" s="109"/>
    </row>
    <row r="59" spans="3:43" ht="15.75" thickBot="1" x14ac:dyDescent="0.3">
      <c r="C59" s="40" t="s">
        <v>610</v>
      </c>
      <c r="D59" s="29" t="s">
        <v>288</v>
      </c>
      <c r="E59" s="30" t="s">
        <v>305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9">W45</f>
        <v>4.2250000000000005</v>
      </c>
      <c r="X59" s="62">
        <f t="shared" si="49"/>
        <v>4.2250000000000005</v>
      </c>
      <c r="Y59" s="62">
        <f t="shared" si="49"/>
        <v>4.2250000000000005</v>
      </c>
      <c r="Z59" s="62">
        <f t="shared" si="49"/>
        <v>0.12</v>
      </c>
      <c r="AA59" s="65"/>
      <c r="AB59" s="42"/>
      <c r="AC59" s="72"/>
      <c r="AD59" s="72"/>
      <c r="AE59" s="72"/>
      <c r="AF59" s="62">
        <f>31.536*(AI59/1000)</f>
        <v>0.63072000000000006</v>
      </c>
      <c r="AG59" s="65"/>
      <c r="AH59" s="65">
        <v>2019</v>
      </c>
      <c r="AI59" s="65">
        <v>20</v>
      </c>
      <c r="AK59" s="109"/>
      <c r="AL59" s="108" t="str">
        <f t="shared" si="29"/>
        <v>R-SH_Att_HVO_N1</v>
      </c>
      <c r="AM59" s="108" t="str">
        <f t="shared" si="30"/>
        <v>Residential  Hydrotreated vegetable oil - New 1 SH</v>
      </c>
      <c r="AN59" s="109" t="s">
        <v>13</v>
      </c>
      <c r="AO59" s="109" t="s">
        <v>183</v>
      </c>
      <c r="AP59" s="109"/>
      <c r="AQ59" s="109" t="s">
        <v>75</v>
      </c>
    </row>
    <row r="60" spans="3:43" ht="15.75" thickBot="1" x14ac:dyDescent="0.3">
      <c r="C60" s="22" t="s">
        <v>611</v>
      </c>
      <c r="D60" s="23" t="s">
        <v>567</v>
      </c>
      <c r="E60" s="24" t="s">
        <v>305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4"/>
        <v>0.57399999999999995</v>
      </c>
      <c r="Q60" s="26">
        <f t="shared" si="44"/>
        <v>0.57399999999999995</v>
      </c>
      <c r="R60" s="26">
        <f t="shared" si="44"/>
        <v>0.57399999999999995</v>
      </c>
      <c r="S60" s="59">
        <f t="shared" si="44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50">W46</f>
        <v>4.2773760330578519</v>
      </c>
      <c r="X60" s="62">
        <f t="shared" si="50"/>
        <v>4.2773760330578519</v>
      </c>
      <c r="Y60" s="62">
        <f t="shared" si="50"/>
        <v>4.2773760330578519</v>
      </c>
      <c r="Z60" s="62">
        <f t="shared" si="49"/>
        <v>0.12</v>
      </c>
      <c r="AA60" s="66"/>
      <c r="AB60" s="44"/>
      <c r="AC60" s="73"/>
      <c r="AD60" s="73"/>
      <c r="AE60" s="73"/>
      <c r="AF60" s="63">
        <f t="shared" si="28"/>
        <v>0.7884000000000001</v>
      </c>
      <c r="AG60" s="67"/>
      <c r="AH60" s="67">
        <v>2019</v>
      </c>
      <c r="AI60" s="67">
        <v>25</v>
      </c>
      <c r="AK60" s="109"/>
      <c r="AL60" s="108" t="str">
        <f t="shared" si="29"/>
        <v>R-SW_Att_HVO_N1</v>
      </c>
      <c r="AM60" s="108" t="str">
        <f t="shared" si="30"/>
        <v>Residential  Hydrotreated vegetable oil - New 1 SH + WH</v>
      </c>
      <c r="AN60" s="109" t="s">
        <v>13</v>
      </c>
      <c r="AO60" s="109" t="s">
        <v>183</v>
      </c>
      <c r="AP60" s="109"/>
      <c r="AQ60" s="109" t="s">
        <v>75</v>
      </c>
    </row>
    <row r="61" spans="3:43" ht="15.75" thickBot="1" x14ac:dyDescent="0.3">
      <c r="C61" s="33" t="s">
        <v>311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3"/>
      <c r="AG61" s="34"/>
      <c r="AH61" s="34"/>
      <c r="AI61" s="34"/>
      <c r="AK61" s="110"/>
      <c r="AL61" s="111" t="str">
        <f>C62</f>
        <v>R-SH_Att_ELC_N1</v>
      </c>
      <c r="AM61" s="111" t="str">
        <f>D62</f>
        <v>Residential Electric Heater - New 1 SH</v>
      </c>
      <c r="AN61" s="110" t="s">
        <v>13</v>
      </c>
      <c r="AO61" s="110" t="s">
        <v>183</v>
      </c>
      <c r="AP61" s="110"/>
      <c r="AQ61" s="110" t="s">
        <v>75</v>
      </c>
    </row>
    <row r="62" spans="3:43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2">
        <f t="shared" si="28"/>
        <v>0.63072000000000006</v>
      </c>
      <c r="AG62" s="83"/>
      <c r="AH62" s="83">
        <v>2019</v>
      </c>
      <c r="AI62" s="83">
        <v>20</v>
      </c>
      <c r="AK62" s="104"/>
      <c r="AL62" s="103" t="str">
        <f t="shared" ref="AL62:AM68" si="51">C64</f>
        <v>R-SH_Att_ELC_HPN1</v>
      </c>
      <c r="AM62" s="103" t="str">
        <f t="shared" si="51"/>
        <v>Residential Electric Heat Pump - Air to Air - SH</v>
      </c>
      <c r="AN62" s="104" t="s">
        <v>13</v>
      </c>
      <c r="AO62" s="104" t="s">
        <v>183</v>
      </c>
      <c r="AP62" s="104"/>
      <c r="AQ62" s="104" t="s">
        <v>75</v>
      </c>
    </row>
    <row r="63" spans="3:43" ht="15" x14ac:dyDescent="0.25">
      <c r="C63" s="33" t="s">
        <v>312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3"/>
      <c r="AG63" s="34"/>
      <c r="AH63" s="34"/>
      <c r="AI63" s="34"/>
      <c r="AK63" s="106"/>
      <c r="AL63" s="105" t="str">
        <f t="shared" si="51"/>
        <v>R-HC_Att_ELC_HPN1</v>
      </c>
      <c r="AM63" s="105" t="str">
        <f t="shared" si="51"/>
        <v>Residential Electric Heat Pump - Air to Air - SH + SC</v>
      </c>
      <c r="AN63" s="106" t="s">
        <v>13</v>
      </c>
      <c r="AO63" s="106" t="s">
        <v>183</v>
      </c>
      <c r="AP63" s="106"/>
      <c r="AQ63" s="106" t="s">
        <v>75</v>
      </c>
    </row>
    <row r="64" spans="3:43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603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>
        <f t="shared" si="28"/>
        <v>0.220752</v>
      </c>
      <c r="AG64" s="88"/>
      <c r="AH64" s="88">
        <v>2100</v>
      </c>
      <c r="AI64" s="88">
        <v>7</v>
      </c>
      <c r="AK64" s="106"/>
      <c r="AL64" s="105" t="str">
        <f t="shared" si="51"/>
        <v>R-SH_Att_ELC_HPN2</v>
      </c>
      <c r="AM64" s="105" t="str">
        <f t="shared" si="51"/>
        <v>Residential Electric Heat Pump - Air to Water - SH</v>
      </c>
      <c r="AN64" s="106" t="s">
        <v>13</v>
      </c>
      <c r="AO64" s="106" t="s">
        <v>183</v>
      </c>
      <c r="AP64" s="106"/>
      <c r="AQ64" s="106" t="s">
        <v>75</v>
      </c>
    </row>
    <row r="65" spans="3:43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603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>
        <f t="shared" si="28"/>
        <v>0.26805600000000002</v>
      </c>
      <c r="AG65" s="66"/>
      <c r="AH65" s="66">
        <v>2100</v>
      </c>
      <c r="AI65" s="66">
        <v>8.5</v>
      </c>
      <c r="AK65" s="106"/>
      <c r="AL65" s="105" t="str">
        <f t="shared" si="51"/>
        <v>R-SW_Att_ELC_HPN1</v>
      </c>
      <c r="AM65" s="105" t="str">
        <f t="shared" si="51"/>
        <v>Residential Electric Heat Pump - Air to Water - SH + WH</v>
      </c>
      <c r="AN65" s="106" t="s">
        <v>13</v>
      </c>
      <c r="AO65" s="106" t="s">
        <v>183</v>
      </c>
      <c r="AP65" s="106"/>
      <c r="AQ65" s="106" t="s">
        <v>75</v>
      </c>
    </row>
    <row r="66" spans="3:43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603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>
        <f t="shared" si="28"/>
        <v>0.220752</v>
      </c>
      <c r="AG66" s="65"/>
      <c r="AH66" s="65">
        <v>2019</v>
      </c>
      <c r="AI66" s="65">
        <v>7</v>
      </c>
      <c r="AK66" s="213"/>
      <c r="AL66" s="105" t="str">
        <f t="shared" si="51"/>
        <v>R-SW_Att_ELC_HPN2</v>
      </c>
      <c r="AM66" s="105" t="str">
        <f t="shared" si="51"/>
        <v>Residential Electric Heat Pump - Air to Water - SH + WH + Solar</v>
      </c>
      <c r="AN66" s="106" t="s">
        <v>13</v>
      </c>
      <c r="AO66" s="106" t="s">
        <v>183</v>
      </c>
      <c r="AP66" s="106"/>
      <c r="AQ66" s="106" t="s">
        <v>75</v>
      </c>
    </row>
    <row r="67" spans="3:43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706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2">I67*0.7</f>
        <v>0.76999999999999991</v>
      </c>
      <c r="R67" s="23">
        <f t="shared" ref="R67:R68" si="53">J67*0.7</f>
        <v>0.86333333333333329</v>
      </c>
      <c r="S67" s="57">
        <f t="shared" ref="S67:S68" si="54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>
        <f t="shared" si="28"/>
        <v>0.26805600000000002</v>
      </c>
      <c r="AG67" s="66"/>
      <c r="AH67" s="66">
        <v>2019</v>
      </c>
      <c r="AI67" s="66">
        <v>8.5</v>
      </c>
      <c r="AK67" s="213"/>
      <c r="AL67" s="105" t="str">
        <f t="shared" si="51"/>
        <v>R-SH_Att_ELC_HPN3</v>
      </c>
      <c r="AM67" s="105" t="str">
        <f t="shared" si="51"/>
        <v>Residential Electric Heat Pump - Ground to Water - SH</v>
      </c>
      <c r="AN67" s="106" t="s">
        <v>13</v>
      </c>
      <c r="AO67" s="106" t="s">
        <v>183</v>
      </c>
      <c r="AP67" s="106"/>
      <c r="AQ67" s="106" t="s">
        <v>75</v>
      </c>
    </row>
    <row r="68" spans="3:43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595</v>
      </c>
      <c r="F68" s="30" t="s">
        <v>706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2"/>
        <v>0.77700000000000002</v>
      </c>
      <c r="R68" s="29">
        <f t="shared" si="53"/>
        <v>0.83299999999999996</v>
      </c>
      <c r="S68" s="58">
        <f t="shared" si="54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0.1</v>
      </c>
      <c r="AC68" s="62"/>
      <c r="AD68" s="62"/>
      <c r="AE68" s="217">
        <v>5</v>
      </c>
      <c r="AF68" s="62">
        <f t="shared" si="28"/>
        <v>0.26805600000000002</v>
      </c>
      <c r="AG68" s="65"/>
      <c r="AH68" s="65">
        <v>2019</v>
      </c>
      <c r="AI68" s="65">
        <v>8.5</v>
      </c>
      <c r="AK68" s="112"/>
      <c r="AL68" s="108" t="str">
        <f t="shared" si="51"/>
        <v>R-HC_Att_ELC_HPN2</v>
      </c>
      <c r="AM68" s="108" t="str">
        <f t="shared" si="51"/>
        <v>Residential Electric Heat Pump - Ground to Water - SH + SC</v>
      </c>
      <c r="AN68" s="109" t="s">
        <v>13</v>
      </c>
      <c r="AO68" s="109" t="s">
        <v>183</v>
      </c>
      <c r="AP68" s="109"/>
      <c r="AQ68" s="109" t="s">
        <v>75</v>
      </c>
    </row>
    <row r="69" spans="3:43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603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>
        <f t="shared" si="28"/>
        <v>0.220752</v>
      </c>
      <c r="AG69" s="66"/>
      <c r="AH69" s="66">
        <v>2019</v>
      </c>
      <c r="AI69" s="66">
        <v>7</v>
      </c>
      <c r="AK69" s="113"/>
      <c r="AL69" s="103" t="str">
        <f>C72</f>
        <v>R-SW_Att_GAS_HPN1</v>
      </c>
      <c r="AM69" s="103" t="str">
        <f>D72</f>
        <v>Residential Gas Absorption Heat Pump - Air to Water - SH + WH</v>
      </c>
      <c r="AN69" s="104" t="s">
        <v>13</v>
      </c>
      <c r="AO69" s="104" t="s">
        <v>183</v>
      </c>
      <c r="AP69" s="104"/>
      <c r="AQ69" s="104" t="s">
        <v>75</v>
      </c>
    </row>
    <row r="70" spans="3:43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603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>
        <f t="shared" si="28"/>
        <v>0.26805600000000002</v>
      </c>
      <c r="AG70" s="91"/>
      <c r="AH70" s="91">
        <v>2019</v>
      </c>
      <c r="AI70" s="91">
        <v>8.5</v>
      </c>
      <c r="AK70" s="214"/>
      <c r="AL70" s="108" t="str">
        <f>C73</f>
        <v>R-SW_Att_GAS_HPN2</v>
      </c>
      <c r="AM70" s="108" t="str">
        <f>D73</f>
        <v>Residential Gas Engine Heat Pump - Air to Water - SH + WH</v>
      </c>
      <c r="AN70" s="109" t="s">
        <v>13</v>
      </c>
      <c r="AO70" s="109" t="s">
        <v>183</v>
      </c>
      <c r="AP70" s="109"/>
      <c r="AQ70" s="109" t="s">
        <v>75</v>
      </c>
    </row>
    <row r="71" spans="3:43" ht="15.75" thickBot="1" x14ac:dyDescent="0.3">
      <c r="C71" s="33" t="s">
        <v>313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3"/>
      <c r="AG71" s="34"/>
      <c r="AH71" s="34"/>
      <c r="AI71" s="34"/>
      <c r="AK71" s="215"/>
      <c r="AL71" s="111" t="str">
        <f>C75</f>
        <v>R-SW_Att_GAS_HHPN1</v>
      </c>
      <c r="AM71" s="111" t="str">
        <f>D75</f>
        <v>Residential Gas Hybrid Heat Pump - Air to Water - SH + WH</v>
      </c>
      <c r="AN71" s="110" t="s">
        <v>13</v>
      </c>
      <c r="AO71" s="110" t="s">
        <v>183</v>
      </c>
      <c r="AP71" s="110"/>
      <c r="AQ71" s="110" t="s">
        <v>75</v>
      </c>
    </row>
    <row r="72" spans="3:43" ht="15" x14ac:dyDescent="0.25">
      <c r="C72" s="19" t="str">
        <f>"R-SW_Att"&amp;"_"&amp;RIGHT(E72,3)&amp;"_HPN1"</f>
        <v>R-SW_Att_GAS_HPN1</v>
      </c>
      <c r="D72" s="20" t="s">
        <v>116</v>
      </c>
      <c r="E72" s="89" t="s">
        <v>302</v>
      </c>
      <c r="F72" s="89" t="s">
        <v>706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5">I72*0.7</f>
        <v>1.2530864197530862</v>
      </c>
      <c r="R72" s="20">
        <f t="shared" ref="R72:R73" si="56">J72*0.7</f>
        <v>1.4691358024691357</v>
      </c>
      <c r="S72" s="56">
        <f t="shared" ref="S72:S73" si="57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>
        <f t="shared" si="28"/>
        <v>0.7884000000000001</v>
      </c>
      <c r="AG72" s="88"/>
      <c r="AH72" s="88">
        <v>2019</v>
      </c>
      <c r="AI72" s="88">
        <v>25</v>
      </c>
      <c r="AK72" s="216"/>
      <c r="AL72" s="103" t="str">
        <f>C77</f>
        <v>R-SW_Att_HET_N1</v>
      </c>
      <c r="AM72" s="103" t="str">
        <f>D77</f>
        <v>Residential District Heating Centralized - SH + WH</v>
      </c>
      <c r="AN72" s="104" t="s">
        <v>13</v>
      </c>
      <c r="AO72" s="104" t="s">
        <v>183</v>
      </c>
      <c r="AP72" s="104"/>
      <c r="AQ72" s="104" t="s">
        <v>75</v>
      </c>
    </row>
    <row r="73" spans="3:43" ht="15.75" thickBot="1" x14ac:dyDescent="0.3">
      <c r="C73" s="256" t="str">
        <f>"R-SW_Att"&amp;"_"&amp;RIGHT(E73,3)&amp;"_HPN2"</f>
        <v>R-SW_Att_GAS_HPN2</v>
      </c>
      <c r="D73" s="26" t="s">
        <v>117</v>
      </c>
      <c r="E73" s="27" t="s">
        <v>302</v>
      </c>
      <c r="F73" s="27" t="s">
        <v>706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5"/>
        <v>1.2055555555555555</v>
      </c>
      <c r="R73" s="26">
        <f t="shared" si="56"/>
        <v>1.2055555555555555</v>
      </c>
      <c r="S73" s="59">
        <f t="shared" si="57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>
        <f>31.536*(AI73/1000)</f>
        <v>0.7884000000000001</v>
      </c>
      <c r="AG73" s="67"/>
      <c r="AH73" s="67">
        <v>2019</v>
      </c>
      <c r="AI73" s="67">
        <v>25</v>
      </c>
      <c r="AK73" s="114"/>
      <c r="AL73" s="108" t="str">
        <f>C78</f>
        <v>R-SW_Att_HET_N2</v>
      </c>
      <c r="AM73" s="108" t="str">
        <f>D78</f>
        <v>Residential District Heating Decentralized - SH + WH</v>
      </c>
      <c r="AN73" s="109" t="s">
        <v>13</v>
      </c>
      <c r="AO73" s="109" t="s">
        <v>183</v>
      </c>
      <c r="AP73" s="109"/>
      <c r="AQ73" s="109" t="s">
        <v>75</v>
      </c>
    </row>
    <row r="74" spans="3:43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3"/>
      <c r="AG74" s="34"/>
      <c r="AH74" s="34"/>
      <c r="AI74" s="34"/>
      <c r="AK74" s="216"/>
      <c r="AL74" s="103" t="str">
        <f>C80</f>
        <v>R-WH_Att_ELC_N1</v>
      </c>
      <c r="AM74" s="103" t="str">
        <f>D80</f>
        <v xml:space="preserve">Residential Electric Water Heater </v>
      </c>
      <c r="AN74" s="104" t="s">
        <v>13</v>
      </c>
      <c r="AO74" s="104" t="s">
        <v>183</v>
      </c>
      <c r="AP74" s="104"/>
      <c r="AQ74" s="104" t="s">
        <v>75</v>
      </c>
    </row>
    <row r="75" spans="3:43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306</v>
      </c>
      <c r="F75" s="121" t="s">
        <v>706</v>
      </c>
      <c r="G75" s="98" t="s">
        <v>292</v>
      </c>
      <c r="H75" s="383">
        <f>1*$AD$28+JRC_Data!AD18*(1.2-$AD$28)</f>
        <v>3.2699999999999996</v>
      </c>
      <c r="I75" s="383">
        <f>1*$AD$28+JRC_Data!AE18*(1.2-$AD$28)</f>
        <v>3.6299999999999994</v>
      </c>
      <c r="J75" s="383">
        <f>1*$AD$28+JRC_Data!AF18*(1.2-$AD$28)</f>
        <v>3.8999999999999995</v>
      </c>
      <c r="K75" s="383">
        <f>1*$AD$28+JRC_Data!AG18*(1.2-$AD$28)</f>
        <v>3.8999999999999995</v>
      </c>
      <c r="L75" s="49"/>
      <c r="M75" s="50"/>
      <c r="N75" s="50"/>
      <c r="O75" s="51"/>
      <c r="P75" s="256">
        <f>H75*0.7</f>
        <v>2.2889999999999997</v>
      </c>
      <c r="Q75" s="26">
        <f t="shared" ref="Q75" si="58">I75*0.7</f>
        <v>2.5409999999999995</v>
      </c>
      <c r="R75" s="26">
        <f t="shared" ref="R75" si="59">J75*0.7</f>
        <v>2.7299999999999995</v>
      </c>
      <c r="S75" s="59">
        <f t="shared" ref="S75" si="60">K75*0.7</f>
        <v>2.7299999999999995</v>
      </c>
      <c r="T75" s="3">
        <v>20</v>
      </c>
      <c r="V75" s="79">
        <f>(V67+V50)*0.8</f>
        <v>9.5138179028489738</v>
      </c>
      <c r="W75" s="79">
        <f t="shared" ref="W75:Y75" si="61">(W67+W50)*0.8</f>
        <v>8.8944751180388462</v>
      </c>
      <c r="X75" s="79">
        <f t="shared" si="61"/>
        <v>8.3308731838616321</v>
      </c>
      <c r="Y75" s="79">
        <f t="shared" si="61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</v>
      </c>
      <c r="AE75" s="83">
        <v>5</v>
      </c>
      <c r="AF75" s="82">
        <f t="shared" si="28"/>
        <v>0.42415920000000001</v>
      </c>
      <c r="AG75" s="83"/>
      <c r="AH75" s="83">
        <v>2019</v>
      </c>
      <c r="AI75" s="83">
        <f>AI50*AD75+AI68*(1-AD75)</f>
        <v>13.45</v>
      </c>
      <c r="AK75" s="2"/>
      <c r="AL75" s="105" t="str">
        <f>C81</f>
        <v>R-WH_Att_SOL_N1</v>
      </c>
      <c r="AM75" s="105" t="str">
        <f>D81</f>
        <v xml:space="preserve">Residential Solar Water Heater </v>
      </c>
      <c r="AN75" s="106" t="s">
        <v>13</v>
      </c>
      <c r="AO75" s="106" t="s">
        <v>183</v>
      </c>
      <c r="AP75" s="106"/>
      <c r="AQ75" s="106" t="s">
        <v>75</v>
      </c>
    </row>
    <row r="76" spans="3:43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3"/>
      <c r="AG76" s="34"/>
      <c r="AH76" s="34"/>
      <c r="AI76" s="34"/>
      <c r="AK76" s="2"/>
      <c r="AL76" s="105" t="str">
        <f>C83</f>
        <v>R-SC_Att_ELC_N1</v>
      </c>
      <c r="AM76" s="105" t="str">
        <f>D83</f>
        <v>Residential Electric Air Conditioning</v>
      </c>
      <c r="AN76" s="104" t="s">
        <v>13</v>
      </c>
      <c r="AO76" s="104" t="s">
        <v>183</v>
      </c>
      <c r="AP76" s="104"/>
      <c r="AQ76" s="104" t="s">
        <v>75</v>
      </c>
    </row>
    <row r="77" spans="3:43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>
        <f t="shared" si="28"/>
        <v>0.7884000000000001</v>
      </c>
      <c r="AG77" s="88"/>
      <c r="AH77" s="88">
        <v>2019</v>
      </c>
      <c r="AI77" s="88">
        <v>25</v>
      </c>
    </row>
    <row r="78" spans="3:43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>
        <f t="shared" si="28"/>
        <v>0.7884000000000001</v>
      </c>
      <c r="AG78" s="67"/>
      <c r="AH78" s="67">
        <v>2019</v>
      </c>
      <c r="AI78" s="67">
        <v>25</v>
      </c>
    </row>
    <row r="79" spans="3:43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3"/>
      <c r="AG79" s="34"/>
      <c r="AH79" s="34"/>
      <c r="AI79" s="34"/>
    </row>
    <row r="80" spans="3:43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>
        <f t="shared" si="28"/>
        <v>0.18921600000000002</v>
      </c>
      <c r="AG80" s="88"/>
      <c r="AH80" s="88">
        <v>2019</v>
      </c>
      <c r="AI80" s="88">
        <v>6</v>
      </c>
    </row>
    <row r="81" spans="3:43" x14ac:dyDescent="0.2">
      <c r="C81" s="256" t="str">
        <f>"R-WH_Att"&amp;"_"&amp;RIGHT(E81,3)&amp;"_N1"</f>
        <v>R-WH_Att_SOL_N1</v>
      </c>
      <c r="D81" s="26" t="s">
        <v>123</v>
      </c>
      <c r="E81" s="27" t="s">
        <v>307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>
        <f t="shared" si="28"/>
        <v>0.18921600000000002</v>
      </c>
      <c r="AG81" s="67"/>
      <c r="AH81" s="66">
        <v>2019</v>
      </c>
      <c r="AI81" s="66">
        <v>6</v>
      </c>
    </row>
    <row r="82" spans="3:43" x14ac:dyDescent="0.2">
      <c r="C82" s="33" t="s">
        <v>317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3"/>
      <c r="AG82" s="34"/>
      <c r="AH82" s="34"/>
      <c r="AI82" s="34"/>
    </row>
    <row r="83" spans="3:43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>
        <f t="shared" si="28"/>
        <v>0.18921600000000002</v>
      </c>
      <c r="AG83" s="92"/>
      <c r="AH83" s="92">
        <v>2019</v>
      </c>
      <c r="AI83" s="92">
        <v>6</v>
      </c>
    </row>
    <row r="87" spans="3:43" x14ac:dyDescent="0.2">
      <c r="AM87" s="11"/>
      <c r="AN87" s="11"/>
      <c r="AO87" s="11"/>
      <c r="AP87" s="11"/>
      <c r="AQ87" s="11"/>
    </row>
    <row r="88" spans="3:43" x14ac:dyDescent="0.2">
      <c r="H88" s="5" t="s">
        <v>19</v>
      </c>
    </row>
    <row r="89" spans="3:43" ht="45.75" thickBot="1" x14ac:dyDescent="0.25">
      <c r="C89" s="14" t="s">
        <v>21</v>
      </c>
      <c r="D89" s="15" t="s">
        <v>32</v>
      </c>
      <c r="E89" s="14" t="s">
        <v>23</v>
      </c>
      <c r="F89" s="14" t="s">
        <v>601</v>
      </c>
      <c r="G89" s="14" t="s">
        <v>24</v>
      </c>
      <c r="H89" s="17" t="s">
        <v>571</v>
      </c>
      <c r="I89" s="17" t="s">
        <v>572</v>
      </c>
      <c r="J89" s="17" t="s">
        <v>573</v>
      </c>
      <c r="K89" s="17" t="s">
        <v>574</v>
      </c>
      <c r="L89" s="17" t="s">
        <v>575</v>
      </c>
      <c r="M89" s="17" t="s">
        <v>576</v>
      </c>
      <c r="N89" s="17" t="s">
        <v>577</v>
      </c>
      <c r="O89" s="17" t="s">
        <v>578</v>
      </c>
      <c r="P89" s="17" t="s">
        <v>579</v>
      </c>
      <c r="Q89" s="17" t="s">
        <v>580</v>
      </c>
      <c r="R89" s="17" t="s">
        <v>581</v>
      </c>
      <c r="S89" s="17" t="s">
        <v>582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321</v>
      </c>
      <c r="AC89" s="17" t="s">
        <v>322</v>
      </c>
      <c r="AD89" s="17" t="s">
        <v>323</v>
      </c>
      <c r="AE89" s="17" t="s">
        <v>254</v>
      </c>
      <c r="AF89" s="17" t="s">
        <v>77</v>
      </c>
      <c r="AG89" s="17" t="s">
        <v>308</v>
      </c>
      <c r="AH89" s="17" t="s">
        <v>78</v>
      </c>
      <c r="AI89" s="17" t="s">
        <v>599</v>
      </c>
    </row>
    <row r="90" spans="3:43" ht="38.25" x14ac:dyDescent="0.2">
      <c r="C90" s="16" t="s">
        <v>79</v>
      </c>
      <c r="D90" s="16" t="s">
        <v>33</v>
      </c>
      <c r="E90" s="16" t="s">
        <v>80</v>
      </c>
      <c r="F90" s="16" t="s">
        <v>602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40" t="s">
        <v>86</v>
      </c>
      <c r="W90" s="541"/>
      <c r="X90" s="541"/>
      <c r="Y90" s="542"/>
      <c r="Z90" s="60"/>
      <c r="AA90" s="60"/>
      <c r="AB90" s="68" t="s">
        <v>215</v>
      </c>
      <c r="AC90" s="71" t="s">
        <v>215</v>
      </c>
      <c r="AD90" s="71" t="s">
        <v>215</v>
      </c>
      <c r="AE90" s="71" t="s">
        <v>253</v>
      </c>
      <c r="AF90" s="60" t="s">
        <v>66</v>
      </c>
      <c r="AG90" s="60" t="s">
        <v>87</v>
      </c>
      <c r="AH90" s="60"/>
      <c r="AI90" s="60"/>
      <c r="AK90" s="10" t="s">
        <v>20</v>
      </c>
      <c r="AL90" s="11"/>
      <c r="AM90" s="11"/>
      <c r="AN90" s="11"/>
      <c r="AO90" s="11"/>
      <c r="AP90" s="11"/>
      <c r="AQ90" s="11"/>
    </row>
    <row r="91" spans="3:43" ht="15.75" thickBot="1" x14ac:dyDescent="0.25">
      <c r="C91" s="14" t="s">
        <v>596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K91" s="12" t="s">
        <v>27</v>
      </c>
      <c r="AL91" s="12" t="s">
        <v>21</v>
      </c>
      <c r="AM91" s="12" t="s">
        <v>22</v>
      </c>
      <c r="AN91" s="12" t="s">
        <v>28</v>
      </c>
      <c r="AO91" s="12" t="s">
        <v>29</v>
      </c>
      <c r="AP91" s="12" t="s">
        <v>30</v>
      </c>
      <c r="AQ91" s="12" t="s">
        <v>67</v>
      </c>
    </row>
    <row r="92" spans="3:43" ht="33.75" x14ac:dyDescent="0.2">
      <c r="C92" s="37" t="s">
        <v>310</v>
      </c>
      <c r="D92" s="38"/>
      <c r="E92" s="38"/>
      <c r="F92" s="38"/>
      <c r="G92" s="39"/>
      <c r="H92" s="531" t="s">
        <v>34</v>
      </c>
      <c r="I92" s="532"/>
      <c r="J92" s="532"/>
      <c r="K92" s="533"/>
      <c r="L92" s="532" t="s">
        <v>34</v>
      </c>
      <c r="M92" s="532"/>
      <c r="N92" s="532"/>
      <c r="O92" s="533"/>
      <c r="P92" s="531" t="s">
        <v>34</v>
      </c>
      <c r="Q92" s="532"/>
      <c r="R92" s="532"/>
      <c r="S92" s="533"/>
      <c r="T92" s="534" t="s">
        <v>68</v>
      </c>
      <c r="U92" s="535"/>
      <c r="V92" s="534" t="s">
        <v>544</v>
      </c>
      <c r="W92" s="536"/>
      <c r="X92" s="536"/>
      <c r="Y92" s="535"/>
      <c r="Z92" s="377" t="s">
        <v>556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9" t="s">
        <v>324</v>
      </c>
      <c r="AG92" s="377" t="s">
        <v>34</v>
      </c>
      <c r="AH92" s="377" t="s">
        <v>94</v>
      </c>
      <c r="AI92" s="377" t="s">
        <v>600</v>
      </c>
      <c r="AK92" s="212" t="s">
        <v>69</v>
      </c>
      <c r="AL92" s="212" t="s">
        <v>70</v>
      </c>
      <c r="AM92" s="212" t="s">
        <v>33</v>
      </c>
      <c r="AN92" s="212" t="s">
        <v>71</v>
      </c>
      <c r="AO92" s="212" t="s">
        <v>72</v>
      </c>
      <c r="AP92" s="212" t="s">
        <v>73</v>
      </c>
      <c r="AQ92" s="212" t="s">
        <v>74</v>
      </c>
    </row>
    <row r="93" spans="3:43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62">W97*1.3</f>
        <v>4.5825000000000005</v>
      </c>
      <c r="X93" s="383">
        <f t="shared" si="62"/>
        <v>4.5825000000000005</v>
      </c>
      <c r="Y93" s="383">
        <f t="shared" si="62"/>
        <v>4.5825000000000005</v>
      </c>
      <c r="Z93" s="383">
        <v>0.12</v>
      </c>
      <c r="AA93" s="65"/>
      <c r="AB93" s="42"/>
      <c r="AC93" s="72"/>
      <c r="AD93" s="72"/>
      <c r="AE93" s="72"/>
      <c r="AF93" s="62">
        <f t="shared" ref="AF93:AF131" si="63">31.536*(AI93/1000)</f>
        <v>0.94608000000000003</v>
      </c>
      <c r="AG93" s="65"/>
      <c r="AH93" s="65">
        <v>2019</v>
      </c>
      <c r="AI93" s="65">
        <v>30</v>
      </c>
      <c r="AK93" s="106" t="s">
        <v>31</v>
      </c>
      <c r="AL93" s="105" t="str">
        <f>C93</f>
        <v>R-SH_Det_KER_N1</v>
      </c>
      <c r="AM93" s="105" t="str">
        <f>D93</f>
        <v>Residential Kerosene Heating Oil - New 1 SH</v>
      </c>
      <c r="AN93" s="106" t="s">
        <v>13</v>
      </c>
      <c r="AO93" s="106" t="s">
        <v>183</v>
      </c>
      <c r="AP93" s="106"/>
      <c r="AQ93" s="106" t="s">
        <v>75</v>
      </c>
    </row>
    <row r="94" spans="3:43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4">I94*0.7</f>
        <v>0.7</v>
      </c>
      <c r="R94" s="23">
        <f t="shared" ref="R94:R96" si="65">J94*0.7</f>
        <v>0.7</v>
      </c>
      <c r="S94" s="57">
        <f t="shared" ref="S94:S96" si="66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7">W98*1.3</f>
        <v>4.9452075289575284</v>
      </c>
      <c r="X94" s="384">
        <f t="shared" si="67"/>
        <v>4.9452075289575284</v>
      </c>
      <c r="Y94" s="384">
        <f t="shared" si="67"/>
        <v>4.9452075289575284</v>
      </c>
      <c r="Z94" s="384">
        <v>0.12</v>
      </c>
      <c r="AA94" s="66"/>
      <c r="AB94" s="44"/>
      <c r="AC94" s="73"/>
      <c r="AD94" s="73"/>
      <c r="AE94" s="73"/>
      <c r="AF94" s="63">
        <f t="shared" si="63"/>
        <v>1.1983680000000001</v>
      </c>
      <c r="AG94" s="66"/>
      <c r="AH94" s="66">
        <v>2019</v>
      </c>
      <c r="AI94" s="66">
        <v>38</v>
      </c>
      <c r="AK94" s="106"/>
      <c r="AL94" s="105" t="str">
        <f t="shared" ref="AL94:AL108" si="68">C94</f>
        <v>R-SW_Det_KER_N1</v>
      </c>
      <c r="AM94" s="105" t="str">
        <f t="shared" ref="AM94:AM108" si="69">D94</f>
        <v>Residential Kerosene Heating Oil - New 2 SH + WH</v>
      </c>
      <c r="AN94" s="106" t="s">
        <v>13</v>
      </c>
      <c r="AO94" s="106" t="s">
        <v>183</v>
      </c>
      <c r="AP94" s="106"/>
      <c r="AQ94" s="106" t="s">
        <v>75</v>
      </c>
    </row>
    <row r="95" spans="3:43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4"/>
        <v>0.7</v>
      </c>
      <c r="R95" s="29">
        <f t="shared" si="65"/>
        <v>0.7</v>
      </c>
      <c r="S95" s="58">
        <f t="shared" si="66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0.1</v>
      </c>
      <c r="AC95" s="72"/>
      <c r="AD95" s="72"/>
      <c r="AE95" s="217">
        <v>5</v>
      </c>
      <c r="AF95" s="62">
        <f t="shared" si="63"/>
        <v>1.1983680000000001</v>
      </c>
      <c r="AG95" s="65"/>
      <c r="AH95" s="65">
        <v>2019</v>
      </c>
      <c r="AI95" s="65">
        <v>38</v>
      </c>
      <c r="AK95" s="106"/>
      <c r="AL95" s="105" t="str">
        <f t="shared" si="68"/>
        <v>R-SW_Det_KER_N2</v>
      </c>
      <c r="AM95" s="105" t="str">
        <f t="shared" si="69"/>
        <v>Residential Kerosene Heating Oil - New 3 SH+WH + Solar</v>
      </c>
      <c r="AN95" s="106" t="s">
        <v>13</v>
      </c>
      <c r="AO95" s="106" t="s">
        <v>183</v>
      </c>
      <c r="AP95" s="106"/>
      <c r="AQ95" s="106" t="s">
        <v>75</v>
      </c>
    </row>
    <row r="96" spans="3:43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4"/>
        <v>0.71749999999999992</v>
      </c>
      <c r="R96" s="23">
        <f t="shared" si="65"/>
        <v>0.71749999999999992</v>
      </c>
      <c r="S96" s="57">
        <f t="shared" si="66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66">
        <v>5</v>
      </c>
      <c r="AF96" s="63">
        <f t="shared" si="63"/>
        <v>1.1983680000000001</v>
      </c>
      <c r="AG96" s="66"/>
      <c r="AH96" s="66">
        <v>2019</v>
      </c>
      <c r="AI96" s="66">
        <v>38</v>
      </c>
      <c r="AK96" s="106"/>
      <c r="AL96" s="105" t="str">
        <f t="shared" si="68"/>
        <v>R-SW_Det_KER_N3</v>
      </c>
      <c r="AM96" s="105" t="str">
        <f t="shared" si="69"/>
        <v>Residential Kerosene Heating Oil - New 3 SH+WH + Wood Stove</v>
      </c>
      <c r="AN96" s="107" t="s">
        <v>13</v>
      </c>
      <c r="AO96" s="107" t="s">
        <v>183</v>
      </c>
      <c r="AP96" s="106"/>
      <c r="AQ96" s="106"/>
    </row>
    <row r="97" spans="3:43" ht="15" x14ac:dyDescent="0.25">
      <c r="C97" s="40" t="str">
        <f>"R-SH_Det"&amp;"_"&amp;RIGHT(E97,3)&amp;"_N1"</f>
        <v>R-SH_Det_GAS_N1</v>
      </c>
      <c r="D97" s="29" t="s">
        <v>95</v>
      </c>
      <c r="E97" s="30" t="s">
        <v>302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70">3.525</f>
        <v>3.5249999999999999</v>
      </c>
      <c r="X97" s="383">
        <f t="shared" si="70"/>
        <v>3.5249999999999999</v>
      </c>
      <c r="Y97" s="383">
        <f t="shared" si="70"/>
        <v>3.5249999999999999</v>
      </c>
      <c r="Z97" s="383">
        <v>0.12</v>
      </c>
      <c r="AA97" s="65"/>
      <c r="AB97" s="42"/>
      <c r="AC97" s="72"/>
      <c r="AD97" s="72"/>
      <c r="AE97" s="72"/>
      <c r="AF97" s="62">
        <f t="shared" si="63"/>
        <v>0.94608000000000003</v>
      </c>
      <c r="AG97" s="65"/>
      <c r="AH97" s="65">
        <v>2019</v>
      </c>
      <c r="AI97" s="65">
        <v>30</v>
      </c>
      <c r="AK97" s="106"/>
      <c r="AL97" s="105" t="str">
        <f t="shared" si="68"/>
        <v>R-SH_Det_GAS_N1</v>
      </c>
      <c r="AM97" s="105" t="str">
        <f t="shared" si="69"/>
        <v>Residential Natural Gas Heating - New 1 SH</v>
      </c>
      <c r="AN97" s="106" t="s">
        <v>13</v>
      </c>
      <c r="AO97" s="106" t="s">
        <v>183</v>
      </c>
      <c r="AP97" s="106"/>
      <c r="AQ97" s="106" t="s">
        <v>75</v>
      </c>
    </row>
    <row r="98" spans="3:43" ht="15" x14ac:dyDescent="0.25">
      <c r="C98" s="22" t="str">
        <f>"R-SW_Det"&amp;"_"&amp;RIGHT(E98,3)&amp;"_N1"</f>
        <v>R-SW_Det_GAS_N1</v>
      </c>
      <c r="D98" s="23" t="s">
        <v>99</v>
      </c>
      <c r="E98" s="24" t="s">
        <v>302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1">I98*0.7</f>
        <v>0.7</v>
      </c>
      <c r="R98" s="23">
        <f t="shared" ref="R98:R100" si="72">J98*0.7</f>
        <v>0.7</v>
      </c>
      <c r="S98" s="57">
        <f t="shared" ref="S98:S100" si="73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63">
        <f t="shared" si="63"/>
        <v>1.1983680000000001</v>
      </c>
      <c r="AG98" s="66"/>
      <c r="AH98" s="66">
        <v>2019</v>
      </c>
      <c r="AI98" s="66">
        <v>38</v>
      </c>
      <c r="AK98" s="106"/>
      <c r="AL98" s="105" t="str">
        <f t="shared" si="68"/>
        <v>R-SW_Det_GAS_N1</v>
      </c>
      <c r="AM98" s="105" t="str">
        <f t="shared" si="69"/>
        <v>Residential Natural Gas Heating - New 2 SH + WH</v>
      </c>
      <c r="AN98" s="106" t="s">
        <v>13</v>
      </c>
      <c r="AO98" s="106" t="s">
        <v>183</v>
      </c>
      <c r="AP98" s="106"/>
      <c r="AQ98" s="106" t="s">
        <v>75</v>
      </c>
    </row>
    <row r="99" spans="3:43" ht="15" x14ac:dyDescent="0.25">
      <c r="C99" s="40" t="str">
        <f>"R-SW_Det"&amp;"_"&amp;RIGHT(E99,3)&amp;"_N2"</f>
        <v>R-SW_Det_GAS_N2</v>
      </c>
      <c r="D99" s="29" t="s">
        <v>100</v>
      </c>
      <c r="E99" s="30" t="s">
        <v>303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1"/>
        <v>0.7</v>
      </c>
      <c r="R99" s="29">
        <f t="shared" si="72"/>
        <v>0.7</v>
      </c>
      <c r="S99" s="58">
        <f t="shared" si="73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0.1</v>
      </c>
      <c r="AC99" s="72"/>
      <c r="AD99" s="72"/>
      <c r="AE99" s="217">
        <v>5</v>
      </c>
      <c r="AF99" s="62">
        <f t="shared" si="63"/>
        <v>1.1983680000000001</v>
      </c>
      <c r="AG99" s="65"/>
      <c r="AH99" s="65">
        <v>2019</v>
      </c>
      <c r="AI99" s="65">
        <v>38</v>
      </c>
      <c r="AK99" s="106"/>
      <c r="AL99" s="105" t="str">
        <f t="shared" si="68"/>
        <v>R-SW_Det_GAS_N2</v>
      </c>
      <c r="AM99" s="105" t="str">
        <f t="shared" si="69"/>
        <v>Residential Natural Gas Heating - New 3 SH + WH + Solar</v>
      </c>
      <c r="AN99" s="106" t="s">
        <v>13</v>
      </c>
      <c r="AO99" s="106" t="s">
        <v>183</v>
      </c>
      <c r="AP99" s="106"/>
      <c r="AQ99" s="106" t="s">
        <v>75</v>
      </c>
    </row>
    <row r="100" spans="3:43" ht="15" x14ac:dyDescent="0.25">
      <c r="C100" s="22" t="str">
        <f>"R-SW_Det"&amp;"_"&amp;RIGHT(E100,3)&amp;"_N3"</f>
        <v>R-SW_Det_GAS_N3</v>
      </c>
      <c r="D100" s="23" t="s">
        <v>101</v>
      </c>
      <c r="E100" s="24" t="s">
        <v>304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1"/>
        <v>0.71749999999999992</v>
      </c>
      <c r="R100" s="23">
        <f t="shared" si="72"/>
        <v>0.71749999999999992</v>
      </c>
      <c r="S100" s="57">
        <f t="shared" si="73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66">
        <v>5</v>
      </c>
      <c r="AF100" s="63">
        <f t="shared" si="63"/>
        <v>1.1983680000000001</v>
      </c>
      <c r="AG100" s="66"/>
      <c r="AH100" s="66">
        <v>2019</v>
      </c>
      <c r="AI100" s="66">
        <v>38</v>
      </c>
      <c r="AK100" s="106"/>
      <c r="AL100" s="105" t="str">
        <f t="shared" si="68"/>
        <v>R-SW_Det_GAS_N3</v>
      </c>
      <c r="AM100" s="105" t="str">
        <f t="shared" si="69"/>
        <v>Residential Natural Gas Heating - New 4 SH + WH + Wood Stove</v>
      </c>
      <c r="AN100" s="106" t="s">
        <v>13</v>
      </c>
      <c r="AO100" s="106" t="s">
        <v>183</v>
      </c>
      <c r="AP100" s="106"/>
      <c r="AQ100" s="106" t="s">
        <v>75</v>
      </c>
    </row>
    <row r="101" spans="3:43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>V97+0.25</f>
        <v>3.7749999999999999</v>
      </c>
      <c r="W101" s="383">
        <f t="shared" ref="W101:Y101" si="74">W97+0.25</f>
        <v>3.7749999999999999</v>
      </c>
      <c r="X101" s="383">
        <f t="shared" si="74"/>
        <v>3.7749999999999999</v>
      </c>
      <c r="Y101" s="383">
        <f t="shared" si="74"/>
        <v>3.7749999999999999</v>
      </c>
      <c r="Z101" s="383">
        <f>SUM(0.12+0.15)</f>
        <v>0.27</v>
      </c>
      <c r="AA101" s="65"/>
      <c r="AB101" s="42"/>
      <c r="AC101" s="72"/>
      <c r="AD101" s="72"/>
      <c r="AE101" s="72"/>
      <c r="AF101" s="62">
        <f t="shared" si="63"/>
        <v>0.94608000000000003</v>
      </c>
      <c r="AG101" s="65"/>
      <c r="AH101" s="65">
        <v>2019</v>
      </c>
      <c r="AI101" s="65">
        <v>30</v>
      </c>
      <c r="AK101" s="106"/>
      <c r="AL101" s="105" t="str">
        <f t="shared" si="68"/>
        <v>R-SH_Det_LPG_N1</v>
      </c>
      <c r="AM101" s="105" t="str">
        <f t="shared" si="69"/>
        <v>Residential Liquid Petroleum Gas- New 1 SH</v>
      </c>
      <c r="AN101" s="106" t="s">
        <v>13</v>
      </c>
      <c r="AO101" s="106" t="s">
        <v>183</v>
      </c>
      <c r="AP101" s="106"/>
      <c r="AQ101" s="106" t="s">
        <v>75</v>
      </c>
    </row>
    <row r="102" spans="3:43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5">I102*0.7</f>
        <v>0.7</v>
      </c>
      <c r="R102" s="23">
        <f t="shared" ref="R102" si="76">J102*0.7</f>
        <v>0.7</v>
      </c>
      <c r="S102" s="57">
        <f t="shared" ref="S102" si="77">K102*0.7</f>
        <v>0.7</v>
      </c>
      <c r="T102" s="53">
        <v>20</v>
      </c>
      <c r="U102" s="25"/>
      <c r="V102" s="384">
        <f>V98</f>
        <v>3.8040057915057912</v>
      </c>
      <c r="W102" s="384">
        <f t="shared" ref="W102:Y102" si="78">W98</f>
        <v>3.8040057915057912</v>
      </c>
      <c r="X102" s="384">
        <f t="shared" si="78"/>
        <v>3.8040057915057912</v>
      </c>
      <c r="Y102" s="384">
        <f t="shared" si="78"/>
        <v>3.8040057915057912</v>
      </c>
      <c r="Z102" s="383">
        <f>SUM(0.12+0.15)</f>
        <v>0.27</v>
      </c>
      <c r="AA102" s="66"/>
      <c r="AB102" s="44"/>
      <c r="AC102" s="73"/>
      <c r="AD102" s="73"/>
      <c r="AE102" s="73"/>
      <c r="AF102" s="63">
        <f t="shared" si="63"/>
        <v>1.1983680000000001</v>
      </c>
      <c r="AG102" s="66"/>
      <c r="AH102" s="66">
        <v>2019</v>
      </c>
      <c r="AI102" s="66">
        <v>38</v>
      </c>
      <c r="AK102" s="106"/>
      <c r="AL102" s="105" t="str">
        <f t="shared" si="68"/>
        <v>R-SW_Det_LPG_N1</v>
      </c>
      <c r="AM102" s="105" t="str">
        <f t="shared" si="69"/>
        <v>Residential Liquid Petroleum Gas- New 2 SH + WH</v>
      </c>
      <c r="AN102" s="106" t="s">
        <v>13</v>
      </c>
      <c r="AO102" s="106" t="s">
        <v>183</v>
      </c>
      <c r="AP102" s="106"/>
      <c r="AQ102" s="106" t="s">
        <v>75</v>
      </c>
    </row>
    <row r="103" spans="3:43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62">
        <f t="shared" si="63"/>
        <v>0.94608000000000003</v>
      </c>
      <c r="AG103" s="65"/>
      <c r="AH103" s="65">
        <v>2019</v>
      </c>
      <c r="AI103" s="65">
        <v>30</v>
      </c>
      <c r="AK103" s="106"/>
      <c r="AL103" s="105" t="str">
        <f t="shared" si="68"/>
        <v>R-SH_Det_WOO_N1</v>
      </c>
      <c r="AM103" s="105" t="str">
        <f t="shared" si="69"/>
        <v>Residential Biomass Boiler - New 1 SH</v>
      </c>
      <c r="AN103" s="106" t="s">
        <v>13</v>
      </c>
      <c r="AO103" s="106" t="s">
        <v>183</v>
      </c>
      <c r="AP103" s="106"/>
      <c r="AQ103" s="106" t="s">
        <v>75</v>
      </c>
    </row>
    <row r="104" spans="3:43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9">H104*0.7</f>
        <v>0.7</v>
      </c>
      <c r="Q104" s="23">
        <f t="shared" si="79"/>
        <v>0.7</v>
      </c>
      <c r="R104" s="23">
        <f t="shared" si="79"/>
        <v>0.7</v>
      </c>
      <c r="S104" s="57">
        <f t="shared" si="79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80">W103*($U$152/$U$151)</f>
        <v>22.04476084710744</v>
      </c>
      <c r="X104" s="384">
        <f t="shared" ref="X104" si="81">X103*($U$152/$U$151)</f>
        <v>20.839163429752066</v>
      </c>
      <c r="Y104" s="384">
        <f t="shared" ref="Y104" si="82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63">
        <f t="shared" si="63"/>
        <v>1.1983680000000001</v>
      </c>
      <c r="AG104" s="66"/>
      <c r="AH104" s="66">
        <v>2019</v>
      </c>
      <c r="AI104" s="66">
        <v>38</v>
      </c>
      <c r="AK104" s="109"/>
      <c r="AL104" s="108" t="str">
        <f t="shared" si="68"/>
        <v>R-SW_Det_WOO_N1</v>
      </c>
      <c r="AM104" s="108" t="str">
        <f t="shared" si="69"/>
        <v>Residential Biomass Boiler - New 2 SH + WH</v>
      </c>
      <c r="AN104" s="109" t="s">
        <v>13</v>
      </c>
      <c r="AO104" s="109" t="s">
        <v>183</v>
      </c>
      <c r="AP104" s="109"/>
      <c r="AQ104" s="109" t="s">
        <v>75</v>
      </c>
    </row>
    <row r="105" spans="3:43" ht="15.75" thickBot="1" x14ac:dyDescent="0.3">
      <c r="C105" s="40" t="str">
        <f>"R-SH_Det"&amp;"_"&amp;"FPL"&amp;"_N1"</f>
        <v>R-SH_Det_FPL_N1</v>
      </c>
      <c r="D105" s="29" t="s">
        <v>608</v>
      </c>
      <c r="E105" s="30" t="s">
        <v>605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63">
        <f t="shared" si="63"/>
        <v>0.94608000000000003</v>
      </c>
      <c r="AG105" s="66"/>
      <c r="AH105" s="65">
        <v>2019</v>
      </c>
      <c r="AI105" s="66">
        <v>30</v>
      </c>
      <c r="AK105" s="109"/>
      <c r="AL105" s="447" t="s">
        <v>614</v>
      </c>
      <c r="AM105" s="108" t="str">
        <f t="shared" si="69"/>
        <v>Residential  Stove New 1 - SH</v>
      </c>
      <c r="AN105" s="106" t="s">
        <v>13</v>
      </c>
      <c r="AO105" s="106" t="s">
        <v>183</v>
      </c>
      <c r="AP105" s="109"/>
      <c r="AQ105" s="109"/>
    </row>
    <row r="106" spans="3:43" ht="15.75" thickBot="1" x14ac:dyDescent="0.3">
      <c r="C106" s="22" t="str">
        <f>"R-SW_Det"&amp;"_"&amp;"FPL"&amp;"_N1"</f>
        <v>R-SW_Det_FPL_N1</v>
      </c>
      <c r="D106" s="23" t="s">
        <v>609</v>
      </c>
      <c r="E106" s="24" t="s">
        <v>605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3">H106*0.7</f>
        <v>0.38500000000000001</v>
      </c>
      <c r="Q106" s="23">
        <f t="shared" ref="Q106:Q108" si="84">I106*0.7</f>
        <v>0.38500000000000001</v>
      </c>
      <c r="R106" s="23">
        <f t="shared" ref="R106:R108" si="85">J106*0.7</f>
        <v>0.38500000000000001</v>
      </c>
      <c r="S106" s="57">
        <f t="shared" ref="S106:S108" si="86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63">
        <f t="shared" si="63"/>
        <v>1.1983680000000001</v>
      </c>
      <c r="AG106" s="66"/>
      <c r="AH106" s="66">
        <v>2019</v>
      </c>
      <c r="AI106" s="66">
        <v>38</v>
      </c>
      <c r="AK106" s="109"/>
      <c r="AL106" s="447" t="s">
        <v>615</v>
      </c>
      <c r="AM106" s="108" t="str">
        <f t="shared" si="69"/>
        <v>Residential  Stove with back boiler New 1 - SH +WH</v>
      </c>
      <c r="AN106" s="109" t="s">
        <v>13</v>
      </c>
      <c r="AO106" s="109" t="s">
        <v>183</v>
      </c>
      <c r="AP106" s="109"/>
      <c r="AQ106" s="109"/>
    </row>
    <row r="107" spans="3:43" ht="15.75" thickBot="1" x14ac:dyDescent="0.3">
      <c r="C107" s="40" t="s">
        <v>612</v>
      </c>
      <c r="D107" s="29" t="s">
        <v>288</v>
      </c>
      <c r="E107" s="30" t="s">
        <v>305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7">W93</f>
        <v>4.5825000000000005</v>
      </c>
      <c r="X107" s="62">
        <f t="shared" si="87"/>
        <v>4.5825000000000005</v>
      </c>
      <c r="Y107" s="62">
        <f t="shared" si="87"/>
        <v>4.5825000000000005</v>
      </c>
      <c r="Z107" s="62">
        <f t="shared" si="87"/>
        <v>0.12</v>
      </c>
      <c r="AA107" s="65"/>
      <c r="AB107" s="42"/>
      <c r="AC107" s="72"/>
      <c r="AD107" s="72"/>
      <c r="AE107" s="72"/>
      <c r="AF107" s="62">
        <f t="shared" si="63"/>
        <v>0.94608000000000003</v>
      </c>
      <c r="AG107" s="65"/>
      <c r="AH107" s="65">
        <v>2019</v>
      </c>
      <c r="AI107" s="65">
        <v>30</v>
      </c>
      <c r="AK107" s="109"/>
      <c r="AL107" s="108" t="str">
        <f t="shared" si="68"/>
        <v>R-SH_Det_HVO_N1</v>
      </c>
      <c r="AM107" s="108" t="str">
        <f t="shared" si="69"/>
        <v>Residential  Hydrotreated vegetable oil - New 1 SH</v>
      </c>
      <c r="AN107" s="109" t="s">
        <v>13</v>
      </c>
      <c r="AO107" s="109" t="s">
        <v>183</v>
      </c>
      <c r="AP107" s="109"/>
      <c r="AQ107" s="109" t="s">
        <v>75</v>
      </c>
    </row>
    <row r="108" spans="3:43" ht="15.75" thickBot="1" x14ac:dyDescent="0.3">
      <c r="C108" s="22" t="s">
        <v>613</v>
      </c>
      <c r="D108" s="23" t="s">
        <v>567</v>
      </c>
      <c r="E108" s="24" t="s">
        <v>305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3"/>
        <v>0.57399999999999995</v>
      </c>
      <c r="Q108" s="26">
        <f t="shared" si="84"/>
        <v>0.57399999999999995</v>
      </c>
      <c r="R108" s="26">
        <f t="shared" si="85"/>
        <v>0.57399999999999995</v>
      </c>
      <c r="S108" s="59">
        <f t="shared" si="86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8">W94</f>
        <v>4.9452075289575284</v>
      </c>
      <c r="X108" s="62">
        <f t="shared" si="88"/>
        <v>4.9452075289575284</v>
      </c>
      <c r="Y108" s="62">
        <f t="shared" si="88"/>
        <v>4.9452075289575284</v>
      </c>
      <c r="Z108" s="62">
        <f t="shared" si="88"/>
        <v>0.12</v>
      </c>
      <c r="AA108" s="66"/>
      <c r="AB108" s="44"/>
      <c r="AC108" s="73"/>
      <c r="AD108" s="73"/>
      <c r="AE108" s="73"/>
      <c r="AF108" s="63">
        <f t="shared" si="63"/>
        <v>1.1983680000000001</v>
      </c>
      <c r="AG108" s="67"/>
      <c r="AH108" s="67">
        <v>2019</v>
      </c>
      <c r="AI108" s="67">
        <v>38</v>
      </c>
      <c r="AK108" s="109"/>
      <c r="AL108" s="108" t="str">
        <f t="shared" si="68"/>
        <v>R-SW_Det_HVO_N1</v>
      </c>
      <c r="AM108" s="108" t="str">
        <f t="shared" si="69"/>
        <v>Residential  Hydrotreated vegetable oil - New 1 SH + WH</v>
      </c>
      <c r="AN108" s="109" t="s">
        <v>13</v>
      </c>
      <c r="AO108" s="109" t="s">
        <v>183</v>
      </c>
      <c r="AP108" s="109"/>
      <c r="AQ108" s="109" t="s">
        <v>75</v>
      </c>
    </row>
    <row r="109" spans="3:43" ht="15.75" thickBot="1" x14ac:dyDescent="0.3">
      <c r="C109" s="33" t="s">
        <v>311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3"/>
      <c r="AG109" s="34"/>
      <c r="AH109" s="34"/>
      <c r="AI109" s="34"/>
      <c r="AK109" s="110"/>
      <c r="AL109" s="111" t="str">
        <f>C110</f>
        <v>R-SH_Det_ELC_N1</v>
      </c>
      <c r="AM109" s="111" t="str">
        <f>D110</f>
        <v>Residential Electric Heater - New 1 SH</v>
      </c>
      <c r="AN109" s="110" t="s">
        <v>13</v>
      </c>
      <c r="AO109" s="110" t="s">
        <v>183</v>
      </c>
      <c r="AP109" s="110"/>
      <c r="AQ109" s="110" t="s">
        <v>75</v>
      </c>
    </row>
    <row r="110" spans="3:43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2">
        <f t="shared" si="63"/>
        <v>0.94608000000000003</v>
      </c>
      <c r="AG110" s="83"/>
      <c r="AH110" s="83">
        <v>2019</v>
      </c>
      <c r="AI110" s="83">
        <v>30</v>
      </c>
      <c r="AK110" s="104"/>
      <c r="AL110" s="103" t="str">
        <f t="shared" ref="AL110:AL116" si="89">C112</f>
        <v>R-SH_Det_ELC_HPN1</v>
      </c>
      <c r="AM110" s="103" t="str">
        <f t="shared" ref="AM110:AM116" si="90">D112</f>
        <v>Residential Electric Heat Pump - Air to Air - SH</v>
      </c>
      <c r="AN110" s="104" t="s">
        <v>13</v>
      </c>
      <c r="AO110" s="104" t="s">
        <v>183</v>
      </c>
      <c r="AP110" s="104"/>
      <c r="AQ110" s="104" t="s">
        <v>75</v>
      </c>
    </row>
    <row r="111" spans="3:43" ht="15" x14ac:dyDescent="0.25">
      <c r="C111" s="33" t="s">
        <v>312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3"/>
      <c r="AG111" s="34"/>
      <c r="AH111" s="34"/>
      <c r="AI111" s="34"/>
      <c r="AK111" s="106"/>
      <c r="AL111" s="105" t="str">
        <f t="shared" si="89"/>
        <v>R-HC_Det_ELC_HPN1</v>
      </c>
      <c r="AM111" s="105" t="str">
        <f t="shared" si="90"/>
        <v>Residential Electric Heat Pump - Air to Air - SH + SC</v>
      </c>
      <c r="AN111" s="106" t="s">
        <v>13</v>
      </c>
      <c r="AO111" s="106" t="s">
        <v>183</v>
      </c>
      <c r="AP111" s="106"/>
      <c r="AQ111" s="106" t="s">
        <v>75</v>
      </c>
    </row>
    <row r="112" spans="3:43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603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>
        <f t="shared" si="63"/>
        <v>0.31536000000000003</v>
      </c>
      <c r="AG112" s="88"/>
      <c r="AH112" s="88">
        <v>2100</v>
      </c>
      <c r="AI112" s="88">
        <v>10</v>
      </c>
      <c r="AK112" s="106"/>
      <c r="AL112" s="105" t="str">
        <f t="shared" si="89"/>
        <v>R-SH_Det_ELC_HPN2</v>
      </c>
      <c r="AM112" s="105" t="str">
        <f t="shared" si="90"/>
        <v>Residential Electric Heat Pump - Air to Water - SH</v>
      </c>
      <c r="AN112" s="106" t="s">
        <v>13</v>
      </c>
      <c r="AO112" s="106" t="s">
        <v>183</v>
      </c>
      <c r="AP112" s="106"/>
      <c r="AQ112" s="106" t="s">
        <v>75</v>
      </c>
    </row>
    <row r="113" spans="3:43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603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>
        <f t="shared" si="63"/>
        <v>0.37843200000000005</v>
      </c>
      <c r="AG113" s="66"/>
      <c r="AH113" s="66">
        <v>2100</v>
      </c>
      <c r="AI113" s="66">
        <v>12</v>
      </c>
      <c r="AK113" s="106"/>
      <c r="AL113" s="105" t="str">
        <f t="shared" si="89"/>
        <v>R-SW_Det_ELC_HPN1</v>
      </c>
      <c r="AM113" s="105" t="str">
        <f t="shared" si="90"/>
        <v>Residential Electric Heat Pump - Air to Water - SH + WH</v>
      </c>
      <c r="AN113" s="106" t="s">
        <v>13</v>
      </c>
      <c r="AO113" s="106" t="s">
        <v>183</v>
      </c>
      <c r="AP113" s="106"/>
      <c r="AQ113" s="106" t="s">
        <v>75</v>
      </c>
    </row>
    <row r="114" spans="3:43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603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>
        <f t="shared" si="63"/>
        <v>0.31536000000000003</v>
      </c>
      <c r="AG114" s="65"/>
      <c r="AH114" s="65">
        <v>2019</v>
      </c>
      <c r="AI114" s="65">
        <v>10</v>
      </c>
      <c r="AK114" s="213"/>
      <c r="AL114" s="105" t="str">
        <f t="shared" si="89"/>
        <v>R-SW_Det_ELC_HPN2</v>
      </c>
      <c r="AM114" s="105" t="str">
        <f t="shared" si="90"/>
        <v>Residential Electric Heat Pump - Air to Water - SH + WH + Solar</v>
      </c>
      <c r="AN114" s="106" t="s">
        <v>13</v>
      </c>
      <c r="AO114" s="106" t="s">
        <v>183</v>
      </c>
      <c r="AP114" s="106"/>
      <c r="AQ114" s="106" t="s">
        <v>75</v>
      </c>
    </row>
    <row r="115" spans="3:43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706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91">I115*0.7</f>
        <v>0.76999999999999991</v>
      </c>
      <c r="R115" s="23">
        <f t="shared" ref="R115:R116" si="92">J115*0.7</f>
        <v>0.86333333333333329</v>
      </c>
      <c r="S115" s="57">
        <f t="shared" ref="S115:S116" si="93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4">W114*($U$150/$U$149)</f>
        <v>9.0363883122362889</v>
      </c>
      <c r="X115" s="384">
        <f t="shared" ref="X115" si="95">X114*($U$150/$U$149)</f>
        <v>8.2231133641350223</v>
      </c>
      <c r="Y115" s="384">
        <f t="shared" ref="Y115" si="96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>
        <f t="shared" si="63"/>
        <v>0.37843200000000005</v>
      </c>
      <c r="AG115" s="66"/>
      <c r="AH115" s="66">
        <v>2019</v>
      </c>
      <c r="AI115" s="66">
        <v>12</v>
      </c>
      <c r="AK115" s="213"/>
      <c r="AL115" s="105" t="str">
        <f t="shared" si="89"/>
        <v>R-SH_Det_ELC_HPN3</v>
      </c>
      <c r="AM115" s="105" t="str">
        <f t="shared" si="90"/>
        <v>Residential Electric Heat Pump - Ground to Water - SH</v>
      </c>
      <c r="AN115" s="106" t="s">
        <v>13</v>
      </c>
      <c r="AO115" s="106" t="s">
        <v>183</v>
      </c>
      <c r="AP115" s="106"/>
      <c r="AQ115" s="106" t="s">
        <v>75</v>
      </c>
    </row>
    <row r="116" spans="3:43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595</v>
      </c>
      <c r="F116" s="30" t="s">
        <v>706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91"/>
        <v>0.77700000000000002</v>
      </c>
      <c r="R116" s="29">
        <f t="shared" si="92"/>
        <v>0.83299999999999996</v>
      </c>
      <c r="S116" s="58">
        <f t="shared" si="93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0.1</v>
      </c>
      <c r="AC116" s="62"/>
      <c r="AD116" s="62"/>
      <c r="AE116" s="217">
        <v>5</v>
      </c>
      <c r="AF116" s="62">
        <f t="shared" si="63"/>
        <v>0.37843200000000005</v>
      </c>
      <c r="AG116" s="65"/>
      <c r="AH116" s="65">
        <v>2019</v>
      </c>
      <c r="AI116" s="65">
        <v>12</v>
      </c>
      <c r="AK116" s="112"/>
      <c r="AL116" s="108" t="str">
        <f t="shared" si="89"/>
        <v>R-HC_Det_ELC_HPN2</v>
      </c>
      <c r="AM116" s="108" t="str">
        <f t="shared" si="90"/>
        <v>Residential Electric Heat Pump - Ground to Water - SH + SC</v>
      </c>
      <c r="AN116" s="109" t="s">
        <v>13</v>
      </c>
      <c r="AO116" s="109" t="s">
        <v>183</v>
      </c>
      <c r="AP116" s="109"/>
      <c r="AQ116" s="109" t="s">
        <v>75</v>
      </c>
    </row>
    <row r="117" spans="3:43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603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>
        <f t="shared" si="63"/>
        <v>0.31536000000000003</v>
      </c>
      <c r="AG117" s="66"/>
      <c r="AH117" s="66">
        <v>2019</v>
      </c>
      <c r="AI117" s="66">
        <v>10</v>
      </c>
      <c r="AK117" s="113"/>
      <c r="AL117" s="103" t="str">
        <f>C120</f>
        <v>R-SW_Det_GAS_HPN1</v>
      </c>
      <c r="AM117" s="103" t="str">
        <f>D120</f>
        <v>Residential Gas Absorption Heat Pump - Air to Water - SH + WH</v>
      </c>
      <c r="AN117" s="104" t="s">
        <v>13</v>
      </c>
      <c r="AO117" s="104" t="s">
        <v>183</v>
      </c>
      <c r="AP117" s="104"/>
      <c r="AQ117" s="104" t="s">
        <v>75</v>
      </c>
    </row>
    <row r="118" spans="3:43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603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>
        <f t="shared" si="63"/>
        <v>0.37843200000000005</v>
      </c>
      <c r="AG118" s="91"/>
      <c r="AH118" s="91">
        <v>2019</v>
      </c>
      <c r="AI118" s="91">
        <v>12</v>
      </c>
      <c r="AK118" s="214"/>
      <c r="AL118" s="108" t="str">
        <f>C121</f>
        <v>R-SW_Det_GAS_HPN2</v>
      </c>
      <c r="AM118" s="108" t="str">
        <f>D121</f>
        <v>Residential Gas Engine Heat Pump - Air to Water - SH + WH</v>
      </c>
      <c r="AN118" s="109" t="s">
        <v>13</v>
      </c>
      <c r="AO118" s="109" t="s">
        <v>183</v>
      </c>
      <c r="AP118" s="109"/>
      <c r="AQ118" s="109" t="s">
        <v>75</v>
      </c>
    </row>
    <row r="119" spans="3:43" ht="15.75" thickBot="1" x14ac:dyDescent="0.3">
      <c r="C119" s="33" t="s">
        <v>313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3"/>
      <c r="AG119" s="34"/>
      <c r="AH119" s="34"/>
      <c r="AI119" s="34"/>
      <c r="AK119" s="215"/>
      <c r="AL119" s="111" t="str">
        <f>C123</f>
        <v>R-SW_Det_GAS_HHPN1</v>
      </c>
      <c r="AM119" s="111" t="str">
        <f>D123</f>
        <v>Residential Gas Hybrid Heat Pump - Air to Water - SH + WH</v>
      </c>
      <c r="AN119" s="110" t="s">
        <v>13</v>
      </c>
      <c r="AO119" s="110" t="s">
        <v>183</v>
      </c>
      <c r="AP119" s="110"/>
      <c r="AQ119" s="110" t="s">
        <v>75</v>
      </c>
    </row>
    <row r="120" spans="3:43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302</v>
      </c>
      <c r="F120" s="89" t="s">
        <v>706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7">I120*0.7</f>
        <v>1.2530864197530862</v>
      </c>
      <c r="R120" s="20">
        <f t="shared" ref="R120:R121" si="98">J120*0.7</f>
        <v>1.4691358024691357</v>
      </c>
      <c r="S120" s="56">
        <f t="shared" ref="S120:S121" si="99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>
        <f t="shared" si="63"/>
        <v>1.1983680000000001</v>
      </c>
      <c r="AG120" s="88"/>
      <c r="AH120" s="65">
        <v>2019</v>
      </c>
      <c r="AI120" s="88">
        <v>38</v>
      </c>
      <c r="AK120" s="216"/>
      <c r="AL120" s="103" t="str">
        <f>C125</f>
        <v>R-SW_Det_HET_N1</v>
      </c>
      <c r="AM120" s="103" t="str">
        <f>D125</f>
        <v>Residential District Heating Centralized - SH + WH</v>
      </c>
      <c r="AN120" s="104" t="s">
        <v>13</v>
      </c>
      <c r="AO120" s="104" t="s">
        <v>183</v>
      </c>
      <c r="AP120" s="104"/>
      <c r="AQ120" s="104" t="s">
        <v>75</v>
      </c>
    </row>
    <row r="121" spans="3:43" ht="15.75" thickBot="1" x14ac:dyDescent="0.3">
      <c r="C121" s="256" t="str">
        <f>"R-SW_Det"&amp;"_"&amp;RIGHT(E121,3)&amp;"_HPN2"</f>
        <v>R-SW_Det_GAS_HPN2</v>
      </c>
      <c r="D121" s="26" t="s">
        <v>117</v>
      </c>
      <c r="E121" s="27" t="s">
        <v>302</v>
      </c>
      <c r="F121" s="27" t="s">
        <v>706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7"/>
        <v>1.2055555555555555</v>
      </c>
      <c r="R121" s="26">
        <f t="shared" si="98"/>
        <v>1.2055555555555555</v>
      </c>
      <c r="S121" s="59">
        <f t="shared" si="99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>
        <f t="shared" si="63"/>
        <v>1.1983680000000001</v>
      </c>
      <c r="AG121" s="67"/>
      <c r="AH121" s="66">
        <v>2019</v>
      </c>
      <c r="AI121" s="67">
        <v>38</v>
      </c>
      <c r="AK121" s="114"/>
      <c r="AL121" s="108" t="str">
        <f>C126</f>
        <v>R-SW_Det_HET_N2</v>
      </c>
      <c r="AM121" s="108" t="str">
        <f>D126</f>
        <v>Residential District Heating Decentralized - SH + WH</v>
      </c>
      <c r="AN121" s="109" t="s">
        <v>13</v>
      </c>
      <c r="AO121" s="109" t="s">
        <v>183</v>
      </c>
      <c r="AP121" s="109"/>
      <c r="AQ121" s="109" t="s">
        <v>75</v>
      </c>
    </row>
    <row r="122" spans="3:43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3"/>
      <c r="AG122" s="34"/>
      <c r="AH122" s="34"/>
      <c r="AI122" s="34"/>
      <c r="AK122" s="216"/>
      <c r="AL122" s="103" t="str">
        <f t="shared" ref="AL122:AL123" si="100">C128</f>
        <v>R-WH_Det_ELC_N1</v>
      </c>
      <c r="AM122" s="103" t="str">
        <f t="shared" ref="AM122:AM123" si="101">D128</f>
        <v xml:space="preserve">Residential Electric Water Heater </v>
      </c>
      <c r="AN122" s="104" t="s">
        <v>13</v>
      </c>
      <c r="AO122" s="104" t="s">
        <v>183</v>
      </c>
      <c r="AP122" s="104"/>
      <c r="AQ122" s="104" t="s">
        <v>75</v>
      </c>
    </row>
    <row r="123" spans="3:43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306</v>
      </c>
      <c r="F123" s="121" t="s">
        <v>706</v>
      </c>
      <c r="G123" s="98" t="s">
        <v>294</v>
      </c>
      <c r="H123" s="383">
        <f>1*$AD$28+JRC_Data!AD18*(1.2-$AD$28)</f>
        <v>3.2699999999999996</v>
      </c>
      <c r="I123" s="383">
        <f>1*$AD$28+JRC_Data!AE18*(1.2-$AD$28)</f>
        <v>3.6299999999999994</v>
      </c>
      <c r="J123" s="383">
        <f>1*$AD$28+JRC_Data!AF18*(1.2-$AD$28)</f>
        <v>3.8999999999999995</v>
      </c>
      <c r="K123" s="383">
        <f>1*$AD$28+JRC_Data!AG18*(1.2-$AD$28)</f>
        <v>3.8999999999999995</v>
      </c>
      <c r="L123" s="49"/>
      <c r="M123" s="50"/>
      <c r="N123" s="50"/>
      <c r="O123" s="51"/>
      <c r="P123" s="256">
        <f>H123*0.7</f>
        <v>2.2889999999999997</v>
      </c>
      <c r="Q123" s="26">
        <f t="shared" ref="Q123" si="102">I123*0.7</f>
        <v>2.5409999999999995</v>
      </c>
      <c r="R123" s="26">
        <f t="shared" ref="R123" si="103">J123*0.7</f>
        <v>2.7299999999999995</v>
      </c>
      <c r="S123" s="59">
        <f t="shared" ref="S123" si="104">K123*0.7</f>
        <v>2.7299999999999995</v>
      </c>
      <c r="T123" s="3">
        <v>20</v>
      </c>
      <c r="V123" s="79">
        <f>(V115+V98)*0.8</f>
        <v>10.987282270335434</v>
      </c>
      <c r="W123" s="79">
        <f t="shared" ref="W123:Y123" si="105">(W115+W98)*0.8</f>
        <v>10.272315282993665</v>
      </c>
      <c r="X123" s="79">
        <f t="shared" si="105"/>
        <v>9.6216953245126504</v>
      </c>
      <c r="Y123" s="79">
        <f t="shared" si="105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</v>
      </c>
      <c r="AE123" s="83">
        <v>5</v>
      </c>
      <c r="AF123" s="82">
        <f t="shared" si="63"/>
        <v>0.62441279999999999</v>
      </c>
      <c r="AG123" s="83"/>
      <c r="AH123" s="83">
        <v>2019</v>
      </c>
      <c r="AI123" s="83">
        <f>AI98*AD123+AI116*(1-AD123)</f>
        <v>19.799999999999997</v>
      </c>
      <c r="AK123" s="2"/>
      <c r="AL123" s="105" t="str">
        <f t="shared" si="100"/>
        <v>R-WH_Det_SOL_N1</v>
      </c>
      <c r="AM123" s="105" t="str">
        <f t="shared" si="101"/>
        <v xml:space="preserve">Residential Solar Water Heater </v>
      </c>
      <c r="AN123" s="106" t="s">
        <v>13</v>
      </c>
      <c r="AO123" s="106" t="s">
        <v>183</v>
      </c>
      <c r="AP123" s="106"/>
      <c r="AQ123" s="106" t="s">
        <v>75</v>
      </c>
    </row>
    <row r="124" spans="3:43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3"/>
      <c r="AG124" s="34"/>
      <c r="AH124" s="34"/>
      <c r="AI124" s="34"/>
      <c r="AK124" s="2"/>
      <c r="AL124" s="105" t="str">
        <f>C131</f>
        <v>R-SC_Det_ELC_N1</v>
      </c>
      <c r="AM124" s="105" t="str">
        <f>D131</f>
        <v>Residential Electric Air Conditioning</v>
      </c>
      <c r="AN124" s="104" t="s">
        <v>13</v>
      </c>
      <c r="AO124" s="104" t="s">
        <v>183</v>
      </c>
      <c r="AP124" s="104"/>
      <c r="AQ124" s="104" t="s">
        <v>75</v>
      </c>
    </row>
    <row r="125" spans="3:43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>
        <f t="shared" si="63"/>
        <v>1.1983680000000001</v>
      </c>
      <c r="AG125" s="88"/>
      <c r="AH125" s="65">
        <v>2035</v>
      </c>
      <c r="AI125" s="88">
        <v>38</v>
      </c>
    </row>
    <row r="126" spans="3:43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>
        <f t="shared" si="63"/>
        <v>1.1983680000000001</v>
      </c>
      <c r="AG126" s="67"/>
      <c r="AH126" s="66">
        <v>2035</v>
      </c>
      <c r="AI126" s="67">
        <v>38</v>
      </c>
    </row>
    <row r="127" spans="3:43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3"/>
      <c r="AG127" s="34"/>
      <c r="AH127" s="34"/>
      <c r="AI127" s="34"/>
    </row>
    <row r="128" spans="3:43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>
        <f t="shared" si="63"/>
        <v>0.25228800000000001</v>
      </c>
      <c r="AG128" s="88"/>
      <c r="AH128" s="88">
        <v>2019</v>
      </c>
      <c r="AI128" s="88">
        <v>8</v>
      </c>
    </row>
    <row r="129" spans="3:35" x14ac:dyDescent="0.2">
      <c r="C129" s="256" t="str">
        <f>"R-WH_Det"&amp;"_"&amp;RIGHT(E129,3)&amp;"_N1"</f>
        <v>R-WH_Det_SOL_N1</v>
      </c>
      <c r="D129" s="26" t="s">
        <v>123</v>
      </c>
      <c r="E129" s="27" t="s">
        <v>307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>
        <f t="shared" si="63"/>
        <v>0.25228800000000001</v>
      </c>
      <c r="AG129" s="67"/>
      <c r="AH129" s="66">
        <v>2019</v>
      </c>
      <c r="AI129" s="66">
        <v>8</v>
      </c>
    </row>
    <row r="130" spans="3:35" x14ac:dyDescent="0.2">
      <c r="C130" s="33" t="s">
        <v>317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3"/>
      <c r="AG130" s="34"/>
      <c r="AH130" s="34"/>
      <c r="AI130" s="34"/>
    </row>
    <row r="131" spans="3:35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>
        <f t="shared" si="63"/>
        <v>0.25228800000000001</v>
      </c>
      <c r="AG131" s="92"/>
      <c r="AH131" s="92">
        <v>2019</v>
      </c>
      <c r="AI131" s="92">
        <v>8</v>
      </c>
    </row>
    <row r="133" spans="3:35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5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5" ht="30" customHeight="1" x14ac:dyDescent="0.2">
      <c r="J136" s="11"/>
    </row>
    <row r="139" spans="3:35" x14ac:dyDescent="0.2">
      <c r="J139" s="11"/>
    </row>
    <row r="142" spans="3:35" x14ac:dyDescent="0.2">
      <c r="J142" s="11"/>
    </row>
    <row r="143" spans="3:35" x14ac:dyDescent="0.2">
      <c r="J143" s="11"/>
      <c r="T143" s="3" t="s">
        <v>560</v>
      </c>
    </row>
    <row r="144" spans="3:35" x14ac:dyDescent="0.2">
      <c r="J144" s="11"/>
      <c r="T144" s="3" t="s">
        <v>218</v>
      </c>
      <c r="U144" s="3" t="s">
        <v>562</v>
      </c>
      <c r="V144" s="3" t="s">
        <v>557</v>
      </c>
    </row>
    <row r="145" spans="1:22" x14ac:dyDescent="0.2">
      <c r="J145" s="11"/>
      <c r="T145" s="380">
        <v>3</v>
      </c>
      <c r="U145" s="381">
        <f t="shared" ref="U145:U154" si="106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6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6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6"/>
        <v>0.86872586872586877</v>
      </c>
      <c r="V148" s="380">
        <f>V151-(V153-V151)</f>
        <v>2250</v>
      </c>
    </row>
    <row r="149" spans="1:22" x14ac:dyDescent="0.2">
      <c r="A149" s="2"/>
      <c r="M149" s="34" t="s">
        <v>545</v>
      </c>
      <c r="N149" s="34"/>
      <c r="O149" s="34"/>
      <c r="P149" s="34"/>
      <c r="Q149" s="34"/>
      <c r="T149" s="3">
        <v>15</v>
      </c>
      <c r="U149" s="371">
        <f t="shared" si="106"/>
        <v>0.91505791505791501</v>
      </c>
      <c r="V149" s="3">
        <v>2370</v>
      </c>
    </row>
    <row r="150" spans="1:22" x14ac:dyDescent="0.2">
      <c r="M150" s="3" t="s">
        <v>553</v>
      </c>
      <c r="N150" s="3" t="s">
        <v>554</v>
      </c>
      <c r="O150" s="4" t="s">
        <v>551</v>
      </c>
      <c r="P150" s="370" t="s">
        <v>555</v>
      </c>
      <c r="Q150" s="4" t="s">
        <v>550</v>
      </c>
      <c r="T150" s="3">
        <v>18</v>
      </c>
      <c r="U150" s="371">
        <f t="shared" si="106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6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546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6"/>
        <v>0.94594594594594594</v>
      </c>
      <c r="V152" s="3">
        <v>2450</v>
      </c>
    </row>
    <row r="153" spans="1:22" x14ac:dyDescent="0.2">
      <c r="M153" s="4">
        <v>99</v>
      </c>
      <c r="N153" s="4" t="s">
        <v>547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6"/>
        <v>1</v>
      </c>
      <c r="V153" s="3">
        <v>2590</v>
      </c>
    </row>
    <row r="154" spans="1:22" x14ac:dyDescent="0.2">
      <c r="M154" s="4">
        <v>150</v>
      </c>
      <c r="N154" s="4" t="s">
        <v>548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6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549</v>
      </c>
      <c r="N156" s="4"/>
      <c r="O156" s="4"/>
      <c r="P156" s="4"/>
      <c r="Q156" s="4"/>
    </row>
    <row r="157" spans="1:22" x14ac:dyDescent="0.2">
      <c r="M157" s="4" t="s">
        <v>552</v>
      </c>
      <c r="N157" s="4"/>
      <c r="O157" s="4"/>
      <c r="P157" s="4"/>
      <c r="Q157" s="4"/>
    </row>
    <row r="158" spans="1:22" x14ac:dyDescent="0.2">
      <c r="M158" s="208" t="s">
        <v>558</v>
      </c>
    </row>
    <row r="159" spans="1:22" x14ac:dyDescent="0.2">
      <c r="M159" s="3" t="s">
        <v>559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597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308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40" t="s">
        <v>86</v>
      </c>
      <c r="M5" s="541"/>
      <c r="N5" s="541"/>
      <c r="O5" s="542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4" t="s">
        <v>544</v>
      </c>
      <c r="M6" s="536"/>
      <c r="N6" s="536"/>
      <c r="O6" s="535"/>
      <c r="P6" s="377" t="s">
        <v>556</v>
      </c>
      <c r="Q6" s="61" t="s">
        <v>34</v>
      </c>
      <c r="R6" s="377" t="s">
        <v>332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325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568</v>
      </c>
      <c r="F21" s="123" t="s">
        <v>13</v>
      </c>
      <c r="G21" s="123" t="s">
        <v>126</v>
      </c>
      <c r="H21" s="123"/>
      <c r="I21" s="123"/>
      <c r="J21" s="124" t="s">
        <v>598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569</v>
      </c>
      <c r="F22" s="123" t="s">
        <v>13</v>
      </c>
      <c r="G22" s="123" t="s">
        <v>126</v>
      </c>
      <c r="H22" s="123"/>
      <c r="I22" s="123"/>
      <c r="J22" s="124" t="s">
        <v>598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570</v>
      </c>
      <c r="F23" s="123" t="s">
        <v>13</v>
      </c>
      <c r="G23" s="123" t="s">
        <v>126</v>
      </c>
      <c r="H23" s="123"/>
      <c r="I23" s="123"/>
      <c r="J23" s="124" t="s">
        <v>598</v>
      </c>
    </row>
    <row r="24" spans="3:17" x14ac:dyDescent="0.2">
      <c r="C24" s="122" t="s">
        <v>31</v>
      </c>
      <c r="D24" s="123" t="s">
        <v>327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598</v>
      </c>
    </row>
    <row r="25" spans="3:17" x14ac:dyDescent="0.2">
      <c r="C25" s="122" t="s">
        <v>31</v>
      </c>
      <c r="D25" s="123" t="s">
        <v>328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598</v>
      </c>
    </row>
    <row r="26" spans="3:17" x14ac:dyDescent="0.2">
      <c r="C26" s="122" t="s">
        <v>31</v>
      </c>
      <c r="D26" s="123" t="s">
        <v>329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598</v>
      </c>
      <c r="Q26" s="131"/>
    </row>
    <row r="27" spans="3:17" x14ac:dyDescent="0.2">
      <c r="C27" s="122" t="s">
        <v>31</v>
      </c>
      <c r="D27" s="123" t="s">
        <v>330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598</v>
      </c>
    </row>
    <row r="28" spans="3:17" x14ac:dyDescent="0.2">
      <c r="C28" s="122" t="s">
        <v>31</v>
      </c>
      <c r="D28" s="125" t="s">
        <v>331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0" t="s">
        <v>86</v>
      </c>
      <c r="M33" s="541"/>
      <c r="N33" s="541"/>
      <c r="O33" s="542"/>
    </row>
    <row r="34" spans="8:15" x14ac:dyDescent="0.2">
      <c r="H34" s="3" t="s">
        <v>139</v>
      </c>
      <c r="L34" s="534" t="s">
        <v>91</v>
      </c>
      <c r="M34" s="536"/>
      <c r="N34" s="536"/>
      <c r="O34" s="535"/>
    </row>
    <row r="35" spans="8:15" ht="14.25" customHeight="1" x14ac:dyDescent="0.2">
      <c r="H35" s="3" t="s">
        <v>325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326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327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328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329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330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331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597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308</v>
      </c>
      <c r="P3" s="17" t="s">
        <v>77</v>
      </c>
      <c r="Q3" s="17" t="s">
        <v>78</v>
      </c>
      <c r="AA3" s="208" t="s">
        <v>584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40" t="s">
        <v>86</v>
      </c>
      <c r="L4" s="541"/>
      <c r="M4" s="542"/>
      <c r="N4" s="60"/>
      <c r="O4" s="60" t="s">
        <v>87</v>
      </c>
      <c r="P4" s="60" t="s">
        <v>66</v>
      </c>
      <c r="Q4" s="60"/>
      <c r="X4" s="60" t="s">
        <v>217</v>
      </c>
      <c r="AA4" s="208" t="s">
        <v>585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6" t="s">
        <v>34</v>
      </c>
      <c r="I5" s="547"/>
      <c r="J5" s="548"/>
      <c r="K5" s="546" t="s">
        <v>333</v>
      </c>
      <c r="L5" s="547"/>
      <c r="M5" s="548"/>
      <c r="N5" s="386" t="s">
        <v>92</v>
      </c>
      <c r="O5" s="386" t="s">
        <v>34</v>
      </c>
      <c r="P5" s="387" t="s">
        <v>332</v>
      </c>
      <c r="Q5" s="386" t="s">
        <v>94</v>
      </c>
      <c r="X5" s="61" t="s">
        <v>218</v>
      </c>
      <c r="AA5" s="208"/>
      <c r="AB5" s="543" t="s">
        <v>586</v>
      </c>
      <c r="AC5" s="543"/>
      <c r="AD5" s="388"/>
      <c r="AE5" s="544" t="s">
        <v>65</v>
      </c>
      <c r="AF5" s="544"/>
      <c r="AG5" s="544" t="s">
        <v>587</v>
      </c>
      <c r="AH5" s="544"/>
      <c r="AI5" s="545" t="s">
        <v>588</v>
      </c>
      <c r="AJ5" s="545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589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590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591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592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593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594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588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598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598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598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598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598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598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40" t="s">
        <v>86</v>
      </c>
      <c r="M27" s="541"/>
      <c r="N27" s="541"/>
      <c r="O27" s="542"/>
      <c r="T27" s="210"/>
      <c r="U27" s="210"/>
    </row>
    <row r="28" spans="3:21" x14ac:dyDescent="0.2">
      <c r="J28" s="3" t="s">
        <v>139</v>
      </c>
      <c r="L28" s="531" t="s">
        <v>91</v>
      </c>
      <c r="M28" s="532"/>
      <c r="N28" s="532"/>
      <c r="O28" s="533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334</v>
      </c>
      <c r="AC1" s="274">
        <v>100</v>
      </c>
      <c r="BB1" s="275" t="s">
        <v>335</v>
      </c>
      <c r="BC1" s="276"/>
      <c r="BD1" s="276" t="s">
        <v>336</v>
      </c>
      <c r="BE1" s="276" t="s">
        <v>337</v>
      </c>
      <c r="BF1" s="276" t="s">
        <v>338</v>
      </c>
    </row>
    <row r="2" spans="1:89" x14ac:dyDescent="0.2">
      <c r="A2" s="273" t="s">
        <v>604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339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543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340</v>
      </c>
      <c r="B4" s="282" t="s">
        <v>341</v>
      </c>
      <c r="C4" s="283" t="s">
        <v>342</v>
      </c>
      <c r="D4" s="550" t="s">
        <v>343</v>
      </c>
      <c r="E4" s="549"/>
      <c r="F4" s="549"/>
      <c r="G4" s="549"/>
      <c r="H4" s="551"/>
      <c r="I4" s="549" t="s">
        <v>344</v>
      </c>
      <c r="J4" s="549"/>
      <c r="K4" s="549"/>
      <c r="L4" s="549"/>
      <c r="M4" s="551"/>
      <c r="N4" s="549" t="s">
        <v>345</v>
      </c>
      <c r="O4" s="549"/>
      <c r="P4" s="549"/>
      <c r="Q4" s="549"/>
      <c r="R4" s="551"/>
      <c r="S4" s="549" t="s">
        <v>346</v>
      </c>
      <c r="T4" s="549"/>
      <c r="U4" s="549"/>
      <c r="V4" s="549"/>
      <c r="W4" s="551"/>
      <c r="X4" s="549" t="s">
        <v>347</v>
      </c>
      <c r="Y4" s="549"/>
      <c r="Z4" s="549"/>
      <c r="AA4" s="549"/>
      <c r="AB4" s="551"/>
      <c r="AC4" s="549" t="s">
        <v>348</v>
      </c>
      <c r="AD4" s="549"/>
      <c r="AE4" s="549"/>
      <c r="AF4" s="549"/>
      <c r="AG4" s="551"/>
      <c r="AH4" s="549" t="s">
        <v>349</v>
      </c>
      <c r="AI4" s="549"/>
      <c r="AJ4" s="549"/>
      <c r="AK4" s="549"/>
      <c r="AL4" s="551"/>
      <c r="AM4" s="549" t="s">
        <v>350</v>
      </c>
      <c r="AN4" s="549"/>
      <c r="AO4" s="549"/>
      <c r="AP4" s="549"/>
      <c r="AQ4" s="551"/>
      <c r="AR4" s="549" t="s">
        <v>351</v>
      </c>
      <c r="AS4" s="549"/>
      <c r="AT4" s="549"/>
      <c r="AU4" s="549"/>
      <c r="AV4" s="551"/>
      <c r="AW4" s="549" t="s">
        <v>352</v>
      </c>
      <c r="AX4" s="549"/>
      <c r="AY4" s="549"/>
      <c r="AZ4" s="549"/>
      <c r="BA4" s="549"/>
      <c r="BB4" s="550" t="s">
        <v>353</v>
      </c>
      <c r="BC4" s="549"/>
      <c r="BD4" s="549"/>
      <c r="BE4" s="549"/>
      <c r="BF4" s="551"/>
      <c r="BG4" s="549" t="s">
        <v>354</v>
      </c>
      <c r="BH4" s="549"/>
      <c r="BI4" s="549"/>
      <c r="BJ4" s="549"/>
      <c r="BK4" s="549"/>
      <c r="BL4" s="550" t="s">
        <v>355</v>
      </c>
      <c r="BM4" s="549"/>
      <c r="BN4" s="549"/>
      <c r="BO4" s="549"/>
      <c r="BP4" s="549"/>
      <c r="BQ4" s="550" t="s">
        <v>356</v>
      </c>
      <c r="BR4" s="549"/>
      <c r="BS4" s="549"/>
      <c r="BT4" s="549"/>
      <c r="BU4" s="551"/>
      <c r="BV4" s="284" t="s">
        <v>357</v>
      </c>
      <c r="BW4" s="552" t="s">
        <v>358</v>
      </c>
      <c r="BX4" s="553"/>
      <c r="BY4" s="553"/>
      <c r="BZ4" s="553"/>
      <c r="CA4" s="554"/>
      <c r="CB4" s="552" t="s">
        <v>359</v>
      </c>
      <c r="CC4" s="553"/>
      <c r="CD4" s="553"/>
      <c r="CE4" s="553"/>
      <c r="CF4" s="554"/>
      <c r="CG4" s="552" t="s">
        <v>360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361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362</v>
      </c>
      <c r="B7" s="305" t="s">
        <v>464</v>
      </c>
      <c r="C7" s="306" t="s">
        <v>363</v>
      </c>
      <c r="D7" s="307" t="s">
        <v>465</v>
      </c>
      <c r="E7" s="308" t="s">
        <v>465</v>
      </c>
      <c r="F7" s="308" t="s">
        <v>465</v>
      </c>
      <c r="G7" s="308" t="s">
        <v>465</v>
      </c>
      <c r="H7" s="309" t="s">
        <v>465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364</v>
      </c>
      <c r="B8" s="305" t="s">
        <v>363</v>
      </c>
      <c r="C8" s="306" t="s">
        <v>365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366</v>
      </c>
      <c r="B9" s="305" t="s">
        <v>367</v>
      </c>
      <c r="C9" s="306" t="s">
        <v>367</v>
      </c>
      <c r="D9" s="307" t="s">
        <v>466</v>
      </c>
      <c r="E9" s="308" t="s">
        <v>467</v>
      </c>
      <c r="F9" s="308" t="s">
        <v>468</v>
      </c>
      <c r="G9" s="308" t="s">
        <v>468</v>
      </c>
      <c r="H9" s="309" t="s">
        <v>469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470</v>
      </c>
      <c r="AS9" s="308" t="s">
        <v>471</v>
      </c>
      <c r="AT9" s="308" t="s">
        <v>472</v>
      </c>
      <c r="AU9" s="308" t="s">
        <v>473</v>
      </c>
      <c r="AV9" s="309" t="s">
        <v>473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368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369</v>
      </c>
      <c r="B10" s="305" t="s">
        <v>474</v>
      </c>
      <c r="C10" s="306" t="s">
        <v>370</v>
      </c>
      <c r="D10" s="307" t="s">
        <v>475</v>
      </c>
      <c r="E10" s="308" t="s">
        <v>475</v>
      </c>
      <c r="F10" s="308" t="s">
        <v>475</v>
      </c>
      <c r="G10" s="308" t="s">
        <v>475</v>
      </c>
      <c r="H10" s="309" t="s">
        <v>475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368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371</v>
      </c>
      <c r="B11" s="305" t="s">
        <v>476</v>
      </c>
      <c r="C11" s="306" t="s">
        <v>372</v>
      </c>
      <c r="D11" s="307" t="s">
        <v>477</v>
      </c>
      <c r="E11" s="308" t="s">
        <v>466</v>
      </c>
      <c r="F11" s="308" t="s">
        <v>478</v>
      </c>
      <c r="G11" s="308" t="s">
        <v>478</v>
      </c>
      <c r="H11" s="309" t="s">
        <v>478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373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374</v>
      </c>
      <c r="B12" s="305" t="s">
        <v>479</v>
      </c>
      <c r="C12" s="306" t="s">
        <v>375</v>
      </c>
      <c r="D12" s="307" t="s">
        <v>480</v>
      </c>
      <c r="E12" s="308" t="s">
        <v>480</v>
      </c>
      <c r="F12" s="308" t="s">
        <v>480</v>
      </c>
      <c r="G12" s="308" t="s">
        <v>480</v>
      </c>
      <c r="H12" s="309" t="s">
        <v>480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376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377</v>
      </c>
      <c r="B13" s="305" t="s">
        <v>481</v>
      </c>
      <c r="C13" s="306" t="s">
        <v>378</v>
      </c>
      <c r="D13" s="307" t="s">
        <v>482</v>
      </c>
      <c r="E13" s="308" t="s">
        <v>483</v>
      </c>
      <c r="F13" s="308" t="s">
        <v>484</v>
      </c>
      <c r="G13" s="308" t="s">
        <v>485</v>
      </c>
      <c r="H13" s="309" t="s">
        <v>485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379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380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381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382</v>
      </c>
      <c r="B16" s="305" t="s">
        <v>486</v>
      </c>
      <c r="C16" s="306" t="s">
        <v>383</v>
      </c>
      <c r="D16" s="307" t="s">
        <v>487</v>
      </c>
      <c r="E16" s="308" t="s">
        <v>487</v>
      </c>
      <c r="F16" s="308" t="s">
        <v>487</v>
      </c>
      <c r="G16" s="308" t="s">
        <v>487</v>
      </c>
      <c r="H16" s="309" t="s">
        <v>487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384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385</v>
      </c>
      <c r="B18" s="305" t="s">
        <v>488</v>
      </c>
      <c r="C18" s="306" t="s">
        <v>386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387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388</v>
      </c>
      <c r="B19" s="305" t="s">
        <v>489</v>
      </c>
      <c r="C19" s="306" t="s">
        <v>389</v>
      </c>
      <c r="D19" s="307" t="s">
        <v>490</v>
      </c>
      <c r="E19" s="308" t="s">
        <v>490</v>
      </c>
      <c r="F19" s="308" t="s">
        <v>490</v>
      </c>
      <c r="G19" s="308" t="s">
        <v>490</v>
      </c>
      <c r="H19" s="309" t="s">
        <v>490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491</v>
      </c>
      <c r="CC19" s="312" t="s">
        <v>491</v>
      </c>
      <c r="CD19" s="312" t="s">
        <v>491</v>
      </c>
      <c r="CE19" s="312" t="s">
        <v>491</v>
      </c>
      <c r="CF19" s="313" t="s">
        <v>491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390</v>
      </c>
      <c r="B20" s="305" t="s">
        <v>492</v>
      </c>
      <c r="C20" s="306" t="s">
        <v>391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392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393</v>
      </c>
      <c r="B21" s="305" t="s">
        <v>493</v>
      </c>
      <c r="C21" s="306" t="s">
        <v>394</v>
      </c>
      <c r="D21" s="307" t="s">
        <v>490</v>
      </c>
      <c r="E21" s="308" t="s">
        <v>490</v>
      </c>
      <c r="F21" s="308" t="s">
        <v>490</v>
      </c>
      <c r="G21" s="308" t="s">
        <v>490</v>
      </c>
      <c r="H21" s="309" t="s">
        <v>490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392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395</v>
      </c>
      <c r="B22" s="305" t="s">
        <v>494</v>
      </c>
      <c r="C22" s="306" t="s">
        <v>395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396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397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398</v>
      </c>
      <c r="B24" s="305" t="s">
        <v>495</v>
      </c>
      <c r="C24" s="306" t="s">
        <v>399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400</v>
      </c>
      <c r="B25" s="305" t="s">
        <v>496</v>
      </c>
      <c r="C25" s="306" t="s">
        <v>401</v>
      </c>
      <c r="D25" s="307" t="s">
        <v>497</v>
      </c>
      <c r="E25" s="308" t="s">
        <v>497</v>
      </c>
      <c r="F25" s="308" t="s">
        <v>497</v>
      </c>
      <c r="G25" s="308" t="s">
        <v>497</v>
      </c>
      <c r="H25" s="309" t="s">
        <v>497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491</v>
      </c>
      <c r="CC25" s="312" t="s">
        <v>491</v>
      </c>
      <c r="CD25" s="312" t="s">
        <v>491</v>
      </c>
      <c r="CE25" s="312" t="s">
        <v>491</v>
      </c>
      <c r="CF25" s="313" t="s">
        <v>491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565</v>
      </c>
      <c r="B26" s="305" t="s">
        <v>566</v>
      </c>
      <c r="C26" s="305" t="s">
        <v>399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402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403</v>
      </c>
      <c r="B28" s="305" t="s">
        <v>498</v>
      </c>
      <c r="C28" s="306" t="s">
        <v>404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405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406</v>
      </c>
      <c r="B29" s="305" t="s">
        <v>499</v>
      </c>
      <c r="C29" s="306" t="s">
        <v>407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405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408</v>
      </c>
      <c r="B30" s="305" t="s">
        <v>500</v>
      </c>
      <c r="C30" s="306" t="s">
        <v>409</v>
      </c>
      <c r="D30" s="307" t="s">
        <v>472</v>
      </c>
      <c r="E30" s="308" t="s">
        <v>472</v>
      </c>
      <c r="F30" s="308" t="s">
        <v>472</v>
      </c>
      <c r="G30" s="308" t="s">
        <v>472</v>
      </c>
      <c r="H30" s="309" t="s">
        <v>472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501</v>
      </c>
      <c r="AX30" s="308" t="s">
        <v>502</v>
      </c>
      <c r="AY30" s="308" t="s">
        <v>502</v>
      </c>
      <c r="AZ30" s="308" t="s">
        <v>502</v>
      </c>
      <c r="BA30" s="309" t="s">
        <v>502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410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411</v>
      </c>
      <c r="B31" s="305" t="s">
        <v>503</v>
      </c>
      <c r="C31" s="332" t="s">
        <v>412</v>
      </c>
      <c r="D31" s="307" t="s">
        <v>504</v>
      </c>
      <c r="E31" s="308" t="s">
        <v>504</v>
      </c>
      <c r="F31" s="308" t="s">
        <v>504</v>
      </c>
      <c r="G31" s="308" t="s">
        <v>504</v>
      </c>
      <c r="H31" s="309" t="s">
        <v>504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413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414</v>
      </c>
      <c r="B32" s="305" t="s">
        <v>494</v>
      </c>
      <c r="C32" s="306" t="s">
        <v>415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491</v>
      </c>
      <c r="BX32" s="312" t="s">
        <v>491</v>
      </c>
      <c r="BY32" s="312" t="s">
        <v>491</v>
      </c>
      <c r="BZ32" s="312" t="s">
        <v>491</v>
      </c>
      <c r="CA32" s="313" t="s">
        <v>491</v>
      </c>
      <c r="CB32" s="312" t="s">
        <v>491</v>
      </c>
      <c r="CC32" s="312" t="s">
        <v>491</v>
      </c>
      <c r="CD32" s="312" t="s">
        <v>491</v>
      </c>
      <c r="CE32" s="312" t="s">
        <v>491</v>
      </c>
      <c r="CF32" s="313" t="s">
        <v>491</v>
      </c>
      <c r="CG32" s="314" t="s">
        <v>491</v>
      </c>
      <c r="CH32" s="312" t="s">
        <v>491</v>
      </c>
      <c r="CI32" s="312" t="s">
        <v>491</v>
      </c>
      <c r="CJ32" s="312" t="s">
        <v>491</v>
      </c>
      <c r="CK32" s="313" t="s">
        <v>491</v>
      </c>
    </row>
    <row r="33" spans="1:89" s="303" customFormat="1" x14ac:dyDescent="0.2">
      <c r="A33" s="296" t="s">
        <v>416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417</v>
      </c>
      <c r="B34" s="305" t="s">
        <v>494</v>
      </c>
      <c r="C34" s="306" t="s">
        <v>418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396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419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420</v>
      </c>
      <c r="B36" s="305" t="s">
        <v>505</v>
      </c>
      <c r="C36" s="306" t="s">
        <v>421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506</v>
      </c>
      <c r="O36" s="308" t="s">
        <v>507</v>
      </c>
      <c r="P36" s="308" t="s">
        <v>507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508</v>
      </c>
      <c r="Y36" s="308" t="s">
        <v>508</v>
      </c>
      <c r="Z36" s="308" t="s">
        <v>509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510</v>
      </c>
      <c r="AY36" s="308" t="s">
        <v>510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422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491</v>
      </c>
      <c r="CF36" s="340" t="s">
        <v>491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423</v>
      </c>
      <c r="B37" s="305" t="s">
        <v>511</v>
      </c>
      <c r="C37" s="306" t="s">
        <v>424</v>
      </c>
      <c r="D37" s="307" t="s">
        <v>512</v>
      </c>
      <c r="E37" s="308" t="s">
        <v>512</v>
      </c>
      <c r="F37" s="308" t="s">
        <v>512</v>
      </c>
      <c r="G37" s="308">
        <v>0</v>
      </c>
      <c r="H37" s="309">
        <v>0</v>
      </c>
      <c r="I37" s="308" t="s">
        <v>513</v>
      </c>
      <c r="J37" s="308" t="s">
        <v>514</v>
      </c>
      <c r="K37" s="308" t="s">
        <v>515</v>
      </c>
      <c r="L37" s="308">
        <v>0</v>
      </c>
      <c r="M37" s="309">
        <v>0</v>
      </c>
      <c r="N37" s="308" t="s">
        <v>516</v>
      </c>
      <c r="O37" s="308" t="s">
        <v>516</v>
      </c>
      <c r="P37" s="308" t="s">
        <v>516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517</v>
      </c>
      <c r="Y37" s="308" t="s">
        <v>517</v>
      </c>
      <c r="Z37" s="308" t="s">
        <v>517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501</v>
      </c>
      <c r="AX37" s="308" t="s">
        <v>501</v>
      </c>
      <c r="AY37" s="308" t="s">
        <v>501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422</v>
      </c>
      <c r="BW37" s="316">
        <v>446.15384615384613</v>
      </c>
      <c r="BX37" s="316">
        <v>446.15384615384613</v>
      </c>
      <c r="BY37" s="316">
        <v>446.15384615384613</v>
      </c>
      <c r="BZ37" s="316" t="s">
        <v>491</v>
      </c>
      <c r="CA37" s="317" t="s">
        <v>491</v>
      </c>
      <c r="CB37" s="330">
        <v>1.2307692307692308</v>
      </c>
      <c r="CC37" s="341">
        <v>1.2307692307692308</v>
      </c>
      <c r="CD37" s="341">
        <v>1.2307692307692308</v>
      </c>
      <c r="CE37" s="341" t="s">
        <v>491</v>
      </c>
      <c r="CF37" s="342" t="s">
        <v>491</v>
      </c>
      <c r="CG37" s="314">
        <v>0</v>
      </c>
      <c r="CH37" s="312">
        <v>0</v>
      </c>
      <c r="CI37" s="312">
        <v>0</v>
      </c>
      <c r="CJ37" s="312" t="s">
        <v>491</v>
      </c>
      <c r="CK37" s="313" t="s">
        <v>491</v>
      </c>
    </row>
    <row r="38" spans="1:89" s="303" customFormat="1" x14ac:dyDescent="0.2">
      <c r="A38" s="304" t="s">
        <v>425</v>
      </c>
      <c r="B38" s="305" t="s">
        <v>494</v>
      </c>
      <c r="C38" s="306" t="s">
        <v>426</v>
      </c>
      <c r="D38" s="327" t="s">
        <v>427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396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428</v>
      </c>
      <c r="B39" s="305" t="s">
        <v>518</v>
      </c>
      <c r="C39" s="306" t="s">
        <v>429</v>
      </c>
      <c r="D39" s="307" t="s">
        <v>519</v>
      </c>
      <c r="E39" s="308" t="s">
        <v>520</v>
      </c>
      <c r="F39" s="308" t="s">
        <v>521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522</v>
      </c>
      <c r="O39" s="308" t="s">
        <v>522</v>
      </c>
      <c r="P39" s="308" t="s">
        <v>522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517</v>
      </c>
      <c r="Y39" s="308" t="s">
        <v>517</v>
      </c>
      <c r="Z39" s="308" t="s">
        <v>517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510</v>
      </c>
      <c r="AY39" s="308" t="s">
        <v>510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430</v>
      </c>
      <c r="BW39" s="316">
        <v>1263.1578947368421</v>
      </c>
      <c r="BX39" s="316">
        <v>875</v>
      </c>
      <c r="BY39" s="316">
        <v>909.09090909090912</v>
      </c>
      <c r="BZ39" s="316" t="s">
        <v>491</v>
      </c>
      <c r="CA39" s="317" t="s">
        <v>491</v>
      </c>
      <c r="CB39" s="316">
        <v>263.15789473684208</v>
      </c>
      <c r="CC39" s="316">
        <v>312.5</v>
      </c>
      <c r="CD39" s="316">
        <v>454.54545454545456</v>
      </c>
      <c r="CE39" s="316" t="s">
        <v>491</v>
      </c>
      <c r="CF39" s="317" t="s">
        <v>491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431</v>
      </c>
      <c r="B40" s="305" t="s">
        <v>523</v>
      </c>
      <c r="C40" s="306" t="s">
        <v>432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522</v>
      </c>
      <c r="O40" s="308" t="s">
        <v>522</v>
      </c>
      <c r="P40" s="308" t="s">
        <v>522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524</v>
      </c>
      <c r="Y40" s="308" t="s">
        <v>524</v>
      </c>
      <c r="Z40" s="308" t="s">
        <v>524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510</v>
      </c>
      <c r="AY40" s="308" t="s">
        <v>510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430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433</v>
      </c>
      <c r="B41" s="305" t="s">
        <v>525</v>
      </c>
      <c r="C41" s="306" t="s">
        <v>434</v>
      </c>
      <c r="D41" s="307" t="s">
        <v>526</v>
      </c>
      <c r="E41" s="308" t="s">
        <v>526</v>
      </c>
      <c r="F41" s="308" t="s">
        <v>526</v>
      </c>
      <c r="G41" s="308" t="s">
        <v>491</v>
      </c>
      <c r="H41" s="309" t="s">
        <v>491</v>
      </c>
      <c r="I41" s="308" t="s">
        <v>527</v>
      </c>
      <c r="J41" s="308" t="s">
        <v>527</v>
      </c>
      <c r="K41" s="308" t="s">
        <v>527</v>
      </c>
      <c r="L41" s="308">
        <v>0</v>
      </c>
      <c r="M41" s="309">
        <v>0</v>
      </c>
      <c r="N41" s="308" t="s">
        <v>528</v>
      </c>
      <c r="O41" s="308" t="s">
        <v>528</v>
      </c>
      <c r="P41" s="308" t="s">
        <v>528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529</v>
      </c>
      <c r="Y41" s="308" t="s">
        <v>529</v>
      </c>
      <c r="Z41" s="308" t="s">
        <v>529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530</v>
      </c>
      <c r="AX41" s="308" t="s">
        <v>531</v>
      </c>
      <c r="AY41" s="308" t="s">
        <v>531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430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435</v>
      </c>
      <c r="B42" s="305" t="s">
        <v>532</v>
      </c>
      <c r="C42" s="306" t="s">
        <v>436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517</v>
      </c>
      <c r="O42" s="308" t="s">
        <v>517</v>
      </c>
      <c r="P42" s="308" t="s">
        <v>517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517</v>
      </c>
      <c r="Y42" s="308" t="s">
        <v>517</v>
      </c>
      <c r="Z42" s="308" t="s">
        <v>517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510</v>
      </c>
      <c r="AY42" s="308" t="s">
        <v>510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430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437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438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439</v>
      </c>
      <c r="B45" s="305" t="s">
        <v>533</v>
      </c>
      <c r="C45" s="306" t="s">
        <v>440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441</v>
      </c>
      <c r="B46" s="305" t="s">
        <v>534</v>
      </c>
      <c r="C46" s="306" t="s">
        <v>442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443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444</v>
      </c>
      <c r="B48" s="305" t="s">
        <v>535</v>
      </c>
      <c r="C48" s="306" t="s">
        <v>445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446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447</v>
      </c>
      <c r="B49" s="305" t="s">
        <v>536</v>
      </c>
      <c r="C49" s="306" t="s">
        <v>448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446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449</v>
      </c>
      <c r="B50" s="305" t="s">
        <v>494</v>
      </c>
      <c r="C50" s="306" t="s">
        <v>449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396</v>
      </c>
      <c r="BW50" s="312" t="s">
        <v>491</v>
      </c>
      <c r="BX50" s="312" t="s">
        <v>491</v>
      </c>
      <c r="BY50" s="312" t="s">
        <v>491</v>
      </c>
      <c r="BZ50" s="312" t="s">
        <v>491</v>
      </c>
      <c r="CA50" s="313" t="s">
        <v>491</v>
      </c>
      <c r="CB50" s="312" t="s">
        <v>491</v>
      </c>
      <c r="CC50" s="312" t="s">
        <v>491</v>
      </c>
      <c r="CD50" s="312" t="s">
        <v>491</v>
      </c>
      <c r="CE50" s="312" t="s">
        <v>491</v>
      </c>
      <c r="CF50" s="313" t="s">
        <v>491</v>
      </c>
      <c r="CG50" s="314" t="s">
        <v>491</v>
      </c>
      <c r="CH50" s="312" t="s">
        <v>491</v>
      </c>
      <c r="CI50" s="312" t="s">
        <v>491</v>
      </c>
      <c r="CJ50" s="312" t="s">
        <v>491</v>
      </c>
      <c r="CK50" s="313" t="s">
        <v>491</v>
      </c>
    </row>
    <row r="51" spans="1:89" s="303" customFormat="1" x14ac:dyDescent="0.2">
      <c r="A51" s="304"/>
      <c r="B51" s="305"/>
      <c r="C51" s="306" t="s">
        <v>450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451</v>
      </c>
      <c r="B52" s="347" t="s">
        <v>494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396</v>
      </c>
      <c r="BW52" s="355" t="s">
        <v>491</v>
      </c>
      <c r="BX52" s="355" t="s">
        <v>491</v>
      </c>
      <c r="BY52" s="355" t="s">
        <v>491</v>
      </c>
      <c r="BZ52" s="355" t="s">
        <v>491</v>
      </c>
      <c r="CA52" s="356" t="s">
        <v>491</v>
      </c>
      <c r="CB52" s="355" t="s">
        <v>491</v>
      </c>
      <c r="CC52" s="355" t="s">
        <v>491</v>
      </c>
      <c r="CD52" s="355" t="s">
        <v>491</v>
      </c>
      <c r="CE52" s="355" t="s">
        <v>491</v>
      </c>
      <c r="CF52" s="356" t="s">
        <v>491</v>
      </c>
      <c r="CG52" s="355" t="s">
        <v>491</v>
      </c>
      <c r="CH52" s="355" t="s">
        <v>491</v>
      </c>
      <c r="CI52" s="355" t="s">
        <v>491</v>
      </c>
      <c r="CJ52" s="355" t="s">
        <v>491</v>
      </c>
      <c r="CK52" s="356" t="s">
        <v>491</v>
      </c>
    </row>
    <row r="53" spans="1:89" s="303" customFormat="1" x14ac:dyDescent="0.2">
      <c r="A53" s="346" t="s">
        <v>452</v>
      </c>
      <c r="B53" s="347" t="s">
        <v>494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396</v>
      </c>
      <c r="BW53" s="355" t="s">
        <v>491</v>
      </c>
      <c r="BX53" s="355" t="s">
        <v>491</v>
      </c>
      <c r="BY53" s="355" t="s">
        <v>491</v>
      </c>
      <c r="BZ53" s="355" t="s">
        <v>491</v>
      </c>
      <c r="CA53" s="356" t="s">
        <v>491</v>
      </c>
      <c r="CB53" s="355" t="s">
        <v>491</v>
      </c>
      <c r="CC53" s="355" t="s">
        <v>491</v>
      </c>
      <c r="CD53" s="355" t="s">
        <v>491</v>
      </c>
      <c r="CE53" s="355" t="s">
        <v>491</v>
      </c>
      <c r="CF53" s="356" t="s">
        <v>491</v>
      </c>
      <c r="CG53" s="355" t="s">
        <v>491</v>
      </c>
      <c r="CH53" s="355" t="s">
        <v>491</v>
      </c>
      <c r="CI53" s="355" t="s">
        <v>491</v>
      </c>
      <c r="CJ53" s="355" t="s">
        <v>491</v>
      </c>
      <c r="CK53" s="356" t="s">
        <v>491</v>
      </c>
    </row>
    <row r="54" spans="1:89" s="303" customFormat="1" x14ac:dyDescent="0.2">
      <c r="A54" s="346" t="s">
        <v>453</v>
      </c>
      <c r="B54" s="347" t="s">
        <v>494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396</v>
      </c>
      <c r="BW54" s="355" t="s">
        <v>491</v>
      </c>
      <c r="BX54" s="355" t="s">
        <v>491</v>
      </c>
      <c r="BY54" s="355" t="s">
        <v>491</v>
      </c>
      <c r="BZ54" s="355" t="s">
        <v>491</v>
      </c>
      <c r="CA54" s="356" t="s">
        <v>491</v>
      </c>
      <c r="CB54" s="355" t="s">
        <v>491</v>
      </c>
      <c r="CC54" s="355" t="s">
        <v>491</v>
      </c>
      <c r="CD54" s="355" t="s">
        <v>491</v>
      </c>
      <c r="CE54" s="355" t="s">
        <v>491</v>
      </c>
      <c r="CF54" s="356" t="s">
        <v>491</v>
      </c>
      <c r="CG54" s="355" t="s">
        <v>491</v>
      </c>
      <c r="CH54" s="355" t="s">
        <v>491</v>
      </c>
      <c r="CI54" s="355" t="s">
        <v>491</v>
      </c>
      <c r="CJ54" s="355" t="s">
        <v>491</v>
      </c>
      <c r="CK54" s="356" t="s">
        <v>491</v>
      </c>
    </row>
    <row r="55" spans="1:89" s="303" customFormat="1" x14ac:dyDescent="0.2">
      <c r="A55" s="346" t="s">
        <v>454</v>
      </c>
      <c r="B55" s="347" t="s">
        <v>494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396</v>
      </c>
      <c r="BW55" s="355" t="s">
        <v>491</v>
      </c>
      <c r="BX55" s="355" t="s">
        <v>491</v>
      </c>
      <c r="BY55" s="355" t="s">
        <v>491</v>
      </c>
      <c r="BZ55" s="355" t="s">
        <v>491</v>
      </c>
      <c r="CA55" s="356" t="s">
        <v>491</v>
      </c>
      <c r="CB55" s="355" t="s">
        <v>491</v>
      </c>
      <c r="CC55" s="355" t="s">
        <v>491</v>
      </c>
      <c r="CD55" s="355" t="s">
        <v>491</v>
      </c>
      <c r="CE55" s="355" t="s">
        <v>491</v>
      </c>
      <c r="CF55" s="356" t="s">
        <v>491</v>
      </c>
      <c r="CG55" s="355" t="s">
        <v>491</v>
      </c>
      <c r="CH55" s="355" t="s">
        <v>491</v>
      </c>
      <c r="CI55" s="355" t="s">
        <v>491</v>
      </c>
      <c r="CJ55" s="355" t="s">
        <v>491</v>
      </c>
      <c r="CK55" s="356" t="s">
        <v>491</v>
      </c>
    </row>
    <row r="56" spans="1:89" s="303" customFormat="1" x14ac:dyDescent="0.2">
      <c r="A56" s="346" t="s">
        <v>455</v>
      </c>
      <c r="B56" s="347" t="s">
        <v>494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396</v>
      </c>
      <c r="BW56" s="355" t="s">
        <v>491</v>
      </c>
      <c r="BX56" s="355" t="s">
        <v>491</v>
      </c>
      <c r="BY56" s="355" t="s">
        <v>491</v>
      </c>
      <c r="BZ56" s="355" t="s">
        <v>491</v>
      </c>
      <c r="CA56" s="356" t="s">
        <v>491</v>
      </c>
      <c r="CB56" s="355" t="s">
        <v>491</v>
      </c>
      <c r="CC56" s="355" t="s">
        <v>491</v>
      </c>
      <c r="CD56" s="355" t="s">
        <v>491</v>
      </c>
      <c r="CE56" s="355" t="s">
        <v>491</v>
      </c>
      <c r="CF56" s="356" t="s">
        <v>491</v>
      </c>
      <c r="CG56" s="355" t="s">
        <v>491</v>
      </c>
      <c r="CH56" s="355" t="s">
        <v>491</v>
      </c>
      <c r="CI56" s="355" t="s">
        <v>491</v>
      </c>
      <c r="CJ56" s="355" t="s">
        <v>491</v>
      </c>
      <c r="CK56" s="356" t="s">
        <v>491</v>
      </c>
    </row>
    <row r="57" spans="1:89" s="303" customFormat="1" x14ac:dyDescent="0.2">
      <c r="A57" s="346" t="s">
        <v>456</v>
      </c>
      <c r="B57" s="347" t="s">
        <v>494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396</v>
      </c>
      <c r="BW57" s="355" t="s">
        <v>491</v>
      </c>
      <c r="BX57" s="355" t="s">
        <v>491</v>
      </c>
      <c r="BY57" s="355" t="s">
        <v>491</v>
      </c>
      <c r="BZ57" s="355" t="s">
        <v>491</v>
      </c>
      <c r="CA57" s="356" t="s">
        <v>491</v>
      </c>
      <c r="CB57" s="355" t="s">
        <v>491</v>
      </c>
      <c r="CC57" s="355" t="s">
        <v>491</v>
      </c>
      <c r="CD57" s="355" t="s">
        <v>491</v>
      </c>
      <c r="CE57" s="355" t="s">
        <v>491</v>
      </c>
      <c r="CF57" s="356" t="s">
        <v>491</v>
      </c>
      <c r="CG57" s="355" t="s">
        <v>491</v>
      </c>
      <c r="CH57" s="355" t="s">
        <v>491</v>
      </c>
      <c r="CI57" s="355" t="s">
        <v>491</v>
      </c>
      <c r="CJ57" s="355" t="s">
        <v>491</v>
      </c>
      <c r="CK57" s="356" t="s">
        <v>491</v>
      </c>
    </row>
    <row r="58" spans="1:89" s="303" customFormat="1" x14ac:dyDescent="0.2">
      <c r="A58" s="346" t="s">
        <v>457</v>
      </c>
      <c r="B58" s="347" t="s">
        <v>494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396</v>
      </c>
      <c r="BW58" s="355" t="s">
        <v>491</v>
      </c>
      <c r="BX58" s="355" t="s">
        <v>491</v>
      </c>
      <c r="BY58" s="355" t="s">
        <v>491</v>
      </c>
      <c r="BZ58" s="355" t="s">
        <v>491</v>
      </c>
      <c r="CA58" s="356" t="s">
        <v>491</v>
      </c>
      <c r="CB58" s="355" t="s">
        <v>491</v>
      </c>
      <c r="CC58" s="355" t="s">
        <v>491</v>
      </c>
      <c r="CD58" s="355" t="s">
        <v>491</v>
      </c>
      <c r="CE58" s="355" t="s">
        <v>491</v>
      </c>
      <c r="CF58" s="356" t="s">
        <v>491</v>
      </c>
      <c r="CG58" s="355" t="s">
        <v>491</v>
      </c>
      <c r="CH58" s="355" t="s">
        <v>491</v>
      </c>
      <c r="CI58" s="355" t="s">
        <v>491</v>
      </c>
      <c r="CJ58" s="355" t="s">
        <v>491</v>
      </c>
      <c r="CK58" s="356" t="s">
        <v>491</v>
      </c>
    </row>
    <row r="59" spans="1:89" s="303" customFormat="1" x14ac:dyDescent="0.2">
      <c r="A59" s="346" t="s">
        <v>458</v>
      </c>
      <c r="B59" s="347" t="s">
        <v>494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396</v>
      </c>
      <c r="BW59" s="355" t="s">
        <v>491</v>
      </c>
      <c r="BX59" s="355" t="s">
        <v>491</v>
      </c>
      <c r="BY59" s="355" t="s">
        <v>491</v>
      </c>
      <c r="BZ59" s="355" t="s">
        <v>491</v>
      </c>
      <c r="CA59" s="356" t="s">
        <v>491</v>
      </c>
      <c r="CB59" s="355" t="s">
        <v>491</v>
      </c>
      <c r="CC59" s="355" t="s">
        <v>491</v>
      </c>
      <c r="CD59" s="355" t="s">
        <v>491</v>
      </c>
      <c r="CE59" s="355" t="s">
        <v>491</v>
      </c>
      <c r="CF59" s="356" t="s">
        <v>491</v>
      </c>
      <c r="CG59" s="355" t="s">
        <v>491</v>
      </c>
      <c r="CH59" s="355" t="s">
        <v>491</v>
      </c>
      <c r="CI59" s="355" t="s">
        <v>491</v>
      </c>
      <c r="CJ59" s="355" t="s">
        <v>491</v>
      </c>
      <c r="CK59" s="356" t="s">
        <v>491</v>
      </c>
    </row>
    <row r="60" spans="1:89" s="303" customFormat="1" x14ac:dyDescent="0.2">
      <c r="A60" s="346" t="s">
        <v>459</v>
      </c>
      <c r="B60" s="347" t="s">
        <v>537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524</v>
      </c>
      <c r="AX60" s="350" t="s">
        <v>524</v>
      </c>
      <c r="AY60" s="350" t="s">
        <v>524</v>
      </c>
      <c r="AZ60" s="350" t="s">
        <v>524</v>
      </c>
      <c r="BA60" s="351" t="s">
        <v>524</v>
      </c>
      <c r="BB60" s="349" t="s">
        <v>538</v>
      </c>
      <c r="BC60" s="350" t="s">
        <v>538</v>
      </c>
      <c r="BD60" s="350" t="s">
        <v>538</v>
      </c>
      <c r="BE60" s="350" t="s">
        <v>538</v>
      </c>
      <c r="BF60" s="351" t="s">
        <v>538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491</v>
      </c>
      <c r="BX60" s="355" t="s">
        <v>491</v>
      </c>
      <c r="BY60" s="355" t="s">
        <v>491</v>
      </c>
      <c r="BZ60" s="355" t="s">
        <v>491</v>
      </c>
      <c r="CA60" s="356" t="s">
        <v>491</v>
      </c>
      <c r="CB60" s="355" t="s">
        <v>491</v>
      </c>
      <c r="CC60" s="355" t="s">
        <v>491</v>
      </c>
      <c r="CD60" s="355" t="s">
        <v>491</v>
      </c>
      <c r="CE60" s="355" t="s">
        <v>491</v>
      </c>
      <c r="CF60" s="356" t="s">
        <v>491</v>
      </c>
      <c r="CG60" s="355" t="s">
        <v>491</v>
      </c>
      <c r="CH60" s="355" t="s">
        <v>491</v>
      </c>
      <c r="CI60" s="355" t="s">
        <v>491</v>
      </c>
      <c r="CJ60" s="355" t="s">
        <v>491</v>
      </c>
      <c r="CK60" s="356" t="s">
        <v>491</v>
      </c>
    </row>
    <row r="61" spans="1:89" s="303" customFormat="1" x14ac:dyDescent="0.2">
      <c r="A61" s="346" t="s">
        <v>460</v>
      </c>
      <c r="B61" s="347" t="s">
        <v>539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524</v>
      </c>
      <c r="AX61" s="350" t="s">
        <v>524</v>
      </c>
      <c r="AY61" s="350" t="s">
        <v>524</v>
      </c>
      <c r="AZ61" s="350" t="s">
        <v>524</v>
      </c>
      <c r="BA61" s="351" t="s">
        <v>524</v>
      </c>
      <c r="BB61" s="349" t="s">
        <v>540</v>
      </c>
      <c r="BC61" s="350" t="s">
        <v>540</v>
      </c>
      <c r="BD61" s="350" t="s">
        <v>540</v>
      </c>
      <c r="BE61" s="350" t="s">
        <v>540</v>
      </c>
      <c r="BF61" s="351" t="s">
        <v>540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541</v>
      </c>
      <c r="BM61" s="350" t="s">
        <v>541</v>
      </c>
      <c r="BN61" s="350" t="s">
        <v>541</v>
      </c>
      <c r="BO61" s="350" t="s">
        <v>541</v>
      </c>
      <c r="BP61" s="351" t="s">
        <v>541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491</v>
      </c>
      <c r="BX61" s="355" t="s">
        <v>491</v>
      </c>
      <c r="BY61" s="355" t="s">
        <v>491</v>
      </c>
      <c r="BZ61" s="355" t="s">
        <v>491</v>
      </c>
      <c r="CA61" s="356" t="s">
        <v>491</v>
      </c>
      <c r="CB61" s="355" t="s">
        <v>491</v>
      </c>
      <c r="CC61" s="355" t="s">
        <v>491</v>
      </c>
      <c r="CD61" s="355" t="s">
        <v>491</v>
      </c>
      <c r="CE61" s="355" t="s">
        <v>491</v>
      </c>
      <c r="CF61" s="356" t="s">
        <v>491</v>
      </c>
      <c r="CG61" s="355" t="s">
        <v>491</v>
      </c>
      <c r="CH61" s="355" t="s">
        <v>491</v>
      </c>
      <c r="CI61" s="355" t="s">
        <v>491</v>
      </c>
      <c r="CJ61" s="355" t="s">
        <v>491</v>
      </c>
      <c r="CK61" s="356" t="s">
        <v>491</v>
      </c>
    </row>
    <row r="62" spans="1:89" s="303" customFormat="1" x14ac:dyDescent="0.2">
      <c r="A62" s="304" t="s">
        <v>461</v>
      </c>
      <c r="B62" s="305" t="s">
        <v>542</v>
      </c>
      <c r="C62" s="306" t="s">
        <v>462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463</v>
      </c>
      <c r="B63" s="359" t="s">
        <v>494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396</v>
      </c>
      <c r="BW63" s="367" t="s">
        <v>491</v>
      </c>
      <c r="BX63" s="367" t="s">
        <v>491</v>
      </c>
      <c r="BY63" s="367" t="s">
        <v>491</v>
      </c>
      <c r="BZ63" s="367" t="s">
        <v>491</v>
      </c>
      <c r="CA63" s="368" t="s">
        <v>491</v>
      </c>
      <c r="CB63" s="367" t="s">
        <v>491</v>
      </c>
      <c r="CC63" s="367" t="s">
        <v>491</v>
      </c>
      <c r="CD63" s="367" t="s">
        <v>491</v>
      </c>
      <c r="CE63" s="367" t="s">
        <v>491</v>
      </c>
      <c r="CF63" s="368" t="s">
        <v>491</v>
      </c>
      <c r="CG63" s="367" t="s">
        <v>491</v>
      </c>
      <c r="CH63" s="367" t="s">
        <v>491</v>
      </c>
      <c r="CI63" s="367" t="s">
        <v>491</v>
      </c>
      <c r="CJ63" s="367" t="s">
        <v>491</v>
      </c>
      <c r="CK63" s="368" t="s">
        <v>491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630</v>
      </c>
      <c r="B1" s="560" t="s">
        <v>631</v>
      </c>
      <c r="C1" s="561"/>
      <c r="D1" s="561"/>
      <c r="E1" s="561"/>
      <c r="F1" s="562"/>
      <c r="G1" s="560" t="s">
        <v>632</v>
      </c>
      <c r="H1" s="561"/>
      <c r="I1" s="561"/>
      <c r="J1" s="561"/>
      <c r="K1" s="562"/>
      <c r="L1" s="3"/>
      <c r="M1" s="3"/>
      <c r="N1" s="3"/>
      <c r="O1" s="3"/>
      <c r="P1" s="3"/>
      <c r="Q1" s="3"/>
      <c r="R1" s="3"/>
    </row>
    <row r="2" spans="1:18" ht="13.5" thickBot="1" x14ac:dyDescent="0.25">
      <c r="A2" s="559"/>
      <c r="B2" s="454" t="s">
        <v>276</v>
      </c>
      <c r="C2" s="455" t="s">
        <v>633</v>
      </c>
      <c r="D2" s="455" t="s">
        <v>634</v>
      </c>
      <c r="E2" s="455" t="s">
        <v>635</v>
      </c>
      <c r="F2" s="456" t="s">
        <v>636</v>
      </c>
      <c r="G2" s="454" t="s">
        <v>276</v>
      </c>
      <c r="H2" s="455" t="s">
        <v>633</v>
      </c>
      <c r="I2" s="455" t="s">
        <v>634</v>
      </c>
      <c r="J2" s="455" t="s">
        <v>635</v>
      </c>
      <c r="K2" s="456" t="s">
        <v>636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637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633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638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640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641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642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643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644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646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647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638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649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650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651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652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653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654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655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638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616</v>
      </c>
      <c r="W29" s="450" t="s">
        <v>617</v>
      </c>
      <c r="X29" s="450" t="s">
        <v>618</v>
      </c>
      <c r="Y29" s="450" t="s">
        <v>619</v>
      </c>
    </row>
    <row r="30" spans="1:30" x14ac:dyDescent="0.2">
      <c r="A30" s="3" t="s">
        <v>656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620</v>
      </c>
      <c r="V30" s="448" t="s">
        <v>621</v>
      </c>
      <c r="W30" s="448" t="s">
        <v>622</v>
      </c>
      <c r="X30" s="448" t="s">
        <v>623</v>
      </c>
      <c r="Y30" s="448" t="s">
        <v>624</v>
      </c>
    </row>
    <row r="31" spans="1:30" ht="15" x14ac:dyDescent="0.25">
      <c r="A31" s="3" t="s">
        <v>657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625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658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626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687</v>
      </c>
    </row>
    <row r="33" spans="1:30" ht="15" x14ac:dyDescent="0.25">
      <c r="A33" s="3" t="s">
        <v>659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660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627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661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628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632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662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629</v>
      </c>
      <c r="U37" s="453"/>
      <c r="V37" s="453"/>
      <c r="W37" s="453"/>
      <c r="X37" s="453"/>
      <c r="Y37" s="453"/>
    </row>
    <row r="38" spans="1:30" x14ac:dyDescent="0.2">
      <c r="A38" s="3" t="s">
        <v>631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674</v>
      </c>
      <c r="Z39">
        <v>2018</v>
      </c>
    </row>
    <row r="40" spans="1:30" ht="15" x14ac:dyDescent="0.25">
      <c r="A40" s="555" t="s">
        <v>636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675</v>
      </c>
      <c r="V40">
        <v>101.7</v>
      </c>
      <c r="W40" s="3" t="s">
        <v>13</v>
      </c>
      <c r="Y40" t="s">
        <v>678</v>
      </c>
      <c r="Z40">
        <v>4.6900000000000004</v>
      </c>
      <c r="AA40" t="s">
        <v>13</v>
      </c>
    </row>
    <row r="41" spans="1:30" ht="15" x14ac:dyDescent="0.25">
      <c r="A41" s="467" t="s">
        <v>638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677</v>
      </c>
      <c r="T41" s="3" t="s">
        <v>676</v>
      </c>
      <c r="U41" s="3"/>
      <c r="V41">
        <v>26.74</v>
      </c>
      <c r="W41" s="3" t="s">
        <v>13</v>
      </c>
      <c r="Y41" t="s">
        <v>679</v>
      </c>
      <c r="Z41">
        <v>37.79</v>
      </c>
      <c r="AA41" t="s">
        <v>13</v>
      </c>
    </row>
    <row r="42" spans="1:30" ht="15" x14ac:dyDescent="0.25">
      <c r="A42" s="3" t="s">
        <v>663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680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664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638</v>
      </c>
      <c r="B46" s="467">
        <v>2018</v>
      </c>
      <c r="C46" s="467">
        <v>2020</v>
      </c>
      <c r="D46" s="467">
        <v>2030</v>
      </c>
      <c r="E46" s="3"/>
      <c r="F46" s="467" t="s">
        <v>665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682</v>
      </c>
    </row>
    <row r="48" spans="1:30" ht="30" customHeight="1" x14ac:dyDescent="0.25">
      <c r="A48" s="471" t="s">
        <v>667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681</v>
      </c>
      <c r="Z48" s="556" t="s">
        <v>619</v>
      </c>
      <c r="AA48" s="557"/>
      <c r="AB48" s="557"/>
    </row>
    <row r="49" spans="1:28" x14ac:dyDescent="0.2">
      <c r="A49" s="3" t="s">
        <v>668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678</v>
      </c>
      <c r="Z49" s="3">
        <v>0.35792764326805798</v>
      </c>
    </row>
    <row r="50" spans="1:28" x14ac:dyDescent="0.2">
      <c r="A50" s="3" t="s">
        <v>669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679</v>
      </c>
      <c r="Z50" s="3">
        <v>0.5922178577259587</v>
      </c>
    </row>
    <row r="51" spans="1:28" x14ac:dyDescent="0.2">
      <c r="A51" s="3" t="s">
        <v>670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680</v>
      </c>
      <c r="Z51" s="3">
        <v>5.2470383697893502E-2</v>
      </c>
    </row>
    <row r="52" spans="1:28" x14ac:dyDescent="0.2">
      <c r="A52" s="3" t="s">
        <v>671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672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683</v>
      </c>
      <c r="Z53" s="556" t="s">
        <v>618</v>
      </c>
      <c r="AA53" s="557"/>
      <c r="AB53" s="557"/>
    </row>
    <row r="54" spans="1:28" x14ac:dyDescent="0.2">
      <c r="A54" s="3" t="s">
        <v>673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680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686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684</v>
      </c>
      <c r="Z59" s="556" t="s">
        <v>685</v>
      </c>
      <c r="AA59" s="557"/>
      <c r="AB59" s="557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678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679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680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686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2021-11-15T11:18:45Z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439754664897918</vt:r8>
  </property>
</Properties>
</file>