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Olex\Documents\MANRID\ResLab\Modelling\TIMES\TIMES-IE\"/>
    </mc:Choice>
  </mc:AlternateContent>
  <xr:revisionPtr revIDLastSave="0" documentId="13_ncr:1_{CDFF3B51-CA8B-4C8B-8A76-E5B3312E51B5}" xr6:coauthVersionLast="45" xr6:coauthVersionMax="45" xr10:uidLastSave="{00000000-0000-0000-0000-000000000000}"/>
  <bookViews>
    <workbookView xWindow="-120" yWindow="-120" windowWidth="29040" windowHeight="15840" activeTab="4" xr2:uid="{00000000-000D-0000-FFFF-FFFF00000000}"/>
  </bookViews>
  <sheets>
    <sheet name="CONVENTIONS" sheetId="20" r:id="rId1"/>
    <sheet name="Commodities" sheetId="4" r:id="rId2"/>
    <sheet name="Processes" sheetId="21" r:id="rId3"/>
    <sheet name="SUP_FuelTech" sheetId="17" r:id="rId4"/>
    <sheet name="Imports_Fossil" sheetId="2" r:id="rId5"/>
    <sheet name="Imports_Bio" sheetId="7" r:id="rId6"/>
    <sheet name="Domestic" sheetId="3" r:id="rId7"/>
    <sheet name="Domestic_Bio" sheetId="10" r:id="rId8"/>
    <sheet name="Refinery" sheetId="12" r:id="rId9"/>
    <sheet name="Interconnector" sheetId="5" r:id="rId10"/>
    <sheet name="Emi" sheetId="19" r:id="rId11"/>
    <sheet name="SEAI-AEA_BioData" sheetId="9" r:id="rId12"/>
    <sheet name="SEAI_Bal" sheetId="13" r:id="rId13"/>
    <sheet name="Conversions" sheetId="16" r:id="rId14"/>
  </sheets>
  <definedNames>
    <definedName name="aa" localSheetId="1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localSheetId="1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localSheetId="1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localSheetId="1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localSheetId="1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" localSheetId="1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localSheetId="1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0" i="5" l="1"/>
  <c r="F19" i="5"/>
  <c r="F15" i="5" s="1"/>
  <c r="F17" i="5"/>
  <c r="F18" i="5" l="1"/>
  <c r="F22" i="5"/>
  <c r="F5" i="5" s="1"/>
  <c r="F6" i="5" s="1"/>
  <c r="C89" i="21" l="1"/>
  <c r="D89" i="21"/>
  <c r="C86" i="21"/>
  <c r="D86" i="21"/>
  <c r="C87" i="21"/>
  <c r="D87" i="21"/>
  <c r="C88" i="21"/>
  <c r="D88" i="21"/>
  <c r="D85" i="21"/>
  <c r="C85" i="21"/>
  <c r="B86" i="21"/>
  <c r="B87" i="21"/>
  <c r="B88" i="21"/>
  <c r="B89" i="21"/>
  <c r="B85" i="21"/>
  <c r="E89" i="20"/>
  <c r="E90" i="20"/>
  <c r="E91" i="20"/>
  <c r="E92" i="20"/>
  <c r="E88" i="20"/>
  <c r="H92" i="20"/>
  <c r="H91" i="20"/>
  <c r="H90" i="20"/>
  <c r="F90" i="20" s="1"/>
  <c r="H89" i="20"/>
  <c r="F89" i="20"/>
  <c r="F92" i="20"/>
  <c r="F88" i="20"/>
  <c r="G89" i="20"/>
  <c r="G90" i="20"/>
  <c r="G91" i="20"/>
  <c r="G92" i="20"/>
  <c r="H88" i="20"/>
  <c r="I89" i="20"/>
  <c r="I90" i="20"/>
  <c r="I91" i="20"/>
  <c r="I92" i="20"/>
  <c r="I88" i="20"/>
  <c r="G88" i="20"/>
  <c r="I87" i="20"/>
  <c r="G87" i="20" s="1"/>
  <c r="B80" i="21"/>
  <c r="C80" i="21"/>
  <c r="D80" i="21"/>
  <c r="B81" i="21"/>
  <c r="C81" i="21"/>
  <c r="D81" i="21"/>
  <c r="C79" i="21"/>
  <c r="H85" i="20"/>
  <c r="H84" i="20"/>
  <c r="I85" i="20"/>
  <c r="I84" i="20"/>
  <c r="G84" i="20"/>
  <c r="F84" i="20" s="1"/>
  <c r="J85" i="20"/>
  <c r="J84" i="20"/>
  <c r="G85" i="20"/>
  <c r="F85" i="20" s="1"/>
  <c r="D54" i="4"/>
  <c r="C54" i="4"/>
  <c r="E5" i="5" s="1"/>
  <c r="B83" i="21"/>
  <c r="J87" i="20"/>
  <c r="H87" i="20"/>
  <c r="E87" i="20" s="1"/>
  <c r="C83" i="21" s="1"/>
  <c r="B41" i="21"/>
  <c r="B42" i="21"/>
  <c r="B43" i="21"/>
  <c r="B44" i="21"/>
  <c r="B45" i="21"/>
  <c r="B46" i="21"/>
  <c r="B47" i="21"/>
  <c r="B48" i="21"/>
  <c r="B49" i="21"/>
  <c r="B50" i="21"/>
  <c r="B51" i="21"/>
  <c r="B52" i="21"/>
  <c r="B53" i="21"/>
  <c r="B54" i="21"/>
  <c r="B55" i="21"/>
  <c r="B56" i="21"/>
  <c r="B57" i="21"/>
  <c r="B58" i="21"/>
  <c r="B59" i="21"/>
  <c r="B60" i="21"/>
  <c r="B61" i="21"/>
  <c r="B62" i="21"/>
  <c r="B63" i="21"/>
  <c r="B64" i="21"/>
  <c r="B65" i="21"/>
  <c r="B66" i="21"/>
  <c r="B67" i="21"/>
  <c r="B68" i="21"/>
  <c r="B69" i="21"/>
  <c r="B70" i="21"/>
  <c r="B71" i="21"/>
  <c r="B72" i="21"/>
  <c r="B73" i="21"/>
  <c r="B74" i="21"/>
  <c r="B75" i="21"/>
  <c r="B76" i="21"/>
  <c r="B77" i="21"/>
  <c r="B78" i="21"/>
  <c r="B79" i="21"/>
  <c r="B82" i="21"/>
  <c r="B40" i="21"/>
  <c r="B24" i="21"/>
  <c r="B25" i="21"/>
  <c r="B26" i="21"/>
  <c r="B27" i="21"/>
  <c r="B28" i="21"/>
  <c r="B29" i="21"/>
  <c r="B30" i="21"/>
  <c r="B31" i="21"/>
  <c r="B32" i="21"/>
  <c r="B33" i="21"/>
  <c r="B34" i="21"/>
  <c r="B35" i="21"/>
  <c r="B36" i="21"/>
  <c r="B37" i="21"/>
  <c r="B38" i="21"/>
  <c r="B23" i="21"/>
  <c r="B8" i="21"/>
  <c r="B9" i="21"/>
  <c r="B10" i="21"/>
  <c r="B11" i="21"/>
  <c r="B12" i="21"/>
  <c r="B13" i="21"/>
  <c r="B14" i="21"/>
  <c r="B15" i="21"/>
  <c r="B16" i="21"/>
  <c r="B17" i="21"/>
  <c r="B18" i="21"/>
  <c r="B19" i="21"/>
  <c r="B20" i="21"/>
  <c r="B21" i="21"/>
  <c r="B7" i="21"/>
  <c r="H86" i="20"/>
  <c r="I86" i="20"/>
  <c r="G86" i="20" s="1"/>
  <c r="I48" i="20"/>
  <c r="G48" i="20" s="1"/>
  <c r="I49" i="20"/>
  <c r="G49" i="20" s="1"/>
  <c r="I50" i="20"/>
  <c r="G50" i="20" s="1"/>
  <c r="I51" i="20"/>
  <c r="G51" i="20" s="1"/>
  <c r="I52" i="20"/>
  <c r="G52" i="20" s="1"/>
  <c r="I53" i="20"/>
  <c r="G53" i="20" s="1"/>
  <c r="I54" i="20"/>
  <c r="G54" i="20" s="1"/>
  <c r="I55" i="20"/>
  <c r="I56" i="20"/>
  <c r="G56" i="20" s="1"/>
  <c r="I57" i="20"/>
  <c r="G57" i="20" s="1"/>
  <c r="I58" i="20"/>
  <c r="G58" i="20" s="1"/>
  <c r="I59" i="20"/>
  <c r="G59" i="20" s="1"/>
  <c r="I60" i="20"/>
  <c r="G60" i="20" s="1"/>
  <c r="I61" i="20"/>
  <c r="G61" i="20" s="1"/>
  <c r="I62" i="20"/>
  <c r="G62" i="20" s="1"/>
  <c r="I63" i="20"/>
  <c r="G63" i="20" s="1"/>
  <c r="I64" i="20"/>
  <c r="G64" i="20" s="1"/>
  <c r="I65" i="20"/>
  <c r="G65" i="20" s="1"/>
  <c r="I66" i="20"/>
  <c r="G66" i="20" s="1"/>
  <c r="I67" i="20"/>
  <c r="G67" i="20" s="1"/>
  <c r="I68" i="20"/>
  <c r="G68" i="20" s="1"/>
  <c r="I69" i="20"/>
  <c r="G69" i="20" s="1"/>
  <c r="I70" i="20"/>
  <c r="G70" i="20" s="1"/>
  <c r="I71" i="20"/>
  <c r="G71" i="20" s="1"/>
  <c r="I72" i="20"/>
  <c r="G72" i="20" s="1"/>
  <c r="I73" i="20"/>
  <c r="G73" i="20" s="1"/>
  <c r="I74" i="20"/>
  <c r="G74" i="20" s="1"/>
  <c r="I75" i="20"/>
  <c r="G75" i="20" s="1"/>
  <c r="I76" i="20"/>
  <c r="G76" i="20" s="1"/>
  <c r="I77" i="20"/>
  <c r="G77" i="20" s="1"/>
  <c r="I78" i="20"/>
  <c r="G78" i="20" s="1"/>
  <c r="I79" i="20"/>
  <c r="G79" i="20" s="1"/>
  <c r="I80" i="20"/>
  <c r="G80" i="20" s="1"/>
  <c r="I81" i="20"/>
  <c r="G81" i="20" s="1"/>
  <c r="I82" i="20"/>
  <c r="G82" i="20" s="1"/>
  <c r="I83" i="20"/>
  <c r="C37" i="4"/>
  <c r="D40" i="10" s="1"/>
  <c r="D37" i="4"/>
  <c r="C38" i="4"/>
  <c r="D41" i="10" s="1"/>
  <c r="D38" i="4"/>
  <c r="C39" i="4"/>
  <c r="D42" i="10" s="1"/>
  <c r="D39" i="4"/>
  <c r="H61" i="20"/>
  <c r="H62" i="20"/>
  <c r="H60" i="20"/>
  <c r="H58" i="20"/>
  <c r="H59" i="20"/>
  <c r="H57" i="20"/>
  <c r="H55" i="20"/>
  <c r="H56" i="20"/>
  <c r="H54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J83" i="20"/>
  <c r="J82" i="20"/>
  <c r="J81" i="20"/>
  <c r="J80" i="20"/>
  <c r="J79" i="20"/>
  <c r="J78" i="20"/>
  <c r="J77" i="20"/>
  <c r="J76" i="20"/>
  <c r="J75" i="20"/>
  <c r="J74" i="20"/>
  <c r="J73" i="20"/>
  <c r="J72" i="20"/>
  <c r="J71" i="20"/>
  <c r="J70" i="20"/>
  <c r="J69" i="20"/>
  <c r="J68" i="20"/>
  <c r="J67" i="20"/>
  <c r="J66" i="20"/>
  <c r="J65" i="20"/>
  <c r="J64" i="20"/>
  <c r="J63" i="20"/>
  <c r="J62" i="20"/>
  <c r="J61" i="20"/>
  <c r="J60" i="20"/>
  <c r="J59" i="20"/>
  <c r="J58" i="20"/>
  <c r="J57" i="20"/>
  <c r="J56" i="20"/>
  <c r="J55" i="20"/>
  <c r="J54" i="20"/>
  <c r="H53" i="20"/>
  <c r="H52" i="20"/>
  <c r="E52" i="20" s="1"/>
  <c r="C48" i="21" s="1"/>
  <c r="H51" i="20"/>
  <c r="E51" i="20" s="1"/>
  <c r="C47" i="21" s="1"/>
  <c r="H50" i="20"/>
  <c r="H49" i="20"/>
  <c r="H48" i="20"/>
  <c r="J44" i="20"/>
  <c r="I46" i="20"/>
  <c r="G46" i="20" s="1"/>
  <c r="I47" i="20"/>
  <c r="G47" i="20" s="1"/>
  <c r="H47" i="20"/>
  <c r="H46" i="20"/>
  <c r="I45" i="20"/>
  <c r="G45" i="20" s="1"/>
  <c r="J47" i="20"/>
  <c r="J46" i="20"/>
  <c r="H45" i="20"/>
  <c r="H44" i="20"/>
  <c r="I44" i="20"/>
  <c r="G44" i="20" s="1"/>
  <c r="J45" i="20"/>
  <c r="J43" i="20"/>
  <c r="J42" i="20"/>
  <c r="J41" i="20"/>
  <c r="J40" i="20"/>
  <c r="J39" i="20"/>
  <c r="J38" i="20"/>
  <c r="J37" i="20"/>
  <c r="J36" i="20"/>
  <c r="J35" i="20"/>
  <c r="J34" i="20"/>
  <c r="J33" i="20"/>
  <c r="J32" i="20"/>
  <c r="J31" i="20"/>
  <c r="J30" i="20"/>
  <c r="J29" i="20"/>
  <c r="J28" i="20"/>
  <c r="P38" i="7"/>
  <c r="P43" i="7" s="1"/>
  <c r="F91" i="20" l="1"/>
  <c r="D6" i="5"/>
  <c r="E84" i="20"/>
  <c r="E85" i="20"/>
  <c r="E50" i="20"/>
  <c r="C46" i="21" s="1"/>
  <c r="E82" i="20"/>
  <c r="C78" i="21" s="1"/>
  <c r="E60" i="20"/>
  <c r="C56" i="21" s="1"/>
  <c r="E56" i="20"/>
  <c r="C52" i="21" s="1"/>
  <c r="E49" i="20"/>
  <c r="C45" i="21" s="1"/>
  <c r="E66" i="20"/>
  <c r="C62" i="21" s="1"/>
  <c r="E83" i="20"/>
  <c r="F82" i="20"/>
  <c r="D78" i="21" s="1"/>
  <c r="E53" i="20"/>
  <c r="C49" i="21" s="1"/>
  <c r="E72" i="20"/>
  <c r="C68" i="21" s="1"/>
  <c r="E74" i="20"/>
  <c r="C70" i="21" s="1"/>
  <c r="E75" i="20"/>
  <c r="C71" i="21" s="1"/>
  <c r="E57" i="20"/>
  <c r="C53" i="21" s="1"/>
  <c r="E86" i="20"/>
  <c r="C82" i="21" s="1"/>
  <c r="B40" i="10" s="1"/>
  <c r="F87" i="20"/>
  <c r="D83" i="21" s="1"/>
  <c r="E73" i="20"/>
  <c r="C69" i="21" s="1"/>
  <c r="F62" i="20"/>
  <c r="D58" i="21" s="1"/>
  <c r="E54" i="20"/>
  <c r="C50" i="21" s="1"/>
  <c r="D6" i="10"/>
  <c r="D15" i="10"/>
  <c r="D25" i="10"/>
  <c r="E67" i="20"/>
  <c r="C63" i="21" s="1"/>
  <c r="D10" i="10"/>
  <c r="D26" i="10"/>
  <c r="G83" i="20"/>
  <c r="F83" i="20" s="1"/>
  <c r="D79" i="21" s="1"/>
  <c r="D20" i="10"/>
  <c r="E80" i="20"/>
  <c r="C76" i="21" s="1"/>
  <c r="D5" i="10"/>
  <c r="D30" i="10"/>
  <c r="G55" i="20"/>
  <c r="F55" i="20" s="1"/>
  <c r="D51" i="21" s="1"/>
  <c r="E77" i="20"/>
  <c r="C73" i="21" s="1"/>
  <c r="D16" i="10"/>
  <c r="F86" i="20"/>
  <c r="D82" i="21" s="1"/>
  <c r="C40" i="10" s="1"/>
  <c r="F79" i="20"/>
  <c r="D75" i="21" s="1"/>
  <c r="E63" i="20"/>
  <c r="C59" i="21" s="1"/>
  <c r="F68" i="20"/>
  <c r="D64" i="21" s="1"/>
  <c r="F77" i="20"/>
  <c r="D73" i="21" s="1"/>
  <c r="F61" i="20"/>
  <c r="D57" i="21" s="1"/>
  <c r="F54" i="20"/>
  <c r="D50" i="21" s="1"/>
  <c r="E81" i="20"/>
  <c r="C77" i="21" s="1"/>
  <c r="F75" i="20"/>
  <c r="D71" i="21" s="1"/>
  <c r="E62" i="20"/>
  <c r="C58" i="21" s="1"/>
  <c r="E68" i="20"/>
  <c r="C64" i="21" s="1"/>
  <c r="E55" i="20"/>
  <c r="C51" i="21" s="1"/>
  <c r="F81" i="20"/>
  <c r="D77" i="21" s="1"/>
  <c r="F67" i="20"/>
  <c r="D63" i="21" s="1"/>
  <c r="E69" i="20"/>
  <c r="C65" i="21" s="1"/>
  <c r="E70" i="20"/>
  <c r="C66" i="21" s="1"/>
  <c r="E76" i="20"/>
  <c r="C72" i="21" s="1"/>
  <c r="E61" i="20"/>
  <c r="C57" i="21" s="1"/>
  <c r="E59" i="20"/>
  <c r="C55" i="21" s="1"/>
  <c r="E64" i="20"/>
  <c r="C60" i="21" s="1"/>
  <c r="E71" i="20"/>
  <c r="C67" i="21" s="1"/>
  <c r="E65" i="20"/>
  <c r="C61" i="21" s="1"/>
  <c r="E78" i="20"/>
  <c r="C74" i="21" s="1"/>
  <c r="E79" i="20"/>
  <c r="C75" i="21" s="1"/>
  <c r="F80" i="20"/>
  <c r="D76" i="21" s="1"/>
  <c r="F76" i="20"/>
  <c r="D72" i="21" s="1"/>
  <c r="F78" i="20"/>
  <c r="D74" i="21" s="1"/>
  <c r="F73" i="20"/>
  <c r="D69" i="21" s="1"/>
  <c r="F74" i="20"/>
  <c r="D70" i="21" s="1"/>
  <c r="F72" i="20"/>
  <c r="D68" i="21" s="1"/>
  <c r="F71" i="20"/>
  <c r="D67" i="21" s="1"/>
  <c r="F70" i="20"/>
  <c r="D66" i="21" s="1"/>
  <c r="F69" i="20"/>
  <c r="D65" i="21" s="1"/>
  <c r="F66" i="20"/>
  <c r="D62" i="21" s="1"/>
  <c r="F65" i="20"/>
  <c r="D61" i="21" s="1"/>
  <c r="F64" i="20"/>
  <c r="D60" i="21" s="1"/>
  <c r="F63" i="20"/>
  <c r="D59" i="21" s="1"/>
  <c r="F60" i="20"/>
  <c r="D56" i="21" s="1"/>
  <c r="E58" i="20"/>
  <c r="C54" i="21" s="1"/>
  <c r="F59" i="20"/>
  <c r="D55" i="21" s="1"/>
  <c r="F58" i="20"/>
  <c r="D54" i="21" s="1"/>
  <c r="F57" i="20"/>
  <c r="D53" i="21" s="1"/>
  <c r="F56" i="20"/>
  <c r="D52" i="21" s="1"/>
  <c r="F53" i="20"/>
  <c r="D49" i="21" s="1"/>
  <c r="F52" i="20"/>
  <c r="D48" i="21" s="1"/>
  <c r="F51" i="20"/>
  <c r="D47" i="21" s="1"/>
  <c r="F50" i="20"/>
  <c r="D46" i="21" s="1"/>
  <c r="F49" i="20"/>
  <c r="D45" i="21" s="1"/>
  <c r="H43" i="20"/>
  <c r="H42" i="20"/>
  <c r="H41" i="20"/>
  <c r="H40" i="20"/>
  <c r="H39" i="20"/>
  <c r="H38" i="20"/>
  <c r="H37" i="20"/>
  <c r="H36" i="20"/>
  <c r="I36" i="20"/>
  <c r="G36" i="20" s="1"/>
  <c r="I37" i="20"/>
  <c r="I38" i="20"/>
  <c r="I39" i="20"/>
  <c r="G39" i="20" s="1"/>
  <c r="I40" i="20"/>
  <c r="G40" i="20" s="1"/>
  <c r="I41" i="20"/>
  <c r="I42" i="20"/>
  <c r="I43" i="20"/>
  <c r="G43" i="20" s="1"/>
  <c r="F44" i="20"/>
  <c r="D40" i="21" s="1"/>
  <c r="E44" i="20"/>
  <c r="C40" i="21" s="1"/>
  <c r="E45" i="20"/>
  <c r="C41" i="21" s="1"/>
  <c r="F45" i="20"/>
  <c r="D41" i="21" s="1"/>
  <c r="E46" i="20"/>
  <c r="C42" i="21" s="1"/>
  <c r="E47" i="20"/>
  <c r="C43" i="21" s="1"/>
  <c r="F47" i="20"/>
  <c r="D43" i="21" s="1"/>
  <c r="F48" i="20"/>
  <c r="D44" i="21" s="1"/>
  <c r="E48" i="20"/>
  <c r="C44" i="21" s="1"/>
  <c r="H35" i="20"/>
  <c r="H34" i="20"/>
  <c r="H33" i="20"/>
  <c r="H32" i="20"/>
  <c r="H31" i="20"/>
  <c r="H30" i="20"/>
  <c r="H29" i="20"/>
  <c r="I29" i="20"/>
  <c r="I30" i="20"/>
  <c r="G30" i="20" s="1"/>
  <c r="I31" i="20"/>
  <c r="G31" i="20" s="1"/>
  <c r="I32" i="20"/>
  <c r="G32" i="20" s="1"/>
  <c r="I33" i="20"/>
  <c r="I34" i="20"/>
  <c r="G34" i="20" s="1"/>
  <c r="I35" i="20"/>
  <c r="G35" i="20" s="1"/>
  <c r="H28" i="20"/>
  <c r="I28" i="20"/>
  <c r="G28" i="20" s="1"/>
  <c r="H27" i="20"/>
  <c r="I27" i="20"/>
  <c r="H24" i="20"/>
  <c r="I24" i="20"/>
  <c r="H23" i="20"/>
  <c r="I23" i="20"/>
  <c r="G23" i="20" s="1"/>
  <c r="H21" i="20"/>
  <c r="I21" i="20"/>
  <c r="G21" i="20" s="1"/>
  <c r="H22" i="20"/>
  <c r="I22" i="20"/>
  <c r="H20" i="20"/>
  <c r="I20" i="20"/>
  <c r="G20" i="20" s="1"/>
  <c r="H18" i="20"/>
  <c r="I18" i="20"/>
  <c r="G18" i="20" s="1"/>
  <c r="H19" i="20"/>
  <c r="I19" i="20"/>
  <c r="G19" i="20" s="1"/>
  <c r="J26" i="20"/>
  <c r="J25" i="20"/>
  <c r="H26" i="20"/>
  <c r="I26" i="20"/>
  <c r="H15" i="20"/>
  <c r="I15" i="20"/>
  <c r="H16" i="20"/>
  <c r="I16" i="20"/>
  <c r="G16" i="20" s="1"/>
  <c r="I13" i="20"/>
  <c r="G13" i="20" s="1"/>
  <c r="H13" i="20"/>
  <c r="H14" i="20"/>
  <c r="H25" i="20"/>
  <c r="H17" i="20"/>
  <c r="I14" i="20"/>
  <c r="I25" i="20"/>
  <c r="I17" i="20"/>
  <c r="F7" i="17"/>
  <c r="F8" i="17"/>
  <c r="F9" i="17"/>
  <c r="F10" i="17"/>
  <c r="F6" i="17"/>
  <c r="E7" i="17"/>
  <c r="E8" i="17"/>
  <c r="E9" i="17"/>
  <c r="E10" i="17"/>
  <c r="E6" i="17"/>
  <c r="C65" i="4"/>
  <c r="D65" i="4"/>
  <c r="C66" i="4"/>
  <c r="D66" i="4"/>
  <c r="C62" i="4"/>
  <c r="D62" i="4"/>
  <c r="C61" i="4"/>
  <c r="D61" i="4"/>
  <c r="C49" i="4"/>
  <c r="D49" i="4"/>
  <c r="C50" i="4"/>
  <c r="D50" i="4"/>
  <c r="C51" i="4"/>
  <c r="D51" i="4"/>
  <c r="C52" i="4"/>
  <c r="D52" i="4"/>
  <c r="C53" i="4"/>
  <c r="D53" i="4"/>
  <c r="D67" i="4"/>
  <c r="C67" i="4"/>
  <c r="D68" i="4"/>
  <c r="C68" i="4"/>
  <c r="D69" i="4"/>
  <c r="C69" i="4"/>
  <c r="D63" i="4"/>
  <c r="C63" i="4"/>
  <c r="D60" i="4"/>
  <c r="C60" i="4"/>
  <c r="D64" i="4"/>
  <c r="C64" i="4"/>
  <c r="D58" i="4"/>
  <c r="C58" i="4"/>
  <c r="D57" i="4"/>
  <c r="D55" i="4"/>
  <c r="C57" i="4"/>
  <c r="C55" i="4"/>
  <c r="C56" i="4"/>
  <c r="D56" i="4"/>
  <c r="C6" i="4"/>
  <c r="D6" i="4"/>
  <c r="C7" i="4"/>
  <c r="D7" i="4"/>
  <c r="C8" i="4"/>
  <c r="D8" i="4"/>
  <c r="C9" i="4"/>
  <c r="D9" i="4"/>
  <c r="C10" i="4"/>
  <c r="D10" i="4"/>
  <c r="C11" i="4"/>
  <c r="D11" i="4"/>
  <c r="C12" i="4"/>
  <c r="E6" i="12" s="1"/>
  <c r="D12" i="4"/>
  <c r="C13" i="4"/>
  <c r="E8" i="12" s="1"/>
  <c r="D13" i="4"/>
  <c r="C14" i="4"/>
  <c r="E10" i="12" s="1"/>
  <c r="D14" i="4"/>
  <c r="C15" i="4"/>
  <c r="E12" i="12" s="1"/>
  <c r="D15" i="4"/>
  <c r="C16" i="4"/>
  <c r="E11" i="12" s="1"/>
  <c r="D16" i="4"/>
  <c r="C17" i="4"/>
  <c r="D17" i="4"/>
  <c r="C18" i="4"/>
  <c r="E13" i="12" s="1"/>
  <c r="D18" i="4"/>
  <c r="C19" i="4"/>
  <c r="E14" i="12" s="1"/>
  <c r="D19" i="4"/>
  <c r="C20" i="4"/>
  <c r="D20" i="4"/>
  <c r="C21" i="4"/>
  <c r="D21" i="4"/>
  <c r="C22" i="4"/>
  <c r="D22" i="4"/>
  <c r="C23" i="4"/>
  <c r="D23" i="4"/>
  <c r="C24" i="4"/>
  <c r="D24" i="4"/>
  <c r="C25" i="4"/>
  <c r="D25" i="4"/>
  <c r="C26" i="4"/>
  <c r="D26" i="4"/>
  <c r="C27" i="4"/>
  <c r="D27" i="4"/>
  <c r="C28" i="4"/>
  <c r="D28" i="4"/>
  <c r="C29" i="4"/>
  <c r="D29" i="4"/>
  <c r="C30" i="4"/>
  <c r="D30" i="4"/>
  <c r="C31" i="4"/>
  <c r="D31" i="4"/>
  <c r="C32" i="4"/>
  <c r="D32" i="4"/>
  <c r="C33" i="4"/>
  <c r="D33" i="4"/>
  <c r="C34" i="4"/>
  <c r="D34" i="4"/>
  <c r="C35" i="4"/>
  <c r="D35" i="4"/>
  <c r="C36" i="4"/>
  <c r="E40" i="10" s="1"/>
  <c r="D36" i="4"/>
  <c r="C40" i="4"/>
  <c r="D40" i="4"/>
  <c r="C41" i="4"/>
  <c r="D41" i="4"/>
  <c r="C42" i="4"/>
  <c r="D42" i="4"/>
  <c r="C43" i="4"/>
  <c r="D43" i="4"/>
  <c r="C44" i="4"/>
  <c r="D44" i="4"/>
  <c r="C45" i="4"/>
  <c r="D45" i="4"/>
  <c r="C46" i="4"/>
  <c r="D46" i="4"/>
  <c r="C47" i="4"/>
  <c r="D47" i="4"/>
  <c r="C48" i="4"/>
  <c r="D48" i="4"/>
  <c r="E39" i="20" l="1"/>
  <c r="C34" i="21" s="1"/>
  <c r="F30" i="20"/>
  <c r="D25" i="21" s="1"/>
  <c r="D5" i="12"/>
  <c r="H83" i="21"/>
  <c r="G17" i="20"/>
  <c r="F17" i="20" s="1"/>
  <c r="D11" i="21" s="1"/>
  <c r="D5" i="3"/>
  <c r="D6" i="3"/>
  <c r="G14" i="20"/>
  <c r="F14" i="20" s="1"/>
  <c r="D8" i="21" s="1"/>
  <c r="G15" i="20"/>
  <c r="F15" i="20" s="1"/>
  <c r="D9" i="21" s="1"/>
  <c r="G29" i="20"/>
  <c r="F29" i="20" s="1"/>
  <c r="D24" i="21" s="1"/>
  <c r="D32" i="10"/>
  <c r="D22" i="10"/>
  <c r="D12" i="10"/>
  <c r="D23" i="10"/>
  <c r="D13" i="10"/>
  <c r="D33" i="10"/>
  <c r="D28" i="10"/>
  <c r="D18" i="10"/>
  <c r="D8" i="10"/>
  <c r="G26" i="20"/>
  <c r="F26" i="20" s="1"/>
  <c r="D20" i="21" s="1"/>
  <c r="E24" i="20"/>
  <c r="C18" i="21" s="1"/>
  <c r="G24" i="20"/>
  <c r="G42" i="20"/>
  <c r="F42" i="20" s="1"/>
  <c r="D37" i="21" s="1"/>
  <c r="D21" i="10"/>
  <c r="D11" i="10"/>
  <c r="D31" i="10"/>
  <c r="D7" i="10"/>
  <c r="D27" i="10"/>
  <c r="D17" i="10"/>
  <c r="E33" i="20"/>
  <c r="C28" i="21" s="1"/>
  <c r="G33" i="20"/>
  <c r="G41" i="20"/>
  <c r="F41" i="20" s="1"/>
  <c r="D36" i="21" s="1"/>
  <c r="E27" i="20"/>
  <c r="C21" i="21" s="1"/>
  <c r="G27" i="20"/>
  <c r="D9" i="10"/>
  <c r="D29" i="10"/>
  <c r="D19" i="10"/>
  <c r="D8" i="3"/>
  <c r="D7" i="3"/>
  <c r="D24" i="10"/>
  <c r="D14" i="10"/>
  <c r="D34" i="10"/>
  <c r="G25" i="20"/>
  <c r="F25" i="20" s="1"/>
  <c r="D19" i="21" s="1"/>
  <c r="E37" i="20"/>
  <c r="C32" i="21" s="1"/>
  <c r="G37" i="20"/>
  <c r="F37" i="20" s="1"/>
  <c r="D32" i="21" s="1"/>
  <c r="E22" i="20"/>
  <c r="C16" i="21" s="1"/>
  <c r="G22" i="20"/>
  <c r="E38" i="20"/>
  <c r="C33" i="21" s="1"/>
  <c r="G38" i="20"/>
  <c r="F38" i="20" s="1"/>
  <c r="D33" i="21" s="1"/>
  <c r="F35" i="20"/>
  <c r="D30" i="21" s="1"/>
  <c r="E29" i="20"/>
  <c r="C24" i="21" s="1"/>
  <c r="E34" i="20"/>
  <c r="C29" i="21" s="1"/>
  <c r="E30" i="20"/>
  <c r="C25" i="21" s="1"/>
  <c r="E43" i="20"/>
  <c r="C38" i="21" s="1"/>
  <c r="E36" i="20"/>
  <c r="C31" i="21" s="1"/>
  <c r="E42" i="20"/>
  <c r="C37" i="21" s="1"/>
  <c r="F32" i="20"/>
  <c r="D27" i="21" s="1"/>
  <c r="F36" i="20"/>
  <c r="D31" i="21" s="1"/>
  <c r="F13" i="20"/>
  <c r="D7" i="21" s="1"/>
  <c r="F40" i="20"/>
  <c r="D35" i="21" s="1"/>
  <c r="F16" i="20"/>
  <c r="D10" i="21" s="1"/>
  <c r="F21" i="20"/>
  <c r="D15" i="21" s="1"/>
  <c r="F39" i="20"/>
  <c r="D34" i="21" s="1"/>
  <c r="E40" i="20"/>
  <c r="C35" i="21" s="1"/>
  <c r="F43" i="20"/>
  <c r="D38" i="21" s="1"/>
  <c r="F46" i="20"/>
  <c r="D42" i="21" s="1"/>
  <c r="E41" i="20"/>
  <c r="C36" i="21" s="1"/>
  <c r="E35" i="20"/>
  <c r="C30" i="21" s="1"/>
  <c r="E32" i="20"/>
  <c r="C27" i="21" s="1"/>
  <c r="E31" i="20"/>
  <c r="C26" i="21" s="1"/>
  <c r="F33" i="20"/>
  <c r="D28" i="21" s="1"/>
  <c r="F31" i="20"/>
  <c r="D26" i="21" s="1"/>
  <c r="F34" i="20"/>
  <c r="D29" i="21" s="1"/>
  <c r="E21" i="20"/>
  <c r="C15" i="21" s="1"/>
  <c r="E28" i="20"/>
  <c r="C23" i="21" s="1"/>
  <c r="F28" i="20"/>
  <c r="D23" i="21" s="1"/>
  <c r="E23" i="20"/>
  <c r="C17" i="21" s="1"/>
  <c r="E20" i="20"/>
  <c r="C14" i="21" s="1"/>
  <c r="E19" i="20"/>
  <c r="C13" i="21" s="1"/>
  <c r="E18" i="20"/>
  <c r="C12" i="21" s="1"/>
  <c r="E26" i="20"/>
  <c r="C20" i="21" s="1"/>
  <c r="E15" i="20"/>
  <c r="C9" i="21" s="1"/>
  <c r="E16" i="20"/>
  <c r="C10" i="21" s="1"/>
  <c r="E13" i="20"/>
  <c r="C7" i="21" s="1"/>
  <c r="C9" i="17"/>
  <c r="F23" i="20" l="1"/>
  <c r="D17" i="21" s="1"/>
  <c r="F18" i="20"/>
  <c r="D12" i="21" s="1"/>
  <c r="F24" i="20"/>
  <c r="D18" i="21" s="1"/>
  <c r="F19" i="20"/>
  <c r="D13" i="21" s="1"/>
  <c r="F27" i="20"/>
  <c r="D21" i="21" s="1"/>
  <c r="F20" i="20"/>
  <c r="D14" i="21" s="1"/>
  <c r="F22" i="20"/>
  <c r="D16" i="21" s="1"/>
  <c r="E25" i="20"/>
  <c r="C19" i="21" s="1"/>
  <c r="E14" i="20"/>
  <c r="C8" i="21" s="1"/>
  <c r="D18" i="2"/>
  <c r="D8" i="2"/>
  <c r="E17" i="20" l="1"/>
  <c r="C11" i="21" s="1"/>
  <c r="D19" i="2" l="1"/>
  <c r="D17" i="2"/>
  <c r="C19" i="2"/>
  <c r="B19" i="2"/>
  <c r="D9" i="17" l="1"/>
  <c r="B9" i="17"/>
  <c r="E5" i="19" l="1"/>
  <c r="D5" i="19" l="1"/>
  <c r="C5" i="19"/>
  <c r="B11" i="19"/>
  <c r="B10" i="19"/>
  <c r="B9" i="19"/>
  <c r="B8" i="19"/>
  <c r="B7" i="19"/>
  <c r="B6" i="19"/>
  <c r="C8" i="17" l="1"/>
  <c r="C6" i="17"/>
  <c r="C7" i="17"/>
  <c r="D10" i="17"/>
  <c r="D8" i="17"/>
  <c r="D7" i="17"/>
  <c r="D6" i="17"/>
  <c r="B10" i="17"/>
  <c r="B8" i="17"/>
  <c r="B7" i="17"/>
  <c r="B6" i="17"/>
  <c r="H7" i="3" l="1"/>
  <c r="H5" i="3"/>
  <c r="I5" i="3" s="1"/>
  <c r="K6" i="5" l="1"/>
  <c r="K5" i="5"/>
  <c r="L5" i="5"/>
  <c r="M5" i="5" s="1"/>
  <c r="I5" i="12"/>
  <c r="H5" i="12"/>
  <c r="F17" i="12"/>
  <c r="F16" i="12"/>
  <c r="F15" i="12"/>
  <c r="F14" i="12"/>
  <c r="F13" i="12"/>
  <c r="F12" i="12"/>
  <c r="F11" i="12"/>
  <c r="F10" i="12"/>
  <c r="F9" i="12"/>
  <c r="F8" i="12"/>
  <c r="F7" i="12"/>
  <c r="F6" i="12"/>
  <c r="G6" i="12" s="1"/>
  <c r="H47" i="7"/>
  <c r="G47" i="7" s="1"/>
  <c r="F47" i="7" s="1"/>
  <c r="E38" i="7"/>
  <c r="F38" i="7" s="1"/>
  <c r="G38" i="7" s="1"/>
  <c r="H38" i="7" s="1"/>
  <c r="I38" i="7" s="1"/>
  <c r="J38" i="7" s="1"/>
  <c r="K38" i="7" s="1"/>
  <c r="L38" i="7" s="1"/>
  <c r="L39" i="7" s="1"/>
  <c r="L40" i="7" s="1"/>
  <c r="H42" i="7"/>
  <c r="G42" i="7" s="1"/>
  <c r="F42" i="7" s="1"/>
  <c r="H52" i="7"/>
  <c r="I52" i="7" s="1"/>
  <c r="J52" i="7" s="1"/>
  <c r="K52" i="7" s="1"/>
  <c r="L52" i="7" s="1"/>
  <c r="H57" i="7"/>
  <c r="I57" i="7" s="1"/>
  <c r="J57" i="7" s="1"/>
  <c r="K57" i="7" s="1"/>
  <c r="L57" i="7" s="1"/>
  <c r="K13" i="9"/>
  <c r="E48" i="7"/>
  <c r="J5" i="12" l="1"/>
  <c r="I39" i="7"/>
  <c r="I40" i="7" s="1"/>
  <c r="I42" i="7"/>
  <c r="J42" i="7" s="1"/>
  <c r="K42" i="7" s="1"/>
  <c r="L42" i="7" s="1"/>
  <c r="F39" i="7"/>
  <c r="F40" i="7" s="1"/>
  <c r="J39" i="7"/>
  <c r="J40" i="7" s="1"/>
  <c r="G57" i="7"/>
  <c r="G39" i="7"/>
  <c r="G40" i="7" s="1"/>
  <c r="K39" i="7"/>
  <c r="K40" i="7" s="1"/>
  <c r="G52" i="7"/>
  <c r="F52" i="7" s="1"/>
  <c r="H39" i="7"/>
  <c r="H40" i="7" s="1"/>
  <c r="I47" i="7"/>
  <c r="F57" i="7" l="1"/>
  <c r="J47" i="7"/>
  <c r="K47" i="7" l="1"/>
  <c r="L47" i="7" l="1"/>
  <c r="P53" i="7" l="1"/>
  <c r="E32" i="7"/>
  <c r="E31" i="7"/>
  <c r="E30" i="7"/>
  <c r="E29" i="7"/>
  <c r="E28" i="7"/>
  <c r="E27" i="7"/>
  <c r="E26" i="7"/>
  <c r="E25" i="7"/>
  <c r="S27" i="2"/>
  <c r="O27" i="2"/>
  <c r="K27" i="2"/>
  <c r="S26" i="2"/>
  <c r="O26" i="2"/>
  <c r="K26" i="2"/>
  <c r="S25" i="2"/>
  <c r="O25" i="2"/>
  <c r="K25" i="2"/>
  <c r="F48" i="7" l="1"/>
  <c r="E43" i="7"/>
  <c r="F43" i="7" s="1"/>
  <c r="F44" i="7" s="1"/>
  <c r="F45" i="7" s="1"/>
  <c r="E53" i="7"/>
  <c r="F53" i="7"/>
  <c r="F54" i="7" l="1"/>
  <c r="F55" i="7" s="1"/>
  <c r="G53" i="7"/>
  <c r="G48" i="7"/>
  <c r="F49" i="7"/>
  <c r="F50" i="7" s="1"/>
  <c r="F51" i="7" s="1"/>
  <c r="G43" i="7"/>
  <c r="G44" i="7" s="1"/>
  <c r="G45" i="7" s="1"/>
  <c r="F46" i="7"/>
  <c r="F56" i="7" l="1"/>
  <c r="H48" i="7"/>
  <c r="G49" i="7"/>
  <c r="H53" i="7"/>
  <c r="G54" i="7"/>
  <c r="G55" i="7" s="1"/>
  <c r="G56" i="7"/>
  <c r="H43" i="7"/>
  <c r="H44" i="7" s="1"/>
  <c r="H45" i="7" s="1"/>
  <c r="G46" i="7"/>
  <c r="I48" i="7" l="1"/>
  <c r="H49" i="7"/>
  <c r="H50" i="7" s="1"/>
  <c r="H51" i="7"/>
  <c r="I53" i="7"/>
  <c r="H54" i="7"/>
  <c r="H55" i="7" s="1"/>
  <c r="H56" i="7" s="1"/>
  <c r="G50" i="7"/>
  <c r="G51" i="7" s="1"/>
  <c r="I43" i="7"/>
  <c r="I44" i="7" s="1"/>
  <c r="I45" i="7" s="1"/>
  <c r="H46" i="7"/>
  <c r="J48" i="7" l="1"/>
  <c r="I49" i="7"/>
  <c r="J53" i="7"/>
  <c r="I54" i="7"/>
  <c r="J43" i="7"/>
  <c r="J44" i="7" s="1"/>
  <c r="J45" i="7" s="1"/>
  <c r="I46" i="7"/>
  <c r="K48" i="7" l="1"/>
  <c r="J49" i="7"/>
  <c r="J50" i="7" s="1"/>
  <c r="J51" i="7" s="1"/>
  <c r="I55" i="7"/>
  <c r="I56" i="7" s="1"/>
  <c r="K53" i="7"/>
  <c r="J54" i="7"/>
  <c r="I50" i="7"/>
  <c r="I51" i="7" s="1"/>
  <c r="K43" i="7"/>
  <c r="K44" i="7" s="1"/>
  <c r="K45" i="7" s="1"/>
  <c r="J46" i="7"/>
  <c r="L53" i="7" l="1"/>
  <c r="K54" i="7"/>
  <c r="K55" i="7" s="1"/>
  <c r="K56" i="7"/>
  <c r="L48" i="7"/>
  <c r="K49" i="7"/>
  <c r="J55" i="7"/>
  <c r="J56" i="7" s="1"/>
  <c r="L43" i="7"/>
  <c r="K46" i="7"/>
  <c r="K50" i="7" l="1"/>
  <c r="K51" i="7" s="1"/>
  <c r="L54" i="7"/>
  <c r="L55" i="7" s="1"/>
  <c r="L44" i="7"/>
  <c r="L45" i="7" s="1"/>
  <c r="L49" i="7"/>
  <c r="L50" i="7" s="1"/>
  <c r="L46" i="7" l="1"/>
  <c r="L51" i="7"/>
  <c r="L56" i="7"/>
  <c r="G12" i="12" l="1"/>
  <c r="G8" i="12"/>
  <c r="AQ3" i="13"/>
  <c r="AQ4" i="13" s="1"/>
  <c r="G7" i="12" l="1"/>
  <c r="G10" i="12"/>
  <c r="I7" i="3" l="1"/>
  <c r="AO7" i="13"/>
  <c r="D56" i="7" l="1"/>
  <c r="D55" i="7"/>
  <c r="D54" i="7"/>
  <c r="D53" i="7"/>
  <c r="D51" i="7"/>
  <c r="D50" i="7"/>
  <c r="D49" i="7"/>
  <c r="D48" i="7"/>
  <c r="D32" i="7"/>
  <c r="D31" i="7"/>
  <c r="D30" i="7"/>
  <c r="D29" i="7"/>
  <c r="D28" i="7"/>
  <c r="D27" i="7"/>
  <c r="D26" i="7"/>
  <c r="D25" i="7"/>
  <c r="D20" i="7"/>
  <c r="D19" i="7"/>
  <c r="D18" i="7"/>
  <c r="D17" i="7"/>
  <c r="D16" i="7"/>
  <c r="D15" i="7"/>
  <c r="D14" i="7"/>
  <c r="D13" i="7"/>
  <c r="C5" i="12" l="1"/>
  <c r="B5" i="12"/>
  <c r="L17" i="5" l="1"/>
  <c r="C34" i="10" l="1"/>
  <c r="B34" i="10"/>
  <c r="C33" i="10"/>
  <c r="B33" i="10"/>
  <c r="C32" i="10"/>
  <c r="B32" i="10"/>
  <c r="C31" i="10"/>
  <c r="B31" i="10"/>
  <c r="C30" i="10"/>
  <c r="B30" i="10"/>
  <c r="C29" i="10"/>
  <c r="B29" i="10"/>
  <c r="C28" i="10"/>
  <c r="B28" i="10"/>
  <c r="C27" i="10"/>
  <c r="B27" i="10"/>
  <c r="C26" i="10"/>
  <c r="B26" i="10"/>
  <c r="C25" i="10"/>
  <c r="B25" i="10"/>
  <c r="C24" i="10"/>
  <c r="B24" i="10"/>
  <c r="C23" i="10"/>
  <c r="B23" i="10"/>
  <c r="C22" i="10"/>
  <c r="B22" i="10"/>
  <c r="C21" i="10"/>
  <c r="B21" i="10"/>
  <c r="C20" i="10"/>
  <c r="B20" i="10"/>
  <c r="C19" i="10"/>
  <c r="B19" i="10"/>
  <c r="C18" i="10"/>
  <c r="B18" i="10"/>
  <c r="C17" i="10"/>
  <c r="B17" i="10"/>
  <c r="C16" i="10"/>
  <c r="B16" i="10"/>
  <c r="C15" i="10"/>
  <c r="B15" i="10"/>
  <c r="C14" i="10"/>
  <c r="B14" i="10"/>
  <c r="C13" i="10"/>
  <c r="B13" i="10"/>
  <c r="C12" i="10"/>
  <c r="B12" i="10"/>
  <c r="C11" i="10"/>
  <c r="B11" i="10"/>
  <c r="C10" i="10"/>
  <c r="B10" i="10"/>
  <c r="C9" i="10"/>
  <c r="B9" i="10"/>
  <c r="C8" i="10"/>
  <c r="B8" i="10"/>
  <c r="C7" i="10"/>
  <c r="B7" i="10"/>
  <c r="C6" i="10"/>
  <c r="B6" i="10"/>
  <c r="C5" i="10"/>
  <c r="B5" i="10"/>
  <c r="L60" i="2" l="1"/>
  <c r="G28" i="2" s="1"/>
  <c r="G29" i="2" l="1"/>
  <c r="G32" i="2" s="1"/>
  <c r="E6" i="2" s="1"/>
  <c r="E11" i="2" s="1"/>
  <c r="G30" i="2"/>
  <c r="G33" i="2" s="1"/>
  <c r="E7" i="2" s="1"/>
  <c r="J20" i="5"/>
  <c r="E9" i="2" l="1"/>
  <c r="E8" i="2"/>
  <c r="E10" i="2"/>
  <c r="J19" i="5"/>
  <c r="J15" i="5" s="1"/>
  <c r="G19" i="5"/>
  <c r="G15" i="5" s="1"/>
  <c r="H19" i="5"/>
  <c r="I19" i="5"/>
  <c r="G20" i="5"/>
  <c r="H20" i="5"/>
  <c r="I20" i="5"/>
  <c r="C20" i="7" l="1"/>
  <c r="B20" i="7"/>
  <c r="B56" i="7" s="1"/>
  <c r="C19" i="7"/>
  <c r="B19" i="7"/>
  <c r="C18" i="7"/>
  <c r="B18" i="7"/>
  <c r="C17" i="7"/>
  <c r="B17" i="7"/>
  <c r="C16" i="7"/>
  <c r="B16" i="7"/>
  <c r="B51" i="7" s="1"/>
  <c r="C15" i="7"/>
  <c r="B15" i="7"/>
  <c r="C14" i="7"/>
  <c r="C26" i="7" s="1"/>
  <c r="B14" i="7"/>
  <c r="C13" i="7"/>
  <c r="B13" i="7"/>
  <c r="D12" i="7"/>
  <c r="C12" i="7"/>
  <c r="C46" i="7" s="1"/>
  <c r="B12" i="7"/>
  <c r="B46" i="7" s="1"/>
  <c r="D11" i="7"/>
  <c r="C11" i="7"/>
  <c r="C45" i="7" s="1"/>
  <c r="B11" i="7"/>
  <c r="B45" i="7" s="1"/>
  <c r="E10" i="7"/>
  <c r="D10" i="7"/>
  <c r="C10" i="7"/>
  <c r="C44" i="7" s="1"/>
  <c r="B10" i="7"/>
  <c r="B44" i="7" s="1"/>
  <c r="D9" i="7"/>
  <c r="C9" i="7"/>
  <c r="C43" i="7" s="1"/>
  <c r="B9" i="7"/>
  <c r="B43" i="7" s="1"/>
  <c r="D8" i="7"/>
  <c r="C8" i="7"/>
  <c r="C41" i="7" s="1"/>
  <c r="B8" i="7"/>
  <c r="B41" i="7" s="1"/>
  <c r="D7" i="7"/>
  <c r="C7" i="7"/>
  <c r="C40" i="7" s="1"/>
  <c r="B7" i="7"/>
  <c r="B40" i="7" s="1"/>
  <c r="D6" i="7"/>
  <c r="C6" i="7"/>
  <c r="C39" i="7" s="1"/>
  <c r="B6" i="7"/>
  <c r="B39" i="7" s="1"/>
  <c r="D5" i="7"/>
  <c r="C5" i="7"/>
  <c r="C38" i="7" s="1"/>
  <c r="B5" i="7"/>
  <c r="B38" i="7" s="1"/>
  <c r="X57" i="9"/>
  <c r="N57" i="9"/>
  <c r="Z57" i="9" s="1"/>
  <c r="M57" i="9"/>
  <c r="L57" i="9"/>
  <c r="K57" i="9"/>
  <c r="J57" i="9"/>
  <c r="V57" i="9" s="1"/>
  <c r="N56" i="9"/>
  <c r="M56" i="9"/>
  <c r="L56" i="9"/>
  <c r="K56" i="9"/>
  <c r="J56" i="9"/>
  <c r="N55" i="9"/>
  <c r="Z55" i="9" s="1"/>
  <c r="M55" i="9"/>
  <c r="L55" i="9"/>
  <c r="X55" i="9" s="1"/>
  <c r="K55" i="9"/>
  <c r="J55" i="9"/>
  <c r="V55" i="9" s="1"/>
  <c r="N54" i="9"/>
  <c r="M54" i="9"/>
  <c r="L54" i="9"/>
  <c r="K54" i="9"/>
  <c r="J54" i="9"/>
  <c r="N53" i="9"/>
  <c r="Z53" i="9" s="1"/>
  <c r="M53" i="9"/>
  <c r="L53" i="9"/>
  <c r="R53" i="9" s="1"/>
  <c r="K53" i="9"/>
  <c r="J53" i="9"/>
  <c r="V53" i="9" s="1"/>
  <c r="N52" i="9"/>
  <c r="M52" i="9"/>
  <c r="L52" i="9"/>
  <c r="J52" i="9"/>
  <c r="X51" i="9"/>
  <c r="W51" i="9"/>
  <c r="T51" i="9"/>
  <c r="N51" i="9"/>
  <c r="Z51" i="9" s="1"/>
  <c r="M51" i="9"/>
  <c r="L51" i="9"/>
  <c r="K51" i="9"/>
  <c r="J51" i="9"/>
  <c r="V51" i="9" s="1"/>
  <c r="N50" i="9"/>
  <c r="M50" i="9"/>
  <c r="L50" i="9"/>
  <c r="J50" i="9"/>
  <c r="N46" i="9"/>
  <c r="Z46" i="9" s="1"/>
  <c r="M46" i="9"/>
  <c r="L46" i="9"/>
  <c r="K46" i="9"/>
  <c r="J46" i="9"/>
  <c r="V46" i="9" s="1"/>
  <c r="N45" i="9"/>
  <c r="M45" i="9"/>
  <c r="L45" i="9"/>
  <c r="K45" i="9"/>
  <c r="J45" i="9"/>
  <c r="T44" i="9"/>
  <c r="N44" i="9"/>
  <c r="Z44" i="9" s="1"/>
  <c r="M44" i="9"/>
  <c r="S44" i="9" s="1"/>
  <c r="L44" i="9"/>
  <c r="X44" i="9" s="1"/>
  <c r="K44" i="9"/>
  <c r="J44" i="9"/>
  <c r="V44" i="9" s="1"/>
  <c r="N43" i="9"/>
  <c r="M43" i="9"/>
  <c r="L43" i="9"/>
  <c r="K43" i="9"/>
  <c r="J43" i="9"/>
  <c r="X42" i="9"/>
  <c r="N42" i="9"/>
  <c r="Z42" i="9" s="1"/>
  <c r="M42" i="9"/>
  <c r="L42" i="9"/>
  <c r="K42" i="9"/>
  <c r="J42" i="9"/>
  <c r="V42" i="9" s="1"/>
  <c r="N41" i="9"/>
  <c r="M41" i="9"/>
  <c r="L41" i="9"/>
  <c r="K41" i="9"/>
  <c r="J41" i="9"/>
  <c r="N40" i="9"/>
  <c r="Z40" i="9" s="1"/>
  <c r="M40" i="9"/>
  <c r="L40" i="9"/>
  <c r="X40" i="9" s="1"/>
  <c r="K40" i="9"/>
  <c r="J40" i="9"/>
  <c r="V40" i="9" s="1"/>
  <c r="N39" i="9"/>
  <c r="M39" i="9"/>
  <c r="L39" i="9"/>
  <c r="K39" i="9"/>
  <c r="J39" i="9"/>
  <c r="X35" i="9"/>
  <c r="N35" i="9"/>
  <c r="Z35" i="9" s="1"/>
  <c r="M35" i="9"/>
  <c r="S35" i="9" s="1"/>
  <c r="L35" i="9"/>
  <c r="K35" i="9"/>
  <c r="J35" i="9"/>
  <c r="V35" i="9" s="1"/>
  <c r="N34" i="9"/>
  <c r="M34" i="9"/>
  <c r="L34" i="9"/>
  <c r="K34" i="9"/>
  <c r="J34" i="9"/>
  <c r="N33" i="9"/>
  <c r="Z33" i="9" s="1"/>
  <c r="M33" i="9"/>
  <c r="L33" i="9"/>
  <c r="X33" i="9" s="1"/>
  <c r="K33" i="9"/>
  <c r="J33" i="9"/>
  <c r="V33" i="9" s="1"/>
  <c r="N32" i="9"/>
  <c r="M32" i="9"/>
  <c r="L32" i="9"/>
  <c r="K32" i="9"/>
  <c r="J32" i="9"/>
  <c r="X31" i="9"/>
  <c r="N31" i="9"/>
  <c r="Z31" i="9" s="1"/>
  <c r="M31" i="9"/>
  <c r="S31" i="9" s="1"/>
  <c r="L31" i="9"/>
  <c r="K31" i="9"/>
  <c r="J31" i="9"/>
  <c r="V31" i="9" s="1"/>
  <c r="N30" i="9"/>
  <c r="M30" i="9"/>
  <c r="L30" i="9"/>
  <c r="K30" i="9"/>
  <c r="J30" i="9"/>
  <c r="N29" i="9"/>
  <c r="Z29" i="9" s="1"/>
  <c r="M29" i="9"/>
  <c r="L29" i="9"/>
  <c r="X29" i="9" s="1"/>
  <c r="K29" i="9"/>
  <c r="J29" i="9"/>
  <c r="V29" i="9" s="1"/>
  <c r="N28" i="9"/>
  <c r="M28" i="9"/>
  <c r="L28" i="9"/>
  <c r="K28" i="9"/>
  <c r="J28" i="9"/>
  <c r="X25" i="9"/>
  <c r="N25" i="9"/>
  <c r="Z25" i="9" s="1"/>
  <c r="M25" i="9"/>
  <c r="S25" i="9" s="1"/>
  <c r="L25" i="9"/>
  <c r="K25" i="9"/>
  <c r="J25" i="9"/>
  <c r="V25" i="9" s="1"/>
  <c r="N24" i="9"/>
  <c r="M24" i="9"/>
  <c r="L24" i="9"/>
  <c r="K24" i="9"/>
  <c r="J24" i="9"/>
  <c r="N23" i="9"/>
  <c r="Z23" i="9" s="1"/>
  <c r="M23" i="9"/>
  <c r="L23" i="9"/>
  <c r="X23" i="9" s="1"/>
  <c r="K23" i="9"/>
  <c r="J23" i="9"/>
  <c r="V23" i="9" s="1"/>
  <c r="N22" i="9"/>
  <c r="M22" i="9"/>
  <c r="L22" i="9"/>
  <c r="K22" i="9"/>
  <c r="J22" i="9"/>
  <c r="X21" i="9"/>
  <c r="N21" i="9"/>
  <c r="Z21" i="9" s="1"/>
  <c r="M21" i="9"/>
  <c r="S21" i="9" s="1"/>
  <c r="L21" i="9"/>
  <c r="K21" i="9"/>
  <c r="J21" i="9"/>
  <c r="V21" i="9" s="1"/>
  <c r="N20" i="9"/>
  <c r="M20" i="9"/>
  <c r="L20" i="9"/>
  <c r="K20" i="9"/>
  <c r="J20" i="9"/>
  <c r="N19" i="9"/>
  <c r="Z19" i="9" s="1"/>
  <c r="M19" i="9"/>
  <c r="L19" i="9"/>
  <c r="X19" i="9" s="1"/>
  <c r="K19" i="9"/>
  <c r="J19" i="9"/>
  <c r="V19" i="9" s="1"/>
  <c r="N18" i="9"/>
  <c r="M18" i="9"/>
  <c r="L18" i="9"/>
  <c r="K18" i="9"/>
  <c r="J18" i="9"/>
  <c r="N14" i="9"/>
  <c r="M14" i="9"/>
  <c r="L14" i="9"/>
  <c r="K14" i="9"/>
  <c r="J14" i="9"/>
  <c r="E9" i="7" s="1"/>
  <c r="N13" i="9"/>
  <c r="M13" i="9"/>
  <c r="L13" i="9"/>
  <c r="J13" i="9"/>
  <c r="N12" i="9"/>
  <c r="M12" i="9"/>
  <c r="L12" i="9"/>
  <c r="K12" i="9"/>
  <c r="J12" i="9"/>
  <c r="E8" i="7" s="1"/>
  <c r="N11" i="9"/>
  <c r="M11" i="9"/>
  <c r="L11" i="9"/>
  <c r="K11" i="9"/>
  <c r="J11" i="9"/>
  <c r="N10" i="9"/>
  <c r="M10" i="9"/>
  <c r="L10" i="9"/>
  <c r="K10" i="9"/>
  <c r="J10" i="9"/>
  <c r="E16" i="7" s="1"/>
  <c r="N9" i="9"/>
  <c r="M9" i="9"/>
  <c r="L9" i="9"/>
  <c r="K9" i="9"/>
  <c r="J9" i="9"/>
  <c r="N8" i="9"/>
  <c r="M8" i="9"/>
  <c r="L8" i="9"/>
  <c r="K8" i="9"/>
  <c r="J8" i="9"/>
  <c r="E20" i="7" s="1"/>
  <c r="N7" i="9"/>
  <c r="M7" i="9"/>
  <c r="L7" i="9"/>
  <c r="K7" i="9"/>
  <c r="J7" i="9"/>
  <c r="J39" i="2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L39" i="2"/>
  <c r="L40" i="2" s="1"/>
  <c r="L41" i="2" s="1"/>
  <c r="L42" i="2" s="1"/>
  <c r="L43" i="2" s="1"/>
  <c r="L44" i="2" s="1"/>
  <c r="L45" i="2" s="1"/>
  <c r="L46" i="2" s="1"/>
  <c r="L47" i="2" s="1"/>
  <c r="L48" i="2" s="1"/>
  <c r="L49" i="2" s="1"/>
  <c r="L50" i="2" s="1"/>
  <c r="I59" i="2"/>
  <c r="G31" i="2" s="1"/>
  <c r="E5" i="2" s="1"/>
  <c r="K28" i="2"/>
  <c r="O28" i="2"/>
  <c r="S28" i="2"/>
  <c r="K29" i="2"/>
  <c r="K32" i="2" s="1"/>
  <c r="O29" i="2"/>
  <c r="O32" i="2" s="1"/>
  <c r="K30" i="2"/>
  <c r="O30" i="2"/>
  <c r="S30" i="2"/>
  <c r="H28" i="2"/>
  <c r="I28" i="2"/>
  <c r="J28" i="2"/>
  <c r="L28" i="2"/>
  <c r="M28" i="2"/>
  <c r="N28" i="2"/>
  <c r="P28" i="2"/>
  <c r="Q28" i="2"/>
  <c r="R28" i="2"/>
  <c r="H29" i="2"/>
  <c r="I29" i="2"/>
  <c r="I32" i="2" s="1"/>
  <c r="J29" i="2"/>
  <c r="L29" i="2"/>
  <c r="M29" i="2"/>
  <c r="M32" i="2" s="1"/>
  <c r="N29" i="2"/>
  <c r="P29" i="2"/>
  <c r="Q29" i="2"/>
  <c r="Q32" i="2" s="1"/>
  <c r="R29" i="2"/>
  <c r="H30" i="2"/>
  <c r="H33" i="2" s="1"/>
  <c r="I30" i="2"/>
  <c r="J30" i="2"/>
  <c r="J33" i="2" s="1"/>
  <c r="L30" i="2"/>
  <c r="L33" i="2" s="1"/>
  <c r="M30" i="2"/>
  <c r="N30" i="2"/>
  <c r="N33" i="2" s="1"/>
  <c r="P30" i="2"/>
  <c r="P33" i="2" s="1"/>
  <c r="Q30" i="2"/>
  <c r="R30" i="2"/>
  <c r="R33" i="2" s="1"/>
  <c r="D46" i="7"/>
  <c r="D45" i="7"/>
  <c r="D44" i="7"/>
  <c r="D43" i="7"/>
  <c r="D41" i="7"/>
  <c r="D40" i="7"/>
  <c r="D39" i="7"/>
  <c r="D38" i="7"/>
  <c r="C49" i="7" l="1"/>
  <c r="E19" i="2"/>
  <c r="E17" i="2"/>
  <c r="E12" i="2"/>
  <c r="E16" i="2"/>
  <c r="E14" i="2"/>
  <c r="E15" i="2"/>
  <c r="E13" i="2"/>
  <c r="Q19" i="9"/>
  <c r="T21" i="9"/>
  <c r="Q23" i="9"/>
  <c r="T25" i="9"/>
  <c r="Q29" i="9"/>
  <c r="T31" i="9"/>
  <c r="Q33" i="9"/>
  <c r="E6" i="7"/>
  <c r="I6" i="7" s="1"/>
  <c r="S40" i="9"/>
  <c r="R46" i="9"/>
  <c r="S19" i="9"/>
  <c r="S23" i="9"/>
  <c r="S29" i="9"/>
  <c r="S33" i="9"/>
  <c r="X53" i="9"/>
  <c r="T40" i="9"/>
  <c r="R42" i="9"/>
  <c r="R51" i="9"/>
  <c r="S55" i="9"/>
  <c r="E5" i="7"/>
  <c r="F5" i="7" s="1"/>
  <c r="P19" i="9"/>
  <c r="P23" i="9"/>
  <c r="P29" i="9"/>
  <c r="P33" i="9"/>
  <c r="X46" i="9"/>
  <c r="S51" i="9"/>
  <c r="E7" i="7"/>
  <c r="I9" i="7"/>
  <c r="T19" i="9"/>
  <c r="R21" i="9"/>
  <c r="T23" i="9"/>
  <c r="R25" i="9"/>
  <c r="G9" i="7" s="1"/>
  <c r="T29" i="9"/>
  <c r="R31" i="9"/>
  <c r="T33" i="9"/>
  <c r="R35" i="9"/>
  <c r="K50" i="9"/>
  <c r="T55" i="9"/>
  <c r="I8" i="7" s="1"/>
  <c r="R57" i="9"/>
  <c r="P31" i="2"/>
  <c r="J31" i="2"/>
  <c r="R40" i="9"/>
  <c r="R44" i="9"/>
  <c r="R55" i="9"/>
  <c r="R19" i="9"/>
  <c r="R23" i="9"/>
  <c r="R29" i="9"/>
  <c r="R33" i="9"/>
  <c r="Q42" i="9"/>
  <c r="P42" i="9"/>
  <c r="Q46" i="9"/>
  <c r="P46" i="9"/>
  <c r="Q53" i="9"/>
  <c r="P53" i="9"/>
  <c r="Q57" i="9"/>
  <c r="P57" i="9"/>
  <c r="E11" i="7"/>
  <c r="Q21" i="9"/>
  <c r="P21" i="9"/>
  <c r="Q25" i="9"/>
  <c r="P25" i="9"/>
  <c r="Q31" i="9"/>
  <c r="P31" i="9"/>
  <c r="Q35" i="9"/>
  <c r="F10" i="7" s="1"/>
  <c r="P35" i="9"/>
  <c r="Q51" i="9"/>
  <c r="F20" i="7" s="1"/>
  <c r="P51" i="9"/>
  <c r="H8" i="7"/>
  <c r="E12" i="7"/>
  <c r="T35" i="9"/>
  <c r="I10" i="7" s="1"/>
  <c r="Q40" i="9"/>
  <c r="P40" i="9"/>
  <c r="S42" i="9"/>
  <c r="T42" i="9"/>
  <c r="Q44" i="9"/>
  <c r="F7" i="7" s="1"/>
  <c r="P44" i="9"/>
  <c r="S46" i="9"/>
  <c r="T46" i="9"/>
  <c r="Y51" i="9"/>
  <c r="S53" i="9"/>
  <c r="H16" i="7" s="1"/>
  <c r="T53" i="9"/>
  <c r="I16" i="7" s="1"/>
  <c r="Q55" i="9"/>
  <c r="P55" i="9"/>
  <c r="S57" i="9"/>
  <c r="T57" i="9"/>
  <c r="E13" i="7"/>
  <c r="I13" i="7" s="1"/>
  <c r="K13" i="7" s="1"/>
  <c r="E14" i="7"/>
  <c r="I14" i="7" s="1"/>
  <c r="K14" i="7" s="1"/>
  <c r="E15" i="7"/>
  <c r="I15" i="7" s="1"/>
  <c r="K15" i="7" s="1"/>
  <c r="E17" i="7"/>
  <c r="E18" i="7"/>
  <c r="E19" i="7"/>
  <c r="I19" i="7" s="1"/>
  <c r="J19" i="7" s="1"/>
  <c r="B49" i="7"/>
  <c r="B26" i="7"/>
  <c r="B28" i="7"/>
  <c r="B54" i="7"/>
  <c r="B30" i="7"/>
  <c r="B32" i="7"/>
  <c r="B48" i="7"/>
  <c r="B25" i="7"/>
  <c r="B50" i="7"/>
  <c r="B27" i="7"/>
  <c r="B53" i="7"/>
  <c r="B29" i="7"/>
  <c r="B55" i="7"/>
  <c r="B31" i="7"/>
  <c r="C48" i="7"/>
  <c r="C25" i="7"/>
  <c r="C50" i="7"/>
  <c r="C27" i="7"/>
  <c r="C51" i="7"/>
  <c r="C28" i="7"/>
  <c r="C53" i="7"/>
  <c r="C29" i="7"/>
  <c r="C54" i="7"/>
  <c r="C30" i="7"/>
  <c r="C55" i="7"/>
  <c r="C31" i="7"/>
  <c r="C56" i="7"/>
  <c r="C32" i="7"/>
  <c r="H7" i="7"/>
  <c r="G16" i="7"/>
  <c r="H20" i="7"/>
  <c r="G10" i="7"/>
  <c r="G7" i="7"/>
  <c r="F9" i="7"/>
  <c r="H10" i="7"/>
  <c r="F16" i="7"/>
  <c r="G20" i="7"/>
  <c r="J13" i="7"/>
  <c r="J9" i="7"/>
  <c r="K9" i="7"/>
  <c r="G5" i="7"/>
  <c r="I7" i="7"/>
  <c r="F8" i="7"/>
  <c r="I20" i="7"/>
  <c r="H5" i="7"/>
  <c r="G8" i="7"/>
  <c r="H9" i="7"/>
  <c r="H19" i="7"/>
  <c r="Y19" i="9"/>
  <c r="Y21" i="9"/>
  <c r="Y23" i="9"/>
  <c r="Y25" i="9"/>
  <c r="Y29" i="9"/>
  <c r="Y31" i="9"/>
  <c r="Y33" i="9"/>
  <c r="Y35" i="9"/>
  <c r="Y40" i="9"/>
  <c r="Y42" i="9"/>
  <c r="Y44" i="9"/>
  <c r="Y46" i="9"/>
  <c r="K52" i="9"/>
  <c r="W53" i="9"/>
  <c r="W55" i="9"/>
  <c r="W57" i="9"/>
  <c r="W19" i="9"/>
  <c r="W21" i="9"/>
  <c r="W23" i="9"/>
  <c r="W25" i="9"/>
  <c r="W29" i="9"/>
  <c r="W31" i="9"/>
  <c r="W33" i="9"/>
  <c r="W35" i="9"/>
  <c r="W40" i="9"/>
  <c r="W42" i="9"/>
  <c r="W44" i="9"/>
  <c r="W46" i="9"/>
  <c r="Y53" i="9"/>
  <c r="Y55" i="9"/>
  <c r="Y57" i="9"/>
  <c r="R31" i="2"/>
  <c r="H31" i="2"/>
  <c r="N31" i="2"/>
  <c r="L31" i="2"/>
  <c r="L51" i="2"/>
  <c r="L52" i="2" s="1"/>
  <c r="L53" i="2" s="1"/>
  <c r="D25" i="2" s="1"/>
  <c r="I31" i="2"/>
  <c r="M31" i="2"/>
  <c r="S29" i="2"/>
  <c r="R32" i="2"/>
  <c r="K31" i="2"/>
  <c r="Q31" i="2"/>
  <c r="J32" i="2"/>
  <c r="S33" i="2"/>
  <c r="O33" i="2"/>
  <c r="K33" i="2"/>
  <c r="N32" i="2"/>
  <c r="Q33" i="2"/>
  <c r="M33" i="2"/>
  <c r="I33" i="2"/>
  <c r="P32" i="2"/>
  <c r="L32" i="2"/>
  <c r="H32" i="2"/>
  <c r="S31" i="2"/>
  <c r="O31" i="2"/>
  <c r="H6" i="7" l="1"/>
  <c r="I12" i="7"/>
  <c r="G6" i="7"/>
  <c r="I5" i="7"/>
  <c r="I18" i="7"/>
  <c r="J18" i="7" s="1"/>
  <c r="F15" i="7"/>
  <c r="F6" i="7"/>
  <c r="G14" i="7"/>
  <c r="I17" i="7"/>
  <c r="J17" i="7" s="1"/>
  <c r="H11" i="7"/>
  <c r="J15" i="7"/>
  <c r="H15" i="7"/>
  <c r="G15" i="7"/>
  <c r="K18" i="7"/>
  <c r="G11" i="7"/>
  <c r="G17" i="7"/>
  <c r="K19" i="7"/>
  <c r="F12" i="7"/>
  <c r="H14" i="7"/>
  <c r="F13" i="7"/>
  <c r="G18" i="7"/>
  <c r="H13" i="7"/>
  <c r="G12" i="7"/>
  <c r="H18" i="7"/>
  <c r="G13" i="7"/>
  <c r="F18" i="7"/>
  <c r="F11" i="7"/>
  <c r="F27" i="2"/>
  <c r="F30" i="2" s="1"/>
  <c r="F33" i="2" s="1"/>
  <c r="E27" i="2"/>
  <c r="F26" i="2"/>
  <c r="F29" i="2" s="1"/>
  <c r="F32" i="2" s="1"/>
  <c r="D27" i="2"/>
  <c r="E26" i="2"/>
  <c r="F25" i="2"/>
  <c r="F28" i="2" s="1"/>
  <c r="F31" i="2" s="1"/>
  <c r="D26" i="2"/>
  <c r="E25" i="2"/>
  <c r="J6" i="7"/>
  <c r="K16" i="7"/>
  <c r="J16" i="7"/>
  <c r="K10" i="7"/>
  <c r="J10" i="7"/>
  <c r="J14" i="7"/>
  <c r="G19" i="7"/>
  <c r="F14" i="7"/>
  <c r="F19" i="7"/>
  <c r="F17" i="7"/>
  <c r="H12" i="7"/>
  <c r="I11" i="7"/>
  <c r="H17" i="7"/>
  <c r="K6" i="7"/>
  <c r="K8" i="7"/>
  <c r="J8" i="7"/>
  <c r="K20" i="7"/>
  <c r="J20" i="7"/>
  <c r="K7" i="7"/>
  <c r="J7" i="7"/>
  <c r="K12" i="7"/>
  <c r="J12" i="7"/>
  <c r="S32" i="2"/>
  <c r="K17" i="7" l="1"/>
  <c r="J5" i="7"/>
  <c r="K5" i="7"/>
  <c r="J11" i="7"/>
  <c r="K11" i="7"/>
  <c r="E28" i="2"/>
  <c r="D30" i="2"/>
  <c r="D29" i="2"/>
  <c r="D28" i="2"/>
  <c r="E30" i="2"/>
  <c r="E29" i="2"/>
  <c r="E32" i="2" l="1"/>
  <c r="D31" i="2"/>
  <c r="F25" i="7" s="1"/>
  <c r="D33" i="2"/>
  <c r="E33" i="2"/>
  <c r="D32" i="2"/>
  <c r="E31" i="2"/>
  <c r="F32" i="7" l="1"/>
  <c r="G31" i="7"/>
  <c r="H30" i="7"/>
  <c r="F28" i="7"/>
  <c r="G27" i="7"/>
  <c r="H26" i="7"/>
  <c r="F31" i="7"/>
  <c r="G30" i="7"/>
  <c r="H29" i="7"/>
  <c r="F27" i="7"/>
  <c r="G26" i="7"/>
  <c r="H25" i="7"/>
  <c r="H32" i="7"/>
  <c r="F30" i="7"/>
  <c r="G29" i="7"/>
  <c r="H28" i="7"/>
  <c r="F26" i="7"/>
  <c r="G25" i="7"/>
  <c r="G32" i="7"/>
  <c r="H31" i="7"/>
  <c r="F29" i="7"/>
  <c r="G28" i="7"/>
  <c r="H27" i="7"/>
  <c r="I25" i="7"/>
  <c r="I27" i="7"/>
  <c r="I32" i="7"/>
  <c r="I30" i="7"/>
  <c r="I28" i="7"/>
  <c r="I26" i="7"/>
  <c r="I29" i="7"/>
  <c r="I31" i="7"/>
  <c r="I7" i="2"/>
  <c r="H7" i="2"/>
  <c r="G7" i="2"/>
  <c r="F7" i="2"/>
  <c r="I6" i="2"/>
  <c r="H6" i="2"/>
  <c r="G6" i="2"/>
  <c r="F6" i="2"/>
  <c r="I5" i="2"/>
  <c r="I19" i="2" s="1"/>
  <c r="H5" i="2"/>
  <c r="H19" i="2" s="1"/>
  <c r="G5" i="2"/>
  <c r="G19" i="2" s="1"/>
  <c r="F5" i="2"/>
  <c r="F19" i="2" s="1"/>
  <c r="H11" i="2" l="1"/>
  <c r="I17" i="5"/>
  <c r="I18" i="5" s="1"/>
  <c r="I22" i="5" s="1"/>
  <c r="I5" i="5" s="1"/>
  <c r="I6" i="5" s="1"/>
  <c r="I11" i="2"/>
  <c r="J17" i="5"/>
  <c r="J18" i="5" s="1"/>
  <c r="J22" i="5" s="1"/>
  <c r="J5" i="5" s="1"/>
  <c r="J6" i="5" s="1"/>
  <c r="F11" i="2"/>
  <c r="G17" i="5"/>
  <c r="G11" i="2"/>
  <c r="H17" i="5"/>
  <c r="H18" i="5" s="1"/>
  <c r="H22" i="5" s="1"/>
  <c r="H5" i="5" s="1"/>
  <c r="H6" i="5" s="1"/>
  <c r="F9" i="2"/>
  <c r="F10" i="2"/>
  <c r="F8" i="2"/>
  <c r="G10" i="2"/>
  <c r="G8" i="2"/>
  <c r="G9" i="2"/>
  <c r="H10" i="2"/>
  <c r="H8" i="2"/>
  <c r="H9" i="2"/>
  <c r="H14" i="2"/>
  <c r="H12" i="2"/>
  <c r="H16" i="2"/>
  <c r="H13" i="2"/>
  <c r="H17" i="2"/>
  <c r="H15" i="2"/>
  <c r="I16" i="2"/>
  <c r="I14" i="2"/>
  <c r="I13" i="2"/>
  <c r="I17" i="2"/>
  <c r="I15" i="2"/>
  <c r="I12" i="2"/>
  <c r="F13" i="2"/>
  <c r="F17" i="2"/>
  <c r="F15" i="2"/>
  <c r="F14" i="2"/>
  <c r="F12" i="2"/>
  <c r="F16" i="2"/>
  <c r="G17" i="2"/>
  <c r="G15" i="2"/>
  <c r="G14" i="2"/>
  <c r="G12" i="2"/>
  <c r="G16" i="2"/>
  <c r="G13" i="2"/>
  <c r="I9" i="2"/>
  <c r="I10" i="2"/>
  <c r="I8" i="2"/>
  <c r="G18" i="5" l="1"/>
  <c r="G22" i="5" s="1"/>
  <c r="G5" i="5" s="1"/>
  <c r="G6" i="5" s="1"/>
  <c r="D6" i="2"/>
  <c r="D9" i="2"/>
  <c r="D7" i="2"/>
  <c r="D10" i="2"/>
  <c r="D11" i="2"/>
  <c r="D5" i="2"/>
  <c r="D12" i="2"/>
  <c r="D13" i="2"/>
  <c r="D14" i="2"/>
  <c r="D15" i="2"/>
  <c r="D16" i="2"/>
  <c r="C17" i="2"/>
  <c r="B17" i="2"/>
  <c r="L6" i="5" l="1"/>
  <c r="M6" i="5" l="1"/>
  <c r="C6" i="5"/>
  <c r="C5" i="5"/>
  <c r="B6" i="5"/>
  <c r="B5" i="5"/>
  <c r="D19" i="3" l="1"/>
  <c r="D21" i="3"/>
  <c r="D20" i="3"/>
  <c r="D18" i="3"/>
  <c r="D17" i="3"/>
  <c r="D16" i="3"/>
  <c r="C21" i="3"/>
  <c r="B21" i="3"/>
  <c r="C20" i="3"/>
  <c r="B20" i="3"/>
  <c r="C19" i="3"/>
  <c r="B19" i="3"/>
  <c r="C18" i="3"/>
  <c r="B18" i="3"/>
  <c r="C17" i="3"/>
  <c r="B17" i="3"/>
  <c r="C16" i="3"/>
  <c r="B16" i="3"/>
  <c r="C8" i="3"/>
  <c r="B8" i="3"/>
  <c r="C6" i="3"/>
  <c r="B6" i="3"/>
  <c r="C7" i="3"/>
  <c r="B7" i="3"/>
  <c r="C5" i="3"/>
  <c r="B5" i="3"/>
  <c r="C18" i="2"/>
  <c r="B18" i="2"/>
  <c r="C16" i="2"/>
  <c r="B16" i="2"/>
  <c r="C15" i="2"/>
  <c r="B15" i="2"/>
  <c r="C14" i="2"/>
  <c r="B14" i="2"/>
  <c r="C13" i="2"/>
  <c r="B13" i="2"/>
  <c r="C12" i="2"/>
  <c r="B12" i="2"/>
  <c r="C5" i="2"/>
  <c r="B5" i="2"/>
  <c r="C11" i="2"/>
  <c r="B11" i="2"/>
  <c r="C10" i="2"/>
  <c r="B10" i="2"/>
  <c r="C7" i="2"/>
  <c r="B7" i="2"/>
  <c r="C9" i="2"/>
  <c r="B9" i="2"/>
  <c r="C8" i="2"/>
  <c r="B8" i="2"/>
  <c r="C6" i="2"/>
  <c r="B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5" authorId="0" shapeId="0" xr:uid="{E931C2D8-9E0D-4211-86E0-A9A2F25A62E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  <comment ref="G5" authorId="0" shapeId="0" xr:uid="{F3DFAE48-9FB9-4FE8-9EC7-772EFC37761E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5" authorId="0" shapeId="0" xr:uid="{435F8D96-5765-48A5-A693-ECB14EF4B345}">
      <text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I5" authorId="0" shapeId="0" xr:uid="{708AFB41-BE8F-408D-A514-93C81274121E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Alessandro Chiodi</author>
    <author>Author</author>
  </authors>
  <commentList>
    <comment ref="J8" authorId="0" shapeId="0" xr:uid="{00000000-0006-0000-0100-000001000000}">
      <text>
        <r>
          <rPr>
            <sz val="9"/>
            <color indexed="81"/>
            <rFont val="Tahoma"/>
            <family val="2"/>
          </rPr>
          <t>Based on previous model version</t>
        </r>
      </text>
    </comment>
    <comment ref="J9" authorId="0" shapeId="0" xr:uid="{00000000-0006-0000-0100-000002000000}">
      <text>
        <r>
          <rPr>
            <sz val="9"/>
            <color indexed="81"/>
            <rFont val="Tahoma"/>
            <family val="2"/>
          </rPr>
          <t>Based on previous model version</t>
        </r>
      </text>
    </comment>
    <comment ref="J10" authorId="0" shapeId="0" xr:uid="{00000000-0006-0000-0100-000003000000}">
      <text>
        <r>
          <rPr>
            <sz val="9"/>
            <color indexed="81"/>
            <rFont val="Tahoma"/>
            <family val="2"/>
          </rPr>
          <t>Based on previous model version</t>
        </r>
      </text>
    </comment>
    <comment ref="J11" authorId="0" shapeId="0" xr:uid="{00000000-0006-0000-0100-000004000000}">
      <text>
        <r>
          <rPr>
            <sz val="9"/>
            <color indexed="81"/>
            <rFont val="Tahoma"/>
            <family val="2"/>
          </rPr>
          <t>Based on previous model version</t>
        </r>
      </text>
    </comment>
    <comment ref="J12" authorId="0" shapeId="0" xr:uid="{00000000-0006-0000-0100-000005000000}">
      <text>
        <r>
          <rPr>
            <sz val="9"/>
            <color indexed="81"/>
            <rFont val="Tahoma"/>
            <family val="2"/>
          </rPr>
          <t>Based on previous model version</t>
        </r>
      </text>
    </comment>
    <comment ref="J13" authorId="0" shapeId="0" xr:uid="{00000000-0006-0000-0100-000006000000}">
      <text>
        <r>
          <rPr>
            <sz val="9"/>
            <color indexed="81"/>
            <rFont val="Tahoma"/>
            <family val="2"/>
          </rPr>
          <t>Based on previous model version</t>
        </r>
      </text>
    </comment>
    <comment ref="J14" authorId="0" shapeId="0" xr:uid="{00000000-0006-0000-0100-000007000000}">
      <text>
        <r>
          <rPr>
            <sz val="9"/>
            <color indexed="81"/>
            <rFont val="Tahoma"/>
            <family val="2"/>
          </rPr>
          <t>Based on previous model version</t>
        </r>
      </text>
    </comment>
    <comment ref="J15" authorId="0" shapeId="0" xr:uid="{00000000-0006-0000-0100-000008000000}">
      <text>
        <r>
          <rPr>
            <sz val="9"/>
            <color indexed="81"/>
            <rFont val="Tahoma"/>
            <family val="2"/>
          </rPr>
          <t>Based on previous model version</t>
        </r>
      </text>
    </comment>
    <comment ref="J16" authorId="0" shapeId="0" xr:uid="{00000000-0006-0000-0100-000009000000}">
      <text>
        <r>
          <rPr>
            <sz val="9"/>
            <color indexed="81"/>
            <rFont val="Tahoma"/>
            <family val="2"/>
          </rPr>
          <t>Based on previous model version</t>
        </r>
      </text>
    </comment>
    <comment ref="J17" authorId="0" shapeId="0" xr:uid="{00000000-0006-0000-0100-00000A000000}">
      <text>
        <r>
          <rPr>
            <sz val="9"/>
            <color indexed="81"/>
            <rFont val="Tahoma"/>
            <family val="2"/>
          </rPr>
          <t>Based on previous model version</t>
        </r>
      </text>
    </comment>
    <comment ref="J37" authorId="1" shapeId="0" xr:uid="{00000000-0006-0000-0100-00000B000000}">
      <text>
        <r>
          <rPr>
            <sz val="9"/>
            <color indexed="81"/>
            <rFont val="Tahoma"/>
            <family val="2"/>
          </rPr>
          <t>Consumer Price Index (CPI)</t>
        </r>
      </text>
    </comment>
    <comment ref="L37" authorId="0" shapeId="0" xr:uid="{00000000-0006-0000-0100-00000C000000}">
      <text>
        <r>
          <rPr>
            <sz val="9"/>
            <color indexed="81"/>
            <rFont val="Tahoma"/>
            <family val="2"/>
          </rPr>
          <t>Consumer Price Index (CPI)</t>
        </r>
      </text>
    </comment>
    <comment ref="I58" authorId="0" shapeId="0" xr:uid="{00000000-0006-0000-0100-00000D000000}">
      <text>
        <r>
          <rPr>
            <b/>
            <sz val="9"/>
            <color indexed="81"/>
            <rFont val="Tahoma"/>
            <family val="2"/>
          </rPr>
          <t>Alessandro Chiodi:</t>
        </r>
        <r>
          <rPr>
            <sz val="9"/>
            <color indexed="81"/>
            <rFont val="Tahoma"/>
            <family val="2"/>
          </rPr>
          <t xml:space="preserve">
from Aneex C WEO2011</t>
        </r>
      </text>
    </comment>
    <comment ref="I61" authorId="0" shapeId="0" xr:uid="{00000000-0006-0000-0100-00000E000000}">
      <text>
        <r>
          <rPr>
            <b/>
            <sz val="9"/>
            <color indexed="81"/>
            <rFont val="Tahoma"/>
            <family val="2"/>
          </rPr>
          <t>Alessandro Chiodi:</t>
        </r>
        <r>
          <rPr>
            <sz val="9"/>
            <color indexed="81"/>
            <rFont val="Tahoma"/>
            <family val="2"/>
          </rPr>
          <t xml:space="preserve">
from Aneex C WEO2011</t>
        </r>
      </text>
    </comment>
    <comment ref="I62" authorId="0" shapeId="0" xr:uid="{00000000-0006-0000-0100-00000F000000}">
      <text>
        <r>
          <rPr>
            <b/>
            <sz val="9"/>
            <color indexed="81"/>
            <rFont val="Tahoma"/>
            <family val="2"/>
          </rPr>
          <t>Alessandro Chiodi:</t>
        </r>
        <r>
          <rPr>
            <sz val="9"/>
            <color indexed="81"/>
            <rFont val="Tahoma"/>
            <family val="2"/>
          </rPr>
          <t xml:space="preserve">
from Box 11.1 p.398 - WEO2011 (Hard Coal) 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KanORS</author>
  </authors>
  <commentList>
    <comment ref="B14" authorId="0" shapeId="0" xr:uid="{00000000-0006-0000-0300-000002000000}">
      <text>
        <r>
          <rPr>
            <b/>
            <sz val="10"/>
            <color indexed="8"/>
            <rFont val="Tahoma"/>
            <family val="2"/>
          </rPr>
          <t>KanORS:</t>
        </r>
        <r>
          <rPr>
            <sz val="10"/>
            <color indexed="8"/>
            <rFont val="Tahoma"/>
            <family val="2"/>
          </rPr>
          <t xml:space="preserve">
Ideally, the renewable potentials should be controlled at a technology level, but can also be declared here. 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Alessandro Chiodi</author>
  </authors>
  <commentList>
    <comment ref="E6" authorId="0" shapeId="0" xr:uid="{F2A744C6-E49A-4408-BA6E-24EE3413F39E}">
      <text>
        <r>
          <rPr>
            <b/>
            <sz val="9"/>
            <color indexed="81"/>
            <rFont val="Tahoma"/>
            <family val="2"/>
          </rPr>
          <t>Alessandro Chiodi:</t>
        </r>
        <r>
          <rPr>
            <sz val="9"/>
            <color indexed="81"/>
            <rFont val="Tahoma"/>
            <family val="2"/>
          </rPr>
          <t xml:space="preserve">
Assumed (as HFO), to be reviewed</t>
        </r>
      </text>
    </comment>
  </commentList>
</comments>
</file>

<file path=xl/sharedStrings.xml><?xml version="1.0" encoding="utf-8"?>
<sst xmlns="http://schemas.openxmlformats.org/spreadsheetml/2006/main" count="1483" uniqueCount="514">
  <si>
    <t>~FI_Process</t>
  </si>
  <si>
    <t>Sets</t>
  </si>
  <si>
    <t>TechName</t>
  </si>
  <si>
    <t>TechDesc</t>
  </si>
  <si>
    <t>Tact</t>
  </si>
  <si>
    <t>Tcap</t>
  </si>
  <si>
    <t>Tslvl</t>
  </si>
  <si>
    <t>PrimaryCG</t>
  </si>
  <si>
    <t>Vintage</t>
  </si>
  <si>
    <t>MIN</t>
  </si>
  <si>
    <t>PJ</t>
  </si>
  <si>
    <t>GASNAT</t>
  </si>
  <si>
    <t>PEAT</t>
  </si>
  <si>
    <t>IMP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</si>
  <si>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</si>
  <si>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</si>
  <si>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</si>
  <si>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</si>
  <si>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</si>
  <si>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</si>
  <si>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</si>
  <si>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</si>
  <si>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</si>
  <si>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NRG</t>
  </si>
  <si>
    <t>COABIT</t>
  </si>
  <si>
    <t>COACOK</t>
  </si>
  <si>
    <t>COAHAR</t>
  </si>
  <si>
    <t>GASLNG</t>
  </si>
  <si>
    <t>OILCRD</t>
  </si>
  <si>
    <t>OILDST</t>
  </si>
  <si>
    <t>OILGSL</t>
  </si>
  <si>
    <t>OILHFO</t>
  </si>
  <si>
    <t>OILKER</t>
  </si>
  <si>
    <t>OILLPG</t>
  </si>
  <si>
    <t>RENHYD</t>
  </si>
  <si>
    <t>RENWIN</t>
  </si>
  <si>
    <t>RENSOL</t>
  </si>
  <si>
    <t>RENOCE</t>
  </si>
  <si>
    <t>RENGEO</t>
  </si>
  <si>
    <t>~FI_T: EUR00</t>
  </si>
  <si>
    <t>Comm-OUT</t>
  </si>
  <si>
    <t>COST</t>
  </si>
  <si>
    <t>COST~2015</t>
  </si>
  <si>
    <t>COST~2020</t>
  </si>
  <si>
    <t>COST~2025</t>
  </si>
  <si>
    <t>COST~2030</t>
  </si>
  <si>
    <t>COST~2040</t>
  </si>
  <si>
    <t>COST~2050</t>
  </si>
  <si>
    <t>*Technology Name</t>
  </si>
  <si>
    <t>Technology Description</t>
  </si>
  <si>
    <t>Output Commodity</t>
  </si>
  <si>
    <t>€/GJ</t>
  </si>
  <si>
    <t>Domestic fossil fuels reserves</t>
  </si>
  <si>
    <t>CUM</t>
  </si>
  <si>
    <t>BNDACT~UP</t>
  </si>
  <si>
    <t>BNDACT~UP~2050</t>
  </si>
  <si>
    <t>Euro/GJ</t>
  </si>
  <si>
    <t>Renewable potentials</t>
  </si>
  <si>
    <t>MSWAS</t>
  </si>
  <si>
    <t>Electricity Interconnector</t>
  </si>
  <si>
    <t>~FI_T</t>
  </si>
  <si>
    <t>\I:Technology Name</t>
  </si>
  <si>
    <t>BIOWPE</t>
  </si>
  <si>
    <t>BIOWCH</t>
  </si>
  <si>
    <t>EXP</t>
  </si>
  <si>
    <t>DAYNITE</t>
  </si>
  <si>
    <t>ACTBND~UP~2020</t>
  </si>
  <si>
    <t>ACTBND~UP~2050</t>
  </si>
  <si>
    <t>ACTBND~UP~0</t>
  </si>
  <si>
    <t>Comm-IN</t>
  </si>
  <si>
    <t>ELCC</t>
  </si>
  <si>
    <t>*Notes</t>
  </si>
  <si>
    <t>Calibrated against SEAI Energy Balance</t>
  </si>
  <si>
    <t>SEASON</t>
  </si>
  <si>
    <t>BIOETH1G</t>
  </si>
  <si>
    <t>BIODST1G</t>
  </si>
  <si>
    <t>BIOETH2G</t>
  </si>
  <si>
    <t>BIODST2G</t>
  </si>
  <si>
    <t>OILCOK</t>
  </si>
  <si>
    <t>Source: Eurostat</t>
  </si>
  <si>
    <t>€ CPI</t>
  </si>
  <si>
    <t>US inflation rate</t>
  </si>
  <si>
    <t>$ CPI</t>
  </si>
  <si>
    <t>Source:  U.S. Department of Labor Bureau of Labor Statistic</t>
  </si>
  <si>
    <r>
      <t>Source:</t>
    </r>
    <r>
      <rPr>
        <i/>
        <sz val="11"/>
        <color indexed="8"/>
        <rFont val="Calibri"/>
        <family val="2"/>
      </rPr>
      <t xml:space="preserve"> European Central Bank</t>
    </r>
  </si>
  <si>
    <t>Conversion Factors</t>
  </si>
  <si>
    <t>Gas</t>
  </si>
  <si>
    <t>Oil</t>
  </si>
  <si>
    <t>Coal</t>
  </si>
  <si>
    <t>New Policies Scenario</t>
  </si>
  <si>
    <t>Current Policies Scenario</t>
  </si>
  <si>
    <t>450 Scenario</t>
  </si>
  <si>
    <t>unit</t>
  </si>
  <si>
    <t>IEA crude oil imports</t>
  </si>
  <si>
    <t>OECD steam coal imports</t>
  </si>
  <si>
    <t>Euro inflation rate</t>
    <phoneticPr fontId="11" type="noConversion"/>
  </si>
  <si>
    <t>Exchange rate</t>
  </si>
  <si>
    <t>~FI_T: EUR14</t>
  </si>
  <si>
    <t>*Source/Ratio</t>
  </si>
  <si>
    <t>~FI_T: ACT_BND~UP</t>
  </si>
  <si>
    <t>*Total</t>
  </si>
  <si>
    <t>Fossil Fuels Imports</t>
  </si>
  <si>
    <t>Fossil fuels import price assuptions</t>
  </si>
  <si>
    <t>Max 2030 potential (Amb Supply, High Dem scenario)</t>
  </si>
  <si>
    <t>Imported Bioenergy costs (€/GJ)</t>
  </si>
  <si>
    <t>Imported Bioenergy potentials (PJ)</t>
  </si>
  <si>
    <t>Bioethanol</t>
  </si>
  <si>
    <t>Biodiesel</t>
  </si>
  <si>
    <t>Source:</t>
  </si>
  <si>
    <t>SEAI-AEA, Bioenergy Supply Curves for Ireland 2010 – 2030. October 2012, version 1.0</t>
  </si>
  <si>
    <t>Conversion</t>
  </si>
  <si>
    <r>
      <t xml:space="preserve">Consumer Price Index (CPI) - </t>
    </r>
    <r>
      <rPr>
        <b/>
        <sz val="11"/>
        <color indexed="10"/>
        <rFont val="Calibri"/>
        <family val="2"/>
      </rPr>
      <t>CSO</t>
    </r>
  </si>
  <si>
    <t>1 toe</t>
  </si>
  <si>
    <t>GJ</t>
  </si>
  <si>
    <t>Base=100</t>
  </si>
  <si>
    <t>Appendix 3 Potential Imports of Bioenergy</t>
  </si>
  <si>
    <t>1 ktoe</t>
  </si>
  <si>
    <t>The following tables refer to potential import scenarios for bioenergy to Ireland, as described in Section11.</t>
  </si>
  <si>
    <t>Source: http://www.cso.ie/px/pxeirestat/Statire/SelectVarVal/Define.asp?maintable=CPA04&amp;PLanguage=0</t>
  </si>
  <si>
    <t>Table A. 3: Restricted supply/reference demand</t>
  </si>
  <si>
    <t>€2010</t>
  </si>
  <si>
    <t>Wood chips</t>
  </si>
  <si>
    <t>toe</t>
  </si>
  <si>
    <t>Table A. 4: Medium supply/reference demand</t>
  </si>
  <si>
    <t>€/toe</t>
  </si>
  <si>
    <t>Table A. 5: Ambitious supply/reference demand</t>
  </si>
  <si>
    <t>Wood pellets</t>
  </si>
  <si>
    <t>Table A. 6: Medium supply/high demand</t>
  </si>
  <si>
    <t>Table A. 7: Ambitious supply/high demand</t>
  </si>
  <si>
    <t>Index</t>
  </si>
  <si>
    <t>€2000</t>
  </si>
  <si>
    <t>191,47</t>
  </si>
  <si>
    <t>~FI_T: EUR10</t>
  </si>
  <si>
    <t>ktoe to PJ</t>
  </si>
  <si>
    <t>~FI_T: EUR11</t>
  </si>
  <si>
    <t>Imported Bioenergy delivery costs (€/GJ)</t>
  </si>
  <si>
    <t>DELIV~2020</t>
  </si>
  <si>
    <t>DELIV~2030</t>
  </si>
  <si>
    <t>DELIV~2040</t>
  </si>
  <si>
    <t>DELIV~2050</t>
  </si>
  <si>
    <t>Based on Clancy et al., The economic viability of biomass crops versus conventional agricultural systems and its potential impact on farm incomes in Ireland, Energy Policy 2012
Transport, p[rocessing and fuel adder</t>
  </si>
  <si>
    <t>o=output</t>
  </si>
  <si>
    <t>TIMES Cost in output</t>
  </si>
  <si>
    <t>Meuro/Pjo</t>
  </si>
  <si>
    <t>Cost in output</t>
  </si>
  <si>
    <t>[Euro/GJo]</t>
  </si>
  <si>
    <t>Charge for power sent over (or back) [Euro/MWh]</t>
  </si>
  <si>
    <t>"Max Output"</t>
  </si>
  <si>
    <t>Interconnector CAP [MW]</t>
  </si>
  <si>
    <t>Gas Price [Euro/GJ]</t>
  </si>
  <si>
    <t>"Fuel Consumption"</t>
  </si>
  <si>
    <t>EFF</t>
  </si>
  <si>
    <t>Generator CAP [MW]</t>
  </si>
  <si>
    <t>Dummy Gas Generator</t>
  </si>
  <si>
    <t>TIMES</t>
  </si>
  <si>
    <t>PLEXOS</t>
  </si>
  <si>
    <t>Meuro/PJo</t>
  </si>
  <si>
    <t>EUR to USD</t>
  </si>
  <si>
    <t>USD to EUR</t>
  </si>
  <si>
    <t>$2015/barrel</t>
  </si>
  <si>
    <t>$2015/MBtu</t>
  </si>
  <si>
    <t>$2015/tonne</t>
  </si>
  <si>
    <t>Real Terms (2015 Prices)</t>
  </si>
  <si>
    <t>€2015/barrel</t>
  </si>
  <si>
    <t>€2015/MBtu</t>
  </si>
  <si>
    <t>€2015/tonne</t>
  </si>
  <si>
    <t>€2015/GJ</t>
  </si>
  <si>
    <t>Domestic Bioenergy</t>
  </si>
  <si>
    <t>BIOWOO</t>
  </si>
  <si>
    <t>\I: Process Set Membership</t>
  </si>
  <si>
    <t>Vintage Tracking</t>
  </si>
  <si>
    <t>BIORVO</t>
  </si>
  <si>
    <t>BIOTLW</t>
  </si>
  <si>
    <t>BIOPIGW</t>
  </si>
  <si>
    <t>BIOCATW</t>
  </si>
  <si>
    <t>BIOMSW1</t>
  </si>
  <si>
    <t>BIOMSW2</t>
  </si>
  <si>
    <t>BIOINDF</t>
  </si>
  <si>
    <t xml:space="preserve">Crop-based feedstocks are modelled within the AGR BY Template. Potentials and costs controlled by scenario files. </t>
  </si>
  <si>
    <t>BIOGAS1G</t>
  </si>
  <si>
    <t>BIOGAS2G</t>
  </si>
  <si>
    <t>Base-year Flexible Refinery</t>
  </si>
  <si>
    <t>Life</t>
  </si>
  <si>
    <t>FIXOM</t>
  </si>
  <si>
    <t>\I: Unit</t>
  </si>
  <si>
    <t>Years</t>
  </si>
  <si>
    <t>Euro/kW</t>
  </si>
  <si>
    <t>PRE</t>
  </si>
  <si>
    <t>PJa</t>
  </si>
  <si>
    <t>Share~UP~2015</t>
  </si>
  <si>
    <t>Energy crops - Delivery Cost</t>
  </si>
  <si>
    <t>Source: Clancy et al., The economic viability of biomass crops versus conventional agricultural systems and its potential impact on farm incomes in Ireland, Energy Policy 2012</t>
  </si>
  <si>
    <t xml:space="preserve">Transport and Processing </t>
  </si>
  <si>
    <t>Full Adder</t>
  </si>
  <si>
    <t>Miscanthus/Willow</t>
  </si>
  <si>
    <t>€(11)/GJ</t>
  </si>
  <si>
    <t>~FI_T: EUR15</t>
  </si>
  <si>
    <t>Based on a Dummy Gas generator in UK and WEO2016 Gas prices</t>
  </si>
  <si>
    <t xml:space="preserve">2012                         Units = ktoe
</t>
  </si>
  <si>
    <t>NACE 
(Rev 2)</t>
  </si>
  <si>
    <t xml:space="preserve"> Coal</t>
  </si>
  <si>
    <t xml:space="preserve"> Bituminous Coal</t>
  </si>
  <si>
    <t xml:space="preserve"> Anthracite + Manufactured Ovoids</t>
  </si>
  <si>
    <t xml:space="preserve"> Coke</t>
  </si>
  <si>
    <t xml:space="preserve"> Lignite \ Brown Coal Briquettes</t>
  </si>
  <si>
    <t xml:space="preserve"> Peat</t>
  </si>
  <si>
    <t xml:space="preserve"> Milled Peat</t>
  </si>
  <si>
    <t xml:space="preserve"> Sod Peat</t>
  </si>
  <si>
    <t xml:space="preserve"> Briquettes</t>
  </si>
  <si>
    <t xml:space="preserve"> Oil</t>
  </si>
  <si>
    <t xml:space="preserve"> Crude</t>
  </si>
  <si>
    <t xml:space="preserve"> Refinery Gas</t>
  </si>
  <si>
    <t xml:space="preserve"> Gasoline</t>
  </si>
  <si>
    <t xml:space="preserve"> Kerosene</t>
  </si>
  <si>
    <t xml:space="preserve"> Jet Kerosene</t>
  </si>
  <si>
    <t xml:space="preserve"> Fueloil</t>
  </si>
  <si>
    <t xml:space="preserve"> LPG</t>
  </si>
  <si>
    <t xml:space="preserve"> Gasoil / Diesel /DERV</t>
  </si>
  <si>
    <t xml:space="preserve"> Petroleum Coke</t>
  </si>
  <si>
    <t xml:space="preserve"> Naphta</t>
  </si>
  <si>
    <t xml:space="preserve"> Bitumen</t>
  </si>
  <si>
    <t xml:space="preserve"> White Spirit</t>
  </si>
  <si>
    <t xml:space="preserve"> Lubricants</t>
  </si>
  <si>
    <t xml:space="preserve"> Natural Gas</t>
  </si>
  <si>
    <t xml:space="preserve"> Renewables</t>
  </si>
  <si>
    <t xml:space="preserve"> Hydro</t>
  </si>
  <si>
    <t xml:space="preserve"> Wind</t>
  </si>
  <si>
    <t xml:space="preserve"> Biomass &amp;   Renewable  Waste</t>
  </si>
  <si>
    <t xml:space="preserve"> Landfill Gas</t>
  </si>
  <si>
    <t xml:space="preserve"> Biogas</t>
  </si>
  <si>
    <t xml:space="preserve"> Liquid Biofuel</t>
  </si>
  <si>
    <t xml:space="preserve"> Solar</t>
  </si>
  <si>
    <t xml:space="preserve"> Geothermal</t>
  </si>
  <si>
    <t xml:space="preserve"> Non-Renewable  Waste</t>
  </si>
  <si>
    <t xml:space="preserve"> Electricity</t>
  </si>
  <si>
    <t xml:space="preserve"> Heat</t>
  </si>
  <si>
    <t xml:space="preserve"> TOTAL</t>
  </si>
  <si>
    <t>Indigenous Production</t>
  </si>
  <si>
    <t>Imports</t>
  </si>
  <si>
    <t>Exports</t>
  </si>
  <si>
    <t>Mar. Bunkers</t>
  </si>
  <si>
    <t>Stock Change</t>
  </si>
  <si>
    <t>Primary Energy Supply (incl non-energy)</t>
  </si>
  <si>
    <t>Primary Energy Requirement (excl. non-energy)</t>
  </si>
  <si>
    <t>Transformation Input</t>
  </si>
  <si>
    <t>Public Thermal Power Plants</t>
  </si>
  <si>
    <t>Combined Heat and Power Plants</t>
  </si>
  <si>
    <t>Pumped Storage Consumption</t>
  </si>
  <si>
    <t>Briquetting Plants</t>
  </si>
  <si>
    <t>Oil Refineries &amp; other energy sector</t>
  </si>
  <si>
    <t>Transformation Output</t>
  </si>
  <si>
    <t>Combined Heat and Power Plants - Electricity</t>
  </si>
  <si>
    <t>Combined Heat and Power Plants - Heat</t>
  </si>
  <si>
    <t>Pumped Storage Generation</t>
  </si>
  <si>
    <t>Oil Refineries</t>
  </si>
  <si>
    <t>Exchanges and transfers</t>
  </si>
  <si>
    <t>Electricity</t>
  </si>
  <si>
    <t>Heat</t>
  </si>
  <si>
    <t xml:space="preserve">Other </t>
  </si>
  <si>
    <t>Own Use and Distribution Losses</t>
  </si>
  <si>
    <t>Available Final Energy Consumption</t>
  </si>
  <si>
    <t xml:space="preserve">2013                         Units = ktoe
</t>
  </si>
  <si>
    <t xml:space="preserve">2014                         Units = ktoe
</t>
  </si>
  <si>
    <t>ACT_BND~2050</t>
  </si>
  <si>
    <t>ACT_BND~0</t>
  </si>
  <si>
    <t>OILRFG</t>
  </si>
  <si>
    <t>OILNAP</t>
  </si>
  <si>
    <t>*</t>
  </si>
  <si>
    <r>
      <rPr>
        <u/>
        <sz val="10"/>
        <rFont val="Calibri"/>
        <family val="2"/>
        <scheme val="minor"/>
      </rPr>
      <t>Net</t>
    </r>
    <r>
      <rPr>
        <sz val="10"/>
        <rFont val="Calibri"/>
        <family val="2"/>
        <scheme val="minor"/>
      </rPr>
      <t xml:space="preserve"> production shares</t>
    </r>
  </si>
  <si>
    <t>Conversion factors</t>
  </si>
  <si>
    <t>Attribute</t>
  </si>
  <si>
    <t>Used BY costs from Irish TIMES 1.0</t>
  </si>
  <si>
    <t>WEO2016 potential - Current Policies Scenario</t>
  </si>
  <si>
    <t>Natural Gas importspotential -Europe</t>
  </si>
  <si>
    <t>Source: IEApotential -WEO 2016</t>
  </si>
  <si>
    <t>(http://www.usinflationcalculator.com/inflation/consumerpotential -pricepotential -indexpotential -andpotential -annualpotential -percentpotential -changespotential -frompotential -1913potential -topotential -2008/)</t>
  </si>
  <si>
    <t>2005potential -2015</t>
  </si>
  <si>
    <t xml:space="preserve">2015                         Units = ktoe
</t>
  </si>
  <si>
    <t>2015 Transport Diesel Consumption</t>
  </si>
  <si>
    <t>Consumption in 2015</t>
  </si>
  <si>
    <t>Table Name: T_060917_163704</t>
  </si>
  <si>
    <t xml:space="preserve">Active Unit:  </t>
  </si>
  <si>
    <t>Scenario</t>
  </si>
  <si>
    <t>Commodity\Period</t>
  </si>
  <si>
    <t>TEST3</t>
  </si>
  <si>
    <t>VAR_FOut</t>
  </si>
  <si>
    <t>TRABDL</t>
  </si>
  <si>
    <t>TRAETH</t>
  </si>
  <si>
    <t>Doubling Step I</t>
  </si>
  <si>
    <t>Doubling Step II</t>
  </si>
  <si>
    <t>Bound not set</t>
  </si>
  <si>
    <t>Max past consumption</t>
  </si>
  <si>
    <t>Share~UP~2050</t>
  </si>
  <si>
    <t>EFF~2015</t>
  </si>
  <si>
    <t>ACT_BND~2015</t>
  </si>
  <si>
    <t>Own Assumption</t>
  </si>
  <si>
    <t>Assumption</t>
  </si>
  <si>
    <t>Calibrated against Energy Balance</t>
  </si>
  <si>
    <t>Old PET values (source: WEC)</t>
  </si>
  <si>
    <t>Fuel Techs - Sectoral infrastructure</t>
  </si>
  <si>
    <t>Share-I</t>
  </si>
  <si>
    <t>INVCOST</t>
  </si>
  <si>
    <t>NCAP_BND~UP~0</t>
  </si>
  <si>
    <t>€/GJa</t>
  </si>
  <si>
    <t>Interpolation</t>
  </si>
  <si>
    <t xml:space="preserve">Natural Gas </t>
  </si>
  <si>
    <t xml:space="preserve">Liquified Natural Gas </t>
  </si>
  <si>
    <t xml:space="preserve">Bituminous Coal </t>
  </si>
  <si>
    <t xml:space="preserve">Hard Coal / Antracite </t>
  </si>
  <si>
    <t xml:space="preserve">Coke Coal </t>
  </si>
  <si>
    <t xml:space="preserve">Lignite /  Brown Coal </t>
  </si>
  <si>
    <t xml:space="preserve">Peat </t>
  </si>
  <si>
    <t xml:space="preserve">Crude Oil </t>
  </si>
  <si>
    <t xml:space="preserve">Refinery Gas </t>
  </si>
  <si>
    <t xml:space="preserve">Kerosene </t>
  </si>
  <si>
    <t xml:space="preserve">Heavy Fuel Oil </t>
  </si>
  <si>
    <t xml:space="preserve">Diesel Oil </t>
  </si>
  <si>
    <t xml:space="preserve">Liquified Petroleum Gas </t>
  </si>
  <si>
    <t xml:space="preserve">Gasoline </t>
  </si>
  <si>
    <t xml:space="preserve">Petroleum Coke </t>
  </si>
  <si>
    <t xml:space="preserve">Naphta </t>
  </si>
  <si>
    <t xml:space="preserve">Hydro </t>
  </si>
  <si>
    <t xml:space="preserve">Wind </t>
  </si>
  <si>
    <t xml:space="preserve">Solar </t>
  </si>
  <si>
    <t xml:space="preserve">Municipal Solid Waste </t>
  </si>
  <si>
    <t xml:space="preserve">Ocean </t>
  </si>
  <si>
    <t xml:space="preserve">Geothermal </t>
  </si>
  <si>
    <t xml:space="preserve">Ethanol 1st generation </t>
  </si>
  <si>
    <t xml:space="preserve">Ethanol 2nd generation </t>
  </si>
  <si>
    <t xml:space="preserve">Biodiesel 1st generation </t>
  </si>
  <si>
    <t xml:space="preserve">Biodiesel 1nd generation </t>
  </si>
  <si>
    <t xml:space="preserve">Biogas 1st generation </t>
  </si>
  <si>
    <t xml:space="preserve">Biogas 2nd generation </t>
  </si>
  <si>
    <t xml:space="preserve">Wood Pellets </t>
  </si>
  <si>
    <t xml:space="preserve">Wood Chip </t>
  </si>
  <si>
    <t xml:space="preserve">Biodegradable Municipal Solid Waste potential - Solid </t>
  </si>
  <si>
    <t xml:space="preserve">Biodegradable Municipal Solid Waste </t>
  </si>
  <si>
    <t xml:space="preserve">Tallow </t>
  </si>
  <si>
    <t xml:space="preserve">Recovered Vegetable Oil </t>
  </si>
  <si>
    <t xml:space="preserve">Cattle Waste </t>
  </si>
  <si>
    <t xml:space="preserve">Pig Waste </t>
  </si>
  <si>
    <t xml:space="preserve">Industrial Food Waste </t>
  </si>
  <si>
    <t>Uranium</t>
  </si>
  <si>
    <t>Emission - Dynamic coefficients</t>
  </si>
  <si>
    <t>~COMEMI</t>
  </si>
  <si>
    <t>*Unit</t>
  </si>
  <si>
    <t>kt/PJ</t>
  </si>
  <si>
    <t>ENV</t>
  </si>
  <si>
    <t>kt</t>
  </si>
  <si>
    <t>COALIG</t>
  </si>
  <si>
    <t>OILNEU</t>
  </si>
  <si>
    <t>Oil for Non-Energy uses</t>
  </si>
  <si>
    <t>COST~2012</t>
  </si>
  <si>
    <t>DELIV~2012</t>
  </si>
  <si>
    <t>FLO_COST~2012</t>
  </si>
  <si>
    <t>Sectors</t>
  </si>
  <si>
    <t>Code</t>
  </si>
  <si>
    <t>Description</t>
  </si>
  <si>
    <t>ELC</t>
  </si>
  <si>
    <t>Energy Commodities</t>
  </si>
  <si>
    <t>COA</t>
  </si>
  <si>
    <t>DST</t>
  </si>
  <si>
    <t>Diesel</t>
  </si>
  <si>
    <t>GSL</t>
  </si>
  <si>
    <t>Gasoline</t>
  </si>
  <si>
    <t>HFO</t>
  </si>
  <si>
    <t>Heavy Fuel Oil</t>
  </si>
  <si>
    <t>KER</t>
  </si>
  <si>
    <t>Kerosene</t>
  </si>
  <si>
    <t>LPG</t>
  </si>
  <si>
    <t>Liquified Petroleum Gases</t>
  </si>
  <si>
    <t>OIL</t>
  </si>
  <si>
    <t>NGA</t>
  </si>
  <si>
    <t>Natural Gas</t>
  </si>
  <si>
    <t>BLQ</t>
  </si>
  <si>
    <t>Bioliquid</t>
  </si>
  <si>
    <t>BSL</t>
  </si>
  <si>
    <t>Biomass solid</t>
  </si>
  <si>
    <t>BGA</t>
  </si>
  <si>
    <t>Biogas</t>
  </si>
  <si>
    <t>BWA</t>
  </si>
  <si>
    <t>AVG</t>
  </si>
  <si>
    <t>Aviation Gasoline</t>
  </si>
  <si>
    <t>JTK</t>
  </si>
  <si>
    <t>Jet Kerosene</t>
  </si>
  <si>
    <t>Bio Diesel</t>
  </si>
  <si>
    <t>Bio Gasoline</t>
  </si>
  <si>
    <t>Bio Gas</t>
  </si>
  <si>
    <t>BJK</t>
  </si>
  <si>
    <t>Jet Bio Kerosene</t>
  </si>
  <si>
    <t>SOL</t>
  </si>
  <si>
    <t>Solar</t>
  </si>
  <si>
    <t>SPV</t>
  </si>
  <si>
    <t>Solar Photovoltaic</t>
  </si>
  <si>
    <t>STH</t>
  </si>
  <si>
    <t>Solar Thermal</t>
  </si>
  <si>
    <t>GEO</t>
  </si>
  <si>
    <t>Geothermal</t>
  </si>
  <si>
    <t>WIN</t>
  </si>
  <si>
    <t>Wind</t>
  </si>
  <si>
    <t>WON</t>
  </si>
  <si>
    <t>Wind On-Shore</t>
  </si>
  <si>
    <t>WOF</t>
  </si>
  <si>
    <t>Wind Off-Shore</t>
  </si>
  <si>
    <t>HYD</t>
  </si>
  <si>
    <t>Hydro</t>
  </si>
  <si>
    <t>TDL</t>
  </si>
  <si>
    <t>Tide</t>
  </si>
  <si>
    <t>WAV</t>
  </si>
  <si>
    <t>Wave</t>
  </si>
  <si>
    <t>NUC</t>
  </si>
  <si>
    <t>HET</t>
  </si>
  <si>
    <t>SUP</t>
  </si>
  <si>
    <t>Supply and Upstream</t>
  </si>
  <si>
    <t>Emission Commodities</t>
  </si>
  <si>
    <t>CH4N</t>
  </si>
  <si>
    <t>N2ON</t>
  </si>
  <si>
    <t>CO2N</t>
  </si>
  <si>
    <t>CO2P</t>
  </si>
  <si>
    <t>Technology type</t>
  </si>
  <si>
    <t>Fuel</t>
  </si>
  <si>
    <t>TIMES Set</t>
  </si>
  <si>
    <t>Technology Type</t>
  </si>
  <si>
    <t>\I: Commodity set</t>
  </si>
  <si>
    <t>Commodity name</t>
  </si>
  <si>
    <t>\I: Energy Commodities</t>
  </si>
  <si>
    <t>\I: Emissions commodities</t>
  </si>
  <si>
    <t>Processes definition</t>
  </si>
  <si>
    <t>Technology name</t>
  </si>
  <si>
    <t>Activity unit</t>
  </si>
  <si>
    <t>Capacity unit</t>
  </si>
  <si>
    <t>TimeSlice level of Process Activity</t>
  </si>
  <si>
    <t>Primary Commodity Group</t>
  </si>
  <si>
    <t>\I: Fuel Technologies</t>
  </si>
  <si>
    <t>PJ_a</t>
  </si>
  <si>
    <t>NUCURM</t>
  </si>
  <si>
    <t>.</t>
  </si>
  <si>
    <t>NOXN</t>
  </si>
  <si>
    <t>PM10</t>
  </si>
  <si>
    <t>PM25</t>
  </si>
  <si>
    <t>Nitrogen Oxide  - eNergy Emissions</t>
  </si>
  <si>
    <r>
      <t>Carbon Dioxide - eN</t>
    </r>
    <r>
      <rPr>
        <sz val="11"/>
        <color theme="1"/>
        <rFont val="Calibri"/>
        <family val="2"/>
        <scheme val="minor"/>
      </rPr>
      <t>ergy Emissions</t>
    </r>
  </si>
  <si>
    <r>
      <t xml:space="preserve">Carbon Dioxide - </t>
    </r>
    <r>
      <rPr>
        <u/>
        <sz val="11"/>
        <color theme="1"/>
        <rFont val="Calibri"/>
        <family val="2"/>
        <scheme val="minor"/>
      </rPr>
      <t>P</t>
    </r>
    <r>
      <rPr>
        <sz val="11"/>
        <color theme="1"/>
        <rFont val="Calibri"/>
        <family val="2"/>
        <scheme val="minor"/>
      </rPr>
      <t>rocess Emissions</t>
    </r>
  </si>
  <si>
    <t>Particulate Matter &lt;10 µm</t>
  </si>
  <si>
    <t>Particulate Matter &lt;2.5 µm</t>
  </si>
  <si>
    <t>CH4P</t>
  </si>
  <si>
    <t>WAS</t>
  </si>
  <si>
    <t>Waste</t>
  </si>
  <si>
    <t>Bio Wastes</t>
  </si>
  <si>
    <t>BGL</t>
  </si>
  <si>
    <t>BDL</t>
  </si>
  <si>
    <t>H2</t>
  </si>
  <si>
    <t>Hydrogen</t>
  </si>
  <si>
    <t>CO2S</t>
  </si>
  <si>
    <r>
      <t xml:space="preserve">Carbon Dioxide - </t>
    </r>
    <r>
      <rPr>
        <u/>
        <sz val="11"/>
        <color theme="1"/>
        <rFont val="Calibri"/>
        <family val="2"/>
        <scheme val="minor"/>
      </rPr>
      <t>Sequestered</t>
    </r>
  </si>
  <si>
    <t>Transformations</t>
  </si>
  <si>
    <t>_UK</t>
  </si>
  <si>
    <t>Suffix (Technology Generation or regions)</t>
  </si>
  <si>
    <t>BIO</t>
  </si>
  <si>
    <t>Biomass</t>
  </si>
  <si>
    <t>G</t>
  </si>
  <si>
    <t>L</t>
  </si>
  <si>
    <t>Commodity State</t>
  </si>
  <si>
    <t>gaseous</t>
  </si>
  <si>
    <t>liquid</t>
  </si>
  <si>
    <t>Commodity Type</t>
  </si>
  <si>
    <t>C</t>
  </si>
  <si>
    <t>D</t>
  </si>
  <si>
    <t>centralised</t>
  </si>
  <si>
    <t>decentralised</t>
  </si>
  <si>
    <t>Methane - eNergy Emissions</t>
  </si>
  <si>
    <t>Methane Emissions - Process Emissions</t>
  </si>
  <si>
    <t>N2O Emissions - eNergy Emissions</t>
  </si>
  <si>
    <t>SO2N</t>
  </si>
  <si>
    <t>Sulfur dioxide - eNergy Emissions</t>
  </si>
  <si>
    <t>default</t>
  </si>
  <si>
    <t xml:space="preserve">Technologies - Convention for Naming </t>
  </si>
  <si>
    <t>Import</t>
  </si>
  <si>
    <t>Export</t>
  </si>
  <si>
    <t>FT-</t>
  </si>
  <si>
    <t>Suffixes</t>
  </si>
  <si>
    <t>UK</t>
  </si>
  <si>
    <t>_GLOBAL</t>
  </si>
  <si>
    <t>\I: Fossil Import Processes</t>
  </si>
  <si>
    <t>\I:Bio Import Processes</t>
  </si>
  <si>
    <t>\I:Domestic potentials</t>
  </si>
  <si>
    <t>_S1</t>
  </si>
  <si>
    <t>_S2</t>
  </si>
  <si>
    <t>_S3</t>
  </si>
  <si>
    <t>_S4</t>
  </si>
  <si>
    <t>Step 1</t>
  </si>
  <si>
    <t>Step 2</t>
  </si>
  <si>
    <t>Step 3</t>
  </si>
  <si>
    <t>Step 4</t>
  </si>
  <si>
    <t>BIOWOO1</t>
  </si>
  <si>
    <t>BIOWOO2</t>
  </si>
  <si>
    <t>BIOWOO3</t>
  </si>
  <si>
    <t xml:space="preserve">Biomass - generic </t>
  </si>
  <si>
    <t>Sawmill residues</t>
  </si>
  <si>
    <t>Post-Consumer Recycled Wood</t>
  </si>
  <si>
    <t>Straw</t>
  </si>
  <si>
    <t>Fuel Tech</t>
  </si>
  <si>
    <t>BDN</t>
  </si>
  <si>
    <t>Blending</t>
  </si>
  <si>
    <t>Input Commodity</t>
  </si>
  <si>
    <t>REF</t>
  </si>
  <si>
    <t>Refinery</t>
  </si>
  <si>
    <t>Domestic Potential</t>
  </si>
  <si>
    <t>_Whitegate</t>
  </si>
  <si>
    <t>Whitegate</t>
  </si>
  <si>
    <t xml:space="preserve">2018                        Units = ktoe
</t>
  </si>
  <si>
    <t>NACE (Rev 2)</t>
  </si>
  <si>
    <t>ACTBND~FX~2015</t>
  </si>
  <si>
    <t>Pasti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</si>
</sst>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-* #,##0.00_-;\-* #,##0.00_-;_-* &quot;-&quot;??_-;_-@_-"/>
    <numFmt numFmtId="164" formatCode="0.0"/>
    <numFmt numFmtId="165" formatCode="\Te\x\t"/>
    <numFmt numFmtId="166" formatCode="0.0%"/>
    <numFmt numFmtId="167" formatCode="0.0000"/>
    <numFmt numFmtId="168" formatCode="0.000"/>
    <numFmt numFmtId="169" formatCode="[$€-2]\ #,##0;[Red]\-[$€-2]\ #,##0"/>
    <numFmt numFmtId="170" formatCode="#,##0.0;[Red]\-#,##0.0"/>
  </numFmts>
  <fonts count="6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b/>
      <sz val="10"/>
      <color indexed="12"/>
      <name val="Calibri"/>
      <family val="2"/>
      <scheme val="minor"/>
    </font>
    <font>
      <b/>
      <sz val="10"/>
      <name val="Calibri"/>
      <family val="2"/>
      <scheme val="minor"/>
    </font>
    <font>
      <sz val="14"/>
      <color theme="0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10"/>
      <name val="Arial"/>
      <family val="2"/>
    </font>
    <font>
      <i/>
      <sz val="8"/>
      <color indexed="38"/>
      <name val="Arial"/>
      <family val="2"/>
    </font>
    <font>
      <sz val="10"/>
      <name val="Myriad Pro"/>
      <family val="2"/>
    </font>
    <font>
      <sz val="8"/>
      <name val="Calibri"/>
      <family val="2"/>
      <scheme val="minor"/>
    </font>
    <font>
      <i/>
      <sz val="10"/>
      <name val="Calibri"/>
      <family val="2"/>
      <scheme val="minor"/>
    </font>
    <font>
      <b/>
      <sz val="10"/>
      <color indexed="8"/>
      <name val="Tahoma"/>
      <family val="2"/>
    </font>
    <font>
      <sz val="10"/>
      <color indexed="8"/>
      <name val="Tahoma"/>
      <family val="2"/>
    </font>
    <font>
      <sz val="1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indexed="8"/>
      <name val="Calibri"/>
      <family val="2"/>
    </font>
    <font>
      <sz val="11"/>
      <name val="Arial"/>
      <family val="2"/>
    </font>
    <font>
      <b/>
      <sz val="9"/>
      <color indexed="81"/>
      <name val="Tahoma"/>
      <family val="2"/>
    </font>
    <font>
      <sz val="11"/>
      <color theme="1"/>
      <name val="Times New Roman"/>
      <family val="1"/>
    </font>
    <font>
      <sz val="11"/>
      <color rgb="FFFF0000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1"/>
      <color indexed="10"/>
      <name val="Calibri"/>
      <family val="2"/>
    </font>
    <font>
      <b/>
      <sz val="11"/>
      <color rgb="FF76923C"/>
      <name val="Myriad Pro"/>
      <family val="2"/>
    </font>
    <font>
      <sz val="11"/>
      <color theme="1"/>
      <name val="Myriad Pro"/>
      <family val="2"/>
    </font>
    <font>
      <b/>
      <i/>
      <sz val="11"/>
      <color rgb="FF76923C"/>
      <name val="Myriad Pro"/>
      <family val="2"/>
    </font>
    <font>
      <b/>
      <sz val="10"/>
      <color rgb="FFFFFFFF"/>
      <name val="Myriad Pro"/>
      <family val="2"/>
    </font>
    <font>
      <b/>
      <sz val="10"/>
      <color rgb="FFFFFFFF"/>
      <name val="Calibri"/>
      <family val="2"/>
      <scheme val="minor"/>
    </font>
    <font>
      <b/>
      <i/>
      <sz val="11"/>
      <color theme="5"/>
      <name val="Myriad Pro"/>
      <family val="2"/>
    </font>
    <font>
      <sz val="11"/>
      <color theme="5"/>
      <name val="Calibri"/>
      <family val="2"/>
      <scheme val="minor"/>
    </font>
    <font>
      <sz val="11"/>
      <color rgb="FFFFFFFF"/>
      <name val="Myriad Pro"/>
      <family val="2"/>
    </font>
    <font>
      <sz val="10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4"/>
      <color indexed="9"/>
      <name val="Calibri"/>
      <family val="2"/>
      <scheme val="minor"/>
    </font>
    <font>
      <b/>
      <sz val="11"/>
      <color indexed="12"/>
      <name val="Calibri"/>
      <family val="2"/>
      <scheme val="minor"/>
    </font>
    <font>
      <sz val="10"/>
      <color indexed="12"/>
      <name val="Calibri"/>
      <family val="2"/>
      <scheme val="minor"/>
    </font>
    <font>
      <sz val="20"/>
      <color theme="0"/>
      <name val="Calibri"/>
      <family val="2"/>
      <scheme val="minor"/>
    </font>
    <font>
      <sz val="20"/>
      <name val="Calibri"/>
      <family val="2"/>
      <scheme val="minor"/>
    </font>
    <font>
      <b/>
      <sz val="11"/>
      <name val="Myriad Pro"/>
      <family val="2"/>
    </font>
    <font>
      <b/>
      <sz val="10"/>
      <name val="Myriad Pro"/>
      <family val="2"/>
    </font>
    <font>
      <u/>
      <sz val="10"/>
      <name val="Calibri"/>
      <family val="2"/>
      <scheme val="minor"/>
    </font>
    <font>
      <i/>
      <sz val="10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1F497D"/>
      <name val="Calibri"/>
      <family val="2"/>
      <scheme val="minor"/>
    </font>
    <font>
      <b/>
      <sz val="2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0"/>
      <name val="Arial"/>
    </font>
    <font>
      <sz val="10"/>
      <name val="Arial"/>
      <family val="2"/>
    </font>
    <font>
      <sz val="10"/>
      <name val="MS Sans Serif"/>
      <family val="2"/>
    </font>
    <font>
      <sz val="9"/>
      <name val="Times New Roman"/>
      <family val="1"/>
    </font>
  </fonts>
  <fills count="2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indexed="4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76923C"/>
        <bgColor indexed="64"/>
      </patternFill>
    </fill>
    <fill>
      <patternFill patternType="solid">
        <fgColor rgb="FFC2D69B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indexed="12"/>
        <bgColor indexed="64"/>
      </patternFill>
    </fill>
    <fill>
      <patternFill patternType="solid">
        <fgColor rgb="FF1F497D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C0C0"/>
        <bgColor indexed="64"/>
      </patternFill>
    </fill>
  </fills>
  <borders count="13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hair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0"/>
      </top>
      <bottom style="medium">
        <color theme="0"/>
      </bottom>
      <diagonal/>
    </border>
    <border>
      <left/>
      <right/>
      <top style="medium">
        <color theme="0"/>
      </top>
      <bottom style="thin">
        <color indexed="64"/>
      </bottom>
      <diagonal/>
    </border>
  </borders>
  <cellStyleXfs count="10">
    <xf numFmtId="0" fontId="0" fillId="0" borderId="0"/>
    <xf numFmtId="0" fontId="2" fillId="2" borderId="0" applyNumberFormat="0" applyBorder="0" applyAlignment="0" applyProtection="0"/>
    <xf numFmtId="9" fontId="1" fillId="0" borderId="0" applyFont="0" applyFill="0" applyBorder="0" applyAlignment="0" applyProtection="0"/>
    <xf numFmtId="0" fontId="37" fillId="20" borderId="0" applyNumberFormat="0" applyBorder="0" applyAlignment="0" applyProtection="0"/>
    <xf numFmtId="0" fontId="38" fillId="21" borderId="23" applyNumberFormat="0" applyAlignment="0" applyProtection="0"/>
    <xf numFmtId="0" fontId="56" fillId="0" borderId="0"/>
    <xf numFmtId="49" fontId="59" fillId="0" borderId="3" applyNumberFormat="0" applyFont="0" applyFill="0" applyBorder="0" applyProtection="0">
      <alignment horizontal="left" vertical="center" indent="2"/>
    </xf>
    <xf numFmtId="43" fontId="57" fillId="0" borderId="0" applyFont="0" applyFill="0" applyBorder="0" applyAlignment="0" applyProtection="0"/>
    <xf numFmtId="0" fontId="58" fillId="0" borderId="0"/>
    <xf numFmtId="9" fontId="57" fillId="0" borderId="0" applyFont="0" applyFill="0" applyBorder="0" applyAlignment="0" applyProtection="0"/>
  </cellStyleXfs>
  <cellXfs count="701">
    <xf numFmtId="0" fontId="0" fillId="0" borderId="0" xfId="0"/>
    <xf numFmtId="0" fontId="0" fillId="0" borderId="0" xfId="0" applyFont="1" applyAlignment="1">
      <alignment vertical="center"/>
    </xf>
    <xf numFmtId="165" fontId="2" fillId="2" borderId="0" xfId="1" applyNumberFormat="1" applyAlignment="1">
      <alignment vertical="center"/>
    </xf>
    <xf numFmtId="0" fontId="5" fillId="0" borderId="0" xfId="0" applyFont="1" applyAlignment="1">
      <alignment vertical="center"/>
    </xf>
    <xf numFmtId="0" fontId="8" fillId="5" borderId="0" xfId="0" quotePrefix="1" applyNumberFormat="1" applyFont="1" applyFill="1" applyBorder="1" applyAlignment="1" applyProtection="1">
      <alignment horizontal="left" vertical="center"/>
    </xf>
    <xf numFmtId="0" fontId="9" fillId="5" borderId="0" xfId="0" applyNumberFormat="1" applyFont="1" applyFill="1" applyBorder="1" applyAlignment="1" applyProtection="1">
      <alignment horizontal="left" vertical="center"/>
    </xf>
    <xf numFmtId="0" fontId="6" fillId="0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3" borderId="1" xfId="0" applyFont="1" applyFill="1" applyBorder="1" applyAlignment="1">
      <alignment vertical="center"/>
    </xf>
    <xf numFmtId="0" fontId="7" fillId="3" borderId="1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vertical="center"/>
    </xf>
    <xf numFmtId="164" fontId="5" fillId="0" borderId="0" xfId="0" applyNumberFormat="1" applyFont="1" applyAlignment="1">
      <alignment horizontal="center" vertical="center"/>
    </xf>
    <xf numFmtId="0" fontId="5" fillId="6" borderId="2" xfId="0" applyFont="1" applyFill="1" applyBorder="1" applyAlignment="1">
      <alignment horizontal="left" vertical="center" wrapText="1"/>
    </xf>
    <xf numFmtId="0" fontId="5" fillId="0" borderId="7" xfId="0" applyFont="1" applyBorder="1" applyAlignment="1">
      <alignment vertical="center"/>
    </xf>
    <xf numFmtId="164" fontId="5" fillId="0" borderId="7" xfId="0" applyNumberFormat="1" applyFont="1" applyBorder="1" applyAlignment="1">
      <alignment horizontal="center" vertical="center"/>
    </xf>
    <xf numFmtId="0" fontId="8" fillId="5" borderId="0" xfId="0" quotePrefix="1" applyNumberFormat="1" applyFont="1" applyFill="1" applyBorder="1" applyAlignment="1" applyProtection="1">
      <alignment horizontal="left" vertical="center"/>
    </xf>
    <xf numFmtId="0" fontId="9" fillId="5" borderId="0" xfId="0" applyNumberFormat="1" applyFont="1" applyFill="1" applyBorder="1" applyAlignment="1" applyProtection="1">
      <alignment horizontal="left" vertical="center"/>
    </xf>
    <xf numFmtId="0" fontId="6" fillId="0" borderId="0" xfId="0" applyFont="1" applyFill="1" applyAlignment="1">
      <alignment vertical="center"/>
    </xf>
    <xf numFmtId="0" fontId="5" fillId="0" borderId="0" xfId="0" applyNumberFormat="1" applyFont="1" applyFill="1" applyBorder="1" applyAlignment="1" applyProtection="1">
      <alignment vertical="center"/>
    </xf>
    <xf numFmtId="0" fontId="13" fillId="0" borderId="0" xfId="0" applyNumberFormat="1" applyFont="1" applyFill="1" applyBorder="1" applyAlignment="1" applyProtection="1">
      <alignment horizontal="right" vertical="center"/>
    </xf>
    <xf numFmtId="0" fontId="7" fillId="3" borderId="1" xfId="0" applyNumberFormat="1" applyFont="1" applyFill="1" applyBorder="1" applyAlignment="1" applyProtection="1">
      <alignment vertical="center" wrapText="1"/>
    </xf>
    <xf numFmtId="0" fontId="7" fillId="3" borderId="1" xfId="0" applyFont="1" applyFill="1" applyBorder="1" applyAlignment="1">
      <alignment vertical="center"/>
    </xf>
    <xf numFmtId="0" fontId="7" fillId="3" borderId="1" xfId="0" applyNumberFormat="1" applyFont="1" applyFill="1" applyBorder="1" applyAlignment="1" applyProtection="1">
      <alignment horizontal="center" vertical="center"/>
    </xf>
    <xf numFmtId="0" fontId="7" fillId="3" borderId="1" xfId="0" applyNumberFormat="1" applyFont="1" applyFill="1" applyBorder="1" applyAlignment="1" applyProtection="1">
      <alignment horizontal="center" vertical="center" wrapText="1"/>
    </xf>
    <xf numFmtId="0" fontId="5" fillId="0" borderId="0" xfId="0" applyFont="1" applyAlignment="1">
      <alignment vertical="center"/>
    </xf>
    <xf numFmtId="0" fontId="5" fillId="3" borderId="8" xfId="0" applyNumberFormat="1" applyFont="1" applyFill="1" applyBorder="1" applyAlignment="1" applyProtection="1">
      <alignment horizontal="left" vertical="center"/>
    </xf>
    <xf numFmtId="0" fontId="5" fillId="3" borderId="8" xfId="0" applyNumberFormat="1" applyFont="1" applyFill="1" applyBorder="1" applyAlignment="1" applyProtection="1">
      <alignment vertical="center" wrapText="1"/>
    </xf>
    <xf numFmtId="0" fontId="14" fillId="3" borderId="8" xfId="0" applyNumberFormat="1" applyFont="1" applyFill="1" applyBorder="1" applyAlignment="1" applyProtection="1">
      <alignment horizontal="center" vertical="center" wrapText="1"/>
    </xf>
    <xf numFmtId="0" fontId="5" fillId="0" borderId="0" xfId="0" applyNumberFormat="1" applyFont="1" applyFill="1" applyBorder="1" applyAlignment="1" applyProtection="1">
      <alignment horizontal="left" vertical="center"/>
    </xf>
    <xf numFmtId="2" fontId="5" fillId="0" borderId="0" xfId="0" applyNumberFormat="1" applyFont="1" applyFill="1" applyBorder="1" applyAlignment="1" applyProtection="1">
      <alignment horizontal="right" vertical="center"/>
    </xf>
    <xf numFmtId="1" fontId="5" fillId="0" borderId="0" xfId="0" applyNumberFormat="1" applyFont="1" applyFill="1" applyBorder="1" applyAlignment="1" applyProtection="1">
      <alignment vertical="center"/>
    </xf>
    <xf numFmtId="0" fontId="5" fillId="0" borderId="0" xfId="0" applyNumberFormat="1" applyFont="1" applyFill="1" applyBorder="1" applyAlignment="1" applyProtection="1">
      <alignment horizontal="right" vertical="center"/>
    </xf>
    <xf numFmtId="0" fontId="6" fillId="0" borderId="0" xfId="0" applyNumberFormat="1" applyFont="1" applyFill="1" applyBorder="1" applyAlignment="1" applyProtection="1">
      <alignment horizontal="left" vertical="center"/>
    </xf>
    <xf numFmtId="0" fontId="6" fillId="0" borderId="0" xfId="0" applyNumberFormat="1" applyFont="1" applyFill="1" applyBorder="1" applyAlignment="1" applyProtection="1">
      <alignment vertical="center"/>
    </xf>
    <xf numFmtId="0" fontId="0" fillId="0" borderId="0" xfId="0" applyNumberFormat="1" applyFont="1" applyFill="1" applyBorder="1" applyAlignment="1" applyProtection="1"/>
    <xf numFmtId="167" fontId="5" fillId="0" borderId="0" xfId="0" applyNumberFormat="1" applyFont="1" applyFill="1" applyBorder="1" applyAlignment="1" applyProtection="1">
      <alignment horizontal="right" vertical="center"/>
    </xf>
    <xf numFmtId="0" fontId="5" fillId="0" borderId="0" xfId="0" applyFont="1" applyFill="1" applyBorder="1" applyAlignment="1">
      <alignment vertical="center"/>
    </xf>
    <xf numFmtId="165" fontId="17" fillId="0" borderId="0" xfId="0" applyNumberFormat="1" applyFont="1" applyBorder="1" applyAlignment="1">
      <alignment vertical="center"/>
    </xf>
    <xf numFmtId="0" fontId="17" fillId="0" borderId="0" xfId="0" applyFont="1" applyAlignment="1">
      <alignment vertical="center"/>
    </xf>
    <xf numFmtId="0" fontId="17" fillId="0" borderId="0" xfId="0" applyFont="1" applyBorder="1" applyAlignment="1">
      <alignment vertical="center"/>
    </xf>
    <xf numFmtId="0" fontId="0" fillId="0" borderId="0" xfId="0" applyBorder="1"/>
    <xf numFmtId="0" fontId="0" fillId="0" borderId="0" xfId="0" applyFont="1" applyAlignment="1">
      <alignment vertical="center"/>
    </xf>
    <xf numFmtId="0" fontId="7" fillId="3" borderId="1" xfId="0" applyFont="1" applyFill="1" applyBorder="1" applyAlignment="1">
      <alignment horizontal="center" vertical="center"/>
    </xf>
    <xf numFmtId="165" fontId="0" fillId="0" borderId="0" xfId="0" applyNumberFormat="1" applyFont="1" applyFill="1" applyBorder="1" applyAlignment="1">
      <alignment vertical="center"/>
    </xf>
    <xf numFmtId="165" fontId="0" fillId="0" borderId="0" xfId="0" applyNumberFormat="1" applyFont="1" applyFill="1" applyAlignment="1">
      <alignment vertical="center"/>
    </xf>
    <xf numFmtId="0" fontId="0" fillId="0" borderId="0" xfId="0" applyFont="1" applyBorder="1" applyAlignment="1">
      <alignment vertical="center"/>
    </xf>
    <xf numFmtId="0" fontId="0" fillId="0" borderId="0" xfId="0" applyFont="1" applyAlignment="1">
      <alignment horizontal="center" vertical="center"/>
    </xf>
    <xf numFmtId="2" fontId="0" fillId="0" borderId="0" xfId="0" applyNumberFormat="1"/>
    <xf numFmtId="0" fontId="0" fillId="0" borderId="6" xfId="0" applyFont="1" applyBorder="1" applyAlignment="1">
      <alignment vertical="center"/>
    </xf>
    <xf numFmtId="164" fontId="0" fillId="0" borderId="6" xfId="0" applyNumberFormat="1" applyFont="1" applyBorder="1" applyAlignment="1">
      <alignment horizontal="center" vertical="center"/>
    </xf>
    <xf numFmtId="2" fontId="0" fillId="0" borderId="6" xfId="0" applyNumberFormat="1" applyBorder="1" applyAlignment="1">
      <alignment horizontal="center"/>
    </xf>
    <xf numFmtId="0" fontId="0" fillId="0" borderId="6" xfId="0" applyFont="1" applyBorder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2" fontId="0" fillId="7" borderId="0" xfId="0" applyNumberFormat="1" applyFont="1" applyFill="1" applyAlignment="1">
      <alignment horizontal="center" vertical="center"/>
    </xf>
    <xf numFmtId="2" fontId="0" fillId="7" borderId="6" xfId="0" applyNumberFormat="1" applyFill="1" applyBorder="1" applyAlignment="1">
      <alignment horizontal="center"/>
    </xf>
    <xf numFmtId="0" fontId="14" fillId="8" borderId="8" xfId="0" applyNumberFormat="1" applyFont="1" applyFill="1" applyBorder="1" applyAlignment="1" applyProtection="1">
      <alignment horizontal="center" vertical="center" wrapText="1"/>
    </xf>
    <xf numFmtId="0" fontId="17" fillId="9" borderId="7" xfId="0" applyFont="1" applyFill="1" applyBorder="1" applyAlignment="1">
      <alignment vertical="center"/>
    </xf>
    <xf numFmtId="165" fontId="0" fillId="0" borderId="0" xfId="0" applyNumberFormat="1" applyFont="1" applyFill="1" applyAlignment="1">
      <alignment vertical="center"/>
    </xf>
    <xf numFmtId="164" fontId="5" fillId="0" borderId="0" xfId="0" applyNumberFormat="1" applyFont="1" applyBorder="1" applyAlignment="1">
      <alignment horizontal="center" vertical="center"/>
    </xf>
    <xf numFmtId="0" fontId="20" fillId="0" borderId="0" xfId="0" applyFont="1"/>
    <xf numFmtId="0" fontId="0" fillId="0" borderId="3" xfId="0" applyBorder="1"/>
    <xf numFmtId="0" fontId="19" fillId="0" borderId="3" xfId="0" applyFont="1" applyBorder="1" applyAlignment="1">
      <alignment horizontal="center"/>
    </xf>
    <xf numFmtId="168" fontId="0" fillId="0" borderId="3" xfId="0" applyNumberFormat="1" applyFill="1" applyBorder="1" applyAlignment="1">
      <alignment horizontal="right"/>
    </xf>
    <xf numFmtId="2" fontId="0" fillId="0" borderId="3" xfId="0" applyNumberFormat="1" applyBorder="1"/>
    <xf numFmtId="2" fontId="0" fillId="0" borderId="3" xfId="0" applyNumberFormat="1" applyFill="1" applyBorder="1"/>
    <xf numFmtId="0" fontId="0" fillId="0" borderId="0" xfId="0" applyFill="1"/>
    <xf numFmtId="0" fontId="3" fillId="0" borderId="4" xfId="0" applyFont="1" applyBorder="1"/>
    <xf numFmtId="0" fontId="3" fillId="0" borderId="13" xfId="0" applyFont="1" applyBorder="1"/>
    <xf numFmtId="0" fontId="3" fillId="0" borderId="1" xfId="0" applyFont="1" applyBorder="1"/>
    <xf numFmtId="0" fontId="3" fillId="0" borderId="14" xfId="0" applyFont="1" applyBorder="1"/>
    <xf numFmtId="0" fontId="3" fillId="0" borderId="1" xfId="0" applyFont="1" applyFill="1" applyBorder="1"/>
    <xf numFmtId="0" fontId="3" fillId="0" borderId="14" xfId="0" applyFont="1" applyFill="1" applyBorder="1"/>
    <xf numFmtId="0" fontId="4" fillId="11" borderId="15" xfId="0" applyFont="1" applyFill="1" applyBorder="1"/>
    <xf numFmtId="0" fontId="4" fillId="11" borderId="16" xfId="0" applyFont="1" applyFill="1" applyBorder="1"/>
    <xf numFmtId="164" fontId="4" fillId="11" borderId="0" xfId="0" applyNumberFormat="1" applyFont="1" applyFill="1" applyBorder="1"/>
    <xf numFmtId="164" fontId="4" fillId="11" borderId="11" xfId="0" applyNumberFormat="1" applyFont="1" applyFill="1" applyBorder="1"/>
    <xf numFmtId="0" fontId="22" fillId="0" borderId="0" xfId="0" applyFont="1" applyFill="1"/>
    <xf numFmtId="0" fontId="4" fillId="13" borderId="15" xfId="0" applyFont="1" applyFill="1" applyBorder="1"/>
    <xf numFmtId="0" fontId="4" fillId="13" borderId="16" xfId="0" applyFont="1" applyFill="1" applyBorder="1"/>
    <xf numFmtId="164" fontId="4" fillId="13" borderId="0" xfId="0" applyNumberFormat="1" applyFont="1" applyFill="1" applyBorder="1"/>
    <xf numFmtId="164" fontId="4" fillId="13" borderId="16" xfId="0" applyNumberFormat="1" applyFont="1" applyFill="1" applyBorder="1"/>
    <xf numFmtId="164" fontId="4" fillId="13" borderId="11" xfId="0" applyNumberFormat="1" applyFont="1" applyFill="1" applyBorder="1"/>
    <xf numFmtId="2" fontId="0" fillId="0" borderId="0" xfId="0" applyNumberFormat="1" applyFill="1" applyBorder="1"/>
    <xf numFmtId="0" fontId="4" fillId="7" borderId="15" xfId="0" applyFont="1" applyFill="1" applyBorder="1"/>
    <xf numFmtId="0" fontId="4" fillId="7" borderId="16" xfId="0" applyFont="1" applyFill="1" applyBorder="1"/>
    <xf numFmtId="164" fontId="4" fillId="7" borderId="0" xfId="0" applyNumberFormat="1" applyFont="1" applyFill="1" applyBorder="1"/>
    <xf numFmtId="164" fontId="4" fillId="7" borderId="16" xfId="0" applyNumberFormat="1" applyFont="1" applyFill="1" applyBorder="1"/>
    <xf numFmtId="164" fontId="4" fillId="7" borderId="11" xfId="0" applyNumberFormat="1" applyFont="1" applyFill="1" applyBorder="1"/>
    <xf numFmtId="0" fontId="4" fillId="7" borderId="9" xfId="0" applyFont="1" applyFill="1" applyBorder="1"/>
    <xf numFmtId="164" fontId="4" fillId="7" borderId="6" xfId="0" applyNumberFormat="1" applyFont="1" applyFill="1" applyBorder="1"/>
    <xf numFmtId="164" fontId="4" fillId="7" borderId="17" xfId="0" applyNumberFormat="1" applyFont="1" applyFill="1" applyBorder="1"/>
    <xf numFmtId="164" fontId="4" fillId="7" borderId="10" xfId="0" applyNumberFormat="1" applyFont="1" applyFill="1" applyBorder="1"/>
    <xf numFmtId="0" fontId="4" fillId="7" borderId="17" xfId="0" applyFont="1" applyFill="1" applyBorder="1"/>
    <xf numFmtId="0" fontId="10" fillId="0" borderId="0" xfId="0" applyFont="1" applyBorder="1" applyAlignment="1">
      <alignment horizontal="center"/>
    </xf>
    <xf numFmtId="0" fontId="4" fillId="0" borderId="0" xfId="0" applyFont="1" applyFill="1" applyBorder="1"/>
    <xf numFmtId="164" fontId="4" fillId="0" borderId="0" xfId="0" applyNumberFormat="1" applyFont="1" applyFill="1" applyBorder="1"/>
    <xf numFmtId="0" fontId="10" fillId="0" borderId="3" xfId="0" applyFont="1" applyBorder="1" applyAlignment="1">
      <alignment horizontal="center" wrapText="1"/>
    </xf>
    <xf numFmtId="0" fontId="10" fillId="0" borderId="3" xfId="0" applyFont="1" applyBorder="1" applyAlignment="1">
      <alignment horizontal="center"/>
    </xf>
    <xf numFmtId="0" fontId="10" fillId="0" borderId="3" xfId="0" applyFont="1" applyBorder="1" applyAlignment="1">
      <alignment horizontal="left"/>
    </xf>
    <xf numFmtId="0" fontId="0" fillId="0" borderId="3" xfId="0" applyBorder="1" applyAlignment="1">
      <alignment horizontal="center"/>
    </xf>
    <xf numFmtId="0" fontId="10" fillId="0" borderId="3" xfId="0" applyNumberFormat="1" applyFont="1" applyBorder="1" applyAlignment="1">
      <alignment horizontal="left"/>
    </xf>
    <xf numFmtId="10" fontId="0" fillId="0" borderId="3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0" fontId="24" fillId="0" borderId="0" xfId="0" applyFont="1" applyAlignment="1">
      <alignment vertical="center"/>
    </xf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24" fillId="0" borderId="0" xfId="0" applyFont="1" applyBorder="1" applyAlignment="1">
      <alignment vertical="center"/>
    </xf>
    <xf numFmtId="0" fontId="5" fillId="0" borderId="6" xfId="0" applyFont="1" applyBorder="1" applyAlignment="1">
      <alignment vertical="center"/>
    </xf>
    <xf numFmtId="164" fontId="5" fillId="0" borderId="6" xfId="0" applyNumberFormat="1" applyFont="1" applyBorder="1" applyAlignment="1">
      <alignment horizontal="center" vertical="center"/>
    </xf>
    <xf numFmtId="0" fontId="7" fillId="3" borderId="1" xfId="0" applyFont="1" applyFill="1" applyBorder="1" applyAlignment="1">
      <alignment horizontal="left" vertical="center"/>
    </xf>
    <xf numFmtId="164" fontId="5" fillId="15" borderId="0" xfId="0" applyNumberFormat="1" applyFont="1" applyFill="1" applyAlignment="1">
      <alignment horizontal="left" vertical="center"/>
    </xf>
    <xf numFmtId="164" fontId="5" fillId="15" borderId="0" xfId="0" applyNumberFormat="1" applyFont="1" applyFill="1" applyAlignment="1">
      <alignment horizontal="center" vertical="center"/>
    </xf>
    <xf numFmtId="164" fontId="5" fillId="15" borderId="6" xfId="0" applyNumberFormat="1" applyFont="1" applyFill="1" applyBorder="1" applyAlignment="1">
      <alignment horizontal="left" vertical="center"/>
    </xf>
    <xf numFmtId="164" fontId="5" fillId="15" borderId="6" xfId="0" applyNumberFormat="1" applyFont="1" applyFill="1" applyBorder="1" applyAlignment="1">
      <alignment horizontal="center" vertical="center"/>
    </xf>
    <xf numFmtId="164" fontId="5" fillId="15" borderId="0" xfId="0" applyNumberFormat="1" applyFont="1" applyFill="1" applyBorder="1" applyAlignment="1">
      <alignment horizontal="center" vertical="center"/>
    </xf>
    <xf numFmtId="164" fontId="5" fillId="15" borderId="7" xfId="0" applyNumberFormat="1" applyFont="1" applyFill="1" applyBorder="1" applyAlignment="1">
      <alignment horizontal="center" vertical="center"/>
    </xf>
    <xf numFmtId="2" fontId="5" fillId="15" borderId="0" xfId="0" applyNumberFormat="1" applyFont="1" applyFill="1" applyAlignment="1">
      <alignment horizontal="left" vertical="center"/>
    </xf>
    <xf numFmtId="2" fontId="17" fillId="15" borderId="0" xfId="0" applyNumberFormat="1" applyFont="1" applyFill="1" applyAlignment="1">
      <alignment horizontal="left" vertical="center"/>
    </xf>
    <xf numFmtId="0" fontId="17" fillId="0" borderId="6" xfId="0" applyFont="1" applyBorder="1" applyAlignment="1">
      <alignment vertical="center"/>
    </xf>
    <xf numFmtId="0" fontId="19" fillId="0" borderId="0" xfId="0" applyFont="1"/>
    <xf numFmtId="164" fontId="0" fillId="0" borderId="0" xfId="0" applyNumberFormat="1" applyAlignment="1">
      <alignment horizontal="center" vertical="center"/>
    </xf>
    <xf numFmtId="2" fontId="17" fillId="0" borderId="0" xfId="0" applyNumberFormat="1" applyFont="1" applyFill="1" applyAlignment="1">
      <alignment vertical="center"/>
    </xf>
    <xf numFmtId="165" fontId="17" fillId="0" borderId="18" xfId="0" applyNumberFormat="1" applyFont="1" applyBorder="1" applyAlignment="1">
      <alignment vertical="center"/>
    </xf>
    <xf numFmtId="0" fontId="17" fillId="0" borderId="18" xfId="0" applyFont="1" applyBorder="1" applyAlignment="1">
      <alignment vertical="center"/>
    </xf>
    <xf numFmtId="165" fontId="17" fillId="0" borderId="6" xfId="0" applyNumberFormat="1" applyFont="1" applyBorder="1" applyAlignment="1">
      <alignment vertical="center"/>
    </xf>
    <xf numFmtId="165" fontId="26" fillId="0" borderId="7" xfId="0" applyNumberFormat="1" applyFont="1" applyBorder="1" applyAlignment="1">
      <alignment vertical="center"/>
    </xf>
    <xf numFmtId="0" fontId="26" fillId="0" borderId="7" xfId="0" applyFont="1" applyBorder="1" applyAlignment="1">
      <alignment vertical="center"/>
    </xf>
    <xf numFmtId="165" fontId="26" fillId="0" borderId="2" xfId="0" applyNumberFormat="1" applyFont="1" applyBorder="1" applyAlignment="1">
      <alignment vertical="center"/>
    </xf>
    <xf numFmtId="0" fontId="26" fillId="0" borderId="2" xfId="0" applyFont="1" applyBorder="1" applyAlignment="1">
      <alignment vertical="center"/>
    </xf>
    <xf numFmtId="164" fontId="17" fillId="0" borderId="0" xfId="0" applyNumberFormat="1" applyFont="1" applyBorder="1" applyAlignment="1">
      <alignment horizontal="center" vertical="center"/>
    </xf>
    <xf numFmtId="164" fontId="17" fillId="0" borderId="6" xfId="0" applyNumberFormat="1" applyFont="1" applyBorder="1" applyAlignment="1">
      <alignment horizontal="center" vertical="center"/>
    </xf>
    <xf numFmtId="2" fontId="5" fillId="15" borderId="0" xfId="0" applyNumberFormat="1" applyFont="1" applyFill="1" applyBorder="1" applyAlignment="1">
      <alignment horizontal="left" vertical="center"/>
    </xf>
    <xf numFmtId="164" fontId="17" fillId="0" borderId="18" xfId="0" applyNumberFormat="1" applyFont="1" applyBorder="1" applyAlignment="1">
      <alignment horizontal="center" vertical="center"/>
    </xf>
    <xf numFmtId="164" fontId="26" fillId="0" borderId="7" xfId="0" applyNumberFormat="1" applyFont="1" applyBorder="1" applyAlignment="1">
      <alignment horizontal="center" vertical="center"/>
    </xf>
    <xf numFmtId="164" fontId="26" fillId="0" borderId="2" xfId="0" applyNumberFormat="1" applyFont="1" applyBorder="1" applyAlignment="1">
      <alignment horizontal="center" vertical="center"/>
    </xf>
    <xf numFmtId="0" fontId="7" fillId="8" borderId="1" xfId="0" applyNumberFormat="1" applyFont="1" applyFill="1" applyBorder="1" applyAlignment="1" applyProtection="1">
      <alignment horizontal="center" vertical="center" wrapText="1"/>
    </xf>
    <xf numFmtId="1" fontId="5" fillId="0" borderId="0" xfId="0" applyNumberFormat="1" applyFont="1" applyFill="1" applyBorder="1" applyAlignment="1" applyProtection="1">
      <alignment horizontal="center" vertical="center"/>
    </xf>
    <xf numFmtId="2" fontId="5" fillId="0" borderId="0" xfId="0" applyNumberFormat="1" applyFont="1" applyFill="1" applyBorder="1" applyAlignment="1" applyProtection="1">
      <alignment horizontal="center" vertical="center"/>
    </xf>
    <xf numFmtId="0" fontId="0" fillId="0" borderId="0" xfId="0" applyAlignment="1">
      <alignment horizontal="center"/>
    </xf>
    <xf numFmtId="0" fontId="5" fillId="0" borderId="6" xfId="0" applyNumberFormat="1" applyFont="1" applyFill="1" applyBorder="1" applyAlignment="1" applyProtection="1">
      <alignment vertical="center"/>
    </xf>
    <xf numFmtId="0" fontId="5" fillId="0" borderId="6" xfId="0" applyNumberFormat="1" applyFont="1" applyFill="1" applyBorder="1" applyAlignment="1" applyProtection="1">
      <alignment horizontal="left" vertical="center"/>
    </xf>
    <xf numFmtId="0" fontId="5" fillId="0" borderId="6" xfId="0" applyNumberFormat="1" applyFont="1" applyFill="1" applyBorder="1" applyAlignment="1" applyProtection="1">
      <alignment horizontal="center" vertical="center"/>
    </xf>
    <xf numFmtId="0" fontId="19" fillId="10" borderId="5" xfId="0" applyFont="1" applyFill="1" applyBorder="1"/>
    <xf numFmtId="0" fontId="0" fillId="10" borderId="7" xfId="0" applyFill="1" applyBorder="1"/>
    <xf numFmtId="0" fontId="0" fillId="0" borderId="0" xfId="0" applyAlignment="1">
      <alignment vertical="center"/>
    </xf>
    <xf numFmtId="164" fontId="17" fillId="0" borderId="18" xfId="0" applyNumberFormat="1" applyFont="1" applyBorder="1" applyAlignment="1">
      <alignment horizontal="left" vertical="center"/>
    </xf>
    <xf numFmtId="164" fontId="17" fillId="0" borderId="0" xfId="0" applyNumberFormat="1" applyFont="1" applyBorder="1" applyAlignment="1">
      <alignment horizontal="left" vertical="center"/>
    </xf>
    <xf numFmtId="164" fontId="17" fillId="0" borderId="6" xfId="0" applyNumberFormat="1" applyFont="1" applyBorder="1" applyAlignment="1">
      <alignment horizontal="left" vertical="center"/>
    </xf>
    <xf numFmtId="164" fontId="26" fillId="0" borderId="7" xfId="0" applyNumberFormat="1" applyFont="1" applyBorder="1" applyAlignment="1">
      <alignment horizontal="left" vertical="center"/>
    </xf>
    <xf numFmtId="164" fontId="26" fillId="0" borderId="2" xfId="0" applyNumberFormat="1" applyFont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19" fillId="0" borderId="0" xfId="0" applyFont="1" applyAlignment="1">
      <alignment vertical="center"/>
    </xf>
    <xf numFmtId="0" fontId="0" fillId="0" borderId="3" xfId="0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0" fontId="28" fillId="0" borderId="0" xfId="0" applyFont="1" applyAlignment="1">
      <alignment horizontal="left" vertical="center" indent="5"/>
    </xf>
    <xf numFmtId="167" fontId="0" fillId="0" borderId="3" xfId="0" applyNumberFormat="1" applyBorder="1"/>
    <xf numFmtId="17" fontId="0" fillId="0" borderId="3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0" fontId="29" fillId="0" borderId="0" xfId="0" applyFont="1" applyAlignment="1">
      <alignment horizontal="left" vertical="center"/>
    </xf>
    <xf numFmtId="167" fontId="0" fillId="0" borderId="0" xfId="0" applyNumberFormat="1" applyBorder="1"/>
    <xf numFmtId="0" fontId="30" fillId="0" borderId="0" xfId="0" applyFont="1" applyAlignment="1">
      <alignment horizontal="left" vertical="center"/>
    </xf>
    <xf numFmtId="169" fontId="0" fillId="0" borderId="0" xfId="0" quotePrefix="1" applyNumberFormat="1"/>
    <xf numFmtId="0" fontId="31" fillId="17" borderId="19" xfId="0" applyFont="1" applyFill="1" applyBorder="1" applyAlignment="1">
      <alignment vertical="center"/>
    </xf>
    <xf numFmtId="0" fontId="31" fillId="17" borderId="20" xfId="0" applyFont="1" applyFill="1" applyBorder="1" applyAlignment="1">
      <alignment horizontal="right" vertical="center"/>
    </xf>
    <xf numFmtId="0" fontId="32" fillId="5" borderId="0" xfId="0" applyFont="1" applyFill="1" applyBorder="1" applyAlignment="1">
      <alignment horizontal="center" vertical="center"/>
    </xf>
    <xf numFmtId="0" fontId="29" fillId="18" borderId="21" xfId="0" applyFont="1" applyFill="1" applyBorder="1" applyAlignment="1">
      <alignment horizontal="justify" vertical="center"/>
    </xf>
    <xf numFmtId="0" fontId="29" fillId="19" borderId="22" xfId="0" applyFont="1" applyFill="1" applyBorder="1" applyAlignment="1">
      <alignment horizontal="right" vertical="center"/>
    </xf>
    <xf numFmtId="3" fontId="29" fillId="19" borderId="22" xfId="0" applyNumberFormat="1" applyFont="1" applyFill="1" applyBorder="1" applyAlignment="1">
      <alignment horizontal="right" vertical="center"/>
    </xf>
    <xf numFmtId="0" fontId="33" fillId="0" borderId="0" xfId="0" applyFont="1" applyFill="1" applyAlignment="1">
      <alignment horizontal="left" vertical="center"/>
    </xf>
    <xf numFmtId="0" fontId="34" fillId="0" borderId="0" xfId="0" applyFont="1"/>
    <xf numFmtId="0" fontId="33" fillId="0" borderId="0" xfId="0" applyFont="1" applyAlignment="1">
      <alignment horizontal="left" vertical="center"/>
    </xf>
    <xf numFmtId="0" fontId="29" fillId="0" borderId="0" xfId="0" applyFont="1" applyAlignment="1">
      <alignment horizontal="justify" vertical="center"/>
    </xf>
    <xf numFmtId="0" fontId="30" fillId="0" borderId="0" xfId="0" applyFont="1" applyFill="1" applyAlignment="1">
      <alignment horizontal="left" vertical="center"/>
    </xf>
    <xf numFmtId="0" fontId="32" fillId="16" borderId="0" xfId="0" applyFont="1" applyFill="1" applyBorder="1" applyAlignment="1">
      <alignment horizontal="center" vertical="center"/>
    </xf>
    <xf numFmtId="164" fontId="0" fillId="0" borderId="0" xfId="0" applyNumberFormat="1"/>
    <xf numFmtId="9" fontId="0" fillId="0" borderId="0" xfId="2" applyFont="1" applyAlignment="1">
      <alignment horizontal="center" vertical="center"/>
    </xf>
    <xf numFmtId="164" fontId="0" fillId="0" borderId="0" xfId="2" applyNumberFormat="1" applyFont="1" applyAlignment="1">
      <alignment horizontal="center" vertical="center"/>
    </xf>
    <xf numFmtId="0" fontId="35" fillId="17" borderId="19" xfId="0" applyFont="1" applyFill="1" applyBorder="1" applyAlignment="1">
      <alignment horizontal="justify" vertical="center"/>
    </xf>
    <xf numFmtId="164" fontId="0" fillId="0" borderId="0" xfId="0" applyNumberFormat="1" applyFill="1" applyAlignment="1">
      <alignment horizontal="center" vertical="center"/>
    </xf>
    <xf numFmtId="164" fontId="25" fillId="0" borderId="0" xfId="0" applyNumberFormat="1" applyFont="1" applyAlignment="1">
      <alignment horizontal="center" vertical="center"/>
    </xf>
    <xf numFmtId="0" fontId="17" fillId="0" borderId="0" xfId="0" applyFont="1" applyFill="1" applyAlignment="1">
      <alignment vertical="center"/>
    </xf>
    <xf numFmtId="0" fontId="36" fillId="0" borderId="6" xfId="0" applyFont="1" applyFill="1" applyBorder="1" applyAlignment="1">
      <alignment vertical="center"/>
    </xf>
    <xf numFmtId="0" fontId="7" fillId="3" borderId="1" xfId="0" applyFont="1" applyFill="1" applyBorder="1" applyAlignment="1">
      <alignment horizontal="left" vertical="center"/>
    </xf>
    <xf numFmtId="0" fontId="7" fillId="6" borderId="2" xfId="0" applyFont="1" applyFill="1" applyBorder="1" applyAlignment="1">
      <alignment horizontal="left" vertical="center" wrapText="1"/>
    </xf>
    <xf numFmtId="164" fontId="17" fillId="0" borderId="0" xfId="0" applyNumberFormat="1" applyFont="1" applyAlignment="1">
      <alignment horizontal="center" vertical="center"/>
    </xf>
    <xf numFmtId="164" fontId="0" fillId="0" borderId="18" xfId="0" applyNumberFormat="1" applyFont="1" applyBorder="1" applyAlignment="1">
      <alignment horizontal="center" vertical="center"/>
    </xf>
    <xf numFmtId="165" fontId="17" fillId="0" borderId="1" xfId="0" applyNumberFormat="1" applyFont="1" applyBorder="1" applyAlignment="1">
      <alignment vertical="center"/>
    </xf>
    <xf numFmtId="164" fontId="0" fillId="0" borderId="1" xfId="0" applyNumberFormat="1" applyFont="1" applyBorder="1" applyAlignment="1">
      <alignment horizontal="center" vertical="center"/>
    </xf>
    <xf numFmtId="0" fontId="37" fillId="20" borderId="0" xfId="3"/>
    <xf numFmtId="164" fontId="37" fillId="20" borderId="0" xfId="3" applyNumberFormat="1"/>
    <xf numFmtId="164" fontId="38" fillId="21" borderId="23" xfId="4" applyNumberFormat="1"/>
    <xf numFmtId="0" fontId="25" fillId="0" borderId="0" xfId="0" applyFont="1"/>
    <xf numFmtId="1" fontId="0" fillId="0" borderId="0" xfId="0" applyNumberFormat="1"/>
    <xf numFmtId="0" fontId="3" fillId="0" borderId="0" xfId="0" applyFont="1" applyBorder="1"/>
    <xf numFmtId="0" fontId="3" fillId="0" borderId="0" xfId="0" applyFont="1" applyFill="1" applyBorder="1"/>
    <xf numFmtId="164" fontId="0" fillId="0" borderId="0" xfId="0" applyNumberFormat="1" applyFont="1" applyAlignment="1">
      <alignment horizontal="center" vertical="center"/>
    </xf>
    <xf numFmtId="0" fontId="6" fillId="0" borderId="0" xfId="0" applyFont="1" applyAlignment="1">
      <alignment vertical="center"/>
    </xf>
    <xf numFmtId="0" fontId="17" fillId="0" borderId="0" xfId="0" applyFont="1" applyAlignment="1">
      <alignment horizontal="center" vertical="center"/>
    </xf>
    <xf numFmtId="165" fontId="17" fillId="0" borderId="0" xfId="0" applyNumberFormat="1" applyFont="1" applyAlignment="1">
      <alignment vertical="center"/>
    </xf>
    <xf numFmtId="165" fontId="17" fillId="0" borderId="0" xfId="0" applyNumberFormat="1" applyFont="1" applyFill="1" applyAlignment="1">
      <alignment vertical="center"/>
    </xf>
    <xf numFmtId="0" fontId="0" fillId="0" borderId="0" xfId="0" applyFont="1"/>
    <xf numFmtId="0" fontId="5" fillId="0" borderId="0" xfId="0" applyFont="1"/>
    <xf numFmtId="0" fontId="41" fillId="0" borderId="0" xfId="0" quotePrefix="1" applyNumberFormat="1" applyFont="1" applyFill="1" applyBorder="1" applyAlignment="1" applyProtection="1">
      <alignment horizontal="left"/>
    </xf>
    <xf numFmtId="0" fontId="5" fillId="0" borderId="0" xfId="0" applyNumberFormat="1" applyFont="1" applyFill="1" applyBorder="1" applyAlignment="1" applyProtection="1">
      <alignment vertical="center" wrapText="1"/>
    </xf>
    <xf numFmtId="0" fontId="5" fillId="0" borderId="0" xfId="0" applyNumberFormat="1" applyFont="1" applyFill="1" applyBorder="1" applyAlignment="1" applyProtection="1">
      <alignment horizontal="left"/>
    </xf>
    <xf numFmtId="0" fontId="7" fillId="0" borderId="0" xfId="0" quotePrefix="1" applyNumberFormat="1" applyFont="1" applyFill="1" applyBorder="1" applyAlignment="1" applyProtection="1">
      <alignment horizontal="left"/>
    </xf>
    <xf numFmtId="0" fontId="5" fillId="0" borderId="0" xfId="0" applyNumberFormat="1" applyFont="1" applyFill="1" applyBorder="1" applyAlignment="1" applyProtection="1"/>
    <xf numFmtId="0" fontId="5" fillId="3" borderId="7" xfId="0" applyFont="1" applyFill="1" applyBorder="1" applyAlignment="1">
      <alignment horizontal="center" vertical="center" wrapText="1"/>
    </xf>
    <xf numFmtId="0" fontId="5" fillId="3" borderId="7" xfId="0" applyNumberFormat="1" applyFont="1" applyFill="1" applyBorder="1" applyAlignment="1" applyProtection="1">
      <alignment horizontal="center" vertical="center" wrapText="1"/>
    </xf>
    <xf numFmtId="0" fontId="5" fillId="3" borderId="7" xfId="0" applyNumberFormat="1" applyFont="1" applyFill="1" applyBorder="1" applyAlignment="1" applyProtection="1">
      <alignment vertical="center" wrapText="1"/>
    </xf>
    <xf numFmtId="0" fontId="5" fillId="3" borderId="7" xfId="0" applyFont="1" applyFill="1" applyBorder="1" applyAlignment="1">
      <alignment horizontal="left" vertical="center" wrapText="1"/>
    </xf>
    <xf numFmtId="0" fontId="41" fillId="22" borderId="0" xfId="0" applyNumberFormat="1" applyFont="1" applyFill="1" applyBorder="1" applyAlignment="1" applyProtection="1">
      <alignment vertical="center"/>
    </xf>
    <xf numFmtId="0" fontId="5" fillId="22" borderId="0" xfId="0" applyNumberFormat="1" applyFont="1" applyFill="1" applyBorder="1" applyAlignment="1" applyProtection="1">
      <alignment vertical="center" wrapText="1"/>
    </xf>
    <xf numFmtId="0" fontId="5" fillId="22" borderId="0" xfId="0" applyNumberFormat="1" applyFont="1" applyFill="1" applyBorder="1" applyAlignment="1" applyProtection="1">
      <alignment horizontal="left" vertical="center"/>
    </xf>
    <xf numFmtId="0" fontId="6" fillId="0" borderId="0" xfId="0" applyNumberFormat="1" applyFont="1" applyFill="1" applyBorder="1" applyAlignment="1" applyProtection="1">
      <alignment vertical="center" wrapText="1"/>
    </xf>
    <xf numFmtId="165" fontId="5" fillId="0" borderId="0" xfId="0" applyNumberFormat="1" applyFont="1" applyFill="1" applyBorder="1" applyAlignment="1" applyProtection="1">
      <alignment vertical="center"/>
    </xf>
    <xf numFmtId="0" fontId="5" fillId="0" borderId="0" xfId="0" applyNumberFormat="1" applyFont="1" applyFill="1" applyBorder="1" applyAlignment="1" applyProtection="1">
      <alignment vertical="center"/>
    </xf>
    <xf numFmtId="0" fontId="5" fillId="0" borderId="0" xfId="0" applyNumberFormat="1" applyFont="1" applyFill="1" applyBorder="1" applyAlignment="1" applyProtection="1">
      <alignment vertical="center" wrapText="1"/>
    </xf>
    <xf numFmtId="0" fontId="6" fillId="0" borderId="0" xfId="0" applyNumberFormat="1" applyFont="1" applyFill="1" applyBorder="1" applyAlignment="1" applyProtection="1">
      <alignment vertical="center"/>
    </xf>
    <xf numFmtId="0" fontId="5" fillId="0" borderId="0" xfId="0" applyNumberFormat="1" applyFont="1" applyFill="1" applyBorder="1" applyAlignment="1" applyProtection="1">
      <alignment horizontal="left" vertical="center"/>
    </xf>
    <xf numFmtId="0" fontId="7" fillId="0" borderId="0" xfId="0" applyNumberFormat="1" applyFont="1" applyFill="1" applyBorder="1" applyAlignment="1" applyProtection="1">
      <alignment vertical="center" wrapText="1"/>
    </xf>
    <xf numFmtId="0" fontId="7" fillId="0" borderId="0" xfId="0" applyNumberFormat="1" applyFont="1" applyFill="1" applyBorder="1" applyAlignment="1" applyProtection="1">
      <alignment vertical="center"/>
    </xf>
    <xf numFmtId="11" fontId="0" fillId="0" borderId="0" xfId="0" applyNumberFormat="1" applyFont="1" applyAlignment="1">
      <alignment vertical="center"/>
    </xf>
    <xf numFmtId="0" fontId="42" fillId="0" borderId="0" xfId="0" applyNumberFormat="1" applyFont="1" applyFill="1" applyBorder="1" applyAlignment="1" applyProtection="1">
      <alignment horizontal="center" vertical="center"/>
    </xf>
    <xf numFmtId="0" fontId="43" fillId="0" borderId="0" xfId="0" applyNumberFormat="1" applyFont="1" applyFill="1" applyBorder="1" applyAlignment="1" applyProtection="1">
      <alignment horizontal="center" vertical="center"/>
    </xf>
    <xf numFmtId="0" fontId="6" fillId="0" borderId="6" xfId="0" applyNumberFormat="1" applyFont="1" applyFill="1" applyBorder="1" applyAlignment="1" applyProtection="1">
      <alignment horizontal="center" vertical="center"/>
    </xf>
    <xf numFmtId="0" fontId="13" fillId="0" borderId="0" xfId="0" applyNumberFormat="1" applyFont="1" applyFill="1" applyBorder="1" applyAlignment="1" applyProtection="1">
      <alignment horizontal="center" vertical="center"/>
    </xf>
    <xf numFmtId="0" fontId="5" fillId="0" borderId="0" xfId="0" applyNumberFormat="1" applyFont="1" applyFill="1" applyBorder="1" applyAlignment="1" applyProtection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9" fontId="17" fillId="0" borderId="0" xfId="2" applyFont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17" fillId="9" borderId="7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vertical="center"/>
    </xf>
    <xf numFmtId="0" fontId="44" fillId="0" borderId="0" xfId="0" applyFont="1" applyFill="1" applyAlignment="1">
      <alignment vertical="center"/>
    </xf>
    <xf numFmtId="0" fontId="0" fillId="0" borderId="2" xfId="0" applyFont="1" applyFill="1" applyBorder="1" applyAlignment="1">
      <alignment vertical="center"/>
    </xf>
    <xf numFmtId="0" fontId="45" fillId="0" borderId="0" xfId="0" applyFont="1" applyFill="1" applyAlignment="1">
      <alignment vertical="center"/>
    </xf>
    <xf numFmtId="0" fontId="0" fillId="0" borderId="0" xfId="0" applyAlignment="1">
      <alignment vertical="center"/>
    </xf>
    <xf numFmtId="164" fontId="0" fillId="0" borderId="0" xfId="0" applyNumberFormat="1" applyFont="1" applyBorder="1" applyAlignment="1">
      <alignment horizontal="center" vertical="center"/>
    </xf>
    <xf numFmtId="164" fontId="0" fillId="0" borderId="6" xfId="0" applyNumberFormat="1" applyFont="1" applyBorder="1" applyAlignment="1">
      <alignment horizontal="center" vertical="center"/>
    </xf>
    <xf numFmtId="0" fontId="0" fillId="0" borderId="0" xfId="0" applyFont="1" applyFill="1" applyBorder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Border="1" applyAlignment="1">
      <alignment vertical="center"/>
    </xf>
    <xf numFmtId="0" fontId="0" fillId="0" borderId="0" xfId="0" applyFont="1" applyFill="1" applyAlignment="1">
      <alignment vertical="center"/>
    </xf>
    <xf numFmtId="0" fontId="0" fillId="0" borderId="8" xfId="0" applyFont="1" applyFill="1" applyBorder="1" applyAlignment="1">
      <alignment vertical="center"/>
    </xf>
    <xf numFmtId="38" fontId="46" fillId="0" borderId="0" xfId="0" applyNumberFormat="1" applyFont="1" applyAlignment="1">
      <alignment horizontal="left" wrapText="1"/>
    </xf>
    <xf numFmtId="38" fontId="47" fillId="0" borderId="25" xfId="0" applyNumberFormat="1" applyFont="1" applyBorder="1" applyAlignment="1">
      <alignment horizontal="center" wrapText="1"/>
    </xf>
    <xf numFmtId="38" fontId="47" fillId="0" borderId="26" xfId="0" applyNumberFormat="1" applyFont="1" applyFill="1" applyBorder="1" applyAlignment="1">
      <alignment horizontal="center" textRotation="90" wrapText="1"/>
    </xf>
    <xf numFmtId="38" fontId="47" fillId="0" borderId="27" xfId="0" applyNumberFormat="1" applyFont="1" applyFill="1" applyBorder="1" applyAlignment="1">
      <alignment horizontal="center" textRotation="90" wrapText="1"/>
    </xf>
    <xf numFmtId="38" fontId="47" fillId="0" borderId="28" xfId="0" applyNumberFormat="1" applyFont="1" applyFill="1" applyBorder="1" applyAlignment="1">
      <alignment horizontal="center" textRotation="90" wrapText="1"/>
    </xf>
    <xf numFmtId="38" fontId="47" fillId="0" borderId="29" xfId="0" applyNumberFormat="1" applyFont="1" applyFill="1" applyBorder="1" applyAlignment="1">
      <alignment horizontal="center" textRotation="90" wrapText="1"/>
    </xf>
    <xf numFmtId="38" fontId="47" fillId="0" borderId="30" xfId="0" applyNumberFormat="1" applyFont="1" applyFill="1" applyBorder="1" applyAlignment="1">
      <alignment horizontal="center" textRotation="90" wrapText="1"/>
    </xf>
    <xf numFmtId="38" fontId="47" fillId="0" borderId="8" xfId="0" applyNumberFormat="1" applyFont="1" applyFill="1" applyBorder="1" applyAlignment="1">
      <alignment horizontal="center" textRotation="90" wrapText="1"/>
    </xf>
    <xf numFmtId="38" fontId="47" fillId="0" borderId="31" xfId="0" applyNumberFormat="1" applyFont="1" applyFill="1" applyBorder="1" applyAlignment="1">
      <alignment horizontal="center" textRotation="90" wrapText="1"/>
    </xf>
    <xf numFmtId="38" fontId="47" fillId="0" borderId="32" xfId="0" applyNumberFormat="1" applyFont="1" applyFill="1" applyBorder="1" applyAlignment="1">
      <alignment horizontal="center" textRotation="90" wrapText="1"/>
    </xf>
    <xf numFmtId="38" fontId="12" fillId="0" borderId="0" xfId="0" applyNumberFormat="1" applyFont="1" applyAlignment="1"/>
    <xf numFmtId="38" fontId="12" fillId="0" borderId="33" xfId="0" applyNumberFormat="1" applyFont="1" applyFill="1" applyBorder="1" applyAlignment="1">
      <alignment horizontal="left"/>
    </xf>
    <xf numFmtId="38" fontId="47" fillId="0" borderId="34" xfId="0" applyNumberFormat="1" applyFont="1" applyFill="1" applyBorder="1" applyAlignment="1">
      <alignment horizontal="center"/>
    </xf>
    <xf numFmtId="38" fontId="47" fillId="0" borderId="35" xfId="0" applyNumberFormat="1" applyFont="1" applyFill="1" applyBorder="1" applyAlignment="1">
      <alignment horizontal="center"/>
    </xf>
    <xf numFmtId="38" fontId="47" fillId="0" borderId="36" xfId="0" applyNumberFormat="1" applyFont="1" applyFill="1" applyBorder="1" applyAlignment="1">
      <alignment horizontal="center"/>
    </xf>
    <xf numFmtId="38" fontId="47" fillId="0" borderId="37" xfId="0" applyNumberFormat="1" applyFont="1" applyFill="1" applyBorder="1" applyAlignment="1">
      <alignment horizontal="center"/>
    </xf>
    <xf numFmtId="38" fontId="12" fillId="0" borderId="38" xfId="0" applyNumberFormat="1" applyFont="1" applyFill="1" applyBorder="1" applyAlignment="1">
      <alignment horizontal="center"/>
    </xf>
    <xf numFmtId="38" fontId="47" fillId="0" borderId="39" xfId="0" applyNumberFormat="1" applyFont="1" applyFill="1" applyBorder="1" applyAlignment="1">
      <alignment horizontal="center"/>
    </xf>
    <xf numFmtId="38" fontId="12" fillId="0" borderId="36" xfId="0" applyNumberFormat="1" applyFont="1" applyFill="1" applyBorder="1" applyAlignment="1">
      <alignment horizontal="center"/>
    </xf>
    <xf numFmtId="38" fontId="12" fillId="0" borderId="37" xfId="0" applyNumberFormat="1" applyFont="1" applyFill="1" applyBorder="1" applyAlignment="1">
      <alignment horizontal="center"/>
    </xf>
    <xf numFmtId="38" fontId="12" fillId="0" borderId="40" xfId="0" applyNumberFormat="1" applyFont="1" applyFill="1" applyBorder="1" applyAlignment="1">
      <alignment horizontal="center"/>
    </xf>
    <xf numFmtId="38" fontId="47" fillId="0" borderId="33" xfId="0" applyNumberFormat="1" applyFont="1" applyFill="1" applyBorder="1" applyAlignment="1">
      <alignment horizontal="center"/>
    </xf>
    <xf numFmtId="38" fontId="12" fillId="0" borderId="41" xfId="0" applyNumberFormat="1" applyFont="1" applyFill="1" applyBorder="1" applyAlignment="1">
      <alignment horizontal="center"/>
    </xf>
    <xf numFmtId="38" fontId="12" fillId="0" borderId="39" xfId="0" applyNumberFormat="1" applyFont="1" applyFill="1" applyBorder="1" applyAlignment="1">
      <alignment horizontal="center"/>
    </xf>
    <xf numFmtId="38" fontId="12" fillId="0" borderId="42" xfId="0" applyNumberFormat="1" applyFont="1" applyFill="1" applyBorder="1" applyAlignment="1">
      <alignment horizontal="center"/>
    </xf>
    <xf numFmtId="38" fontId="12" fillId="0" borderId="0" xfId="0" applyNumberFormat="1" applyFont="1" applyFill="1"/>
    <xf numFmtId="38" fontId="12" fillId="0" borderId="43" xfId="0" applyNumberFormat="1" applyFont="1" applyFill="1" applyBorder="1" applyAlignment="1">
      <alignment horizontal="left"/>
    </xf>
    <xf numFmtId="38" fontId="47" fillId="0" borderId="44" xfId="0" applyNumberFormat="1" applyFont="1" applyFill="1" applyBorder="1" applyAlignment="1">
      <alignment horizontal="center"/>
    </xf>
    <xf numFmtId="38" fontId="47" fillId="0" borderId="45" xfId="0" applyNumberFormat="1" applyFont="1" applyFill="1" applyBorder="1" applyAlignment="1">
      <alignment horizontal="center"/>
    </xf>
    <xf numFmtId="38" fontId="47" fillId="0" borderId="46" xfId="0" applyNumberFormat="1" applyFont="1" applyFill="1" applyBorder="1" applyAlignment="1">
      <alignment horizontal="center"/>
    </xf>
    <xf numFmtId="38" fontId="47" fillId="0" borderId="47" xfId="0" applyNumberFormat="1" applyFont="1" applyFill="1" applyBorder="1" applyAlignment="1">
      <alignment horizontal="center"/>
    </xf>
    <xf numFmtId="38" fontId="12" fillId="0" borderId="47" xfId="0" applyNumberFormat="1" applyFont="1" applyFill="1" applyBorder="1" applyAlignment="1">
      <alignment horizontal="center"/>
    </xf>
    <xf numFmtId="38" fontId="47" fillId="0" borderId="48" xfId="0" applyNumberFormat="1" applyFont="1" applyFill="1" applyBorder="1" applyAlignment="1">
      <alignment horizontal="center"/>
    </xf>
    <xf numFmtId="38" fontId="12" fillId="0" borderId="46" xfId="0" applyNumberFormat="1" applyFont="1" applyFill="1" applyBorder="1" applyAlignment="1">
      <alignment horizontal="center"/>
    </xf>
    <xf numFmtId="38" fontId="12" fillId="0" borderId="49" xfId="0" applyNumberFormat="1" applyFont="1" applyFill="1" applyBorder="1" applyAlignment="1">
      <alignment horizontal="center"/>
    </xf>
    <xf numFmtId="38" fontId="47" fillId="0" borderId="43" xfId="0" applyNumberFormat="1" applyFont="1" applyFill="1" applyBorder="1" applyAlignment="1">
      <alignment horizontal="center"/>
    </xf>
    <xf numFmtId="38" fontId="12" fillId="0" borderId="50" xfId="0" applyNumberFormat="1" applyFont="1" applyFill="1" applyBorder="1" applyAlignment="1">
      <alignment horizontal="center"/>
    </xf>
    <xf numFmtId="38" fontId="12" fillId="0" borderId="48" xfId="0" applyNumberFormat="1" applyFont="1" applyFill="1" applyBorder="1" applyAlignment="1">
      <alignment horizontal="center"/>
    </xf>
    <xf numFmtId="38" fontId="12" fillId="0" borderId="51" xfId="0" applyNumberFormat="1" applyFont="1" applyFill="1" applyBorder="1" applyAlignment="1">
      <alignment horizontal="center"/>
    </xf>
    <xf numFmtId="38" fontId="47" fillId="0" borderId="49" xfId="0" applyNumberFormat="1" applyFont="1" applyFill="1" applyBorder="1" applyAlignment="1">
      <alignment horizontal="center"/>
    </xf>
    <xf numFmtId="38" fontId="12" fillId="0" borderId="52" xfId="0" applyNumberFormat="1" applyFont="1" applyFill="1" applyBorder="1" applyAlignment="1">
      <alignment horizontal="left"/>
    </xf>
    <xf numFmtId="38" fontId="47" fillId="0" borderId="53" xfId="0" applyNumberFormat="1" applyFont="1" applyFill="1" applyBorder="1" applyAlignment="1">
      <alignment horizontal="center"/>
    </xf>
    <xf numFmtId="38" fontId="47" fillId="0" borderId="54" xfId="0" applyNumberFormat="1" applyFont="1" applyFill="1" applyBorder="1" applyAlignment="1">
      <alignment horizontal="center"/>
    </xf>
    <xf numFmtId="38" fontId="12" fillId="0" borderId="55" xfId="0" applyNumberFormat="1" applyFont="1" applyFill="1" applyBorder="1" applyAlignment="1">
      <alignment horizontal="center"/>
    </xf>
    <xf numFmtId="38" fontId="47" fillId="0" borderId="56" xfId="0" applyNumberFormat="1" applyFont="1" applyFill="1" applyBorder="1" applyAlignment="1">
      <alignment horizontal="center"/>
    </xf>
    <xf numFmtId="38" fontId="12" fillId="0" borderId="54" xfId="0" applyNumberFormat="1" applyFont="1" applyFill="1" applyBorder="1" applyAlignment="1">
      <alignment horizontal="center"/>
    </xf>
    <xf numFmtId="38" fontId="47" fillId="0" borderId="52" xfId="0" applyNumberFormat="1" applyFont="1" applyFill="1" applyBorder="1" applyAlignment="1">
      <alignment horizontal="center"/>
    </xf>
    <xf numFmtId="38" fontId="12" fillId="0" borderId="57" xfId="0" applyNumberFormat="1" applyFont="1" applyFill="1" applyBorder="1" applyAlignment="1">
      <alignment horizontal="center"/>
    </xf>
    <xf numFmtId="38" fontId="12" fillId="0" borderId="58" xfId="0" applyNumberFormat="1" applyFont="1" applyFill="1" applyBorder="1" applyAlignment="1">
      <alignment horizontal="center"/>
    </xf>
    <xf numFmtId="38" fontId="12" fillId="0" borderId="56" xfId="0" applyNumberFormat="1" applyFont="1" applyFill="1" applyBorder="1" applyAlignment="1">
      <alignment horizontal="center"/>
    </xf>
    <xf numFmtId="38" fontId="12" fillId="0" borderId="59" xfId="0" applyNumberFormat="1" applyFont="1" applyFill="1" applyBorder="1" applyAlignment="1">
      <alignment horizontal="center"/>
    </xf>
    <xf numFmtId="38" fontId="47" fillId="0" borderId="18" xfId="0" applyNumberFormat="1" applyFont="1" applyFill="1" applyBorder="1" applyAlignment="1">
      <alignment horizontal="left"/>
    </xf>
    <xf numFmtId="38" fontId="47" fillId="0" borderId="60" xfId="0" applyNumberFormat="1" applyFont="1" applyFill="1" applyBorder="1" applyAlignment="1">
      <alignment horizontal="center"/>
    </xf>
    <xf numFmtId="38" fontId="47" fillId="0" borderId="61" xfId="0" applyNumberFormat="1" applyFont="1" applyFill="1" applyBorder="1" applyAlignment="1">
      <alignment horizontal="center"/>
    </xf>
    <xf numFmtId="38" fontId="47" fillId="0" borderId="18" xfId="0" applyNumberFormat="1" applyFont="1" applyFill="1" applyBorder="1" applyAlignment="1">
      <alignment horizontal="center"/>
    </xf>
    <xf numFmtId="38" fontId="47" fillId="0" borderId="40" xfId="0" applyNumberFormat="1" applyFont="1" applyFill="1" applyBorder="1" applyAlignment="1">
      <alignment horizontal="center"/>
    </xf>
    <xf numFmtId="38" fontId="47" fillId="0" borderId="62" xfId="0" applyNumberFormat="1" applyFont="1" applyFill="1" applyBorder="1" applyAlignment="1">
      <alignment horizontal="center"/>
    </xf>
    <xf numFmtId="38" fontId="47" fillId="0" borderId="63" xfId="0" applyNumberFormat="1" applyFont="1" applyFill="1" applyBorder="1" applyAlignment="1">
      <alignment horizontal="center"/>
    </xf>
    <xf numFmtId="38" fontId="47" fillId="0" borderId="64" xfId="0" applyNumberFormat="1" applyFont="1" applyFill="1" applyBorder="1" applyAlignment="1">
      <alignment horizontal="center"/>
    </xf>
    <xf numFmtId="38" fontId="47" fillId="0" borderId="65" xfId="0" applyNumberFormat="1" applyFont="1" applyFill="1" applyBorder="1" applyAlignment="1">
      <alignment horizontal="center"/>
    </xf>
    <xf numFmtId="38" fontId="47" fillId="0" borderId="0" xfId="0" applyNumberFormat="1" applyFont="1" applyFill="1"/>
    <xf numFmtId="38" fontId="47" fillId="0" borderId="2" xfId="0" applyNumberFormat="1" applyFont="1" applyFill="1" applyBorder="1" applyAlignment="1">
      <alignment horizontal="left"/>
    </xf>
    <xf numFmtId="38" fontId="47" fillId="0" borderId="66" xfId="0" applyNumberFormat="1" applyFont="1" applyFill="1" applyBorder="1" applyAlignment="1">
      <alignment horizontal="center"/>
    </xf>
    <xf numFmtId="38" fontId="47" fillId="0" borderId="24" xfId="0" applyNumberFormat="1" applyFont="1" applyFill="1" applyBorder="1" applyAlignment="1">
      <alignment horizontal="center"/>
    </xf>
    <xf numFmtId="38" fontId="47" fillId="0" borderId="2" xfId="0" applyNumberFormat="1" applyFont="1" applyFill="1" applyBorder="1" applyAlignment="1">
      <alignment horizontal="center"/>
    </xf>
    <xf numFmtId="38" fontId="47" fillId="0" borderId="67" xfId="0" applyNumberFormat="1" applyFont="1" applyFill="1" applyBorder="1" applyAlignment="1">
      <alignment horizontal="center"/>
    </xf>
    <xf numFmtId="38" fontId="47" fillId="0" borderId="68" xfId="0" applyNumberFormat="1" applyFont="1" applyFill="1" applyBorder="1" applyAlignment="1">
      <alignment horizontal="center"/>
    </xf>
    <xf numFmtId="38" fontId="47" fillId="0" borderId="69" xfId="0" applyNumberFormat="1" applyFont="1" applyFill="1" applyBorder="1" applyAlignment="1">
      <alignment horizontal="center"/>
    </xf>
    <xf numFmtId="38" fontId="12" fillId="0" borderId="69" xfId="0" applyNumberFormat="1" applyFont="1" applyFill="1" applyBorder="1" applyAlignment="1">
      <alignment horizontal="center"/>
    </xf>
    <xf numFmtId="38" fontId="47" fillId="0" borderId="70" xfId="0" applyNumberFormat="1" applyFont="1" applyFill="1" applyBorder="1" applyAlignment="1">
      <alignment horizontal="center"/>
    </xf>
    <xf numFmtId="38" fontId="47" fillId="0" borderId="71" xfId="0" applyNumberFormat="1" applyFont="1" applyFill="1" applyBorder="1" applyAlignment="1">
      <alignment horizontal="center"/>
    </xf>
    <xf numFmtId="38" fontId="47" fillId="0" borderId="72" xfId="0" applyNumberFormat="1" applyFont="1" applyFill="1" applyBorder="1" applyAlignment="1">
      <alignment horizontal="center"/>
    </xf>
    <xf numFmtId="38" fontId="47" fillId="0" borderId="73" xfId="0" applyNumberFormat="1" applyFont="1" applyFill="1" applyBorder="1" applyAlignment="1">
      <alignment horizontal="center"/>
    </xf>
    <xf numFmtId="38" fontId="47" fillId="0" borderId="74" xfId="0" applyNumberFormat="1" applyFont="1" applyFill="1" applyBorder="1" applyAlignment="1">
      <alignment horizontal="center"/>
    </xf>
    <xf numFmtId="38" fontId="12" fillId="0" borderId="75" xfId="0" applyNumberFormat="1" applyFont="1" applyFill="1" applyBorder="1" applyAlignment="1">
      <alignment horizontal="left"/>
    </xf>
    <xf numFmtId="38" fontId="47" fillId="0" borderId="76" xfId="0" applyNumberFormat="1" applyFont="1" applyFill="1" applyBorder="1" applyAlignment="1">
      <alignment horizontal="center"/>
    </xf>
    <xf numFmtId="38" fontId="47" fillId="0" borderId="77" xfId="0" applyNumberFormat="1" applyFont="1" applyFill="1" applyBorder="1" applyAlignment="1">
      <alignment horizontal="center"/>
    </xf>
    <xf numFmtId="38" fontId="12" fillId="0" borderId="78" xfId="0" applyNumberFormat="1" applyFont="1" applyFill="1" applyBorder="1" applyAlignment="1">
      <alignment horizontal="center"/>
    </xf>
    <xf numFmtId="38" fontId="12" fillId="0" borderId="79" xfId="0" applyNumberFormat="1" applyFont="1" applyFill="1" applyBorder="1" applyAlignment="1">
      <alignment horizontal="center"/>
    </xf>
    <xf numFmtId="38" fontId="12" fillId="0" borderId="80" xfId="0" applyNumberFormat="1" applyFont="1" applyFill="1" applyBorder="1" applyAlignment="1">
      <alignment horizontal="center"/>
    </xf>
    <xf numFmtId="38" fontId="47" fillId="0" borderId="81" xfId="0" applyNumberFormat="1" applyFont="1" applyFill="1" applyBorder="1" applyAlignment="1">
      <alignment horizontal="center"/>
    </xf>
    <xf numFmtId="38" fontId="47" fillId="0" borderId="75" xfId="0" applyNumberFormat="1" applyFont="1" applyFill="1" applyBorder="1" applyAlignment="1">
      <alignment horizontal="center"/>
    </xf>
    <xf numFmtId="38" fontId="12" fillId="0" borderId="82" xfId="0" applyNumberFormat="1" applyFont="1" applyFill="1" applyBorder="1" applyAlignment="1">
      <alignment horizontal="center"/>
    </xf>
    <xf numFmtId="38" fontId="12" fillId="0" borderId="81" xfId="0" applyNumberFormat="1" applyFont="1" applyFill="1" applyBorder="1" applyAlignment="1">
      <alignment horizontal="center"/>
    </xf>
    <xf numFmtId="38" fontId="12" fillId="0" borderId="83" xfId="0" applyNumberFormat="1" applyFont="1" applyFill="1" applyBorder="1" applyAlignment="1">
      <alignment horizontal="center"/>
    </xf>
    <xf numFmtId="38" fontId="12" fillId="0" borderId="84" xfId="0" applyNumberFormat="1" applyFont="1" applyFill="1" applyBorder="1" applyAlignment="1">
      <alignment horizontal="center"/>
    </xf>
    <xf numFmtId="38" fontId="12" fillId="0" borderId="85" xfId="0" applyNumberFormat="1" applyFont="1" applyFill="1" applyBorder="1" applyAlignment="1">
      <alignment horizontal="left"/>
    </xf>
    <xf numFmtId="38" fontId="47" fillId="0" borderId="86" xfId="0" applyNumberFormat="1" applyFont="1" applyFill="1" applyBorder="1" applyAlignment="1">
      <alignment horizontal="center"/>
    </xf>
    <xf numFmtId="38" fontId="47" fillId="0" borderId="87" xfId="0" applyNumberFormat="1" applyFont="1" applyFill="1" applyBorder="1" applyAlignment="1">
      <alignment horizontal="center"/>
    </xf>
    <xf numFmtId="38" fontId="12" fillId="0" borderId="88" xfId="0" applyNumberFormat="1" applyFont="1" applyFill="1" applyBorder="1" applyAlignment="1">
      <alignment horizontal="center"/>
    </xf>
    <xf numFmtId="38" fontId="12" fillId="0" borderId="89" xfId="0" applyNumberFormat="1" applyFont="1" applyFill="1" applyBorder="1" applyAlignment="1">
      <alignment horizontal="center"/>
    </xf>
    <xf numFmtId="38" fontId="12" fillId="0" borderId="90" xfId="0" applyNumberFormat="1" applyFont="1" applyFill="1" applyBorder="1" applyAlignment="1">
      <alignment horizontal="center"/>
    </xf>
    <xf numFmtId="38" fontId="47" fillId="0" borderId="91" xfId="0" applyNumberFormat="1" applyFont="1" applyFill="1" applyBorder="1" applyAlignment="1">
      <alignment horizontal="center"/>
    </xf>
    <xf numFmtId="38" fontId="47" fillId="0" borderId="85" xfId="0" applyNumberFormat="1" applyFont="1" applyFill="1" applyBorder="1" applyAlignment="1">
      <alignment horizontal="center"/>
    </xf>
    <xf numFmtId="38" fontId="12" fillId="0" borderId="92" xfId="0" applyNumberFormat="1" applyFont="1" applyFill="1" applyBorder="1" applyAlignment="1">
      <alignment horizontal="center"/>
    </xf>
    <xf numFmtId="38" fontId="12" fillId="0" borderId="91" xfId="0" applyNumberFormat="1" applyFont="1" applyFill="1" applyBorder="1" applyAlignment="1">
      <alignment horizontal="center"/>
    </xf>
    <xf numFmtId="38" fontId="12" fillId="0" borderId="93" xfId="0" applyNumberFormat="1" applyFont="1" applyFill="1" applyBorder="1" applyAlignment="1">
      <alignment horizontal="center"/>
    </xf>
    <xf numFmtId="38" fontId="47" fillId="0" borderId="0" xfId="0" applyNumberFormat="1" applyFont="1" applyFill="1" applyBorder="1" applyAlignment="1">
      <alignment horizontal="left"/>
    </xf>
    <xf numFmtId="38" fontId="47" fillId="0" borderId="25" xfId="0" applyNumberFormat="1" applyFont="1" applyFill="1" applyBorder="1" applyAlignment="1">
      <alignment horizontal="center"/>
    </xf>
    <xf numFmtId="38" fontId="47" fillId="0" borderId="94" xfId="0" applyNumberFormat="1" applyFont="1" applyFill="1" applyBorder="1" applyAlignment="1">
      <alignment horizontal="center"/>
    </xf>
    <xf numFmtId="38" fontId="47" fillId="0" borderId="95" xfId="0" applyNumberFormat="1" applyFont="1" applyFill="1" applyBorder="1" applyAlignment="1">
      <alignment horizontal="center"/>
    </xf>
    <xf numFmtId="38" fontId="47" fillId="0" borderId="96" xfId="0" applyNumberFormat="1" applyFont="1" applyFill="1" applyBorder="1" applyAlignment="1">
      <alignment horizontal="center"/>
    </xf>
    <xf numFmtId="38" fontId="47" fillId="0" borderId="97" xfId="0" applyNumberFormat="1" applyFont="1" applyFill="1" applyBorder="1" applyAlignment="1">
      <alignment horizontal="center"/>
    </xf>
    <xf numFmtId="38" fontId="47" fillId="0" borderId="15" xfId="0" applyNumberFormat="1" applyFont="1" applyFill="1" applyBorder="1" applyAlignment="1">
      <alignment horizontal="center"/>
    </xf>
    <xf numFmtId="38" fontId="47" fillId="0" borderId="0" xfId="0" applyNumberFormat="1" applyFont="1" applyFill="1" applyBorder="1" applyAlignment="1">
      <alignment horizontal="center"/>
    </xf>
    <xf numFmtId="38" fontId="47" fillId="0" borderId="16" xfId="0" applyNumberFormat="1" applyFont="1" applyFill="1" applyBorder="1" applyAlignment="1">
      <alignment horizontal="center"/>
    </xf>
    <xf numFmtId="38" fontId="47" fillId="0" borderId="98" xfId="0" applyNumberFormat="1" applyFont="1" applyFill="1" applyBorder="1" applyAlignment="1">
      <alignment horizontal="center"/>
    </xf>
    <xf numFmtId="38" fontId="47" fillId="0" borderId="99" xfId="0" applyNumberFormat="1" applyFont="1" applyFill="1" applyBorder="1" applyAlignment="1">
      <alignment horizontal="center"/>
    </xf>
    <xf numFmtId="38" fontId="12" fillId="0" borderId="100" xfId="0" applyNumberFormat="1" applyFont="1" applyFill="1" applyBorder="1" applyAlignment="1">
      <alignment horizontal="center"/>
    </xf>
    <xf numFmtId="38" fontId="12" fillId="0" borderId="0" xfId="0" applyNumberFormat="1" applyFont="1" applyFill="1" applyBorder="1"/>
    <xf numFmtId="1" fontId="12" fillId="0" borderId="48" xfId="0" applyNumberFormat="1" applyFont="1" applyFill="1" applyBorder="1" applyAlignment="1">
      <alignment horizontal="center"/>
    </xf>
    <xf numFmtId="38" fontId="47" fillId="0" borderId="1" xfId="0" applyNumberFormat="1" applyFont="1" applyFill="1" applyBorder="1" applyAlignment="1">
      <alignment horizontal="left"/>
    </xf>
    <xf numFmtId="38" fontId="47" fillId="0" borderId="101" xfId="0" applyNumberFormat="1" applyFont="1" applyFill="1" applyBorder="1" applyAlignment="1">
      <alignment horizontal="center"/>
    </xf>
    <xf numFmtId="38" fontId="47" fillId="0" borderId="102" xfId="0" applyNumberFormat="1" applyFont="1" applyFill="1" applyBorder="1" applyAlignment="1">
      <alignment horizontal="center"/>
    </xf>
    <xf numFmtId="38" fontId="12" fillId="0" borderId="103" xfId="0" applyNumberFormat="1" applyFont="1" applyFill="1" applyBorder="1" applyAlignment="1">
      <alignment horizontal="center"/>
    </xf>
    <xf numFmtId="38" fontId="12" fillId="0" borderId="104" xfId="0" applyNumberFormat="1" applyFont="1" applyFill="1" applyBorder="1" applyAlignment="1">
      <alignment horizontal="center"/>
    </xf>
    <xf numFmtId="38" fontId="12" fillId="0" borderId="105" xfId="0" applyNumberFormat="1" applyFont="1" applyFill="1" applyBorder="1" applyAlignment="1">
      <alignment horizontal="center"/>
    </xf>
    <xf numFmtId="38" fontId="47" fillId="0" borderId="4" xfId="0" applyNumberFormat="1" applyFont="1" applyFill="1" applyBorder="1" applyAlignment="1">
      <alignment horizontal="center"/>
    </xf>
    <xf numFmtId="38" fontId="47" fillId="0" borderId="1" xfId="0" applyNumberFormat="1" applyFont="1" applyFill="1" applyBorder="1" applyAlignment="1">
      <alignment horizontal="center"/>
    </xf>
    <xf numFmtId="38" fontId="12" fillId="0" borderId="13" xfId="0" applyNumberFormat="1" applyFont="1" applyFill="1" applyBorder="1" applyAlignment="1">
      <alignment horizontal="center"/>
    </xf>
    <xf numFmtId="38" fontId="12" fillId="0" borderId="98" xfId="0" applyNumberFormat="1" applyFont="1" applyFill="1" applyBorder="1" applyAlignment="1">
      <alignment horizontal="center"/>
    </xf>
    <xf numFmtId="38" fontId="12" fillId="0" borderId="4" xfId="0" applyNumberFormat="1" applyFont="1" applyFill="1" applyBorder="1" applyAlignment="1">
      <alignment horizontal="center"/>
    </xf>
    <xf numFmtId="38" fontId="12" fillId="0" borderId="106" xfId="0" applyNumberFormat="1" applyFont="1" applyFill="1" applyBorder="1" applyAlignment="1">
      <alignment horizontal="center"/>
    </xf>
    <xf numFmtId="38" fontId="47" fillId="0" borderId="107" xfId="0" applyNumberFormat="1" applyFont="1" applyFill="1" applyBorder="1" applyAlignment="1">
      <alignment horizontal="center"/>
    </xf>
    <xf numFmtId="38" fontId="47" fillId="0" borderId="108" xfId="0" applyNumberFormat="1" applyFont="1" applyFill="1" applyBorder="1" applyAlignment="1">
      <alignment horizontal="center"/>
    </xf>
    <xf numFmtId="38" fontId="47" fillId="0" borderId="79" xfId="0" applyNumberFormat="1" applyFont="1" applyFill="1" applyBorder="1" applyAlignment="1">
      <alignment horizontal="center"/>
    </xf>
    <xf numFmtId="38" fontId="12" fillId="0" borderId="75" xfId="0" applyNumberFormat="1" applyFont="1" applyFill="1" applyBorder="1" applyAlignment="1">
      <alignment horizontal="center"/>
    </xf>
    <xf numFmtId="38" fontId="12" fillId="0" borderId="0" xfId="0" applyNumberFormat="1" applyFont="1" applyFill="1" applyBorder="1" applyAlignment="1">
      <alignment horizontal="left"/>
    </xf>
    <xf numFmtId="38" fontId="47" fillId="0" borderId="11" xfId="0" applyNumberFormat="1" applyFont="1" applyFill="1" applyBorder="1" applyAlignment="1">
      <alignment horizontal="center"/>
    </xf>
    <xf numFmtId="38" fontId="47" fillId="0" borderId="109" xfId="0" applyNumberFormat="1" applyFont="1" applyFill="1" applyBorder="1" applyAlignment="1">
      <alignment horizontal="center"/>
    </xf>
    <xf numFmtId="38" fontId="12" fillId="0" borderId="97" xfId="0" applyNumberFormat="1" applyFont="1" applyFill="1" applyBorder="1" applyAlignment="1">
      <alignment horizontal="center"/>
    </xf>
    <xf numFmtId="38" fontId="12" fillId="0" borderId="0" xfId="0" applyNumberFormat="1" applyFont="1" applyFill="1" applyBorder="1" applyAlignment="1">
      <alignment horizontal="center"/>
    </xf>
    <xf numFmtId="38" fontId="12" fillId="0" borderId="96" xfId="0" applyNumberFormat="1" applyFont="1" applyFill="1" applyBorder="1" applyAlignment="1">
      <alignment horizontal="center"/>
    </xf>
    <xf numFmtId="38" fontId="12" fillId="0" borderId="16" xfId="0" applyNumberFormat="1" applyFont="1" applyFill="1" applyBorder="1" applyAlignment="1">
      <alignment horizontal="center"/>
    </xf>
    <xf numFmtId="38" fontId="12" fillId="0" borderId="95" xfId="0" applyNumberFormat="1" applyFont="1" applyFill="1" applyBorder="1" applyAlignment="1">
      <alignment horizontal="center"/>
    </xf>
    <xf numFmtId="38" fontId="12" fillId="0" borderId="15" xfId="0" applyNumberFormat="1" applyFont="1" applyFill="1" applyBorder="1" applyAlignment="1">
      <alignment horizontal="center"/>
    </xf>
    <xf numFmtId="38" fontId="12" fillId="0" borderId="99" xfId="0" applyNumberFormat="1" applyFont="1" applyFill="1" applyBorder="1" applyAlignment="1">
      <alignment horizontal="center"/>
    </xf>
    <xf numFmtId="38" fontId="47" fillId="0" borderId="110" xfId="0" applyNumberFormat="1" applyFont="1" applyFill="1" applyBorder="1" applyAlignment="1">
      <alignment horizontal="center"/>
    </xf>
    <xf numFmtId="38" fontId="12" fillId="0" borderId="111" xfId="0" applyNumberFormat="1" applyFont="1" applyFill="1" applyBorder="1" applyAlignment="1">
      <alignment horizontal="center"/>
    </xf>
    <xf numFmtId="38" fontId="12" fillId="0" borderId="52" xfId="0" applyNumberFormat="1" applyFont="1" applyFill="1" applyBorder="1" applyAlignment="1">
      <alignment horizontal="center"/>
    </xf>
    <xf numFmtId="38" fontId="47" fillId="0" borderId="112" xfId="0" applyNumberFormat="1" applyFont="1" applyFill="1" applyBorder="1" applyAlignment="1">
      <alignment horizontal="left"/>
    </xf>
    <xf numFmtId="38" fontId="47" fillId="0" borderId="113" xfId="0" applyNumberFormat="1" applyFont="1" applyFill="1" applyBorder="1" applyAlignment="1">
      <alignment horizontal="center"/>
    </xf>
    <xf numFmtId="38" fontId="47" fillId="0" borderId="114" xfId="0" applyNumberFormat="1" applyFont="1" applyFill="1" applyBorder="1" applyAlignment="1">
      <alignment horizontal="center"/>
    </xf>
    <xf numFmtId="38" fontId="47" fillId="0" borderId="115" xfId="0" applyNumberFormat="1" applyFont="1" applyFill="1" applyBorder="1" applyAlignment="1">
      <alignment horizontal="center"/>
    </xf>
    <xf numFmtId="38" fontId="47" fillId="0" borderId="116" xfId="0" applyNumberFormat="1" applyFont="1" applyFill="1" applyBorder="1" applyAlignment="1">
      <alignment horizontal="center"/>
    </xf>
    <xf numFmtId="38" fontId="47" fillId="0" borderId="117" xfId="0" applyNumberFormat="1" applyFont="1" applyFill="1" applyBorder="1" applyAlignment="1">
      <alignment horizontal="center"/>
    </xf>
    <xf numFmtId="38" fontId="47" fillId="0" borderId="112" xfId="0" applyNumberFormat="1" applyFont="1" applyFill="1" applyBorder="1" applyAlignment="1">
      <alignment horizontal="center"/>
    </xf>
    <xf numFmtId="38" fontId="47" fillId="0" borderId="118" xfId="0" applyNumberFormat="1" applyFont="1" applyFill="1" applyBorder="1" applyAlignment="1">
      <alignment horizontal="center"/>
    </xf>
    <xf numFmtId="38" fontId="47" fillId="0" borderId="119" xfId="0" applyNumberFormat="1" applyFont="1" applyFill="1" applyBorder="1" applyAlignment="1">
      <alignment horizontal="center"/>
    </xf>
    <xf numFmtId="38" fontId="12" fillId="0" borderId="0" xfId="0" applyNumberFormat="1" applyFont="1"/>
    <xf numFmtId="38" fontId="12" fillId="0" borderId="0" xfId="0" applyNumberFormat="1" applyFont="1" applyFill="1"/>
    <xf numFmtId="38" fontId="47" fillId="0" borderId="0" xfId="0" applyNumberFormat="1" applyFont="1" applyFill="1"/>
    <xf numFmtId="38" fontId="47" fillId="0" borderId="0" xfId="0" applyNumberFormat="1" applyFont="1" applyBorder="1"/>
    <xf numFmtId="38" fontId="12" fillId="0" borderId="0" xfId="0" applyNumberFormat="1" applyFont="1" applyAlignment="1">
      <alignment horizontal="left"/>
    </xf>
    <xf numFmtId="38" fontId="47" fillId="0" borderId="0" xfId="0" applyNumberFormat="1" applyFont="1" applyFill="1" applyAlignment="1">
      <alignment horizontal="center"/>
    </xf>
    <xf numFmtId="38" fontId="12" fillId="0" borderId="0" xfId="0" applyNumberFormat="1" applyFont="1" applyFill="1" applyAlignment="1">
      <alignment horizontal="center"/>
    </xf>
    <xf numFmtId="38" fontId="47" fillId="0" borderId="0" xfId="0" applyNumberFormat="1" applyFont="1" applyFill="1" applyBorder="1"/>
    <xf numFmtId="38" fontId="12" fillId="0" borderId="0" xfId="0" applyNumberFormat="1" applyFont="1" applyAlignment="1"/>
    <xf numFmtId="38" fontId="12" fillId="0" borderId="0" xfId="0" applyNumberFormat="1" applyFont="1" applyFill="1"/>
    <xf numFmtId="0" fontId="12" fillId="0" borderId="0" xfId="0" applyFont="1" applyFill="1"/>
    <xf numFmtId="38" fontId="47" fillId="0" borderId="0" xfId="0" applyNumberFormat="1" applyFont="1" applyFill="1"/>
    <xf numFmtId="38" fontId="12" fillId="0" borderId="0" xfId="0" applyNumberFormat="1" applyFont="1" applyFill="1" applyBorder="1"/>
    <xf numFmtId="2" fontId="5" fillId="7" borderId="0" xfId="0" applyNumberFormat="1" applyFont="1" applyFill="1" applyBorder="1" applyAlignment="1" applyProtection="1">
      <alignment horizontal="center" vertical="center"/>
    </xf>
    <xf numFmtId="0" fontId="13" fillId="0" borderId="0" xfId="0" applyNumberFormat="1" applyFont="1" applyFill="1" applyBorder="1" applyAlignment="1" applyProtection="1">
      <alignment horizontal="left" vertical="center"/>
    </xf>
    <xf numFmtId="38" fontId="47" fillId="14" borderId="39" xfId="0" applyNumberFormat="1" applyFont="1" applyFill="1" applyBorder="1" applyAlignment="1">
      <alignment horizontal="center"/>
    </xf>
    <xf numFmtId="38" fontId="12" fillId="14" borderId="85" xfId="0" applyNumberFormat="1" applyFont="1" applyFill="1" applyBorder="1" applyAlignment="1">
      <alignment horizontal="left"/>
    </xf>
    <xf numFmtId="38" fontId="47" fillId="14" borderId="86" xfId="0" applyNumberFormat="1" applyFont="1" applyFill="1" applyBorder="1" applyAlignment="1">
      <alignment horizontal="center"/>
    </xf>
    <xf numFmtId="38" fontId="47" fillId="14" borderId="87" xfId="0" applyNumberFormat="1" applyFont="1" applyFill="1" applyBorder="1" applyAlignment="1">
      <alignment horizontal="center"/>
    </xf>
    <xf numFmtId="38" fontId="12" fillId="14" borderId="88" xfId="0" applyNumberFormat="1" applyFont="1" applyFill="1" applyBorder="1" applyAlignment="1">
      <alignment horizontal="center"/>
    </xf>
    <xf numFmtId="38" fontId="12" fillId="14" borderId="89" xfId="0" applyNumberFormat="1" applyFont="1" applyFill="1" applyBorder="1" applyAlignment="1">
      <alignment horizontal="center"/>
    </xf>
    <xf numFmtId="38" fontId="12" fillId="14" borderId="90" xfId="0" applyNumberFormat="1" applyFont="1" applyFill="1" applyBorder="1" applyAlignment="1">
      <alignment horizontal="center"/>
    </xf>
    <xf numFmtId="38" fontId="47" fillId="14" borderId="91" xfId="0" applyNumberFormat="1" applyFont="1" applyFill="1" applyBorder="1" applyAlignment="1">
      <alignment horizontal="center"/>
    </xf>
    <xf numFmtId="38" fontId="47" fillId="14" borderId="85" xfId="0" applyNumberFormat="1" applyFont="1" applyFill="1" applyBorder="1" applyAlignment="1">
      <alignment horizontal="center"/>
    </xf>
    <xf numFmtId="38" fontId="12" fillId="14" borderId="92" xfId="0" applyNumberFormat="1" applyFont="1" applyFill="1" applyBorder="1" applyAlignment="1">
      <alignment horizontal="center"/>
    </xf>
    <xf numFmtId="38" fontId="12" fillId="14" borderId="91" xfId="0" applyNumberFormat="1" applyFont="1" applyFill="1" applyBorder="1" applyAlignment="1">
      <alignment horizontal="center"/>
    </xf>
    <xf numFmtId="38" fontId="12" fillId="14" borderId="93" xfId="0" applyNumberFormat="1" applyFont="1" applyFill="1" applyBorder="1" applyAlignment="1">
      <alignment horizontal="center"/>
    </xf>
    <xf numFmtId="0" fontId="5" fillId="6" borderId="2" xfId="0" applyFont="1" applyFill="1" applyBorder="1" applyAlignment="1">
      <alignment horizontal="left" vertical="center"/>
    </xf>
    <xf numFmtId="166" fontId="17" fillId="0" borderId="0" xfId="2" applyNumberFormat="1" applyFont="1" applyAlignment="1">
      <alignment horizontal="center" vertical="center"/>
    </xf>
    <xf numFmtId="38" fontId="17" fillId="0" borderId="0" xfId="0" applyNumberFormat="1" applyFont="1" applyAlignment="1">
      <alignment horizontal="center" vertical="center"/>
    </xf>
    <xf numFmtId="170" fontId="17" fillId="0" borderId="0" xfId="0" applyNumberFormat="1" applyFont="1" applyAlignment="1">
      <alignment horizontal="center" vertical="center"/>
    </xf>
    <xf numFmtId="0" fontId="49" fillId="0" borderId="0" xfId="0" applyFont="1" applyAlignment="1">
      <alignment vertical="center"/>
    </xf>
    <xf numFmtId="0" fontId="0" fillId="0" borderId="0" xfId="0" applyFont="1" applyBorder="1"/>
    <xf numFmtId="0" fontId="0" fillId="0" borderId="0" xfId="0"/>
    <xf numFmtId="166" fontId="17" fillId="8" borderId="0" xfId="2" applyNumberFormat="1" applyFont="1" applyFill="1" applyAlignment="1">
      <alignment horizontal="center" vertical="center"/>
    </xf>
    <xf numFmtId="38" fontId="17" fillId="8" borderId="0" xfId="0" applyNumberFormat="1" applyFont="1" applyFill="1" applyAlignment="1">
      <alignment horizontal="center" vertical="center"/>
    </xf>
    <xf numFmtId="164" fontId="5" fillId="0" borderId="129" xfId="0" applyNumberFormat="1" applyFont="1" applyBorder="1" applyAlignment="1">
      <alignment horizontal="center" vertical="center"/>
    </xf>
    <xf numFmtId="2" fontId="4" fillId="0" borderId="8" xfId="0" applyNumberFormat="1" applyFont="1" applyFill="1" applyBorder="1" applyAlignment="1">
      <alignment horizontal="center" vertical="center"/>
    </xf>
    <xf numFmtId="9" fontId="0" fillId="0" borderId="0" xfId="0" applyNumberFormat="1" applyFont="1" applyAlignment="1">
      <alignment horizontal="center" vertical="center"/>
    </xf>
    <xf numFmtId="164" fontId="17" fillId="7" borderId="18" xfId="0" applyNumberFormat="1" applyFont="1" applyFill="1" applyBorder="1" applyAlignment="1">
      <alignment horizontal="center" vertical="center"/>
    </xf>
    <xf numFmtId="38" fontId="47" fillId="0" borderId="126" xfId="0" applyNumberFormat="1" applyFont="1" applyFill="1" applyBorder="1" applyAlignment="1">
      <alignment horizontal="center"/>
    </xf>
    <xf numFmtId="9" fontId="0" fillId="8" borderId="0" xfId="0" applyNumberFormat="1" applyFont="1" applyFill="1" applyAlignment="1">
      <alignment horizontal="center" vertical="center"/>
    </xf>
    <xf numFmtId="38" fontId="12" fillId="0" borderId="128" xfId="0" applyNumberFormat="1" applyFont="1" applyFill="1" applyBorder="1" applyAlignment="1">
      <alignment horizontal="center"/>
    </xf>
    <xf numFmtId="38" fontId="12" fillId="0" borderId="125" xfId="0" applyNumberFormat="1" applyFont="1" applyFill="1" applyBorder="1" applyAlignment="1">
      <alignment horizontal="center"/>
    </xf>
    <xf numFmtId="164" fontId="17" fillId="7" borderId="0" xfId="0" applyNumberFormat="1" applyFont="1" applyFill="1" applyBorder="1" applyAlignment="1">
      <alignment horizontal="center" vertical="center"/>
    </xf>
    <xf numFmtId="38" fontId="12" fillId="14" borderId="49" xfId="0" applyNumberFormat="1" applyFont="1" applyFill="1" applyBorder="1" applyAlignment="1">
      <alignment horizontal="center"/>
    </xf>
    <xf numFmtId="38" fontId="47" fillId="0" borderId="122" xfId="0" applyNumberFormat="1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5" fillId="0" borderId="0" xfId="0" applyFont="1" applyFill="1" applyBorder="1" applyAlignment="1">
      <alignment horizontal="center" vertical="center" wrapText="1"/>
    </xf>
    <xf numFmtId="38" fontId="12" fillId="0" borderId="126" xfId="0" applyNumberFormat="1" applyFont="1" applyFill="1" applyBorder="1" applyAlignment="1">
      <alignment horizontal="center"/>
    </xf>
    <xf numFmtId="38" fontId="47" fillId="0" borderId="120" xfId="0" applyNumberFormat="1" applyFont="1" applyFill="1" applyBorder="1" applyAlignment="1">
      <alignment horizontal="center"/>
    </xf>
    <xf numFmtId="38" fontId="12" fillId="0" borderId="124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 vertical="center"/>
    </xf>
    <xf numFmtId="164" fontId="17" fillId="7" borderId="6" xfId="0" applyNumberFormat="1" applyFont="1" applyFill="1" applyBorder="1" applyAlignment="1">
      <alignment horizontal="center" vertical="center"/>
    </xf>
    <xf numFmtId="38" fontId="12" fillId="0" borderId="127" xfId="0" applyNumberFormat="1" applyFont="1" applyFill="1" applyBorder="1" applyAlignment="1">
      <alignment horizontal="center"/>
    </xf>
    <xf numFmtId="38" fontId="12" fillId="0" borderId="123" xfId="0" applyNumberFormat="1" applyFont="1" applyFill="1" applyBorder="1" applyAlignment="1">
      <alignment horizontal="center"/>
    </xf>
    <xf numFmtId="38" fontId="47" fillId="0" borderId="120" xfId="0" applyNumberFormat="1" applyFont="1" applyFill="1" applyBorder="1" applyAlignment="1">
      <alignment horizontal="left"/>
    </xf>
    <xf numFmtId="38" fontId="12" fillId="0" borderId="0" xfId="0" applyNumberFormat="1" applyFont="1" applyFill="1" applyBorder="1"/>
    <xf numFmtId="165" fontId="0" fillId="0" borderId="0" xfId="0" applyNumberFormat="1" applyFont="1" applyAlignment="1">
      <alignment vertical="center"/>
    </xf>
    <xf numFmtId="0" fontId="4" fillId="0" borderId="8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38" fontId="47" fillId="0" borderId="121" xfId="0" applyNumberFormat="1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12" borderId="7" xfId="0" applyFont="1" applyFill="1" applyBorder="1" applyAlignment="1">
      <alignment horizontal="center" vertical="center"/>
    </xf>
    <xf numFmtId="0" fontId="19" fillId="12" borderId="7" xfId="0" applyFont="1" applyFill="1" applyBorder="1" applyAlignment="1">
      <alignment horizontal="center" vertical="center"/>
    </xf>
    <xf numFmtId="0" fontId="51" fillId="5" borderId="0" xfId="0" applyFont="1" applyFill="1"/>
    <xf numFmtId="0" fontId="50" fillId="5" borderId="0" xfId="0" applyFont="1" applyFill="1"/>
    <xf numFmtId="0" fontId="0" fillId="5" borderId="0" xfId="0" applyFont="1" applyFill="1" applyAlignment="1">
      <alignment vertical="center"/>
    </xf>
    <xf numFmtId="0" fontId="3" fillId="4" borderId="129" xfId="0" applyFont="1" applyFill="1" applyBorder="1" applyAlignment="1">
      <alignment vertical="center"/>
    </xf>
    <xf numFmtId="0" fontId="3" fillId="4" borderId="129" xfId="0" applyFont="1" applyFill="1" applyBorder="1" applyAlignment="1">
      <alignment horizontal="center" vertical="center"/>
    </xf>
    <xf numFmtId="0" fontId="3" fillId="4" borderId="129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left" vertical="center" wrapText="1"/>
    </xf>
    <xf numFmtId="165" fontId="0" fillId="0" borderId="0" xfId="0" applyNumberFormat="1"/>
    <xf numFmtId="166" fontId="0" fillId="0" borderId="0" xfId="0" applyNumberFormat="1" applyFont="1" applyAlignment="1">
      <alignment horizontal="center" vertical="center"/>
    </xf>
    <xf numFmtId="0" fontId="0" fillId="5" borderId="0" xfId="0" applyFill="1" applyAlignment="1">
      <alignment horizontal="left" vertical="center"/>
    </xf>
    <xf numFmtId="0" fontId="0" fillId="5" borderId="0" xfId="0" applyFill="1" applyAlignment="1">
      <alignment vertical="center"/>
    </xf>
    <xf numFmtId="0" fontId="3" fillId="4" borderId="2" xfId="0" applyFont="1" applyFill="1" applyBorder="1" applyAlignment="1">
      <alignment vertical="center"/>
    </xf>
    <xf numFmtId="0" fontId="3" fillId="4" borderId="2" xfId="0" applyFont="1" applyFill="1" applyBorder="1" applyAlignment="1">
      <alignment horizontal="center" vertical="center"/>
    </xf>
    <xf numFmtId="0" fontId="0" fillId="0" borderId="0" xfId="0"/>
    <xf numFmtId="0" fontId="0" fillId="0" borderId="0" xfId="0" applyFont="1" applyBorder="1" applyAlignment="1">
      <alignment vertical="center"/>
    </xf>
    <xf numFmtId="0" fontId="5" fillId="0" borderId="129" xfId="0" applyFont="1" applyBorder="1" applyAlignment="1">
      <alignment vertical="center"/>
    </xf>
    <xf numFmtId="0" fontId="52" fillId="0" borderId="0" xfId="0" applyFont="1"/>
    <xf numFmtId="0" fontId="0" fillId="0" borderId="0" xfId="0"/>
    <xf numFmtId="0" fontId="50" fillId="23" borderId="130" xfId="0" applyFont="1" applyFill="1" applyBorder="1" applyAlignment="1">
      <alignment horizontal="left" vertical="center"/>
    </xf>
    <xf numFmtId="0" fontId="0" fillId="24" borderId="0" xfId="0" applyFill="1"/>
    <xf numFmtId="0" fontId="0" fillId="24" borderId="0" xfId="0" quotePrefix="1" applyFill="1"/>
    <xf numFmtId="0" fontId="42" fillId="24" borderId="0" xfId="0" applyFont="1" applyFill="1" applyAlignment="1">
      <alignment horizontal="left" vertical="center"/>
    </xf>
    <xf numFmtId="165" fontId="1" fillId="0" borderId="0" xfId="0" applyNumberFormat="1" applyFont="1" applyAlignment="1">
      <alignment horizontal="left" vertical="center"/>
    </xf>
    <xf numFmtId="0" fontId="17" fillId="15" borderId="131" xfId="0" applyFont="1" applyFill="1" applyBorder="1" applyAlignment="1">
      <alignment horizontal="left" vertical="center" wrapText="1"/>
    </xf>
    <xf numFmtId="0" fontId="17" fillId="15" borderId="131" xfId="0" applyFont="1" applyFill="1" applyBorder="1" applyAlignment="1">
      <alignment horizontal="left" vertical="center"/>
    </xf>
    <xf numFmtId="0" fontId="17" fillId="15" borderId="6" xfId="0" applyFont="1" applyFill="1" applyBorder="1" applyAlignment="1">
      <alignment horizontal="left" vertical="center" wrapText="1"/>
    </xf>
    <xf numFmtId="0" fontId="4" fillId="24" borderId="0" xfId="0" applyFont="1" applyFill="1"/>
    <xf numFmtId="0" fontId="54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7" fillId="15" borderId="129" xfId="0" applyFont="1" applyFill="1" applyBorder="1" applyAlignment="1">
      <alignment horizontal="left" vertical="center" wrapText="1"/>
    </xf>
    <xf numFmtId="0" fontId="17" fillId="15" borderId="129" xfId="0" applyFont="1" applyFill="1" applyBorder="1" applyAlignment="1">
      <alignment horizontal="left" vertical="center"/>
    </xf>
    <xf numFmtId="0" fontId="17" fillId="15" borderId="0" xfId="0" applyFont="1" applyFill="1" applyAlignment="1">
      <alignment horizontal="left" vertical="center"/>
    </xf>
    <xf numFmtId="0" fontId="53" fillId="24" borderId="0" xfId="0" applyFont="1" applyFill="1"/>
    <xf numFmtId="0" fontId="17" fillId="24" borderId="0" xfId="0" applyFont="1" applyFill="1" applyAlignment="1">
      <alignment horizontal="left" vertical="center"/>
    </xf>
    <xf numFmtId="0" fontId="0" fillId="24" borderId="0" xfId="0" applyFont="1" applyFill="1"/>
    <xf numFmtId="0" fontId="4" fillId="24" borderId="0" xfId="0" applyFont="1" applyFill="1" applyBorder="1"/>
    <xf numFmtId="0" fontId="0" fillId="24" borderId="0" xfId="0" applyFill="1" applyAlignment="1">
      <alignment horizontal="left"/>
    </xf>
    <xf numFmtId="0" fontId="0" fillId="0" borderId="0" xfId="0" applyAlignment="1">
      <alignment horizontal="left"/>
    </xf>
    <xf numFmtId="0" fontId="0" fillId="24" borderId="0" xfId="0" applyFill="1" applyAlignment="1">
      <alignment horizontal="left" indent="1"/>
    </xf>
    <xf numFmtId="0" fontId="0" fillId="24" borderId="0" xfId="0" applyFont="1" applyFill="1" applyAlignment="1">
      <alignment vertical="center"/>
    </xf>
    <xf numFmtId="0" fontId="0" fillId="24" borderId="0" xfId="0" applyFont="1" applyFill="1" applyBorder="1" applyAlignment="1">
      <alignment vertical="center"/>
    </xf>
    <xf numFmtId="0" fontId="53" fillId="24" borderId="0" xfId="0" applyFont="1" applyFill="1" applyBorder="1"/>
    <xf numFmtId="2" fontId="17" fillId="15" borderId="129" xfId="0" applyNumberFormat="1" applyFont="1" applyFill="1" applyBorder="1" applyAlignment="1">
      <alignment horizontal="left" vertical="center"/>
    </xf>
    <xf numFmtId="0" fontId="1" fillId="24" borderId="0" xfId="0" applyFont="1" applyFill="1" applyAlignment="1">
      <alignment vertical="center"/>
    </xf>
    <xf numFmtId="165" fontId="0" fillId="24" borderId="0" xfId="0" applyNumberFormat="1" applyFill="1" applyBorder="1" applyAlignment="1">
      <alignment vertical="center"/>
    </xf>
    <xf numFmtId="165" fontId="0" fillId="24" borderId="0" xfId="0" applyNumberFormat="1" applyFill="1" applyAlignment="1">
      <alignment vertical="center"/>
    </xf>
    <xf numFmtId="0" fontId="1" fillId="24" borderId="0" xfId="0" applyFont="1" applyFill="1" applyBorder="1" applyAlignment="1">
      <alignment vertical="center"/>
    </xf>
    <xf numFmtId="0" fontId="0" fillId="24" borderId="0" xfId="0" applyFill="1" applyBorder="1" applyAlignment="1">
      <alignment vertical="center"/>
    </xf>
    <xf numFmtId="165" fontId="0" fillId="24" borderId="0" xfId="0" applyNumberFormat="1" applyFont="1" applyFill="1" applyAlignment="1">
      <alignment vertical="center"/>
    </xf>
    <xf numFmtId="0" fontId="17" fillId="24" borderId="0" xfId="0" applyFont="1" applyFill="1" applyAlignment="1">
      <alignment vertical="center"/>
    </xf>
    <xf numFmtId="0" fontId="5" fillId="24" borderId="0" xfId="0" applyFont="1" applyFill="1" applyAlignment="1">
      <alignment vertical="center"/>
    </xf>
    <xf numFmtId="0" fontId="17" fillId="24" borderId="0" xfId="0" applyFont="1" applyFill="1" applyBorder="1" applyAlignment="1">
      <alignment vertical="center"/>
    </xf>
    <xf numFmtId="0" fontId="17" fillId="0" borderId="0" xfId="0" applyFont="1" applyBorder="1" applyAlignment="1">
      <alignment horizontal="center" vertical="center" wrapText="1"/>
    </xf>
    <xf numFmtId="0" fontId="7" fillId="3" borderId="120" xfId="0" applyFont="1" applyFill="1" applyBorder="1" applyAlignment="1">
      <alignment vertical="center"/>
    </xf>
    <xf numFmtId="165" fontId="0" fillId="24" borderId="0" xfId="0" applyNumberFormat="1" applyFill="1"/>
    <xf numFmtId="38" fontId="12" fillId="0" borderId="36" xfId="8" applyNumberFormat="1" applyFont="1" applyFill="1" applyBorder="1" applyAlignment="1">
      <alignment horizontal="center"/>
    </xf>
    <xf numFmtId="38" fontId="12" fillId="0" borderId="46" xfId="8" applyNumberFormat="1" applyFont="1" applyFill="1" applyBorder="1" applyAlignment="1">
      <alignment horizontal="center"/>
    </xf>
    <xf numFmtId="38" fontId="12" fillId="0" borderId="97" xfId="8" applyNumberFormat="1" applyFont="1" applyFill="1" applyBorder="1" applyAlignment="1">
      <alignment horizontal="center"/>
    </xf>
    <xf numFmtId="38" fontId="12" fillId="0" borderId="49" xfId="8" applyNumberFormat="1" applyFont="1" applyFill="1" applyBorder="1" applyAlignment="1">
      <alignment horizontal="center"/>
    </xf>
    <xf numFmtId="38" fontId="46" fillId="0" borderId="0" xfId="8" applyNumberFormat="1" applyFont="1" applyAlignment="1">
      <alignment horizontal="left" wrapText="1"/>
    </xf>
    <xf numFmtId="38" fontId="12" fillId="0" borderId="40" xfId="8" applyNumberFormat="1" applyFont="1" applyFill="1" applyBorder="1" applyAlignment="1">
      <alignment horizontal="center"/>
    </xf>
    <xf numFmtId="38" fontId="47" fillId="0" borderId="40" xfId="8" applyNumberFormat="1" applyFont="1" applyFill="1" applyBorder="1" applyAlignment="1">
      <alignment horizontal="center"/>
    </xf>
    <xf numFmtId="38" fontId="12" fillId="0" borderId="79" xfId="8" applyNumberFormat="1" applyFont="1" applyFill="1" applyBorder="1" applyAlignment="1">
      <alignment horizontal="center"/>
    </xf>
    <xf numFmtId="38" fontId="12" fillId="0" borderId="89" xfId="8" applyNumberFormat="1" applyFont="1" applyFill="1" applyBorder="1" applyAlignment="1">
      <alignment horizontal="center"/>
    </xf>
    <xf numFmtId="38" fontId="47" fillId="0" borderId="96" xfId="8" applyNumberFormat="1" applyFont="1" applyFill="1" applyBorder="1" applyAlignment="1">
      <alignment horizontal="center"/>
    </xf>
    <xf numFmtId="38" fontId="12" fillId="0" borderId="124" xfId="8" applyNumberFormat="1" applyFont="1" applyFill="1" applyBorder="1" applyAlignment="1">
      <alignment horizontal="center"/>
    </xf>
    <xf numFmtId="38" fontId="12" fillId="0" borderId="96" xfId="8" applyNumberFormat="1" applyFont="1" applyFill="1" applyBorder="1" applyAlignment="1">
      <alignment horizontal="center"/>
    </xf>
    <xf numFmtId="38" fontId="12" fillId="0" borderId="58" xfId="8" applyNumberFormat="1" applyFont="1" applyFill="1" applyBorder="1" applyAlignment="1">
      <alignment horizontal="center"/>
    </xf>
    <xf numFmtId="38" fontId="12" fillId="0" borderId="84" xfId="8" applyNumberFormat="1" applyFont="1" applyFill="1" applyBorder="1" applyAlignment="1">
      <alignment horizontal="center"/>
    </xf>
    <xf numFmtId="38" fontId="47" fillId="0" borderId="98" xfId="8" applyNumberFormat="1" applyFont="1" applyFill="1" applyBorder="1" applyAlignment="1">
      <alignment horizontal="center"/>
    </xf>
    <xf numFmtId="38" fontId="12" fillId="0" borderId="47" xfId="8" applyNumberFormat="1" applyFont="1" applyFill="1" applyBorder="1" applyAlignment="1">
      <alignment horizontal="center"/>
    </xf>
    <xf numFmtId="38" fontId="47" fillId="0" borderId="25" xfId="8" applyNumberFormat="1" applyFont="1" applyFill="1" applyBorder="1" applyAlignment="1">
      <alignment horizontal="center"/>
    </xf>
    <xf numFmtId="38" fontId="12" fillId="0" borderId="33" xfId="8" applyNumberFormat="1" applyFont="1" applyFill="1" applyBorder="1" applyAlignment="1">
      <alignment horizontal="left"/>
    </xf>
    <xf numFmtId="38" fontId="47" fillId="0" borderId="34" xfId="8" applyNumberFormat="1" applyFont="1" applyFill="1" applyBorder="1" applyAlignment="1">
      <alignment horizontal="center"/>
    </xf>
    <xf numFmtId="38" fontId="12" fillId="0" borderId="42" xfId="8" applyNumberFormat="1" applyFont="1" applyFill="1" applyBorder="1" applyAlignment="1">
      <alignment horizontal="center"/>
    </xf>
    <xf numFmtId="38" fontId="12" fillId="0" borderId="43" xfId="8" applyNumberFormat="1" applyFont="1" applyFill="1" applyBorder="1" applyAlignment="1">
      <alignment horizontal="left"/>
    </xf>
    <xf numFmtId="38" fontId="47" fillId="0" borderId="44" xfId="8" applyNumberFormat="1" applyFont="1" applyFill="1" applyBorder="1" applyAlignment="1">
      <alignment horizontal="center"/>
    </xf>
    <xf numFmtId="38" fontId="12" fillId="0" borderId="51" xfId="8" applyNumberFormat="1" applyFont="1" applyFill="1" applyBorder="1" applyAlignment="1">
      <alignment horizontal="center"/>
    </xf>
    <xf numFmtId="38" fontId="12" fillId="0" borderId="52" xfId="8" applyNumberFormat="1" applyFont="1" applyFill="1" applyBorder="1" applyAlignment="1">
      <alignment horizontal="left"/>
    </xf>
    <xf numFmtId="38" fontId="47" fillId="0" borderId="53" xfId="8" applyNumberFormat="1" applyFont="1" applyFill="1" applyBorder="1" applyAlignment="1">
      <alignment horizontal="center"/>
    </xf>
    <xf numFmtId="38" fontId="12" fillId="0" borderId="59" xfId="8" applyNumberFormat="1" applyFont="1" applyFill="1" applyBorder="1" applyAlignment="1">
      <alignment horizontal="center"/>
    </xf>
    <xf numFmtId="38" fontId="47" fillId="0" borderId="18" xfId="8" applyNumberFormat="1" applyFont="1" applyFill="1" applyBorder="1" applyAlignment="1">
      <alignment horizontal="left"/>
    </xf>
    <xf numFmtId="38" fontId="47" fillId="0" borderId="60" xfId="8" applyNumberFormat="1" applyFont="1" applyFill="1" applyBorder="1" applyAlignment="1">
      <alignment horizontal="center"/>
    </xf>
    <xf numFmtId="38" fontId="47" fillId="0" borderId="74" xfId="8" applyNumberFormat="1" applyFont="1" applyFill="1" applyBorder="1" applyAlignment="1">
      <alignment horizontal="center"/>
    </xf>
    <xf numFmtId="38" fontId="12" fillId="0" borderId="75" xfId="8" applyNumberFormat="1" applyFont="1" applyFill="1" applyBorder="1" applyAlignment="1">
      <alignment horizontal="left"/>
    </xf>
    <xf numFmtId="38" fontId="47" fillId="0" borderId="76" xfId="8" applyNumberFormat="1" applyFont="1" applyFill="1" applyBorder="1" applyAlignment="1">
      <alignment horizontal="center"/>
    </xf>
    <xf numFmtId="38" fontId="12" fillId="0" borderId="83" xfId="8" applyNumberFormat="1" applyFont="1" applyFill="1" applyBorder="1" applyAlignment="1">
      <alignment horizontal="center"/>
    </xf>
    <xf numFmtId="38" fontId="12" fillId="0" borderId="85" xfId="8" applyNumberFormat="1" applyFont="1" applyFill="1" applyBorder="1" applyAlignment="1">
      <alignment horizontal="left"/>
    </xf>
    <xf numFmtId="38" fontId="47" fillId="0" borderId="86" xfId="8" applyNumberFormat="1" applyFont="1" applyFill="1" applyBorder="1" applyAlignment="1">
      <alignment horizontal="center"/>
    </xf>
    <xf numFmtId="38" fontId="12" fillId="0" borderId="93" xfId="8" applyNumberFormat="1" applyFont="1" applyFill="1" applyBorder="1" applyAlignment="1">
      <alignment horizontal="center"/>
    </xf>
    <xf numFmtId="38" fontId="47" fillId="0" borderId="0" xfId="8" applyNumberFormat="1" applyFont="1" applyFill="1" applyBorder="1" applyAlignment="1">
      <alignment horizontal="left"/>
    </xf>
    <xf numFmtId="38" fontId="47" fillId="0" borderId="0" xfId="8" applyNumberFormat="1" applyFont="1" applyFill="1" applyBorder="1" applyAlignment="1">
      <alignment horizontal="center"/>
    </xf>
    <xf numFmtId="38" fontId="47" fillId="0" borderId="99" xfId="8" applyNumberFormat="1" applyFont="1" applyFill="1" applyBorder="1" applyAlignment="1">
      <alignment horizontal="center"/>
    </xf>
    <xf numFmtId="38" fontId="12" fillId="0" borderId="100" xfId="8" applyNumberFormat="1" applyFont="1" applyFill="1" applyBorder="1" applyAlignment="1">
      <alignment horizontal="center"/>
    </xf>
    <xf numFmtId="38" fontId="12" fillId="0" borderId="0" xfId="5" applyNumberFormat="1" applyFont="1" applyFill="1" applyBorder="1"/>
    <xf numFmtId="38" fontId="47" fillId="0" borderId="120" xfId="8" applyNumberFormat="1" applyFont="1" applyFill="1" applyBorder="1" applyAlignment="1">
      <alignment horizontal="left"/>
    </xf>
    <xf numFmtId="38" fontId="47" fillId="0" borderId="121" xfId="8" applyNumberFormat="1" applyFont="1" applyFill="1" applyBorder="1" applyAlignment="1">
      <alignment horizontal="center"/>
    </xf>
    <xf numFmtId="38" fontId="12" fillId="0" borderId="128" xfId="8" applyNumberFormat="1" applyFont="1" applyFill="1" applyBorder="1" applyAlignment="1">
      <alignment horizontal="center"/>
    </xf>
    <xf numFmtId="38" fontId="12" fillId="0" borderId="0" xfId="8" applyNumberFormat="1" applyFont="1" applyFill="1" applyBorder="1" applyAlignment="1">
      <alignment horizontal="left"/>
    </xf>
    <xf numFmtId="38" fontId="12" fillId="0" borderId="0" xfId="8" applyNumberFormat="1" applyFont="1" applyFill="1" applyBorder="1" applyAlignment="1">
      <alignment horizontal="center"/>
    </xf>
    <xf numFmtId="38" fontId="12" fillId="0" borderId="99" xfId="8" applyNumberFormat="1" applyFont="1" applyFill="1" applyBorder="1" applyAlignment="1">
      <alignment horizontal="center"/>
    </xf>
    <xf numFmtId="38" fontId="47" fillId="0" borderId="65" xfId="8" applyNumberFormat="1" applyFont="1" applyFill="1" applyBorder="1" applyAlignment="1">
      <alignment horizontal="center"/>
    </xf>
    <xf numFmtId="38" fontId="47" fillId="0" borderId="35" xfId="8" applyNumberFormat="1" applyFont="1" applyFill="1" applyBorder="1" applyAlignment="1">
      <alignment horizontal="center"/>
    </xf>
    <xf numFmtId="38" fontId="47" fillId="0" borderId="36" xfId="8" applyNumberFormat="1" applyFont="1" applyFill="1" applyBorder="1" applyAlignment="1">
      <alignment horizontal="center"/>
    </xf>
    <xf numFmtId="38" fontId="47" fillId="0" borderId="37" xfId="8" applyNumberFormat="1" applyFont="1" applyFill="1" applyBorder="1" applyAlignment="1">
      <alignment horizontal="center"/>
    </xf>
    <xf numFmtId="38" fontId="12" fillId="0" borderId="38" xfId="8" applyNumberFormat="1" applyFont="1" applyFill="1" applyBorder="1" applyAlignment="1">
      <alignment horizontal="center"/>
    </xf>
    <xf numFmtId="38" fontId="47" fillId="0" borderId="45" xfId="8" applyNumberFormat="1" applyFont="1" applyFill="1" applyBorder="1" applyAlignment="1">
      <alignment horizontal="center"/>
    </xf>
    <xf numFmtId="38" fontId="47" fillId="0" borderId="46" xfId="8" applyNumberFormat="1" applyFont="1" applyFill="1" applyBorder="1" applyAlignment="1">
      <alignment horizontal="center"/>
    </xf>
    <xf numFmtId="38" fontId="47" fillId="0" borderId="49" xfId="8" applyNumberFormat="1" applyFont="1" applyFill="1" applyBorder="1" applyAlignment="1">
      <alignment horizontal="center"/>
    </xf>
    <xf numFmtId="38" fontId="47" fillId="0" borderId="54" xfId="8" applyNumberFormat="1" applyFont="1" applyFill="1" applyBorder="1" applyAlignment="1">
      <alignment horizontal="center"/>
    </xf>
    <xf numFmtId="38" fontId="12" fillId="0" borderId="55" xfId="8" applyNumberFormat="1" applyFont="1" applyFill="1" applyBorder="1" applyAlignment="1">
      <alignment horizontal="center"/>
    </xf>
    <xf numFmtId="38" fontId="47" fillId="0" borderId="61" xfId="8" applyNumberFormat="1" applyFont="1" applyFill="1" applyBorder="1" applyAlignment="1">
      <alignment horizontal="center"/>
    </xf>
    <xf numFmtId="38" fontId="47" fillId="0" borderId="63" xfId="8" applyNumberFormat="1" applyFont="1" applyFill="1" applyBorder="1" applyAlignment="1">
      <alignment horizontal="center"/>
    </xf>
    <xf numFmtId="38" fontId="47" fillId="0" borderId="72" xfId="8" applyNumberFormat="1" applyFont="1" applyFill="1" applyBorder="1" applyAlignment="1">
      <alignment horizontal="center"/>
    </xf>
    <xf numFmtId="38" fontId="47" fillId="0" borderId="77" xfId="8" applyNumberFormat="1" applyFont="1" applyFill="1" applyBorder="1" applyAlignment="1">
      <alignment horizontal="center"/>
    </xf>
    <xf numFmtId="38" fontId="12" fillId="0" borderId="78" xfId="8" applyNumberFormat="1" applyFont="1" applyFill="1" applyBorder="1" applyAlignment="1">
      <alignment horizontal="center"/>
    </xf>
    <xf numFmtId="38" fontId="12" fillId="0" borderId="80" xfId="8" applyNumberFormat="1" applyFont="1" applyFill="1" applyBorder="1" applyAlignment="1">
      <alignment horizontal="center"/>
    </xf>
    <xf numFmtId="38" fontId="47" fillId="0" borderId="87" xfId="8" applyNumberFormat="1" applyFont="1" applyFill="1" applyBorder="1" applyAlignment="1">
      <alignment horizontal="center"/>
    </xf>
    <xf numFmtId="38" fontId="12" fillId="0" borderId="88" xfId="8" applyNumberFormat="1" applyFont="1" applyFill="1" applyBorder="1" applyAlignment="1">
      <alignment horizontal="center"/>
    </xf>
    <xf numFmtId="38" fontId="12" fillId="0" borderId="90" xfId="8" applyNumberFormat="1" applyFont="1" applyFill="1" applyBorder="1" applyAlignment="1">
      <alignment horizontal="center"/>
    </xf>
    <xf numFmtId="38" fontId="47" fillId="0" borderId="94" xfId="8" applyNumberFormat="1" applyFont="1" applyFill="1" applyBorder="1" applyAlignment="1">
      <alignment horizontal="center"/>
    </xf>
    <xf numFmtId="38" fontId="47" fillId="0" borderId="95" xfId="8" applyNumberFormat="1" applyFont="1" applyFill="1" applyBorder="1" applyAlignment="1">
      <alignment horizontal="center"/>
    </xf>
    <xf numFmtId="38" fontId="47" fillId="0" borderId="97" xfId="8" applyNumberFormat="1" applyFont="1" applyFill="1" applyBorder="1" applyAlignment="1">
      <alignment horizontal="center"/>
    </xf>
    <xf numFmtId="38" fontId="47" fillId="0" borderId="122" xfId="8" applyNumberFormat="1" applyFont="1" applyFill="1" applyBorder="1" applyAlignment="1">
      <alignment horizontal="center"/>
    </xf>
    <xf numFmtId="38" fontId="12" fillId="0" borderId="123" xfId="8" applyNumberFormat="1" applyFont="1" applyFill="1" applyBorder="1" applyAlignment="1">
      <alignment horizontal="center"/>
    </xf>
    <xf numFmtId="38" fontId="12" fillId="0" borderId="125" xfId="8" applyNumberFormat="1" applyFont="1" applyFill="1" applyBorder="1" applyAlignment="1">
      <alignment horizontal="center"/>
    </xf>
    <xf numFmtId="38" fontId="47" fillId="0" borderId="107" xfId="8" applyNumberFormat="1" applyFont="1" applyFill="1" applyBorder="1" applyAlignment="1">
      <alignment horizontal="center"/>
    </xf>
    <xf numFmtId="38" fontId="47" fillId="0" borderId="108" xfId="8" applyNumberFormat="1" applyFont="1" applyFill="1" applyBorder="1" applyAlignment="1">
      <alignment horizontal="center"/>
    </xf>
    <xf numFmtId="38" fontId="47" fillId="0" borderId="79" xfId="8" applyNumberFormat="1" applyFont="1" applyFill="1" applyBorder="1" applyAlignment="1">
      <alignment horizontal="center"/>
    </xf>
    <xf numFmtId="38" fontId="47" fillId="0" borderId="11" xfId="8" applyNumberFormat="1" applyFont="1" applyFill="1" applyBorder="1" applyAlignment="1">
      <alignment horizontal="center"/>
    </xf>
    <xf numFmtId="38" fontId="47" fillId="0" borderId="109" xfId="8" applyNumberFormat="1" applyFont="1" applyFill="1" applyBorder="1" applyAlignment="1">
      <alignment horizontal="center"/>
    </xf>
    <xf numFmtId="38" fontId="47" fillId="0" borderId="110" xfId="8" applyNumberFormat="1" applyFont="1" applyFill="1" applyBorder="1" applyAlignment="1">
      <alignment horizontal="center"/>
    </xf>
    <xf numFmtId="38" fontId="12" fillId="0" borderId="16" xfId="8" applyNumberFormat="1" applyFont="1" applyFill="1" applyBorder="1" applyAlignment="1">
      <alignment horizontal="center"/>
    </xf>
    <xf numFmtId="38" fontId="47" fillId="0" borderId="39" xfId="8" applyNumberFormat="1" applyFont="1" applyFill="1" applyBorder="1" applyAlignment="1">
      <alignment horizontal="center"/>
    </xf>
    <xf numFmtId="38" fontId="12" fillId="0" borderId="37" xfId="8" applyNumberFormat="1" applyFont="1" applyFill="1" applyBorder="1" applyAlignment="1">
      <alignment horizontal="center"/>
    </xf>
    <xf numFmtId="38" fontId="47" fillId="0" borderId="48" xfId="8" applyNumberFormat="1" applyFont="1" applyFill="1" applyBorder="1" applyAlignment="1">
      <alignment horizontal="center"/>
    </xf>
    <xf numFmtId="38" fontId="47" fillId="0" borderId="56" xfId="8" applyNumberFormat="1" applyFont="1" applyFill="1" applyBorder="1" applyAlignment="1">
      <alignment horizontal="center"/>
    </xf>
    <xf numFmtId="38" fontId="12" fillId="0" borderId="54" xfId="8" applyNumberFormat="1" applyFont="1" applyFill="1" applyBorder="1" applyAlignment="1">
      <alignment horizontal="center"/>
    </xf>
    <xf numFmtId="38" fontId="47" fillId="0" borderId="62" xfId="8" applyNumberFormat="1" applyFont="1" applyFill="1" applyBorder="1" applyAlignment="1">
      <alignment horizontal="center"/>
    </xf>
    <xf numFmtId="38" fontId="47" fillId="0" borderId="81" xfId="8" applyNumberFormat="1" applyFont="1" applyFill="1" applyBorder="1" applyAlignment="1">
      <alignment horizontal="center"/>
    </xf>
    <xf numFmtId="38" fontId="47" fillId="0" borderId="91" xfId="8" applyNumberFormat="1" applyFont="1" applyFill="1" applyBorder="1" applyAlignment="1">
      <alignment horizontal="center"/>
    </xf>
    <xf numFmtId="38" fontId="47" fillId="0" borderId="15" xfId="8" applyNumberFormat="1" applyFont="1" applyFill="1" applyBorder="1" applyAlignment="1">
      <alignment horizontal="center"/>
    </xf>
    <xf numFmtId="38" fontId="47" fillId="0" borderId="126" xfId="8" applyNumberFormat="1" applyFont="1" applyFill="1" applyBorder="1" applyAlignment="1">
      <alignment horizontal="center"/>
    </xf>
    <xf numFmtId="38" fontId="12" fillId="0" borderId="75" xfId="8" applyNumberFormat="1" applyFont="1" applyFill="1" applyBorder="1" applyAlignment="1">
      <alignment horizontal="center"/>
    </xf>
    <xf numFmtId="38" fontId="12" fillId="0" borderId="52" xfId="8" applyNumberFormat="1" applyFont="1" applyFill="1" applyBorder="1" applyAlignment="1">
      <alignment horizontal="center"/>
    </xf>
    <xf numFmtId="38" fontId="12" fillId="0" borderId="126" xfId="8" applyNumberFormat="1" applyFont="1" applyFill="1" applyBorder="1" applyAlignment="1">
      <alignment horizontal="center"/>
    </xf>
    <xf numFmtId="38" fontId="47" fillId="0" borderId="33" xfId="8" applyNumberFormat="1" applyFont="1" applyFill="1" applyBorder="1" applyAlignment="1">
      <alignment horizontal="center"/>
    </xf>
    <xf numFmtId="38" fontId="12" fillId="0" borderId="41" xfId="8" applyNumberFormat="1" applyFont="1" applyFill="1" applyBorder="1" applyAlignment="1">
      <alignment horizontal="center"/>
    </xf>
    <xf numFmtId="38" fontId="47" fillId="0" borderId="43" xfId="8" applyNumberFormat="1" applyFont="1" applyFill="1" applyBorder="1" applyAlignment="1">
      <alignment horizontal="center"/>
    </xf>
    <xf numFmtId="38" fontId="12" fillId="0" borderId="50" xfId="8" applyNumberFormat="1" applyFont="1" applyFill="1" applyBorder="1" applyAlignment="1">
      <alignment horizontal="center"/>
    </xf>
    <xf numFmtId="38" fontId="47" fillId="0" borderId="52" xfId="8" applyNumberFormat="1" applyFont="1" applyFill="1" applyBorder="1" applyAlignment="1">
      <alignment horizontal="center"/>
    </xf>
    <xf numFmtId="38" fontId="12" fillId="0" borderId="57" xfId="8" applyNumberFormat="1" applyFont="1" applyFill="1" applyBorder="1" applyAlignment="1">
      <alignment horizontal="center"/>
    </xf>
    <xf numFmtId="38" fontId="47" fillId="0" borderId="18" xfId="8" applyNumberFormat="1" applyFont="1" applyFill="1" applyBorder="1" applyAlignment="1">
      <alignment horizontal="center"/>
    </xf>
    <xf numFmtId="38" fontId="47" fillId="0" borderId="73" xfId="8" applyNumberFormat="1" applyFont="1" applyFill="1" applyBorder="1" applyAlignment="1">
      <alignment horizontal="center"/>
    </xf>
    <xf numFmtId="38" fontId="47" fillId="0" borderId="75" xfId="8" applyNumberFormat="1" applyFont="1" applyFill="1" applyBorder="1" applyAlignment="1">
      <alignment horizontal="center"/>
    </xf>
    <xf numFmtId="38" fontId="12" fillId="0" borderId="82" xfId="8" applyNumberFormat="1" applyFont="1" applyFill="1" applyBorder="1" applyAlignment="1">
      <alignment horizontal="center"/>
    </xf>
    <xf numFmtId="38" fontId="47" fillId="0" borderId="85" xfId="8" applyNumberFormat="1" applyFont="1" applyFill="1" applyBorder="1" applyAlignment="1">
      <alignment horizontal="center"/>
    </xf>
    <xf numFmtId="38" fontId="12" fillId="0" borderId="92" xfId="8" applyNumberFormat="1" applyFont="1" applyFill="1" applyBorder="1" applyAlignment="1">
      <alignment horizontal="center"/>
    </xf>
    <xf numFmtId="38" fontId="47" fillId="0" borderId="16" xfId="8" applyNumberFormat="1" applyFont="1" applyFill="1" applyBorder="1" applyAlignment="1">
      <alignment horizontal="center"/>
    </xf>
    <xf numFmtId="38" fontId="47" fillId="0" borderId="120" xfId="8" applyNumberFormat="1" applyFont="1" applyFill="1" applyBorder="1" applyAlignment="1">
      <alignment horizontal="center"/>
    </xf>
    <xf numFmtId="38" fontId="12" fillId="0" borderId="127" xfId="8" applyNumberFormat="1" applyFont="1" applyFill="1" applyBorder="1" applyAlignment="1">
      <alignment horizontal="center"/>
    </xf>
    <xf numFmtId="38" fontId="12" fillId="0" borderId="98" xfId="8" applyNumberFormat="1" applyFont="1" applyFill="1" applyBorder="1" applyAlignment="1">
      <alignment horizontal="center"/>
    </xf>
    <xf numFmtId="38" fontId="12" fillId="0" borderId="39" xfId="8" applyNumberFormat="1" applyFont="1" applyFill="1" applyBorder="1" applyAlignment="1">
      <alignment horizontal="center"/>
    </xf>
    <xf numFmtId="38" fontId="12" fillId="0" borderId="48" xfId="8" applyNumberFormat="1" applyFont="1" applyFill="1" applyBorder="1" applyAlignment="1">
      <alignment horizontal="center"/>
    </xf>
    <xf numFmtId="38" fontId="12" fillId="0" borderId="56" xfId="8" applyNumberFormat="1" applyFont="1" applyFill="1" applyBorder="1" applyAlignment="1">
      <alignment horizontal="center"/>
    </xf>
    <xf numFmtId="38" fontId="12" fillId="0" borderId="81" xfId="8" applyNumberFormat="1" applyFont="1" applyFill="1" applyBorder="1" applyAlignment="1">
      <alignment horizontal="center"/>
    </xf>
    <xf numFmtId="38" fontId="12" fillId="0" borderId="91" xfId="8" applyNumberFormat="1" applyFont="1" applyFill="1" applyBorder="1" applyAlignment="1">
      <alignment horizontal="center"/>
    </xf>
    <xf numFmtId="38" fontId="12" fillId="0" borderId="95" xfId="8" applyNumberFormat="1" applyFont="1" applyFill="1" applyBorder="1" applyAlignment="1">
      <alignment horizontal="center"/>
    </xf>
    <xf numFmtId="38" fontId="47" fillId="0" borderId="64" xfId="8" applyNumberFormat="1" applyFont="1" applyFill="1" applyBorder="1" applyAlignment="1">
      <alignment horizontal="center"/>
    </xf>
    <xf numFmtId="38" fontId="47" fillId="0" borderId="2" xfId="8" applyNumberFormat="1" applyFont="1" applyFill="1" applyBorder="1" applyAlignment="1">
      <alignment horizontal="left"/>
    </xf>
    <xf numFmtId="38" fontId="47" fillId="0" borderId="66" xfId="8" applyNumberFormat="1" applyFont="1" applyFill="1" applyBorder="1" applyAlignment="1">
      <alignment horizontal="center"/>
    </xf>
    <xf numFmtId="38" fontId="47" fillId="0" borderId="24" xfId="8" applyNumberFormat="1" applyFont="1" applyFill="1" applyBorder="1" applyAlignment="1">
      <alignment horizontal="center"/>
    </xf>
    <xf numFmtId="38" fontId="47" fillId="0" borderId="2" xfId="8" applyNumberFormat="1" applyFont="1" applyFill="1" applyBorder="1" applyAlignment="1">
      <alignment horizontal="center"/>
    </xf>
    <xf numFmtId="38" fontId="47" fillId="0" borderId="67" xfId="8" applyNumberFormat="1" applyFont="1" applyFill="1" applyBorder="1" applyAlignment="1">
      <alignment horizontal="center"/>
    </xf>
    <xf numFmtId="38" fontId="47" fillId="0" borderId="68" xfId="8" applyNumberFormat="1" applyFont="1" applyFill="1" applyBorder="1" applyAlignment="1">
      <alignment horizontal="center"/>
    </xf>
    <xf numFmtId="38" fontId="47" fillId="0" borderId="69" xfId="8" applyNumberFormat="1" applyFont="1" applyFill="1" applyBorder="1" applyAlignment="1">
      <alignment horizontal="center"/>
    </xf>
    <xf numFmtId="38" fontId="47" fillId="0" borderId="71" xfId="8" applyNumberFormat="1" applyFont="1" applyFill="1" applyBorder="1" applyAlignment="1">
      <alignment horizontal="center"/>
    </xf>
    <xf numFmtId="38" fontId="12" fillId="0" borderId="15" xfId="8" applyNumberFormat="1" applyFont="1" applyFill="1" applyBorder="1" applyAlignment="1">
      <alignment horizontal="center"/>
    </xf>
    <xf numFmtId="38" fontId="47" fillId="0" borderId="47" xfId="8" applyNumberFormat="1" applyFont="1" applyFill="1" applyBorder="1" applyAlignment="1">
      <alignment horizontal="center"/>
    </xf>
    <xf numFmtId="38" fontId="12" fillId="0" borderId="69" xfId="8" applyNumberFormat="1" applyFont="1" applyFill="1" applyBorder="1" applyAlignment="1">
      <alignment horizontal="center"/>
    </xf>
    <xf numFmtId="38" fontId="47" fillId="0" borderId="26" xfId="8" applyNumberFormat="1" applyFont="1" applyFill="1" applyBorder="1" applyAlignment="1">
      <alignment horizontal="center" textRotation="90" wrapText="1"/>
    </xf>
    <xf numFmtId="38" fontId="47" fillId="0" borderId="27" xfId="8" applyNumberFormat="1" applyFont="1" applyFill="1" applyBorder="1" applyAlignment="1">
      <alignment horizontal="center" textRotation="90" wrapText="1"/>
    </xf>
    <xf numFmtId="38" fontId="47" fillId="0" borderId="28" xfId="8" applyNumberFormat="1" applyFont="1" applyFill="1" applyBorder="1" applyAlignment="1">
      <alignment horizontal="center" textRotation="90" wrapText="1"/>
    </xf>
    <xf numFmtId="38" fontId="47" fillId="0" borderId="29" xfId="8" applyNumberFormat="1" applyFont="1" applyFill="1" applyBorder="1" applyAlignment="1">
      <alignment horizontal="center" textRotation="90" wrapText="1"/>
    </xf>
    <xf numFmtId="38" fontId="47" fillId="0" borderId="30" xfId="8" applyNumberFormat="1" applyFont="1" applyFill="1" applyBorder="1" applyAlignment="1">
      <alignment horizontal="center" textRotation="90" wrapText="1"/>
    </xf>
    <xf numFmtId="38" fontId="47" fillId="0" borderId="8" xfId="8" applyNumberFormat="1" applyFont="1" applyFill="1" applyBorder="1" applyAlignment="1">
      <alignment horizontal="center" textRotation="90" wrapText="1"/>
    </xf>
    <xf numFmtId="38" fontId="47" fillId="0" borderId="31" xfId="8" applyNumberFormat="1" applyFont="1" applyFill="1" applyBorder="1" applyAlignment="1">
      <alignment horizontal="center" textRotation="90" wrapText="1"/>
    </xf>
    <xf numFmtId="38" fontId="47" fillId="0" borderId="32" xfId="8" applyNumberFormat="1" applyFont="1" applyFill="1" applyBorder="1" applyAlignment="1">
      <alignment horizontal="center" textRotation="90" wrapText="1"/>
    </xf>
    <xf numFmtId="38" fontId="12" fillId="0" borderId="111" xfId="8" applyNumberFormat="1" applyFont="1" applyFill="1" applyBorder="1" applyAlignment="1">
      <alignment horizontal="center"/>
    </xf>
    <xf numFmtId="38" fontId="47" fillId="0" borderId="70" xfId="8" applyNumberFormat="1" applyFont="1" applyFill="1" applyBorder="1" applyAlignment="1">
      <alignment horizontal="center"/>
    </xf>
    <xf numFmtId="1" fontId="12" fillId="0" borderId="48" xfId="8" applyNumberFormat="1" applyFont="1" applyFill="1" applyBorder="1" applyAlignment="1">
      <alignment horizontal="center"/>
    </xf>
    <xf numFmtId="38" fontId="47" fillId="0" borderId="25" xfId="8" applyNumberFormat="1" applyFont="1" applyBorder="1" applyAlignment="1">
      <alignment horizontal="center" wrapText="1"/>
    </xf>
    <xf numFmtId="38" fontId="12" fillId="25" borderId="49" xfId="8" applyNumberFormat="1" applyFont="1" applyFill="1" applyBorder="1" applyAlignment="1">
      <alignment horizontal="center"/>
    </xf>
    <xf numFmtId="38" fontId="47" fillId="25" borderId="40" xfId="8" applyNumberFormat="1" applyFont="1" applyFill="1" applyBorder="1" applyAlignment="1">
      <alignment horizontal="center"/>
    </xf>
    <xf numFmtId="38" fontId="12" fillId="25" borderId="79" xfId="8" applyNumberFormat="1" applyFont="1" applyFill="1" applyBorder="1" applyAlignment="1">
      <alignment horizontal="center"/>
    </xf>
    <xf numFmtId="38" fontId="12" fillId="25" borderId="89" xfId="8" applyNumberFormat="1" applyFont="1" applyFill="1" applyBorder="1" applyAlignment="1">
      <alignment horizontal="center"/>
    </xf>
    <xf numFmtId="38" fontId="12" fillId="25" borderId="96" xfId="8" applyNumberFormat="1" applyFont="1" applyFill="1" applyBorder="1" applyAlignment="1">
      <alignment horizontal="center"/>
    </xf>
    <xf numFmtId="38" fontId="12" fillId="25" borderId="37" xfId="8" applyNumberFormat="1" applyFont="1" applyFill="1" applyBorder="1" applyAlignment="1">
      <alignment horizontal="center"/>
    </xf>
    <xf numFmtId="38" fontId="12" fillId="25" borderId="54" xfId="8" applyNumberFormat="1" applyFont="1" applyFill="1" applyBorder="1" applyAlignment="1">
      <alignment horizontal="center"/>
    </xf>
    <xf numFmtId="38" fontId="47" fillId="25" borderId="67" xfId="8" applyNumberFormat="1" applyFont="1" applyFill="1" applyBorder="1" applyAlignment="1">
      <alignment horizontal="center"/>
    </xf>
    <xf numFmtId="38" fontId="47" fillId="25" borderId="96" xfId="8" applyNumberFormat="1" applyFont="1" applyFill="1" applyBorder="1" applyAlignment="1">
      <alignment horizontal="center"/>
    </xf>
    <xf numFmtId="38" fontId="12" fillId="25" borderId="124" xfId="8" applyNumberFormat="1" applyFont="1" applyFill="1" applyBorder="1" applyAlignment="1">
      <alignment horizontal="center"/>
    </xf>
    <xf numFmtId="38" fontId="12" fillId="25" borderId="58" xfId="8" applyNumberFormat="1" applyFont="1" applyFill="1" applyBorder="1" applyAlignment="1">
      <alignment horizontal="center"/>
    </xf>
    <xf numFmtId="38" fontId="47" fillId="0" borderId="116" xfId="8" applyNumberFormat="1" applyFont="1" applyFill="1" applyBorder="1" applyAlignment="1">
      <alignment horizontal="center"/>
    </xf>
    <xf numFmtId="38" fontId="47" fillId="0" borderId="40" xfId="8" applyNumberFormat="1" applyFont="1" applyFill="1" applyBorder="1" applyAlignment="1">
      <alignment horizontal="center"/>
    </xf>
    <xf numFmtId="38" fontId="47" fillId="0" borderId="112" xfId="8" applyNumberFormat="1" applyFont="1" applyFill="1" applyBorder="1" applyAlignment="1">
      <alignment horizontal="left"/>
    </xf>
    <xf numFmtId="38" fontId="47" fillId="0" borderId="113" xfId="8" applyNumberFormat="1" applyFont="1" applyFill="1" applyBorder="1" applyAlignment="1">
      <alignment horizontal="center"/>
    </xf>
    <xf numFmtId="38" fontId="47" fillId="0" borderId="119" xfId="8" applyNumberFormat="1" applyFont="1" applyFill="1" applyBorder="1" applyAlignment="1">
      <alignment horizontal="center"/>
    </xf>
    <xf numFmtId="38" fontId="47" fillId="0" borderId="114" xfId="8" applyNumberFormat="1" applyFont="1" applyFill="1" applyBorder="1" applyAlignment="1">
      <alignment horizontal="center"/>
    </xf>
    <xf numFmtId="38" fontId="47" fillId="0" borderId="112" xfId="8" applyNumberFormat="1" applyFont="1" applyFill="1" applyBorder="1" applyAlignment="1">
      <alignment horizontal="center"/>
    </xf>
    <xf numFmtId="38" fontId="47" fillId="0" borderId="63" xfId="8" applyNumberFormat="1" applyFont="1" applyFill="1" applyBorder="1" applyAlignment="1">
      <alignment horizontal="center"/>
    </xf>
    <xf numFmtId="38" fontId="47" fillId="0" borderId="115" xfId="8" applyNumberFormat="1" applyFont="1" applyFill="1" applyBorder="1" applyAlignment="1">
      <alignment horizontal="center"/>
    </xf>
    <xf numFmtId="38" fontId="47" fillId="0" borderId="118" xfId="8" applyNumberFormat="1" applyFont="1" applyFill="1" applyBorder="1" applyAlignment="1">
      <alignment horizontal="center"/>
    </xf>
    <xf numFmtId="38" fontId="47" fillId="0" borderId="117" xfId="8" applyNumberFormat="1" applyFont="1" applyFill="1" applyBorder="1" applyAlignment="1">
      <alignment horizontal="center"/>
    </xf>
    <xf numFmtId="38" fontId="47" fillId="0" borderId="73" xfId="8" applyNumberFormat="1" applyFont="1" applyFill="1" applyBorder="1" applyAlignment="1">
      <alignment horizontal="center"/>
    </xf>
    <xf numFmtId="38" fontId="47" fillId="25" borderId="116" xfId="8" applyNumberFormat="1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19" fillId="0" borderId="5" xfId="0" applyFont="1" applyBorder="1" applyAlignment="1">
      <alignment horizontal="center"/>
    </xf>
    <xf numFmtId="0" fontId="19" fillId="0" borderId="12" xfId="0" applyFont="1" applyBorder="1" applyAlignment="1">
      <alignment horizontal="center"/>
    </xf>
    <xf numFmtId="0" fontId="0" fillId="0" borderId="4" xfId="0" applyBorder="1" applyAlignment="1">
      <alignment horizontal="left" vertical="top"/>
    </xf>
    <xf numFmtId="0" fontId="0" fillId="0" borderId="15" xfId="0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3" fillId="0" borderId="5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14" borderId="1" xfId="0" applyFont="1" applyFill="1" applyBorder="1" applyAlignment="1">
      <alignment horizontal="center"/>
    </xf>
    <xf numFmtId="0" fontId="3" fillId="14" borderId="14" xfId="0" applyFont="1" applyFill="1" applyBorder="1" applyAlignment="1">
      <alignment horizontal="center"/>
    </xf>
    <xf numFmtId="164" fontId="17" fillId="0" borderId="18" xfId="0" applyNumberFormat="1" applyFont="1" applyBorder="1" applyAlignment="1">
      <alignment horizontal="center" vertical="center" wrapText="1"/>
    </xf>
    <xf numFmtId="164" fontId="17" fillId="0" borderId="0" xfId="0" applyNumberFormat="1" applyFont="1" applyBorder="1" applyAlignment="1">
      <alignment horizontal="center" vertical="center" wrapText="1"/>
    </xf>
    <xf numFmtId="164" fontId="17" fillId="0" borderId="6" xfId="0" applyNumberFormat="1" applyFont="1" applyBorder="1" applyAlignment="1">
      <alignment horizontal="center" vertical="center" wrapText="1"/>
    </xf>
    <xf numFmtId="0" fontId="17" fillId="9" borderId="129" xfId="0" applyFont="1" applyFill="1" applyBorder="1" applyAlignment="1">
      <alignment horizontal="center" vertical="center"/>
    </xf>
    <xf numFmtId="0" fontId="17" fillId="0" borderId="18" xfId="0" applyFont="1" applyBorder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7" fillId="0" borderId="6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17" fillId="9" borderId="129" xfId="0" applyFont="1" applyFill="1" applyBorder="1" applyAlignment="1">
      <alignment vertical="center"/>
    </xf>
    <xf numFmtId="2" fontId="17" fillId="9" borderId="129" xfId="0" applyNumberFormat="1" applyFont="1" applyFill="1" applyBorder="1" applyAlignment="1"/>
  </cellXfs>
  <cellStyles count="10">
    <cellStyle name="2x indented GHG Textfiels" xfId="6" xr:uid="{62DF39A4-5259-42AD-AB56-64506ECF3F8B}"/>
    <cellStyle name="Accent1" xfId="1" builtinId="29"/>
    <cellStyle name="Calculation" xfId="4" builtinId="22"/>
    <cellStyle name="Comma 2" xfId="7" xr:uid="{3413AF66-1238-4383-9973-A6D2D0A271FD}"/>
    <cellStyle name="Good" xfId="3" builtinId="26"/>
    <cellStyle name="Normal" xfId="0" builtinId="0"/>
    <cellStyle name="Normal 2" xfId="5" xr:uid="{FAC75F69-6E12-4E79-B285-BDFD9F5D41A1}"/>
    <cellStyle name="Normal_2000balx" xfId="8" xr:uid="{53314068-810C-4816-8E44-8C82815150BA}"/>
    <cellStyle name="Percent" xfId="2" builtinId="5"/>
    <cellStyle name="Percent 2" xfId="9" xr:uid="{E13D03EA-ACFB-475C-A45D-61923F35555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'SEAI-AEA_BioData'!$A$16</c:f>
              <c:strCache>
                <c:ptCount val="1"/>
                <c:pt idx="0">
                  <c:v>Table A. 4: Medium supply/reference demand</c:v>
                </c:pt>
              </c:strCache>
            </c:strRef>
          </c:tx>
          <c:marker>
            <c:symbol val="none"/>
          </c:marker>
          <c:cat>
            <c:numRef>
              <c:f>'SEAI-AEA_BioData'!$J$38:$N$38</c:f>
              <c:numCache>
                <c:formatCode>General</c:formatCode>
                <c:ptCount val="5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</c:numCache>
            </c:numRef>
          </c:cat>
          <c:val>
            <c:numRef>
              <c:f>'SEAI-AEA_BioData'!$J$23:$N$23</c:f>
              <c:numCache>
                <c:formatCode>0.0</c:formatCode>
                <c:ptCount val="5"/>
                <c:pt idx="0">
                  <c:v>18.606095347281933</c:v>
                </c:pt>
                <c:pt idx="1">
                  <c:v>18.176172733352441</c:v>
                </c:pt>
                <c:pt idx="2">
                  <c:v>17.579057991783699</c:v>
                </c:pt>
                <c:pt idx="3">
                  <c:v>16.599789815610968</c:v>
                </c:pt>
                <c:pt idx="4">
                  <c:v>15.883252125728479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E2-4804-A363-2C5EADDCE506}"/>
            </c:ext>
          </c:extLst>
        </c:ser>
        <c:ser>
          <c:idx val="1"/>
          <c:order val="1"/>
          <c:tx>
            <c:strRef>
              <c:f>'SEAI-AEA_BioData'!$A$48</c:f>
              <c:strCache>
                <c:ptCount val="1"/>
                <c:pt idx="0">
                  <c:v>Table A. 7: Ambitious supply/high demand</c:v>
                </c:pt>
              </c:strCache>
            </c:strRef>
          </c:tx>
          <c:marker>
            <c:symbol val="none"/>
          </c:marker>
          <c:cat>
            <c:numRef>
              <c:f>'SEAI-AEA_BioData'!$J$38:$N$38</c:f>
              <c:numCache>
                <c:formatCode>General</c:formatCode>
                <c:ptCount val="5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</c:numCache>
            </c:numRef>
          </c:cat>
          <c:val>
            <c:numRef>
              <c:f>'SEAI-AEA_BioData'!$J$55:$N$55</c:f>
              <c:numCache>
                <c:formatCode>0.0</c:formatCode>
                <c:ptCount val="5"/>
                <c:pt idx="0">
                  <c:v>18.606095347281933</c:v>
                </c:pt>
                <c:pt idx="1">
                  <c:v>20.636285468615647</c:v>
                </c:pt>
                <c:pt idx="2">
                  <c:v>22.714244769274863</c:v>
                </c:pt>
                <c:pt idx="3">
                  <c:v>25.174357504538072</c:v>
                </c:pt>
                <c:pt idx="4">
                  <c:v>28.757045953950509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E2-4804-A363-2C5EADDCE506}"/>
            </c:ext>
          </c:extLst>
        </c:ser>
        <c:ser>
          <c:idx val="2"/>
          <c:order val="2"/>
          <c:tx>
            <c:strRef>
              <c:f>'SEAI-AEA_BioData'!$A$26</c:f>
              <c:strCache>
                <c:ptCount val="1"/>
                <c:pt idx="0">
                  <c:v>Table A. 5: Ambitious supply/reference demand</c:v>
                </c:pt>
              </c:strCache>
            </c:strRef>
          </c:tx>
          <c:marker>
            <c:symbol val="none"/>
          </c:marker>
          <c:cat>
            <c:numRef>
              <c:f>'SEAI-AEA_BioData'!$J$38:$N$38</c:f>
              <c:numCache>
                <c:formatCode>General</c:formatCode>
                <c:ptCount val="5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</c:numCache>
            </c:numRef>
          </c:cat>
          <c:val>
            <c:numRef>
              <c:f>'SEAI-AEA_BioData'!$J$33:$N$33</c:f>
              <c:numCache>
                <c:formatCode>0.0</c:formatCode>
                <c:ptCount val="5"/>
                <c:pt idx="0">
                  <c:v>18.606095347281933</c:v>
                </c:pt>
                <c:pt idx="1">
                  <c:v>18.916595012897677</c:v>
                </c:pt>
                <c:pt idx="2">
                  <c:v>19.083787140536923</c:v>
                </c:pt>
                <c:pt idx="3">
                  <c:v>18.916595012897677</c:v>
                </c:pt>
                <c:pt idx="4">
                  <c:v>19.131556319862423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E2-4804-A363-2C5EADDCE506}"/>
            </c:ext>
          </c:extLst>
        </c:ser>
        <c:ser>
          <c:idx val="3"/>
          <c:order val="3"/>
          <c:tx>
            <c:strRef>
              <c:f>'SEAI-AEA_BioData'!$A$37</c:f>
              <c:strCache>
                <c:ptCount val="1"/>
                <c:pt idx="0">
                  <c:v>Table A. 6: Medium supply/high demand</c:v>
                </c:pt>
              </c:strCache>
            </c:strRef>
          </c:tx>
          <c:marker>
            <c:symbol val="none"/>
          </c:marker>
          <c:cat>
            <c:numRef>
              <c:f>'SEAI-AEA_BioData'!$J$38:$N$38</c:f>
              <c:numCache>
                <c:formatCode>General</c:formatCode>
                <c:ptCount val="5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</c:numCache>
            </c:numRef>
          </c:cat>
          <c:val>
            <c:numRef>
              <c:f>'SEAI-AEA_BioData'!$J$44:$N$44</c:f>
              <c:numCache>
                <c:formatCode>0.0</c:formatCode>
                <c:ptCount val="5"/>
                <c:pt idx="0">
                  <c:v>18.606095347281933</c:v>
                </c:pt>
                <c:pt idx="1">
                  <c:v>19.680901882105665</c:v>
                </c:pt>
                <c:pt idx="2">
                  <c:v>20.684054647941146</c:v>
                </c:pt>
                <c:pt idx="3">
                  <c:v>21.758861182764878</c:v>
                </c:pt>
                <c:pt idx="4">
                  <c:v>23.550205407471097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7E2-4804-A363-2C5EADDCE506}"/>
            </c:ext>
          </c:extLst>
        </c:ser>
        <c:ser>
          <c:idx val="4"/>
          <c:order val="4"/>
          <c:tx>
            <c:strRef>
              <c:f>'SEAI-AEA_BioData'!$A$5</c:f>
              <c:strCache>
                <c:ptCount val="1"/>
                <c:pt idx="0">
                  <c:v>Table A. 3: Restricted supply/reference demand</c:v>
                </c:pt>
              </c:strCache>
            </c:strRef>
          </c:tx>
          <c:marker>
            <c:symbol val="none"/>
          </c:marker>
          <c:val>
            <c:numRef>
              <c:f>'SEAI-AEA_BioData'!$J$12:$N$12</c:f>
              <c:numCache>
                <c:formatCode>0.0</c:formatCode>
                <c:ptCount val="5"/>
                <c:pt idx="0">
                  <c:v>18.606095347281933</c:v>
                </c:pt>
                <c:pt idx="1">
                  <c:v>17.674596350434697</c:v>
                </c:pt>
                <c:pt idx="2">
                  <c:v>16.552020636285469</c:v>
                </c:pt>
                <c:pt idx="3">
                  <c:v>15.047291487532243</c:v>
                </c:pt>
                <c:pt idx="4">
                  <c:v>13.781408235406515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7E2-4804-A363-2C5EADDCE5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942080"/>
        <c:axId val="196956160"/>
      </c:lineChart>
      <c:catAx>
        <c:axId val="196942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6956160"/>
        <c:crosses val="autoZero"/>
        <c:auto val="1"/>
        <c:lblAlgn val="ctr"/>
        <c:lblOffset val="100"/>
        <c:noMultiLvlLbl val="0"/>
      </c:catAx>
      <c:valAx>
        <c:axId val="196956160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196942080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36</xdr:row>
      <xdr:rowOff>96723</xdr:rowOff>
    </xdr:from>
    <xdr:to>
      <xdr:col>6</xdr:col>
      <xdr:colOff>466725</xdr:colOff>
      <xdr:row>60</xdr:row>
      <xdr:rowOff>113638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192E8AC-7424-4397-8FE4-C0C40773BA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700" y="7145223"/>
          <a:ext cx="6410325" cy="489371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84663</xdr:colOff>
      <xdr:row>3</xdr:row>
      <xdr:rowOff>10584</xdr:rowOff>
    </xdr:from>
    <xdr:to>
      <xdr:col>36</xdr:col>
      <xdr:colOff>201080</xdr:colOff>
      <xdr:row>19</xdr:row>
      <xdr:rowOff>191557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428973-03EE-47B5-B88E-68B51CDC4391}">
  <sheetPr codeName="Sheet1"/>
  <dimension ref="B2:T92"/>
  <sheetViews>
    <sheetView topLeftCell="J70" zoomScaleNormal="100" workbookViewId="0">
      <selection activeCell="N87" sqref="N87:T94"/>
    </sheetView>
  </sheetViews>
  <sheetFormatPr defaultRowHeight="15"/>
  <cols>
    <col min="2" max="2" width="23.28515625" bestFit="1" customWidth="1"/>
    <col min="3" max="3" width="46.7109375" bestFit="1" customWidth="1"/>
    <col min="4" max="4" width="1.5703125" bestFit="1" customWidth="1"/>
    <col min="5" max="5" width="20.85546875" customWidth="1"/>
    <col min="6" max="6" width="41.5703125" bestFit="1" customWidth="1"/>
    <col min="7" max="7" width="14.5703125" customWidth="1"/>
    <col min="8" max="8" width="8.85546875" bestFit="1" customWidth="1"/>
    <col min="9" max="9" width="9.7109375" bestFit="1" customWidth="1"/>
    <col min="10" max="10" width="18.85546875" bestFit="1" customWidth="1"/>
    <col min="11" max="11" width="9.7109375" bestFit="1" customWidth="1"/>
    <col min="12" max="12" width="1.5703125" bestFit="1" customWidth="1"/>
    <col min="13" max="13" width="27.42578125" bestFit="1" customWidth="1"/>
    <col min="14" max="14" width="35.7109375" bestFit="1" customWidth="1"/>
    <col min="16" max="16" width="19.140625" bestFit="1" customWidth="1"/>
    <col min="17" max="17" width="12.28515625" bestFit="1" customWidth="1"/>
  </cols>
  <sheetData>
    <row r="2" spans="2:18" ht="18.75">
      <c r="B2" s="479" t="s">
        <v>355</v>
      </c>
      <c r="C2" s="480"/>
      <c r="E2" s="479" t="s">
        <v>455</v>
      </c>
      <c r="F2" s="480"/>
      <c r="I2" s="479" t="s">
        <v>480</v>
      </c>
      <c r="J2" s="480"/>
      <c r="M2" s="479" t="s">
        <v>462</v>
      </c>
      <c r="N2" s="480"/>
      <c r="P2" s="479" t="s">
        <v>465</v>
      </c>
      <c r="Q2" s="480"/>
    </row>
    <row r="3" spans="2:18" ht="15.75" thickBot="1">
      <c r="B3" s="481" t="s">
        <v>356</v>
      </c>
      <c r="C3" s="481" t="s">
        <v>357</v>
      </c>
      <c r="E3" s="481" t="s">
        <v>356</v>
      </c>
      <c r="F3" s="481" t="s">
        <v>357</v>
      </c>
      <c r="I3" s="481" t="s">
        <v>356</v>
      </c>
      <c r="J3" s="481" t="s">
        <v>357</v>
      </c>
      <c r="M3" s="481" t="s">
        <v>356</v>
      </c>
      <c r="N3" s="481" t="s">
        <v>357</v>
      </c>
      <c r="P3" s="481" t="s">
        <v>356</v>
      </c>
      <c r="Q3" s="481" t="s">
        <v>357</v>
      </c>
    </row>
    <row r="4" spans="2:18">
      <c r="B4" s="482" t="s">
        <v>412</v>
      </c>
      <c r="C4" s="482" t="s">
        <v>413</v>
      </c>
      <c r="E4" s="482" t="s">
        <v>9</v>
      </c>
      <c r="F4" s="482" t="s">
        <v>507</v>
      </c>
      <c r="I4" s="482" t="s">
        <v>456</v>
      </c>
      <c r="J4" s="482" t="s">
        <v>481</v>
      </c>
      <c r="M4" s="482" t="s">
        <v>460</v>
      </c>
      <c r="N4" s="482" t="s">
        <v>463</v>
      </c>
      <c r="P4" s="482" t="s">
        <v>466</v>
      </c>
      <c r="Q4" s="482" t="s">
        <v>468</v>
      </c>
    </row>
    <row r="5" spans="2:18">
      <c r="B5" s="482" t="s">
        <v>358</v>
      </c>
      <c r="C5" s="482" t="s">
        <v>256</v>
      </c>
      <c r="E5" s="482" t="s">
        <v>13</v>
      </c>
      <c r="F5" s="482" t="s">
        <v>477</v>
      </c>
      <c r="I5" s="482" t="s">
        <v>482</v>
      </c>
      <c r="J5" s="482"/>
      <c r="M5" s="482" t="s">
        <v>461</v>
      </c>
      <c r="N5" s="482" t="s">
        <v>464</v>
      </c>
      <c r="P5" s="482" t="s">
        <v>467</v>
      </c>
      <c r="Q5" s="482" t="s">
        <v>469</v>
      </c>
    </row>
    <row r="6" spans="2:18" s="476" customFormat="1">
      <c r="B6" s="482"/>
      <c r="C6" s="482"/>
      <c r="E6" s="482" t="s">
        <v>64</v>
      </c>
      <c r="F6" s="482" t="s">
        <v>478</v>
      </c>
      <c r="I6" s="476" t="s">
        <v>508</v>
      </c>
      <c r="J6" s="476" t="s">
        <v>509</v>
      </c>
      <c r="M6" s="482"/>
      <c r="N6" s="482"/>
      <c r="P6" s="482"/>
      <c r="Q6" s="482"/>
    </row>
    <row r="7" spans="2:18">
      <c r="B7" s="482"/>
      <c r="C7" s="482"/>
      <c r="E7" s="482" t="s">
        <v>505</v>
      </c>
      <c r="F7" s="482" t="s">
        <v>506</v>
      </c>
      <c r="I7" s="482" t="s">
        <v>486</v>
      </c>
      <c r="J7" s="482" t="s">
        <v>490</v>
      </c>
      <c r="P7" s="480"/>
      <c r="Q7" s="480"/>
    </row>
    <row r="8" spans="2:18">
      <c r="B8" s="480"/>
      <c r="C8" s="480"/>
      <c r="E8" s="482" t="s">
        <v>479</v>
      </c>
      <c r="F8" s="482" t="s">
        <v>501</v>
      </c>
      <c r="I8" s="482" t="s">
        <v>487</v>
      </c>
      <c r="J8" s="482" t="s">
        <v>491</v>
      </c>
    </row>
    <row r="9" spans="2:18" s="480" customFormat="1">
      <c r="E9" s="482" t="s">
        <v>502</v>
      </c>
      <c r="F9" s="482" t="s">
        <v>503</v>
      </c>
      <c r="I9" s="480" t="s">
        <v>488</v>
      </c>
      <c r="J9" s="482" t="s">
        <v>492</v>
      </c>
    </row>
    <row r="10" spans="2:18" s="480" customFormat="1">
      <c r="I10" s="482" t="s">
        <v>489</v>
      </c>
      <c r="J10" s="482" t="s">
        <v>493</v>
      </c>
    </row>
    <row r="11" spans="2:18" ht="18.75">
      <c r="B11" s="479" t="s">
        <v>359</v>
      </c>
      <c r="C11" s="480"/>
      <c r="E11" s="479" t="s">
        <v>476</v>
      </c>
      <c r="F11" s="480"/>
      <c r="G11" s="480"/>
      <c r="H11" s="480"/>
      <c r="I11" s="480"/>
      <c r="J11" s="480"/>
      <c r="K11" s="480"/>
      <c r="L11" t="s">
        <v>436</v>
      </c>
      <c r="M11" s="479" t="s">
        <v>414</v>
      </c>
      <c r="N11" s="480"/>
    </row>
    <row r="12" spans="2:18" ht="15.75" thickBot="1">
      <c r="B12" s="481" t="s">
        <v>356</v>
      </c>
      <c r="C12" s="481" t="s">
        <v>357</v>
      </c>
      <c r="E12" s="481" t="s">
        <v>356</v>
      </c>
      <c r="F12" s="481" t="s">
        <v>357</v>
      </c>
      <c r="G12" s="481" t="s">
        <v>419</v>
      </c>
      <c r="H12" s="481" t="s">
        <v>420</v>
      </c>
      <c r="I12" s="481" t="s">
        <v>422</v>
      </c>
      <c r="J12" s="481" t="s">
        <v>457</v>
      </c>
      <c r="K12" s="481" t="s">
        <v>421</v>
      </c>
      <c r="M12" s="481" t="s">
        <v>356</v>
      </c>
      <c r="N12" s="481" t="s">
        <v>357</v>
      </c>
    </row>
    <row r="13" spans="2:18">
      <c r="B13" s="482" t="s">
        <v>360</v>
      </c>
      <c r="C13" s="482" t="s">
        <v>88</v>
      </c>
      <c r="E13" s="482" t="str">
        <f t="shared" ref="E13" si="0">I13&amp;H13&amp;J13</f>
        <v>IMPCOABIT</v>
      </c>
      <c r="F13" s="480" t="str">
        <f t="shared" ref="F13:F44" si="1">G13 &amp; " of " &amp; VLOOKUP(H13,$B$13:$C$90,2,FALSE) &amp; IF(J13&lt;&gt;0,IF(VLOOKUP(J13,$I$4:$J$10,2,FALSE)&lt;&gt;""," - " &amp; VLOOKUP(J13,$I$4:$J$10,2,FALSE),""),"")</f>
        <v xml:space="preserve">Import of Bituminous Coal </v>
      </c>
      <c r="G13" s="482" t="str">
        <f t="shared" ref="G13:G44" si="2">VLOOKUP(I13,$E$4:$F$9,2,FALSE)</f>
        <v>Import</v>
      </c>
      <c r="H13" s="482" t="str">
        <f>B46</f>
        <v>COABIT</v>
      </c>
      <c r="I13" s="482" t="str">
        <f t="shared" ref="I13:I43" si="3">$E$5</f>
        <v>IMP</v>
      </c>
      <c r="J13" s="483"/>
      <c r="K13" s="482" t="s">
        <v>13</v>
      </c>
      <c r="M13" s="482" t="s">
        <v>415</v>
      </c>
      <c r="N13" s="482" t="s">
        <v>470</v>
      </c>
    </row>
    <row r="14" spans="2:18">
      <c r="B14" s="482" t="s">
        <v>361</v>
      </c>
      <c r="C14" s="482" t="s">
        <v>362</v>
      </c>
      <c r="E14" s="482" t="str">
        <f>I14&amp;H14&amp;J14</f>
        <v>IMPCOAHAR</v>
      </c>
      <c r="F14" s="480" t="str">
        <f t="shared" si="1"/>
        <v xml:space="preserve">Import of Hard Coal / Antracite </v>
      </c>
      <c r="G14" s="482" t="str">
        <f t="shared" si="2"/>
        <v>Import</v>
      </c>
      <c r="H14" s="482" t="str">
        <f>B47</f>
        <v>COAHAR</v>
      </c>
      <c r="I14" s="482" t="str">
        <f t="shared" si="3"/>
        <v>IMP</v>
      </c>
      <c r="J14" s="483"/>
      <c r="K14" s="482" t="s">
        <v>13</v>
      </c>
      <c r="M14" s="482" t="s">
        <v>445</v>
      </c>
      <c r="N14" s="482" t="s">
        <v>471</v>
      </c>
    </row>
    <row r="15" spans="2:18">
      <c r="B15" s="482" t="s">
        <v>363</v>
      </c>
      <c r="C15" s="482" t="s">
        <v>364</v>
      </c>
      <c r="E15" s="482" t="str">
        <f t="shared" ref="E15:E16" si="4">I15&amp;H15&amp;J15</f>
        <v>IMPCOACOK</v>
      </c>
      <c r="F15" s="480" t="str">
        <f t="shared" si="1"/>
        <v xml:space="preserve">Import of Coke Coal </v>
      </c>
      <c r="G15" s="482" t="str">
        <f t="shared" si="2"/>
        <v>Import</v>
      </c>
      <c r="H15" s="482" t="str">
        <f>B48</f>
        <v>COACOK</v>
      </c>
      <c r="I15" s="482" t="str">
        <f t="shared" si="3"/>
        <v>IMP</v>
      </c>
      <c r="J15" s="483"/>
      <c r="K15" s="482" t="s">
        <v>13</v>
      </c>
      <c r="M15" s="482" t="s">
        <v>416</v>
      </c>
      <c r="N15" s="482" t="s">
        <v>472</v>
      </c>
    </row>
    <row r="16" spans="2:18">
      <c r="B16" s="482" t="s">
        <v>365</v>
      </c>
      <c r="C16" s="482" t="s">
        <v>366</v>
      </c>
      <c r="E16" s="482" t="str">
        <f t="shared" si="4"/>
        <v>IMPCOALIG</v>
      </c>
      <c r="F16" s="480" t="str">
        <f t="shared" si="1"/>
        <v xml:space="preserve">Import of Lignite /  Brown Coal </v>
      </c>
      <c r="G16" s="482" t="str">
        <f t="shared" si="2"/>
        <v>Import</v>
      </c>
      <c r="H16" s="482" t="str">
        <f>B49</f>
        <v>COALIG</v>
      </c>
      <c r="I16" s="482" t="str">
        <f t="shared" si="3"/>
        <v>IMP</v>
      </c>
      <c r="J16" s="483"/>
      <c r="K16" s="482" t="s">
        <v>13</v>
      </c>
      <c r="M16" s="482" t="s">
        <v>473</v>
      </c>
      <c r="N16" s="458" t="s">
        <v>474</v>
      </c>
      <c r="O16" s="480"/>
      <c r="P16" s="480"/>
      <c r="Q16" s="480"/>
      <c r="R16" s="480"/>
    </row>
    <row r="17" spans="2:14">
      <c r="B17" s="482" t="s">
        <v>367</v>
      </c>
      <c r="C17" s="482" t="s">
        <v>368</v>
      </c>
      <c r="E17" s="482" t="str">
        <f>I17&amp;H17&amp;J17</f>
        <v>IMPOILCRD</v>
      </c>
      <c r="F17" s="480" t="str">
        <f t="shared" si="1"/>
        <v xml:space="preserve">Import of Crude Oil </v>
      </c>
      <c r="G17" s="482" t="str">
        <f t="shared" si="2"/>
        <v>Import</v>
      </c>
      <c r="H17" s="482" t="str">
        <f>B51</f>
        <v>OILCRD</v>
      </c>
      <c r="I17" s="482" t="str">
        <f>$E$5</f>
        <v>IMP</v>
      </c>
      <c r="J17" s="483"/>
      <c r="K17" s="482" t="s">
        <v>13</v>
      </c>
      <c r="M17" s="482" t="s">
        <v>417</v>
      </c>
      <c r="N17" s="497" t="s">
        <v>441</v>
      </c>
    </row>
    <row r="18" spans="2:14">
      <c r="B18" s="482" t="s">
        <v>369</v>
      </c>
      <c r="C18" s="482" t="s">
        <v>370</v>
      </c>
      <c r="E18" s="482" t="str">
        <f>I18&amp;H18&amp;J18</f>
        <v>IMPOILKER</v>
      </c>
      <c r="F18" s="480" t="str">
        <f t="shared" si="1"/>
        <v xml:space="preserve">Import of Kerosene </v>
      </c>
      <c r="G18" s="482" t="str">
        <f t="shared" si="2"/>
        <v>Import</v>
      </c>
      <c r="H18" s="482" t="str">
        <f t="shared" ref="H18:H23" si="5">B53</f>
        <v>OILKER</v>
      </c>
      <c r="I18" s="482" t="str">
        <f t="shared" ref="I18:I24" si="6">$E$5</f>
        <v>IMP</v>
      </c>
      <c r="J18" s="483"/>
      <c r="K18" s="482" t="s">
        <v>13</v>
      </c>
      <c r="M18" s="482" t="s">
        <v>418</v>
      </c>
      <c r="N18" s="497" t="s">
        <v>442</v>
      </c>
    </row>
    <row r="19" spans="2:14">
      <c r="B19" s="482" t="s">
        <v>371</v>
      </c>
      <c r="C19" s="482" t="s">
        <v>87</v>
      </c>
      <c r="E19" s="482" t="str">
        <f>I19&amp;H19&amp;J19</f>
        <v>IMPOILHFO</v>
      </c>
      <c r="F19" s="480" t="str">
        <f t="shared" si="1"/>
        <v xml:space="preserve">Import of Heavy Fuel Oil </v>
      </c>
      <c r="G19" s="482" t="str">
        <f t="shared" si="2"/>
        <v>Import</v>
      </c>
      <c r="H19" s="482" t="str">
        <f t="shared" si="5"/>
        <v>OILHFO</v>
      </c>
      <c r="I19" s="482" t="str">
        <f t="shared" si="6"/>
        <v>IMP</v>
      </c>
      <c r="J19" s="483"/>
      <c r="K19" s="482" t="s">
        <v>13</v>
      </c>
      <c r="M19" s="482" t="s">
        <v>453</v>
      </c>
      <c r="N19" s="497" t="s">
        <v>454</v>
      </c>
    </row>
    <row r="20" spans="2:14">
      <c r="B20" s="482" t="s">
        <v>372</v>
      </c>
      <c r="C20" s="482" t="s">
        <v>373</v>
      </c>
      <c r="E20" s="482" t="str">
        <f>I20&amp;H20&amp;J20</f>
        <v>IMPOILDST</v>
      </c>
      <c r="F20" s="480" t="str">
        <f t="shared" si="1"/>
        <v xml:space="preserve">Import of Diesel Oil </v>
      </c>
      <c r="G20" s="482" t="str">
        <f t="shared" si="2"/>
        <v>Import</v>
      </c>
      <c r="H20" s="482" t="str">
        <f t="shared" si="5"/>
        <v>OILDST</v>
      </c>
      <c r="I20" s="482" t="str">
        <f t="shared" si="6"/>
        <v>IMP</v>
      </c>
      <c r="J20" s="483"/>
      <c r="K20" s="482" t="s">
        <v>13</v>
      </c>
      <c r="M20" s="482" t="s">
        <v>437</v>
      </c>
      <c r="N20" s="458" t="s">
        <v>440</v>
      </c>
    </row>
    <row r="21" spans="2:14">
      <c r="B21" s="482" t="s">
        <v>458</v>
      </c>
      <c r="C21" s="482" t="s">
        <v>459</v>
      </c>
      <c r="E21" s="482" t="str">
        <f t="shared" ref="E21:E22" si="7">I21&amp;H21&amp;J21</f>
        <v>IMPOILLPG</v>
      </c>
      <c r="F21" s="480" t="str">
        <f t="shared" si="1"/>
        <v xml:space="preserve">Import of Liquified Petroleum Gas </v>
      </c>
      <c r="G21" s="482" t="str">
        <f t="shared" si="2"/>
        <v>Import</v>
      </c>
      <c r="H21" s="482" t="str">
        <f t="shared" si="5"/>
        <v>OILLPG</v>
      </c>
      <c r="I21" s="482" t="str">
        <f t="shared" si="6"/>
        <v>IMP</v>
      </c>
      <c r="J21" s="483"/>
      <c r="K21" s="482" t="s">
        <v>13</v>
      </c>
      <c r="M21" s="482" t="s">
        <v>438</v>
      </c>
      <c r="N21" s="476" t="s">
        <v>443</v>
      </c>
    </row>
    <row r="22" spans="2:14">
      <c r="B22" s="482" t="s">
        <v>374</v>
      </c>
      <c r="C22" s="480" t="s">
        <v>375</v>
      </c>
      <c r="E22" s="482" t="str">
        <f t="shared" si="7"/>
        <v>IMPOILGSL</v>
      </c>
      <c r="F22" s="480" t="str">
        <f t="shared" si="1"/>
        <v xml:space="preserve">Import of Gasoline </v>
      </c>
      <c r="G22" s="482" t="str">
        <f t="shared" si="2"/>
        <v>Import</v>
      </c>
      <c r="H22" s="482" t="str">
        <f t="shared" si="5"/>
        <v>OILGSL</v>
      </c>
      <c r="I22" s="482" t="str">
        <f t="shared" si="6"/>
        <v>IMP</v>
      </c>
      <c r="J22" s="483"/>
      <c r="K22" s="482" t="s">
        <v>13</v>
      </c>
      <c r="M22" s="482" t="s">
        <v>439</v>
      </c>
      <c r="N22" s="476" t="s">
        <v>444</v>
      </c>
    </row>
    <row r="23" spans="2:14">
      <c r="B23" s="482" t="s">
        <v>376</v>
      </c>
      <c r="C23" s="482" t="s">
        <v>377</v>
      </c>
      <c r="E23" s="482" t="str">
        <f t="shared" ref="E23" si="8">I23&amp;H23&amp;J23</f>
        <v>IMPOILCOK</v>
      </c>
      <c r="F23" s="480" t="str">
        <f t="shared" si="1"/>
        <v xml:space="preserve">Import of Petroleum Coke </v>
      </c>
      <c r="G23" s="482" t="str">
        <f t="shared" si="2"/>
        <v>Import</v>
      </c>
      <c r="H23" s="482" t="str">
        <f t="shared" si="5"/>
        <v>OILCOK</v>
      </c>
      <c r="I23" s="482" t="str">
        <f t="shared" si="6"/>
        <v>IMP</v>
      </c>
      <c r="J23" s="483"/>
      <c r="K23" s="482" t="s">
        <v>13</v>
      </c>
      <c r="M23" s="476"/>
    </row>
    <row r="24" spans="2:14">
      <c r="B24" s="482" t="s">
        <v>378</v>
      </c>
      <c r="C24" s="482" t="s">
        <v>379</v>
      </c>
      <c r="E24" s="482" t="str">
        <f>I24&amp;H24&amp;J24</f>
        <v>IMPOILNEU</v>
      </c>
      <c r="F24" s="480" t="str">
        <f t="shared" si="1"/>
        <v>Import of Oil for Non-Energy uses</v>
      </c>
      <c r="G24" s="482" t="str">
        <f t="shared" si="2"/>
        <v>Import</v>
      </c>
      <c r="H24" s="482" t="str">
        <f>B60</f>
        <v>OILNEU</v>
      </c>
      <c r="I24" s="482" t="str">
        <f t="shared" si="6"/>
        <v>IMP</v>
      </c>
      <c r="J24" s="483"/>
      <c r="K24" s="482" t="s">
        <v>13</v>
      </c>
    </row>
    <row r="25" spans="2:14">
      <c r="B25" s="482" t="s">
        <v>380</v>
      </c>
      <c r="C25" s="482" t="s">
        <v>448</v>
      </c>
      <c r="E25" s="482" t="str">
        <f>I25&amp;H25&amp;J25</f>
        <v>IMPGASNAT_UK</v>
      </c>
      <c r="F25" s="480" t="str">
        <f t="shared" si="1"/>
        <v>Import of Natural Gas  - UK</v>
      </c>
      <c r="G25" s="482" t="str">
        <f t="shared" si="2"/>
        <v>Import</v>
      </c>
      <c r="H25" s="482" t="str">
        <f>B61</f>
        <v>GASNAT</v>
      </c>
      <c r="I25" s="482" t="str">
        <f t="shared" si="3"/>
        <v>IMP</v>
      </c>
      <c r="J25" s="482" t="str">
        <f>I4</f>
        <v>_UK</v>
      </c>
      <c r="K25" s="482" t="s">
        <v>13</v>
      </c>
    </row>
    <row r="26" spans="2:14">
      <c r="B26" s="482" t="s">
        <v>381</v>
      </c>
      <c r="C26" s="482" t="s">
        <v>382</v>
      </c>
      <c r="E26" s="482" t="str">
        <f>I26&amp;H26&amp;J26</f>
        <v>IMPGASLNG_GLOBAL</v>
      </c>
      <c r="F26" s="480" t="str">
        <f t="shared" si="1"/>
        <v xml:space="preserve">Import of Liquified Natural Gas </v>
      </c>
      <c r="G26" s="482" t="str">
        <f t="shared" si="2"/>
        <v>Import</v>
      </c>
      <c r="H26" s="482" t="str">
        <f>B62</f>
        <v>GASLNG</v>
      </c>
      <c r="I26" s="482" t="str">
        <f t="shared" si="3"/>
        <v>IMP</v>
      </c>
      <c r="J26" s="482" t="str">
        <f>I5</f>
        <v>_GLOBAL</v>
      </c>
      <c r="K26" s="482" t="s">
        <v>13</v>
      </c>
    </row>
    <row r="27" spans="2:14">
      <c r="B27" s="482" t="s">
        <v>383</v>
      </c>
      <c r="C27" s="482" t="s">
        <v>384</v>
      </c>
      <c r="E27" s="482" t="str">
        <f>I27&amp;H27&amp;J27</f>
        <v>IMPNUCURM</v>
      </c>
      <c r="F27" s="480" t="str">
        <f t="shared" si="1"/>
        <v>Import of Uranium</v>
      </c>
      <c r="G27" s="482" t="str">
        <f t="shared" si="2"/>
        <v>Import</v>
      </c>
      <c r="H27" s="482" t="str">
        <f>B63</f>
        <v>NUCURM</v>
      </c>
      <c r="I27" s="482" t="str">
        <f t="shared" si="3"/>
        <v>IMP</v>
      </c>
      <c r="J27" s="482"/>
      <c r="K27" s="482" t="s">
        <v>13</v>
      </c>
    </row>
    <row r="28" spans="2:14">
      <c r="B28" s="482" t="s">
        <v>450</v>
      </c>
      <c r="C28" s="482" t="s">
        <v>385</v>
      </c>
      <c r="E28" s="482" t="str">
        <f>I28&amp;H28&amp;J28</f>
        <v>IMPBIOETH1G_S1</v>
      </c>
      <c r="F28" s="480" t="str">
        <f t="shared" si="1"/>
        <v>Import of Ethanol 1st generation  - Step 1</v>
      </c>
      <c r="G28" s="482" t="str">
        <f t="shared" si="2"/>
        <v>Import</v>
      </c>
      <c r="H28" s="482" t="str">
        <f>B70</f>
        <v>BIOETH1G</v>
      </c>
      <c r="I28" s="482" t="str">
        <f t="shared" si="3"/>
        <v>IMP</v>
      </c>
      <c r="J28" s="482" t="str">
        <f>$I$7</f>
        <v>_S1</v>
      </c>
      <c r="K28" s="482" t="s">
        <v>13</v>
      </c>
    </row>
    <row r="29" spans="2:14">
      <c r="B29" s="482" t="s">
        <v>449</v>
      </c>
      <c r="C29" s="482" t="s">
        <v>386</v>
      </c>
      <c r="E29" s="482" t="str">
        <f t="shared" ref="E29:E35" si="9">I29&amp;H29&amp;J29</f>
        <v>IMPBIOETH1G_S2</v>
      </c>
      <c r="F29" s="480" t="str">
        <f t="shared" si="1"/>
        <v>Import of Ethanol 1st generation  - Step 2</v>
      </c>
      <c r="G29" s="482" t="str">
        <f t="shared" si="2"/>
        <v>Import</v>
      </c>
      <c r="H29" s="482" t="str">
        <f>B70</f>
        <v>BIOETH1G</v>
      </c>
      <c r="I29" s="482" t="str">
        <f t="shared" si="3"/>
        <v>IMP</v>
      </c>
      <c r="J29" s="482" t="str">
        <f>$I$8</f>
        <v>_S2</v>
      </c>
      <c r="K29" s="482" t="s">
        <v>13</v>
      </c>
    </row>
    <row r="30" spans="2:14">
      <c r="B30" s="482" t="s">
        <v>378</v>
      </c>
      <c r="C30" s="482" t="s">
        <v>387</v>
      </c>
      <c r="E30" s="482" t="str">
        <f t="shared" si="9"/>
        <v>IMPBIOETH1G_S3</v>
      </c>
      <c r="F30" s="480" t="str">
        <f t="shared" si="1"/>
        <v>Import of Ethanol 1st generation  - Step 3</v>
      </c>
      <c r="G30" s="482" t="str">
        <f t="shared" si="2"/>
        <v>Import</v>
      </c>
      <c r="H30" s="482" t="str">
        <f>B70</f>
        <v>BIOETH1G</v>
      </c>
      <c r="I30" s="482" t="str">
        <f t="shared" si="3"/>
        <v>IMP</v>
      </c>
      <c r="J30" s="482" t="str">
        <f>$I$9</f>
        <v>_S3</v>
      </c>
      <c r="K30" s="482" t="s">
        <v>13</v>
      </c>
    </row>
    <row r="31" spans="2:14">
      <c r="B31" s="482" t="s">
        <v>388</v>
      </c>
      <c r="C31" s="482" t="s">
        <v>389</v>
      </c>
      <c r="E31" s="482" t="str">
        <f t="shared" si="9"/>
        <v>IMPBIOETH1G_S4</v>
      </c>
      <c r="F31" s="480" t="str">
        <f t="shared" si="1"/>
        <v>Import of Ethanol 1st generation  - Step 4</v>
      </c>
      <c r="G31" s="482" t="str">
        <f t="shared" si="2"/>
        <v>Import</v>
      </c>
      <c r="H31" s="482" t="str">
        <f>B70</f>
        <v>BIOETH1G</v>
      </c>
      <c r="I31" s="482" t="str">
        <f t="shared" si="3"/>
        <v>IMP</v>
      </c>
      <c r="J31" s="482" t="str">
        <f>$I$10</f>
        <v>_S4</v>
      </c>
      <c r="K31" s="482" t="s">
        <v>13</v>
      </c>
    </row>
    <row r="32" spans="2:14">
      <c r="B32" s="482" t="s">
        <v>390</v>
      </c>
      <c r="C32" s="482" t="s">
        <v>391</v>
      </c>
      <c r="E32" s="482" t="str">
        <f t="shared" si="9"/>
        <v>IMPBIODST1G_S1</v>
      </c>
      <c r="F32" s="480" t="str">
        <f t="shared" si="1"/>
        <v>Import of Biodiesel 1st generation  - Step 1</v>
      </c>
      <c r="G32" s="482" t="str">
        <f t="shared" si="2"/>
        <v>Import</v>
      </c>
      <c r="H32" s="482" t="str">
        <f>B72</f>
        <v>BIODST1G</v>
      </c>
      <c r="I32" s="482" t="str">
        <f t="shared" si="3"/>
        <v>IMP</v>
      </c>
      <c r="J32" s="482" t="str">
        <f>$I$7</f>
        <v>_S1</v>
      </c>
      <c r="K32" s="482" t="s">
        <v>13</v>
      </c>
    </row>
    <row r="33" spans="2:20">
      <c r="B33" s="499" t="s">
        <v>392</v>
      </c>
      <c r="C33" s="501" t="s">
        <v>393</v>
      </c>
      <c r="E33" s="482" t="str">
        <f t="shared" si="9"/>
        <v>IMPBIODST1G_S2</v>
      </c>
      <c r="F33" s="480" t="str">
        <f t="shared" si="1"/>
        <v>Import of Biodiesel 1st generation  - Step 2</v>
      </c>
      <c r="G33" s="482" t="str">
        <f t="shared" si="2"/>
        <v>Import</v>
      </c>
      <c r="H33" s="482" t="str">
        <f>B72</f>
        <v>BIODST1G</v>
      </c>
      <c r="I33" s="482" t="str">
        <f t="shared" si="3"/>
        <v>IMP</v>
      </c>
      <c r="J33" s="482" t="str">
        <f>$I$8</f>
        <v>_S2</v>
      </c>
      <c r="K33" s="482" t="s">
        <v>13</v>
      </c>
    </row>
    <row r="34" spans="2:20">
      <c r="B34" s="499" t="s">
        <v>394</v>
      </c>
      <c r="C34" s="501" t="s">
        <v>395</v>
      </c>
      <c r="E34" s="482" t="str">
        <f t="shared" si="9"/>
        <v>IMPBIODST1G_S3</v>
      </c>
      <c r="F34" s="480" t="str">
        <f t="shared" si="1"/>
        <v>Import of Biodiesel 1st generation  - Step 3</v>
      </c>
      <c r="G34" s="482" t="str">
        <f t="shared" si="2"/>
        <v>Import</v>
      </c>
      <c r="H34" s="482" t="str">
        <f>B72</f>
        <v>BIODST1G</v>
      </c>
      <c r="I34" s="482" t="str">
        <f t="shared" si="3"/>
        <v>IMP</v>
      </c>
      <c r="J34" s="482" t="str">
        <f>$I$9</f>
        <v>_S3</v>
      </c>
      <c r="K34" s="482" t="s">
        <v>13</v>
      </c>
    </row>
    <row r="35" spans="2:20">
      <c r="B35" s="499" t="s">
        <v>396</v>
      </c>
      <c r="C35" s="499" t="s">
        <v>397</v>
      </c>
      <c r="E35" s="482" t="str">
        <f t="shared" si="9"/>
        <v>IMPBIODST1G_S4</v>
      </c>
      <c r="F35" s="480" t="str">
        <f t="shared" si="1"/>
        <v>Import of Biodiesel 1st generation  - Step 4</v>
      </c>
      <c r="G35" s="482" t="str">
        <f t="shared" si="2"/>
        <v>Import</v>
      </c>
      <c r="H35" s="482" t="str">
        <f>B72</f>
        <v>BIODST1G</v>
      </c>
      <c r="I35" s="482" t="str">
        <f t="shared" si="3"/>
        <v>IMP</v>
      </c>
      <c r="J35" s="482" t="str">
        <f>$I$10</f>
        <v>_S4</v>
      </c>
      <c r="K35" s="482" t="s">
        <v>13</v>
      </c>
    </row>
    <row r="36" spans="2:20">
      <c r="B36" s="499" t="s">
        <v>398</v>
      </c>
      <c r="C36" s="499" t="s">
        <v>399</v>
      </c>
      <c r="E36" s="482" t="str">
        <f t="shared" ref="E36:E48" si="10">I36&amp;H36&amp;J36</f>
        <v>IMPBIOWPE_S1</v>
      </c>
      <c r="F36" s="480" t="str">
        <f t="shared" si="1"/>
        <v>Import of Wood Pellets  - Step 1</v>
      </c>
      <c r="G36" s="482" t="str">
        <f t="shared" si="2"/>
        <v>Import</v>
      </c>
      <c r="H36" s="482" t="str">
        <f>B80</f>
        <v>BIOWPE</v>
      </c>
      <c r="I36" s="482" t="str">
        <f t="shared" si="3"/>
        <v>IMP</v>
      </c>
      <c r="J36" s="482" t="str">
        <f>$I$7</f>
        <v>_S1</v>
      </c>
      <c r="K36" s="482" t="s">
        <v>13</v>
      </c>
    </row>
    <row r="37" spans="2:20">
      <c r="B37" s="499" t="s">
        <v>400</v>
      </c>
      <c r="C37" s="501" t="s">
        <v>401</v>
      </c>
      <c r="E37" s="482" t="str">
        <f t="shared" si="10"/>
        <v>IMPBIOWPE_S2</v>
      </c>
      <c r="F37" s="480" t="str">
        <f t="shared" si="1"/>
        <v>Import of Wood Pellets  - Step 2</v>
      </c>
      <c r="G37" s="482" t="str">
        <f t="shared" si="2"/>
        <v>Import</v>
      </c>
      <c r="H37" s="482" t="str">
        <f>B80</f>
        <v>BIOWPE</v>
      </c>
      <c r="I37" s="482" t="str">
        <f t="shared" si="3"/>
        <v>IMP</v>
      </c>
      <c r="J37" s="482" t="str">
        <f>$I$8</f>
        <v>_S2</v>
      </c>
      <c r="K37" s="482" t="s">
        <v>13</v>
      </c>
    </row>
    <row r="38" spans="2:20">
      <c r="B38" s="499" t="s">
        <v>402</v>
      </c>
      <c r="C38" s="501" t="s">
        <v>403</v>
      </c>
      <c r="E38" s="482" t="str">
        <f t="shared" si="10"/>
        <v>IMPBIOWPE_S3</v>
      </c>
      <c r="F38" s="480" t="str">
        <f t="shared" si="1"/>
        <v>Import of Wood Pellets  - Step 3</v>
      </c>
      <c r="G38" s="482" t="str">
        <f t="shared" si="2"/>
        <v>Import</v>
      </c>
      <c r="H38" s="482" t="str">
        <f>B80</f>
        <v>BIOWPE</v>
      </c>
      <c r="I38" s="482" t="str">
        <f t="shared" si="3"/>
        <v>IMP</v>
      </c>
      <c r="J38" s="482" t="str">
        <f>$I$9</f>
        <v>_S3</v>
      </c>
      <c r="K38" s="482" t="s">
        <v>13</v>
      </c>
    </row>
    <row r="39" spans="2:20">
      <c r="B39" s="499" t="s">
        <v>404</v>
      </c>
      <c r="C39" s="482" t="s">
        <v>405</v>
      </c>
      <c r="E39" s="482" t="str">
        <f t="shared" si="10"/>
        <v>IMPBIOWPE_S4</v>
      </c>
      <c r="F39" s="480" t="str">
        <f t="shared" si="1"/>
        <v>Import of Wood Pellets  - Step 4</v>
      </c>
      <c r="G39" s="482" t="str">
        <f t="shared" si="2"/>
        <v>Import</v>
      </c>
      <c r="H39" s="482" t="str">
        <f>B80</f>
        <v>BIOWPE</v>
      </c>
      <c r="I39" s="482" t="str">
        <f t="shared" si="3"/>
        <v>IMP</v>
      </c>
      <c r="J39" s="482" t="str">
        <f>$I$10</f>
        <v>_S4</v>
      </c>
      <c r="K39" s="482" t="s">
        <v>13</v>
      </c>
    </row>
    <row r="40" spans="2:20">
      <c r="B40" s="499" t="s">
        <v>406</v>
      </c>
      <c r="C40" s="482" t="s">
        <v>407</v>
      </c>
      <c r="E40" s="482" t="str">
        <f t="shared" si="10"/>
        <v>IMPBIOWCH_S1</v>
      </c>
      <c r="F40" s="480" t="str">
        <f t="shared" si="1"/>
        <v>Import of Wood Chip  - Step 1</v>
      </c>
      <c r="G40" s="482" t="str">
        <f t="shared" si="2"/>
        <v>Import</v>
      </c>
      <c r="H40" s="482" t="str">
        <f>B81</f>
        <v>BIOWCH</v>
      </c>
      <c r="I40" s="482" t="str">
        <f t="shared" si="3"/>
        <v>IMP</v>
      </c>
      <c r="J40" s="482" t="str">
        <f>$I$7</f>
        <v>_S1</v>
      </c>
      <c r="K40" s="482" t="s">
        <v>13</v>
      </c>
    </row>
    <row r="41" spans="2:20">
      <c r="B41" s="499" t="s">
        <v>408</v>
      </c>
      <c r="C41" s="482" t="s">
        <v>409</v>
      </c>
      <c r="E41" s="482" t="str">
        <f t="shared" si="10"/>
        <v>IMPBIOWCH_S2</v>
      </c>
      <c r="F41" s="480" t="str">
        <f t="shared" si="1"/>
        <v>Import of Wood Chip  - Step 2</v>
      </c>
      <c r="G41" s="482" t="str">
        <f t="shared" si="2"/>
        <v>Import</v>
      </c>
      <c r="H41" s="482" t="str">
        <f>B81</f>
        <v>BIOWCH</v>
      </c>
      <c r="I41" s="482" t="str">
        <f t="shared" si="3"/>
        <v>IMP</v>
      </c>
      <c r="J41" s="482" t="str">
        <f>$I$8</f>
        <v>_S2</v>
      </c>
      <c r="K41" s="482" t="s">
        <v>13</v>
      </c>
    </row>
    <row r="42" spans="2:20">
      <c r="B42" s="499" t="s">
        <v>410</v>
      </c>
      <c r="C42" s="482" t="s">
        <v>342</v>
      </c>
      <c r="E42" s="482" t="str">
        <f t="shared" si="10"/>
        <v>IMPBIOWCH_S3</v>
      </c>
      <c r="F42" s="480" t="str">
        <f t="shared" si="1"/>
        <v>Import of Wood Chip  - Step 3</v>
      </c>
      <c r="G42" s="482" t="str">
        <f t="shared" si="2"/>
        <v>Import</v>
      </c>
      <c r="H42" s="482" t="str">
        <f>B81</f>
        <v>BIOWCH</v>
      </c>
      <c r="I42" s="482" t="str">
        <f t="shared" si="3"/>
        <v>IMP</v>
      </c>
      <c r="J42" s="482" t="str">
        <f>$I$9</f>
        <v>_S3</v>
      </c>
      <c r="K42" s="482" t="s">
        <v>13</v>
      </c>
    </row>
    <row r="43" spans="2:20">
      <c r="B43" s="499" t="s">
        <v>358</v>
      </c>
      <c r="C43" s="482" t="s">
        <v>256</v>
      </c>
      <c r="E43" s="482" t="str">
        <f t="shared" si="10"/>
        <v>IMPBIOWCH_S4</v>
      </c>
      <c r="F43" s="480" t="str">
        <f t="shared" si="1"/>
        <v>Import of Wood Chip  - Step 4</v>
      </c>
      <c r="G43" s="482" t="str">
        <f t="shared" si="2"/>
        <v>Import</v>
      </c>
      <c r="H43" s="482" t="str">
        <f>B81</f>
        <v>BIOWCH</v>
      </c>
      <c r="I43" s="482" t="str">
        <f t="shared" si="3"/>
        <v>IMP</v>
      </c>
      <c r="J43" s="482" t="str">
        <f>$I$10</f>
        <v>_S4</v>
      </c>
      <c r="K43" s="482" t="s">
        <v>13</v>
      </c>
    </row>
    <row r="44" spans="2:20" s="476" customFormat="1">
      <c r="B44" s="499" t="s">
        <v>411</v>
      </c>
      <c r="C44" s="482" t="s">
        <v>257</v>
      </c>
      <c r="E44" s="482" t="str">
        <f t="shared" si="10"/>
        <v>MINGASNAT_S1</v>
      </c>
      <c r="F44" s="480" t="str">
        <f t="shared" si="1"/>
        <v>Domestic Potential of Natural Gas  - Step 1</v>
      </c>
      <c r="G44" s="482" t="str">
        <f t="shared" si="2"/>
        <v>Domestic Potential</v>
      </c>
      <c r="H44" s="482" t="str">
        <f>B61</f>
        <v>GASNAT</v>
      </c>
      <c r="I44" s="482" t="str">
        <f>$E$4</f>
        <v>MIN</v>
      </c>
      <c r="J44" s="482" t="str">
        <f>$I$7</f>
        <v>_S1</v>
      </c>
      <c r="K44" s="482" t="s">
        <v>9</v>
      </c>
      <c r="M44" s="459"/>
      <c r="N44" s="459"/>
      <c r="O44" s="459"/>
      <c r="P44" s="459"/>
      <c r="Q44" s="202"/>
      <c r="R44" s="58"/>
      <c r="S44" s="459"/>
      <c r="T44" s="202"/>
    </row>
    <row r="45" spans="2:20">
      <c r="B45" s="500" t="s">
        <v>446</v>
      </c>
      <c r="C45" s="482" t="s">
        <v>447</v>
      </c>
      <c r="E45" s="482" t="str">
        <f t="shared" si="10"/>
        <v>MINGASNAT_S2</v>
      </c>
      <c r="F45" s="480" t="str">
        <f t="shared" ref="F45:F76" si="11">G45 &amp; " of " &amp; VLOOKUP(H45,$B$13:$C$90,2,FALSE) &amp; IF(J45&lt;&gt;0,IF(VLOOKUP(J45,$I$4:$J$10,2,FALSE)&lt;&gt;""," - " &amp; VLOOKUP(J45,$I$4:$J$10,2,FALSE),""),"")</f>
        <v>Domestic Potential of Natural Gas  - Step 2</v>
      </c>
      <c r="G45" s="482" t="str">
        <f t="shared" ref="G45:G76" si="12">VLOOKUP(I45,$E$4:$F$9,2,FALSE)</f>
        <v>Domestic Potential</v>
      </c>
      <c r="H45" s="482" t="str">
        <f>B61</f>
        <v>GASNAT</v>
      </c>
      <c r="I45" s="482" t="str">
        <f>$E$4</f>
        <v>MIN</v>
      </c>
      <c r="J45" s="482" t="str">
        <f>$I$8</f>
        <v>_S2</v>
      </c>
      <c r="K45" s="482" t="s">
        <v>9</v>
      </c>
      <c r="M45" s="477"/>
      <c r="N45" s="477"/>
      <c r="O45" s="459"/>
      <c r="P45" s="477"/>
      <c r="Q45" s="477"/>
      <c r="R45" s="58"/>
      <c r="S45" s="477"/>
      <c r="T45" s="477"/>
    </row>
    <row r="46" spans="2:20">
      <c r="B46" s="499" t="s">
        <v>24</v>
      </c>
      <c r="C46" s="482" t="s">
        <v>307</v>
      </c>
      <c r="E46" s="482" t="str">
        <f t="shared" si="10"/>
        <v>MINPEAT_S1</v>
      </c>
      <c r="F46" s="480" t="str">
        <f t="shared" si="11"/>
        <v>Domestic Potential of Peat  - Step 1</v>
      </c>
      <c r="G46" s="482" t="str">
        <f t="shared" si="12"/>
        <v>Domestic Potential</v>
      </c>
      <c r="H46" s="482" t="str">
        <f>B50</f>
        <v>PEAT</v>
      </c>
      <c r="I46" s="482" t="str">
        <f t="shared" ref="I46:I83" si="13">$E$4</f>
        <v>MIN</v>
      </c>
      <c r="J46" s="482" t="str">
        <f>$I$7</f>
        <v>_S1</v>
      </c>
      <c r="K46" s="482" t="s">
        <v>9</v>
      </c>
      <c r="M46" s="202"/>
      <c r="N46" s="459"/>
      <c r="O46" s="459"/>
      <c r="P46" s="459"/>
      <c r="Q46" s="202"/>
      <c r="R46" s="58"/>
      <c r="S46" s="459"/>
      <c r="T46" s="202"/>
    </row>
    <row r="47" spans="2:20">
      <c r="B47" s="499" t="s">
        <v>26</v>
      </c>
      <c r="C47" s="482" t="s">
        <v>308</v>
      </c>
      <c r="E47" s="482" t="str">
        <f t="shared" si="10"/>
        <v>MINPEAT_S2</v>
      </c>
      <c r="F47" s="480" t="str">
        <f t="shared" si="11"/>
        <v>Domestic Potential of Peat  - Step 2</v>
      </c>
      <c r="G47" s="482" t="str">
        <f t="shared" si="12"/>
        <v>Domestic Potential</v>
      </c>
      <c r="H47" s="482" t="str">
        <f>B50</f>
        <v>PEAT</v>
      </c>
      <c r="I47" s="482" t="str">
        <f t="shared" si="13"/>
        <v>MIN</v>
      </c>
      <c r="J47" s="482" t="str">
        <f>$I$8</f>
        <v>_S2</v>
      </c>
      <c r="K47" s="482" t="s">
        <v>9</v>
      </c>
    </row>
    <row r="48" spans="2:20">
      <c r="B48" s="499" t="s">
        <v>25</v>
      </c>
      <c r="C48" s="482" t="s">
        <v>309</v>
      </c>
      <c r="E48" s="482" t="str">
        <f t="shared" si="10"/>
        <v>MINRENHYD</v>
      </c>
      <c r="F48" s="480" t="str">
        <f t="shared" si="11"/>
        <v xml:space="preserve">Domestic Potential of Hydro </v>
      </c>
      <c r="G48" s="482" t="str">
        <f t="shared" si="12"/>
        <v>Domestic Potential</v>
      </c>
      <c r="H48" s="482" t="str">
        <f t="shared" ref="H48:H53" si="14">B64</f>
        <v>RENHYD</v>
      </c>
      <c r="I48" s="482" t="str">
        <f t="shared" si="13"/>
        <v>MIN</v>
      </c>
      <c r="J48" s="482"/>
      <c r="K48" s="482" t="s">
        <v>9</v>
      </c>
    </row>
    <row r="49" spans="2:20">
      <c r="B49" s="499" t="s">
        <v>349</v>
      </c>
      <c r="C49" s="482" t="s">
        <v>310</v>
      </c>
      <c r="E49" s="482" t="str">
        <f t="shared" ref="E49:E54" si="15">I49&amp;H49&amp;J49</f>
        <v>MINRENWIN</v>
      </c>
      <c r="F49" s="480" t="str">
        <f t="shared" si="11"/>
        <v xml:space="preserve">Domestic Potential of Wind </v>
      </c>
      <c r="G49" s="482" t="str">
        <f t="shared" si="12"/>
        <v>Domestic Potential</v>
      </c>
      <c r="H49" s="482" t="str">
        <f t="shared" si="14"/>
        <v>RENWIN</v>
      </c>
      <c r="I49" s="482" t="str">
        <f t="shared" si="13"/>
        <v>MIN</v>
      </c>
      <c r="J49" s="482"/>
      <c r="K49" s="482" t="s">
        <v>9</v>
      </c>
    </row>
    <row r="50" spans="2:20">
      <c r="B50" s="499" t="s">
        <v>12</v>
      </c>
      <c r="C50" s="482" t="s">
        <v>311</v>
      </c>
      <c r="E50" s="482" t="str">
        <f t="shared" si="15"/>
        <v>MINRENSOL</v>
      </c>
      <c r="F50" s="480" t="str">
        <f t="shared" si="11"/>
        <v xml:space="preserve">Domestic Potential of Solar </v>
      </c>
      <c r="G50" s="482" t="str">
        <f t="shared" si="12"/>
        <v>Domestic Potential</v>
      </c>
      <c r="H50" s="482" t="str">
        <f t="shared" si="14"/>
        <v>RENSOL</v>
      </c>
      <c r="I50" s="482" t="str">
        <f t="shared" si="13"/>
        <v>MIN</v>
      </c>
      <c r="J50" s="482"/>
      <c r="K50" s="482" t="s">
        <v>9</v>
      </c>
    </row>
    <row r="51" spans="2:20">
      <c r="B51" s="499" t="s">
        <v>28</v>
      </c>
      <c r="C51" s="482" t="s">
        <v>312</v>
      </c>
      <c r="E51" s="482" t="str">
        <f t="shared" si="15"/>
        <v>MINMSWAS</v>
      </c>
      <c r="F51" s="480" t="str">
        <f t="shared" si="11"/>
        <v xml:space="preserve">Domestic Potential of Municipal Solid Waste </v>
      </c>
      <c r="G51" s="482" t="str">
        <f t="shared" si="12"/>
        <v>Domestic Potential</v>
      </c>
      <c r="H51" s="482" t="str">
        <f t="shared" si="14"/>
        <v>MSWAS</v>
      </c>
      <c r="I51" s="482" t="str">
        <f t="shared" si="13"/>
        <v>MIN</v>
      </c>
      <c r="J51" s="482"/>
      <c r="K51" s="482" t="s">
        <v>9</v>
      </c>
    </row>
    <row r="52" spans="2:20">
      <c r="B52" s="500" t="s">
        <v>265</v>
      </c>
      <c r="C52" s="482" t="s">
        <v>313</v>
      </c>
      <c r="E52" s="482" t="str">
        <f t="shared" si="15"/>
        <v>MINRENOCE</v>
      </c>
      <c r="F52" s="480" t="str">
        <f t="shared" si="11"/>
        <v xml:space="preserve">Domestic Potential of Ocean </v>
      </c>
      <c r="G52" s="482" t="str">
        <f t="shared" si="12"/>
        <v>Domestic Potential</v>
      </c>
      <c r="H52" s="482" t="str">
        <f t="shared" si="14"/>
        <v>RENOCE</v>
      </c>
      <c r="I52" s="482" t="str">
        <f t="shared" si="13"/>
        <v>MIN</v>
      </c>
      <c r="J52" s="482"/>
      <c r="K52" s="482" t="s">
        <v>9</v>
      </c>
    </row>
    <row r="53" spans="2:20">
      <c r="B53" s="499" t="s">
        <v>32</v>
      </c>
      <c r="C53" s="482" t="s">
        <v>314</v>
      </c>
      <c r="E53" s="482" t="str">
        <f t="shared" si="15"/>
        <v>MINRENGEO</v>
      </c>
      <c r="F53" s="480" t="str">
        <f t="shared" si="11"/>
        <v xml:space="preserve">Domestic Potential of Geothermal </v>
      </c>
      <c r="G53" s="482" t="str">
        <f t="shared" si="12"/>
        <v>Domestic Potential</v>
      </c>
      <c r="H53" s="482" t="str">
        <f t="shared" si="14"/>
        <v>RENGEO</v>
      </c>
      <c r="I53" s="482" t="str">
        <f t="shared" si="13"/>
        <v>MIN</v>
      </c>
      <c r="J53" s="482"/>
      <c r="K53" s="482" t="s">
        <v>9</v>
      </c>
    </row>
    <row r="54" spans="2:20">
      <c r="B54" s="499" t="s">
        <v>31</v>
      </c>
      <c r="C54" s="482" t="s">
        <v>315</v>
      </c>
      <c r="E54" s="482" t="str">
        <f t="shared" si="15"/>
        <v>MINBIOWOO1_S1</v>
      </c>
      <c r="F54" s="480" t="str">
        <f t="shared" si="11"/>
        <v>Domestic Potential of Sawmill residues - Step 1</v>
      </c>
      <c r="G54" s="482" t="str">
        <f t="shared" si="12"/>
        <v>Domestic Potential</v>
      </c>
      <c r="H54" s="482" t="str">
        <f>$B$77</f>
        <v>BIOWOO1</v>
      </c>
      <c r="I54" s="482" t="str">
        <f t="shared" si="13"/>
        <v>MIN</v>
      </c>
      <c r="J54" s="482" t="str">
        <f>$I$7</f>
        <v>_S1</v>
      </c>
      <c r="K54" s="482" t="s">
        <v>9</v>
      </c>
    </row>
    <row r="55" spans="2:20">
      <c r="B55" s="499" t="s">
        <v>29</v>
      </c>
      <c r="C55" s="482" t="s">
        <v>316</v>
      </c>
      <c r="E55" s="482" t="str">
        <f t="shared" ref="E55:E63" si="16">I55&amp;H55&amp;J55</f>
        <v>MINBIOWOO1_S2</v>
      </c>
      <c r="F55" s="480" t="str">
        <f t="shared" si="11"/>
        <v>Domestic Potential of Sawmill residues - Step 2</v>
      </c>
      <c r="G55" s="482" t="str">
        <f t="shared" si="12"/>
        <v>Domestic Potential</v>
      </c>
      <c r="H55" s="482" t="str">
        <f>$B$77</f>
        <v>BIOWOO1</v>
      </c>
      <c r="I55" s="482" t="str">
        <f t="shared" si="13"/>
        <v>MIN</v>
      </c>
      <c r="J55" s="482" t="str">
        <f>$I$8</f>
        <v>_S2</v>
      </c>
      <c r="K55" s="482" t="s">
        <v>9</v>
      </c>
    </row>
    <row r="56" spans="2:20">
      <c r="B56" s="499" t="s">
        <v>33</v>
      </c>
      <c r="C56" s="482" t="s">
        <v>317</v>
      </c>
      <c r="E56" s="482" t="str">
        <f t="shared" si="16"/>
        <v>MINBIOWOO1_S3</v>
      </c>
      <c r="F56" s="480" t="str">
        <f t="shared" si="11"/>
        <v>Domestic Potential of Sawmill residues - Step 3</v>
      </c>
      <c r="G56" s="482" t="str">
        <f t="shared" si="12"/>
        <v>Domestic Potential</v>
      </c>
      <c r="H56" s="482" t="str">
        <f>$B$77</f>
        <v>BIOWOO1</v>
      </c>
      <c r="I56" s="482" t="str">
        <f t="shared" si="13"/>
        <v>MIN</v>
      </c>
      <c r="J56" s="482" t="str">
        <f>$I$9</f>
        <v>_S3</v>
      </c>
      <c r="K56" s="482" t="s">
        <v>9</v>
      </c>
    </row>
    <row r="57" spans="2:20">
      <c r="B57" s="499" t="s">
        <v>30</v>
      </c>
      <c r="C57" s="482" t="s">
        <v>318</v>
      </c>
      <c r="E57" s="482" t="str">
        <f t="shared" si="16"/>
        <v>MINBIOWOO2_S1</v>
      </c>
      <c r="F57" s="480" t="str">
        <f t="shared" si="11"/>
        <v>Domestic Potential of Post-Consumer Recycled Wood - Step 1</v>
      </c>
      <c r="G57" s="482" t="str">
        <f t="shared" si="12"/>
        <v>Domestic Potential</v>
      </c>
      <c r="H57" s="482" t="str">
        <f>$B$78</f>
        <v>BIOWOO2</v>
      </c>
      <c r="I57" s="482" t="str">
        <f t="shared" si="13"/>
        <v>MIN</v>
      </c>
      <c r="J57" s="482" t="str">
        <f>$I$7</f>
        <v>_S1</v>
      </c>
      <c r="K57" s="482" t="s">
        <v>9</v>
      </c>
    </row>
    <row r="58" spans="2:20">
      <c r="B58" s="499" t="s">
        <v>78</v>
      </c>
      <c r="C58" s="482" t="s">
        <v>319</v>
      </c>
      <c r="E58" s="482" t="str">
        <f t="shared" si="16"/>
        <v>MINBIOWOO2_S2</v>
      </c>
      <c r="F58" s="480" t="str">
        <f t="shared" si="11"/>
        <v>Domestic Potential of Post-Consumer Recycled Wood - Step 2</v>
      </c>
      <c r="G58" s="482" t="str">
        <f t="shared" si="12"/>
        <v>Domestic Potential</v>
      </c>
      <c r="H58" s="482" t="str">
        <f>$B$78</f>
        <v>BIOWOO2</v>
      </c>
      <c r="I58" s="482" t="str">
        <f t="shared" si="13"/>
        <v>MIN</v>
      </c>
      <c r="J58" s="482" t="str">
        <f>$I$8</f>
        <v>_S2</v>
      </c>
      <c r="K58" s="482" t="s">
        <v>9</v>
      </c>
      <c r="M58" s="480"/>
      <c r="N58" s="480"/>
      <c r="O58" s="480"/>
      <c r="P58" s="480"/>
      <c r="Q58" s="480"/>
      <c r="R58" s="480"/>
      <c r="S58" s="480"/>
      <c r="T58" s="480"/>
    </row>
    <row r="59" spans="2:20">
      <c r="B59" s="500" t="s">
        <v>266</v>
      </c>
      <c r="C59" s="482" t="s">
        <v>320</v>
      </c>
      <c r="E59" s="482" t="str">
        <f t="shared" si="16"/>
        <v>MINBIOWOO2_S3</v>
      </c>
      <c r="F59" s="480" t="str">
        <f t="shared" si="11"/>
        <v>Domestic Potential of Post-Consumer Recycled Wood - Step 3</v>
      </c>
      <c r="G59" s="482" t="str">
        <f t="shared" si="12"/>
        <v>Domestic Potential</v>
      </c>
      <c r="H59" s="482" t="str">
        <f>$B$78</f>
        <v>BIOWOO2</v>
      </c>
      <c r="I59" s="482" t="str">
        <f t="shared" si="13"/>
        <v>MIN</v>
      </c>
      <c r="J59" s="482" t="str">
        <f>$I$9</f>
        <v>_S3</v>
      </c>
      <c r="K59" s="482" t="s">
        <v>9</v>
      </c>
    </row>
    <row r="60" spans="2:20">
      <c r="B60" s="499" t="s">
        <v>350</v>
      </c>
      <c r="C60" s="482" t="s">
        <v>351</v>
      </c>
      <c r="E60" s="482" t="str">
        <f t="shared" si="16"/>
        <v>MINBIOWOO3_S1</v>
      </c>
      <c r="F60" s="480" t="str">
        <f t="shared" si="11"/>
        <v>Domestic Potential of Straw - Step 1</v>
      </c>
      <c r="G60" s="482" t="str">
        <f t="shared" si="12"/>
        <v>Domestic Potential</v>
      </c>
      <c r="H60" s="482" t="str">
        <f>$B$79</f>
        <v>BIOWOO3</v>
      </c>
      <c r="I60" s="482" t="str">
        <f t="shared" si="13"/>
        <v>MIN</v>
      </c>
      <c r="J60" s="482" t="str">
        <f>$I$7</f>
        <v>_S1</v>
      </c>
      <c r="K60" s="482" t="s">
        <v>9</v>
      </c>
    </row>
    <row r="61" spans="2:20">
      <c r="B61" s="499" t="s">
        <v>11</v>
      </c>
      <c r="C61" s="482" t="s">
        <v>305</v>
      </c>
      <c r="E61" s="482" t="str">
        <f t="shared" si="16"/>
        <v>MINBIOWOO3_S2</v>
      </c>
      <c r="F61" s="480" t="str">
        <f t="shared" si="11"/>
        <v>Domestic Potential of Straw - Step 2</v>
      </c>
      <c r="G61" s="482" t="str">
        <f t="shared" si="12"/>
        <v>Domestic Potential</v>
      </c>
      <c r="H61" s="482" t="str">
        <f>$B$79</f>
        <v>BIOWOO3</v>
      </c>
      <c r="I61" s="482" t="str">
        <f t="shared" si="13"/>
        <v>MIN</v>
      </c>
      <c r="J61" s="482" t="str">
        <f>$I$8</f>
        <v>_S2</v>
      </c>
      <c r="K61" s="482" t="s">
        <v>9</v>
      </c>
    </row>
    <row r="62" spans="2:20">
      <c r="B62" s="499" t="s">
        <v>27</v>
      </c>
      <c r="C62" s="482" t="s">
        <v>306</v>
      </c>
      <c r="E62" s="482" t="str">
        <f t="shared" si="16"/>
        <v>MINBIOWOO3_S3</v>
      </c>
      <c r="F62" s="480" t="str">
        <f t="shared" si="11"/>
        <v>Domestic Potential of Straw - Step 3</v>
      </c>
      <c r="G62" s="482" t="str">
        <f t="shared" si="12"/>
        <v>Domestic Potential</v>
      </c>
      <c r="H62" s="482" t="str">
        <f>$B$79</f>
        <v>BIOWOO3</v>
      </c>
      <c r="I62" s="482" t="str">
        <f t="shared" si="13"/>
        <v>MIN</v>
      </c>
      <c r="J62" s="482" t="str">
        <f>$I$9</f>
        <v>_S3</v>
      </c>
      <c r="K62" s="482" t="s">
        <v>9</v>
      </c>
    </row>
    <row r="63" spans="2:20">
      <c r="B63" s="499" t="s">
        <v>435</v>
      </c>
      <c r="C63" s="482" t="s">
        <v>342</v>
      </c>
      <c r="E63" s="482" t="str">
        <f t="shared" si="16"/>
        <v>MINBIOMSW1_S1</v>
      </c>
      <c r="F63" s="480" t="str">
        <f t="shared" si="11"/>
        <v>Domestic Potential of Biodegradable Municipal Solid Waste potential - Solid  - Step 1</v>
      </c>
      <c r="G63" s="482" t="str">
        <f t="shared" si="12"/>
        <v>Domestic Potential</v>
      </c>
      <c r="H63" s="482" t="str">
        <f>$B$82</f>
        <v>BIOMSW1</v>
      </c>
      <c r="I63" s="482" t="str">
        <f t="shared" si="13"/>
        <v>MIN</v>
      </c>
      <c r="J63" s="482" t="str">
        <f>$I$7</f>
        <v>_S1</v>
      </c>
      <c r="K63" s="482" t="s">
        <v>9</v>
      </c>
    </row>
    <row r="64" spans="2:20">
      <c r="B64" s="499" t="s">
        <v>34</v>
      </c>
      <c r="C64" s="482" t="s">
        <v>321</v>
      </c>
      <c r="E64" s="482" t="str">
        <f t="shared" ref="E64:E83" si="17">I64&amp;H64&amp;J64</f>
        <v>MINBIOMSW1_S2</v>
      </c>
      <c r="F64" s="480" t="str">
        <f t="shared" si="11"/>
        <v>Domestic Potential of Biodegradable Municipal Solid Waste potential - Solid  - Step 2</v>
      </c>
      <c r="G64" s="482" t="str">
        <f t="shared" si="12"/>
        <v>Domestic Potential</v>
      </c>
      <c r="H64" s="482" t="str">
        <f>$B$82</f>
        <v>BIOMSW1</v>
      </c>
      <c r="I64" s="482" t="str">
        <f t="shared" si="13"/>
        <v>MIN</v>
      </c>
      <c r="J64" s="482" t="str">
        <f>$I$8</f>
        <v>_S2</v>
      </c>
      <c r="K64" s="482" t="s">
        <v>9</v>
      </c>
    </row>
    <row r="65" spans="2:11">
      <c r="B65" s="499" t="s">
        <v>35</v>
      </c>
      <c r="C65" s="482" t="s">
        <v>322</v>
      </c>
      <c r="E65" s="482" t="str">
        <f t="shared" si="17"/>
        <v>MINBIOMSW1_S3</v>
      </c>
      <c r="F65" s="480" t="str">
        <f t="shared" si="11"/>
        <v>Domestic Potential of Biodegradable Municipal Solid Waste potential - Solid  - Step 3</v>
      </c>
      <c r="G65" s="482" t="str">
        <f t="shared" si="12"/>
        <v>Domestic Potential</v>
      </c>
      <c r="H65" s="482" t="str">
        <f>$B$82</f>
        <v>BIOMSW1</v>
      </c>
      <c r="I65" s="482" t="str">
        <f t="shared" si="13"/>
        <v>MIN</v>
      </c>
      <c r="J65" s="482" t="str">
        <f>$I$9</f>
        <v>_S3</v>
      </c>
      <c r="K65" s="482" t="s">
        <v>9</v>
      </c>
    </row>
    <row r="66" spans="2:11">
      <c r="B66" s="500" t="s">
        <v>36</v>
      </c>
      <c r="C66" s="482" t="s">
        <v>323</v>
      </c>
      <c r="E66" s="482" t="str">
        <f t="shared" si="17"/>
        <v>MINBIOMSW2_S1</v>
      </c>
      <c r="F66" s="480" t="str">
        <f t="shared" si="11"/>
        <v>Domestic Potential of Biodegradable Municipal Solid Waste  - Step 1</v>
      </c>
      <c r="G66" s="482" t="str">
        <f t="shared" si="12"/>
        <v>Domestic Potential</v>
      </c>
      <c r="H66" s="482" t="str">
        <f>$B$83</f>
        <v>BIOMSW2</v>
      </c>
      <c r="I66" s="482" t="str">
        <f t="shared" si="13"/>
        <v>MIN</v>
      </c>
      <c r="J66" s="482" t="str">
        <f>$I$7</f>
        <v>_S1</v>
      </c>
      <c r="K66" s="482" t="s">
        <v>9</v>
      </c>
    </row>
    <row r="67" spans="2:11">
      <c r="B67" s="499" t="s">
        <v>58</v>
      </c>
      <c r="C67" s="482" t="s">
        <v>324</v>
      </c>
      <c r="E67" s="482" t="str">
        <f t="shared" si="17"/>
        <v>MINBIOMSW2_S2</v>
      </c>
      <c r="F67" s="480" t="str">
        <f t="shared" si="11"/>
        <v>Domestic Potential of Biodegradable Municipal Solid Waste  - Step 2</v>
      </c>
      <c r="G67" s="482" t="str">
        <f t="shared" si="12"/>
        <v>Domestic Potential</v>
      </c>
      <c r="H67" s="482" t="str">
        <f>$B$83</f>
        <v>BIOMSW2</v>
      </c>
      <c r="I67" s="482" t="str">
        <f t="shared" si="13"/>
        <v>MIN</v>
      </c>
      <c r="J67" s="482" t="str">
        <f>$I$8</f>
        <v>_S2</v>
      </c>
      <c r="K67" s="482" t="s">
        <v>9</v>
      </c>
    </row>
    <row r="68" spans="2:11">
      <c r="B68" s="499" t="s">
        <v>37</v>
      </c>
      <c r="C68" s="482" t="s">
        <v>325</v>
      </c>
      <c r="E68" s="482" t="str">
        <f t="shared" si="17"/>
        <v>MINBIOMSW2_S3</v>
      </c>
      <c r="F68" s="480" t="str">
        <f t="shared" si="11"/>
        <v>Domestic Potential of Biodegradable Municipal Solid Waste  - Step 3</v>
      </c>
      <c r="G68" s="482" t="str">
        <f t="shared" si="12"/>
        <v>Domestic Potential</v>
      </c>
      <c r="H68" s="482" t="str">
        <f>$B$83</f>
        <v>BIOMSW2</v>
      </c>
      <c r="I68" s="482" t="str">
        <f t="shared" si="13"/>
        <v>MIN</v>
      </c>
      <c r="J68" s="482" t="str">
        <f>$I$9</f>
        <v>_S3</v>
      </c>
      <c r="K68" s="482" t="s">
        <v>9</v>
      </c>
    </row>
    <row r="69" spans="2:11">
      <c r="B69" s="499" t="s">
        <v>38</v>
      </c>
      <c r="C69" s="482" t="s">
        <v>326</v>
      </c>
      <c r="E69" s="482" t="str">
        <f t="shared" si="17"/>
        <v>MINBIOTLW_S1</v>
      </c>
      <c r="F69" s="480" t="str">
        <f t="shared" si="11"/>
        <v>Domestic Potential of Tallow  - Step 1</v>
      </c>
      <c r="G69" s="482" t="str">
        <f t="shared" si="12"/>
        <v>Domestic Potential</v>
      </c>
      <c r="H69" s="482" t="str">
        <f>$B$84</f>
        <v>BIOTLW</v>
      </c>
      <c r="I69" s="482" t="str">
        <f t="shared" si="13"/>
        <v>MIN</v>
      </c>
      <c r="J69" s="482" t="str">
        <f>$I$7</f>
        <v>_S1</v>
      </c>
      <c r="K69" s="482" t="s">
        <v>9</v>
      </c>
    </row>
    <row r="70" spans="2:11">
      <c r="B70" s="499" t="s">
        <v>74</v>
      </c>
      <c r="C70" s="482" t="s">
        <v>327</v>
      </c>
      <c r="E70" s="482" t="str">
        <f t="shared" si="17"/>
        <v>MINBIOTLW_S2</v>
      </c>
      <c r="F70" s="480" t="str">
        <f t="shared" si="11"/>
        <v>Domestic Potential of Tallow  - Step 2</v>
      </c>
      <c r="G70" s="482" t="str">
        <f t="shared" si="12"/>
        <v>Domestic Potential</v>
      </c>
      <c r="H70" s="482" t="str">
        <f>$B$84</f>
        <v>BIOTLW</v>
      </c>
      <c r="I70" s="482" t="str">
        <f t="shared" si="13"/>
        <v>MIN</v>
      </c>
      <c r="J70" s="482" t="str">
        <f>$I$8</f>
        <v>_S2</v>
      </c>
      <c r="K70" s="482" t="s">
        <v>9</v>
      </c>
    </row>
    <row r="71" spans="2:11">
      <c r="B71" s="499" t="s">
        <v>76</v>
      </c>
      <c r="C71" s="482" t="s">
        <v>328</v>
      </c>
      <c r="E71" s="482" t="str">
        <f t="shared" si="17"/>
        <v>MINBIOTLW_S3</v>
      </c>
      <c r="F71" s="480" t="str">
        <f t="shared" si="11"/>
        <v>Domestic Potential of Tallow  - Step 3</v>
      </c>
      <c r="G71" s="482" t="str">
        <f t="shared" si="12"/>
        <v>Domestic Potential</v>
      </c>
      <c r="H71" s="482" t="str">
        <f>$B$84</f>
        <v>BIOTLW</v>
      </c>
      <c r="I71" s="482" t="str">
        <f t="shared" si="13"/>
        <v>MIN</v>
      </c>
      <c r="J71" s="482" t="str">
        <f>$I$9</f>
        <v>_S3</v>
      </c>
      <c r="K71" s="482" t="s">
        <v>9</v>
      </c>
    </row>
    <row r="72" spans="2:11">
      <c r="B72" s="499" t="s">
        <v>75</v>
      </c>
      <c r="C72" s="482" t="s">
        <v>329</v>
      </c>
      <c r="E72" s="482" t="str">
        <f t="shared" si="17"/>
        <v>MINBIORVO_S1</v>
      </c>
      <c r="F72" s="480" t="str">
        <f t="shared" si="11"/>
        <v>Domestic Potential of Recovered Vegetable Oil  - Step 1</v>
      </c>
      <c r="G72" s="482" t="str">
        <f t="shared" si="12"/>
        <v>Domestic Potential</v>
      </c>
      <c r="H72" s="482" t="str">
        <f>$B$85</f>
        <v>BIORVO</v>
      </c>
      <c r="I72" s="482" t="str">
        <f t="shared" si="13"/>
        <v>MIN</v>
      </c>
      <c r="J72" s="482" t="str">
        <f>$I$7</f>
        <v>_S1</v>
      </c>
      <c r="K72" s="482" t="s">
        <v>9</v>
      </c>
    </row>
    <row r="73" spans="2:11">
      <c r="B73" s="500" t="s">
        <v>77</v>
      </c>
      <c r="C73" s="482" t="s">
        <v>330</v>
      </c>
      <c r="E73" s="482" t="str">
        <f t="shared" si="17"/>
        <v>MINBIORVO_S2</v>
      </c>
      <c r="F73" s="480" t="str">
        <f t="shared" si="11"/>
        <v>Domestic Potential of Recovered Vegetable Oil  - Step 2</v>
      </c>
      <c r="G73" s="482" t="str">
        <f t="shared" si="12"/>
        <v>Domestic Potential</v>
      </c>
      <c r="H73" s="482" t="str">
        <f>$B$85</f>
        <v>BIORVO</v>
      </c>
      <c r="I73" s="482" t="str">
        <f t="shared" si="13"/>
        <v>MIN</v>
      </c>
      <c r="J73" s="482" t="str">
        <f>$I$8</f>
        <v>_S2</v>
      </c>
      <c r="K73" s="482" t="s">
        <v>9</v>
      </c>
    </row>
    <row r="74" spans="2:11">
      <c r="B74" s="499" t="s">
        <v>179</v>
      </c>
      <c r="C74" s="482" t="s">
        <v>331</v>
      </c>
      <c r="E74" s="482" t="str">
        <f t="shared" si="17"/>
        <v>MINBIORVO_S3</v>
      </c>
      <c r="F74" s="480" t="str">
        <f t="shared" si="11"/>
        <v>Domestic Potential of Recovered Vegetable Oil  - Step 3</v>
      </c>
      <c r="G74" s="482" t="str">
        <f t="shared" si="12"/>
        <v>Domestic Potential</v>
      </c>
      <c r="H74" s="482" t="str">
        <f>$B$85</f>
        <v>BIORVO</v>
      </c>
      <c r="I74" s="482" t="str">
        <f t="shared" si="13"/>
        <v>MIN</v>
      </c>
      <c r="J74" s="482" t="str">
        <f>$I$9</f>
        <v>_S3</v>
      </c>
      <c r="K74" s="482" t="s">
        <v>9</v>
      </c>
    </row>
    <row r="75" spans="2:11">
      <c r="B75" s="499" t="s">
        <v>180</v>
      </c>
      <c r="C75" s="482" t="s">
        <v>332</v>
      </c>
      <c r="E75" s="482" t="str">
        <f t="shared" si="17"/>
        <v>MINBIOCATW_S1</v>
      </c>
      <c r="F75" s="480" t="str">
        <f t="shared" si="11"/>
        <v>Domestic Potential of Cattle Waste  - Step 1</v>
      </c>
      <c r="G75" s="482" t="str">
        <f t="shared" si="12"/>
        <v>Domestic Potential</v>
      </c>
      <c r="H75" s="482" t="str">
        <f>$B$86</f>
        <v>BIOCATW</v>
      </c>
      <c r="I75" s="482" t="str">
        <f t="shared" si="13"/>
        <v>MIN</v>
      </c>
      <c r="J75" s="482" t="str">
        <f>$I$7</f>
        <v>_S1</v>
      </c>
      <c r="K75" s="482" t="s">
        <v>9</v>
      </c>
    </row>
    <row r="76" spans="2:11">
      <c r="B76" s="499" t="s">
        <v>168</v>
      </c>
      <c r="C76" s="482" t="s">
        <v>497</v>
      </c>
      <c r="E76" s="482" t="str">
        <f t="shared" si="17"/>
        <v>MINBIOCATW_S2</v>
      </c>
      <c r="F76" s="480" t="str">
        <f t="shared" si="11"/>
        <v>Domestic Potential of Cattle Waste  - Step 2</v>
      </c>
      <c r="G76" s="482" t="str">
        <f t="shared" si="12"/>
        <v>Domestic Potential</v>
      </c>
      <c r="H76" s="482" t="str">
        <f>$B$86</f>
        <v>BIOCATW</v>
      </c>
      <c r="I76" s="482" t="str">
        <f t="shared" si="13"/>
        <v>MIN</v>
      </c>
      <c r="J76" s="482" t="str">
        <f>$I$8</f>
        <v>_S2</v>
      </c>
      <c r="K76" s="482" t="s">
        <v>9</v>
      </c>
    </row>
    <row r="77" spans="2:11">
      <c r="B77" s="499" t="s">
        <v>494</v>
      </c>
      <c r="C77" s="482" t="s">
        <v>498</v>
      </c>
      <c r="E77" s="482" t="str">
        <f t="shared" si="17"/>
        <v>MINBIOCATW_S3</v>
      </c>
      <c r="F77" s="480" t="str">
        <f t="shared" ref="F77:F83" si="18">G77 &amp; " of " &amp; VLOOKUP(H77,$B$13:$C$90,2,FALSE) &amp; IF(J77&lt;&gt;0,IF(VLOOKUP(J77,$I$4:$J$10,2,FALSE)&lt;&gt;""," - " &amp; VLOOKUP(J77,$I$4:$J$10,2,FALSE),""),"")</f>
        <v>Domestic Potential of Cattle Waste  - Step 3</v>
      </c>
      <c r="G77" s="482" t="str">
        <f t="shared" ref="G77:G83" si="19">VLOOKUP(I77,$E$4:$F$9,2,FALSE)</f>
        <v>Domestic Potential</v>
      </c>
      <c r="H77" s="482" t="str">
        <f>$B$86</f>
        <v>BIOCATW</v>
      </c>
      <c r="I77" s="482" t="str">
        <f t="shared" si="13"/>
        <v>MIN</v>
      </c>
      <c r="J77" s="482" t="str">
        <f>$I$9</f>
        <v>_S3</v>
      </c>
      <c r="K77" s="482" t="s">
        <v>9</v>
      </c>
    </row>
    <row r="78" spans="2:11">
      <c r="B78" s="499" t="s">
        <v>495</v>
      </c>
      <c r="C78" s="482" t="s">
        <v>499</v>
      </c>
      <c r="E78" s="482" t="str">
        <f t="shared" si="17"/>
        <v>MINBIOPIGW_S1</v>
      </c>
      <c r="F78" s="480" t="str">
        <f t="shared" si="18"/>
        <v>Domestic Potential of Pig Waste  - Step 1</v>
      </c>
      <c r="G78" s="482" t="str">
        <f t="shared" si="19"/>
        <v>Domestic Potential</v>
      </c>
      <c r="H78" s="482" t="str">
        <f>$B$87</f>
        <v>BIOPIGW</v>
      </c>
      <c r="I78" s="482" t="str">
        <f t="shared" si="13"/>
        <v>MIN</v>
      </c>
      <c r="J78" s="482" t="str">
        <f>$I$7</f>
        <v>_S1</v>
      </c>
      <c r="K78" s="482" t="s">
        <v>9</v>
      </c>
    </row>
    <row r="79" spans="2:11">
      <c r="B79" s="499" t="s">
        <v>496</v>
      </c>
      <c r="C79" s="482" t="s">
        <v>500</v>
      </c>
      <c r="E79" s="482" t="str">
        <f t="shared" si="17"/>
        <v>MINBIOPIGW_S2</v>
      </c>
      <c r="F79" s="480" t="str">
        <f t="shared" si="18"/>
        <v>Domestic Potential of Pig Waste  - Step 2</v>
      </c>
      <c r="G79" s="482" t="str">
        <f t="shared" si="19"/>
        <v>Domestic Potential</v>
      </c>
      <c r="H79" s="482" t="str">
        <f>$B$87</f>
        <v>BIOPIGW</v>
      </c>
      <c r="I79" s="482" t="str">
        <f t="shared" si="13"/>
        <v>MIN</v>
      </c>
      <c r="J79" s="482" t="str">
        <f>$I$8</f>
        <v>_S2</v>
      </c>
      <c r="K79" s="482" t="s">
        <v>9</v>
      </c>
    </row>
    <row r="80" spans="2:11">
      <c r="B80" s="499" t="s">
        <v>62</v>
      </c>
      <c r="C80" s="482" t="s">
        <v>333</v>
      </c>
      <c r="E80" s="482" t="str">
        <f t="shared" si="17"/>
        <v>MINBIOPIGW_S3</v>
      </c>
      <c r="F80" s="480" t="str">
        <f t="shared" si="18"/>
        <v>Domestic Potential of Pig Waste  - Step 3</v>
      </c>
      <c r="G80" s="482" t="str">
        <f t="shared" si="19"/>
        <v>Domestic Potential</v>
      </c>
      <c r="H80" s="482" t="str">
        <f>$B$87</f>
        <v>BIOPIGW</v>
      </c>
      <c r="I80" s="482" t="str">
        <f t="shared" si="13"/>
        <v>MIN</v>
      </c>
      <c r="J80" s="482" t="str">
        <f>$I$9</f>
        <v>_S3</v>
      </c>
      <c r="K80" s="482" t="s">
        <v>9</v>
      </c>
    </row>
    <row r="81" spans="2:12">
      <c r="B81" s="499" t="s">
        <v>63</v>
      </c>
      <c r="C81" s="482" t="s">
        <v>334</v>
      </c>
      <c r="E81" s="482" t="str">
        <f t="shared" si="17"/>
        <v>MINBIOINDF_S1</v>
      </c>
      <c r="F81" s="480" t="str">
        <f t="shared" si="18"/>
        <v>Domestic Potential of Industrial Food Waste  - Step 1</v>
      </c>
      <c r="G81" s="482" t="str">
        <f t="shared" si="19"/>
        <v>Domestic Potential</v>
      </c>
      <c r="H81" s="482" t="str">
        <f>$B$88</f>
        <v>BIOINDF</v>
      </c>
      <c r="I81" s="482" t="str">
        <f t="shared" si="13"/>
        <v>MIN</v>
      </c>
      <c r="J81" s="482" t="str">
        <f>$I$7</f>
        <v>_S1</v>
      </c>
      <c r="K81" s="482" t="s">
        <v>9</v>
      </c>
    </row>
    <row r="82" spans="2:12">
      <c r="B82" s="499" t="s">
        <v>175</v>
      </c>
      <c r="C82" s="482" t="s">
        <v>335</v>
      </c>
      <c r="E82" s="482" t="str">
        <f t="shared" si="17"/>
        <v>MINBIOINDF_S2</v>
      </c>
      <c r="F82" s="480" t="str">
        <f t="shared" si="18"/>
        <v>Domestic Potential of Industrial Food Waste  - Step 2</v>
      </c>
      <c r="G82" s="482" t="str">
        <f t="shared" si="19"/>
        <v>Domestic Potential</v>
      </c>
      <c r="H82" s="482" t="str">
        <f>$B$88</f>
        <v>BIOINDF</v>
      </c>
      <c r="I82" s="482" t="str">
        <f t="shared" si="13"/>
        <v>MIN</v>
      </c>
      <c r="J82" s="482" t="str">
        <f>$I$8</f>
        <v>_S2</v>
      </c>
      <c r="K82" s="482" t="s">
        <v>9</v>
      </c>
    </row>
    <row r="83" spans="2:12">
      <c r="B83" s="500" t="s">
        <v>176</v>
      </c>
      <c r="C83" s="482" t="s">
        <v>336</v>
      </c>
      <c r="E83" s="482" t="str">
        <f t="shared" si="17"/>
        <v>MINBIOINDF_S3</v>
      </c>
      <c r="F83" s="480" t="str">
        <f t="shared" si="18"/>
        <v>Domestic Potential of Industrial Food Waste  - Step 3</v>
      </c>
      <c r="G83" s="482" t="str">
        <f t="shared" si="19"/>
        <v>Domestic Potential</v>
      </c>
      <c r="H83" s="482" t="str">
        <f>$B$88</f>
        <v>BIOINDF</v>
      </c>
      <c r="I83" s="482" t="str">
        <f t="shared" si="13"/>
        <v>MIN</v>
      </c>
      <c r="J83" s="482" t="str">
        <f>$I$9</f>
        <v>_S3</v>
      </c>
      <c r="K83" s="482" t="s">
        <v>9</v>
      </c>
    </row>
    <row r="84" spans="2:12">
      <c r="B84" s="499" t="s">
        <v>172</v>
      </c>
      <c r="C84" s="482" t="s">
        <v>337</v>
      </c>
      <c r="E84" s="482" t="str">
        <f t="shared" ref="E84:E85" si="20">I84&amp;H84&amp;J84</f>
        <v>IMPELC_UK</v>
      </c>
      <c r="F84" s="480" t="str">
        <f t="shared" ref="F84:F85" si="21">G84 &amp; " of " &amp; VLOOKUP(H84,$B$13:$C$90,2,FALSE) &amp; IF(J84&lt;&gt;0,IF(VLOOKUP(J84,$I$4:$J$10,2,FALSE)&lt;&gt;""," - " &amp; VLOOKUP(J84,$I$4:$J$10,2,FALSE),""),"")</f>
        <v>Import of Electricity - UK</v>
      </c>
      <c r="G84" s="482" t="str">
        <f t="shared" ref="G84:G85" si="22">VLOOKUP(I84,$E$4:$F$9,2,FALSE)</f>
        <v>Import</v>
      </c>
      <c r="H84" s="482" t="str">
        <f>$B$43</f>
        <v>ELC</v>
      </c>
      <c r="I84" s="482" t="str">
        <f>$E$5</f>
        <v>IMP</v>
      </c>
      <c r="J84" s="482" t="str">
        <f>$I$4</f>
        <v>_UK</v>
      </c>
      <c r="K84" s="482" t="s">
        <v>13</v>
      </c>
      <c r="L84" s="480"/>
    </row>
    <row r="85" spans="2:12">
      <c r="B85" s="499" t="s">
        <v>171</v>
      </c>
      <c r="C85" s="482" t="s">
        <v>338</v>
      </c>
      <c r="E85" s="482" t="str">
        <f t="shared" si="20"/>
        <v>EXPELC_UK</v>
      </c>
      <c r="F85" s="480" t="str">
        <f t="shared" si="21"/>
        <v>Export of Electricity - UK</v>
      </c>
      <c r="G85" s="482" t="str">
        <f t="shared" si="22"/>
        <v>Export</v>
      </c>
      <c r="H85" s="482" t="str">
        <f>$B$43</f>
        <v>ELC</v>
      </c>
      <c r="I85" s="482" t="str">
        <f>$E$6</f>
        <v>EXP</v>
      </c>
      <c r="J85" s="482" t="str">
        <f>$I$4</f>
        <v>_UK</v>
      </c>
      <c r="K85" s="482" t="s">
        <v>64</v>
      </c>
      <c r="L85" s="480"/>
    </row>
    <row r="86" spans="2:12">
      <c r="B86" s="499" t="s">
        <v>174</v>
      </c>
      <c r="C86" s="482" t="s">
        <v>339</v>
      </c>
      <c r="E86" s="482" t="str">
        <f t="shared" ref="E86" si="23">I86&amp;H86&amp;J86</f>
        <v>BDNBIOWOO</v>
      </c>
      <c r="F86" s="480" t="str">
        <f>G86 &amp; " of " &amp; VLOOKUP(H86,$B$13:$C$90,2,FALSE) &amp; IF(J86&lt;&gt;0,IF(VLOOKUP(J86,$I$4:$J$10,2,FALSE)&lt;&gt;""," - " &amp; VLOOKUP(J86,$I$4:$J$10,2,FALSE),""),"")</f>
        <v xml:space="preserve">Blending of Biomass - generic </v>
      </c>
      <c r="G86" s="482" t="str">
        <f>VLOOKUP(I86,$E$4:$F$9,2,FALSE)</f>
        <v>Blending</v>
      </c>
      <c r="H86" s="482" t="str">
        <f>B76</f>
        <v>BIOWOO</v>
      </c>
      <c r="I86" s="482" t="str">
        <f>$E$9</f>
        <v>BDN</v>
      </c>
      <c r="K86" s="482" t="s">
        <v>187</v>
      </c>
    </row>
    <row r="87" spans="2:12">
      <c r="B87" s="499" t="s">
        <v>173</v>
      </c>
      <c r="C87" s="482" t="s">
        <v>340</v>
      </c>
      <c r="E87" s="482" t="str">
        <f>LEFT(B4,1)&amp;I87&amp;H87&amp;J87</f>
        <v>SREFOILCRD_Whitegate</v>
      </c>
      <c r="F87" s="480" t="str">
        <f>G87 &amp; " of " &amp; VLOOKUP(H87,$B$13:$C$90,2,FALSE) &amp; IF(J87&lt;&gt;0,IF(VLOOKUP(J87,$I$4:$J$10,2,FALSE)&lt;&gt;""," - " &amp; VLOOKUP(J87,$I$4:$J$10,2,FALSE),""),"")</f>
        <v>Refinery of Crude Oil  - Whitegate</v>
      </c>
      <c r="G87" s="482" t="str">
        <f>VLOOKUP(I87,$E$4:$F$9,2,FALSE)</f>
        <v>Refinery</v>
      </c>
      <c r="H87" t="str">
        <f>B51</f>
        <v>OILCRD</v>
      </c>
      <c r="I87" s="482" t="str">
        <f>$E$7</f>
        <v>REF</v>
      </c>
      <c r="J87" t="str">
        <f>I6</f>
        <v>_Whitegate</v>
      </c>
      <c r="K87" s="482" t="s">
        <v>187</v>
      </c>
    </row>
    <row r="88" spans="2:12">
      <c r="B88" s="499" t="s">
        <v>177</v>
      </c>
      <c r="C88" s="482" t="s">
        <v>341</v>
      </c>
      <c r="E88" s="482" t="str">
        <f>I88&amp;$B$4&amp;H88&amp;J88</f>
        <v>FT-SUPNGA</v>
      </c>
      <c r="F88" s="480" t="str">
        <f>G88 &amp; " - " &amp; VLOOKUP(H88,$B$13:$C$90,2,FALSE) &amp; IF(J88&lt;&gt;0,IF(VLOOKUP(J88,$I$4:$J$10,2,FALSE)&lt;&gt;""," - " &amp; VLOOKUP(J88,$I$4:$J$10,2,FALSE),""),"") &amp; " (" &amp; $B$4 &amp; ")"</f>
        <v>Fuel Tech - Natural Gas (SUP)</v>
      </c>
      <c r="G88" s="482" t="str">
        <f t="shared" ref="G88" si="24">VLOOKUP(I88,$E$4:$F$9,2,FALSE)</f>
        <v>Fuel Tech</v>
      </c>
      <c r="H88" s="480" t="str">
        <f>B20</f>
        <v>NGA</v>
      </c>
      <c r="I88" s="482" t="str">
        <f>$E$8</f>
        <v>FT-</v>
      </c>
      <c r="J88" s="480"/>
      <c r="K88" s="482" t="s">
        <v>187</v>
      </c>
    </row>
    <row r="89" spans="2:12">
      <c r="B89" s="499" t="s">
        <v>451</v>
      </c>
      <c r="C89" s="482" t="s">
        <v>452</v>
      </c>
      <c r="E89" s="482" t="str">
        <f t="shared" ref="E89:E92" si="25">I89&amp;$B$4&amp;H89&amp;J89</f>
        <v>FT-SUPCOA</v>
      </c>
      <c r="F89" s="480" t="str">
        <f t="shared" ref="F89:F92" si="26">G89 &amp; " - " &amp; VLOOKUP(H89,$B$13:$C$90,2,FALSE) &amp; IF(J89&lt;&gt;0,IF(VLOOKUP(J89,$I$4:$J$10,2,FALSE)&lt;&gt;""," - " &amp; VLOOKUP(J89,$I$4:$J$10,2,FALSE),""),"") &amp; " (" &amp; $B$4 &amp; ")"</f>
        <v>Fuel Tech - Coal (SUP)</v>
      </c>
      <c r="G89" s="482" t="str">
        <f t="shared" ref="G89:G92" si="27">VLOOKUP(I89,$E$4:$F$9,2,FALSE)</f>
        <v>Fuel Tech</v>
      </c>
      <c r="H89" s="480" t="str">
        <f>B13</f>
        <v>COA</v>
      </c>
      <c r="I89" s="482" t="str">
        <f t="shared" ref="I89:I92" si="28">$E$8</f>
        <v>FT-</v>
      </c>
      <c r="J89" s="480"/>
      <c r="K89" s="482" t="s">
        <v>187</v>
      </c>
    </row>
    <row r="90" spans="2:12">
      <c r="B90" s="500"/>
      <c r="C90" s="482"/>
      <c r="E90" s="482" t="str">
        <f t="shared" si="25"/>
        <v>FT-SUPWAS</v>
      </c>
      <c r="F90" s="480" t="str">
        <f t="shared" si="26"/>
        <v>Fuel Tech - Waste (SUP)</v>
      </c>
      <c r="G90" s="482" t="str">
        <f t="shared" si="27"/>
        <v>Fuel Tech</v>
      </c>
      <c r="H90" s="480" t="str">
        <f>B45</f>
        <v>WAS</v>
      </c>
      <c r="I90" s="482" t="str">
        <f t="shared" si="28"/>
        <v>FT-</v>
      </c>
      <c r="J90" s="480"/>
      <c r="K90" s="482" t="s">
        <v>187</v>
      </c>
    </row>
    <row r="91" spans="2:12">
      <c r="E91" s="482" t="str">
        <f t="shared" si="25"/>
        <v>FT-SUPBIO</v>
      </c>
      <c r="F91" s="480" t="str">
        <f t="shared" si="26"/>
        <v>Fuel Tech - Biomass (SUP)</v>
      </c>
      <c r="G91" s="482" t="str">
        <f t="shared" si="27"/>
        <v>Fuel Tech</v>
      </c>
      <c r="H91" s="480" t="str">
        <f>B21</f>
        <v>BIO</v>
      </c>
      <c r="I91" s="482" t="str">
        <f t="shared" si="28"/>
        <v>FT-</v>
      </c>
      <c r="J91" s="480"/>
      <c r="K91" s="482" t="s">
        <v>187</v>
      </c>
    </row>
    <row r="92" spans="2:12">
      <c r="E92" s="482" t="str">
        <f t="shared" si="25"/>
        <v>FT-SUPELC</v>
      </c>
      <c r="F92" s="480" t="str">
        <f t="shared" si="26"/>
        <v>Fuel Tech - Electricity (SUP)</v>
      </c>
      <c r="G92" s="482" t="str">
        <f t="shared" si="27"/>
        <v>Fuel Tech</v>
      </c>
      <c r="H92" s="480" t="str">
        <f>B43</f>
        <v>ELC</v>
      </c>
      <c r="I92" s="482" t="str">
        <f t="shared" si="28"/>
        <v>FT-</v>
      </c>
      <c r="J92" s="480"/>
      <c r="K92" s="482" t="s">
        <v>187</v>
      </c>
    </row>
  </sheetData>
  <pageMargins left="0.7" right="0.7" top="0.75" bottom="0.75" header="0.3" footer="0.3"/>
  <pageSetup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0"/>
  <dimension ref="B2:S36"/>
  <sheetViews>
    <sheetView topLeftCell="A2" workbookViewId="0">
      <selection activeCell="H30" sqref="H30"/>
    </sheetView>
  </sheetViews>
  <sheetFormatPr defaultColWidth="9.140625" defaultRowHeight="15"/>
  <cols>
    <col min="1" max="1" width="9.140625" style="42"/>
    <col min="2" max="2" width="15.5703125" style="42" customWidth="1"/>
    <col min="3" max="3" width="26.5703125" style="42" bestFit="1" customWidth="1"/>
    <col min="4" max="4" width="10.85546875" style="42" customWidth="1"/>
    <col min="5" max="5" width="10.85546875" style="42" bestFit="1" customWidth="1"/>
    <col min="6" max="14" width="10.140625" style="42" customWidth="1"/>
    <col min="15" max="20" width="10.28515625" style="42" customWidth="1"/>
    <col min="21" max="21" width="9.140625" style="42"/>
    <col min="22" max="22" width="12" style="42" bestFit="1" customWidth="1"/>
    <col min="23" max="23" width="26.5703125" style="42" bestFit="1" customWidth="1"/>
    <col min="24" max="16384" width="9.140625" style="42"/>
  </cols>
  <sheetData>
    <row r="2" spans="2:19" ht="18.75">
      <c r="B2" s="16" t="s">
        <v>59</v>
      </c>
      <c r="C2" s="17"/>
      <c r="E2" s="18" t="s">
        <v>97</v>
      </c>
      <c r="F2" s="217"/>
      <c r="G2" s="19"/>
      <c r="H2" s="19"/>
      <c r="I2" s="19"/>
      <c r="J2" s="19"/>
      <c r="K2" s="19"/>
    </row>
    <row r="3" spans="2:19" ht="25.5">
      <c r="B3" s="21" t="s">
        <v>2</v>
      </c>
      <c r="C3" s="21" t="s">
        <v>3</v>
      </c>
      <c r="D3" s="22" t="s">
        <v>69</v>
      </c>
      <c r="E3" s="22" t="s">
        <v>40</v>
      </c>
      <c r="F3" s="24" t="s">
        <v>42</v>
      </c>
      <c r="G3" s="24" t="s">
        <v>43</v>
      </c>
      <c r="H3" s="24" t="s">
        <v>45</v>
      </c>
      <c r="I3" s="24" t="s">
        <v>46</v>
      </c>
      <c r="J3" s="24" t="s">
        <v>47</v>
      </c>
      <c r="K3" s="24" t="s">
        <v>512</v>
      </c>
      <c r="L3" s="24" t="s">
        <v>66</v>
      </c>
      <c r="M3" s="24" t="s">
        <v>67</v>
      </c>
      <c r="N3" s="136" t="s">
        <v>68</v>
      </c>
    </row>
    <row r="4" spans="2:19" ht="15.75" thickBot="1">
      <c r="B4" s="26" t="s">
        <v>48</v>
      </c>
      <c r="C4" s="27" t="s">
        <v>49</v>
      </c>
      <c r="D4" s="27"/>
      <c r="E4" s="27"/>
      <c r="F4" s="28" t="s">
        <v>56</v>
      </c>
      <c r="G4" s="28" t="s">
        <v>56</v>
      </c>
      <c r="H4" s="28" t="s">
        <v>56</v>
      </c>
      <c r="I4" s="28" t="s">
        <v>56</v>
      </c>
      <c r="J4" s="28" t="s">
        <v>56</v>
      </c>
      <c r="K4" s="28" t="s">
        <v>10</v>
      </c>
      <c r="L4" s="28" t="s">
        <v>10</v>
      </c>
      <c r="M4" s="28" t="s">
        <v>10</v>
      </c>
      <c r="N4" s="56"/>
    </row>
    <row r="5" spans="2:19">
      <c r="B5" s="42" t="str">
        <f>Processes!C80</f>
        <v>IMPELC_UK</v>
      </c>
      <c r="C5" s="42" t="str">
        <f>Processes!D80</f>
        <v>Import of Electricity - UK</v>
      </c>
      <c r="E5" s="42" t="str">
        <f>Commodities!C54</f>
        <v>ELCC</v>
      </c>
      <c r="F5" s="196">
        <f>F22</f>
        <v>12.785422166133992</v>
      </c>
      <c r="G5" s="196">
        <f>G22</f>
        <v>13.29765454468259</v>
      </c>
      <c r="H5" s="196">
        <f>H22</f>
        <v>19.864459777168182</v>
      </c>
      <c r="I5" s="196">
        <f>I22</f>
        <v>23.122039979266045</v>
      </c>
      <c r="J5" s="196">
        <f>J22</f>
        <v>26.829511103517522</v>
      </c>
      <c r="K5" s="54">
        <f>SEAI_Bal!AK87*0.041868</f>
        <v>6.3082434794760003</v>
      </c>
      <c r="L5" s="53">
        <f>MAX(K5:K5)*1.1</f>
        <v>6.9390678274236013</v>
      </c>
      <c r="M5" s="53">
        <f>L5</f>
        <v>6.9390678274236013</v>
      </c>
      <c r="N5" s="47">
        <v>5</v>
      </c>
    </row>
    <row r="6" spans="2:19">
      <c r="B6" s="49" t="str">
        <f>Processes!C81</f>
        <v>EXPELC_UK</v>
      </c>
      <c r="C6" s="49" t="str">
        <f>Processes!D81</f>
        <v>Export of Electricity - UK</v>
      </c>
      <c r="D6" s="49" t="str">
        <f>Commodities!C54</f>
        <v>ELCC</v>
      </c>
      <c r="E6" s="49"/>
      <c r="F6" s="239">
        <f t="shared" ref="F6:J6" si="0">F5*0.7</f>
        <v>8.9497955162937934</v>
      </c>
      <c r="G6" s="50">
        <f t="shared" si="0"/>
        <v>9.3083581812778124</v>
      </c>
      <c r="H6" s="50">
        <f t="shared" si="0"/>
        <v>13.905121844017726</v>
      </c>
      <c r="I6" s="50">
        <f t="shared" si="0"/>
        <v>16.185427985486232</v>
      </c>
      <c r="J6" s="50">
        <f t="shared" si="0"/>
        <v>18.780657772462263</v>
      </c>
      <c r="K6" s="55">
        <f>SEAI_Bal!AK88*0.041868</f>
        <v>3.8836751357159995</v>
      </c>
      <c r="L6" s="51">
        <f>L5</f>
        <v>6.9390678274236013</v>
      </c>
      <c r="M6" s="51">
        <f t="shared" ref="M6" si="1">M5</f>
        <v>6.9390678274236013</v>
      </c>
      <c r="N6" s="52">
        <v>5</v>
      </c>
    </row>
    <row r="7" spans="2:19">
      <c r="B7" s="57" t="s">
        <v>71</v>
      </c>
      <c r="C7" s="57"/>
      <c r="D7" s="57"/>
      <c r="E7" s="57"/>
      <c r="F7" s="694" t="s">
        <v>197</v>
      </c>
      <c r="G7" s="694"/>
      <c r="H7" s="694"/>
      <c r="I7" s="694"/>
      <c r="J7" s="694"/>
      <c r="K7" s="700" t="s">
        <v>72</v>
      </c>
      <c r="L7" s="694" t="s">
        <v>295</v>
      </c>
      <c r="M7" s="694"/>
      <c r="N7" s="57"/>
    </row>
    <row r="9" spans="2:19">
      <c r="N9" s="48"/>
      <c r="O9" s="48"/>
      <c r="P9" s="48"/>
    </row>
    <row r="11" spans="2:19"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2:19">
      <c r="B12"/>
      <c r="D12" t="s">
        <v>155</v>
      </c>
      <c r="E12"/>
      <c r="F12" t="s">
        <v>154</v>
      </c>
      <c r="G12"/>
      <c r="H12"/>
      <c r="I12" s="480"/>
      <c r="J12"/>
      <c r="K12"/>
      <c r="L12"/>
      <c r="M12"/>
      <c r="N12"/>
      <c r="O12"/>
      <c r="P12"/>
      <c r="Q12"/>
      <c r="R12"/>
    </row>
    <row r="13" spans="2:19">
      <c r="B13"/>
      <c r="D13" t="s">
        <v>153</v>
      </c>
      <c r="E13"/>
      <c r="F13" s="480">
        <v>2015</v>
      </c>
      <c r="G13">
        <v>2020</v>
      </c>
      <c r="H13">
        <v>2030</v>
      </c>
      <c r="I13">
        <v>2040</v>
      </c>
      <c r="J13">
        <v>2050</v>
      </c>
      <c r="K13"/>
      <c r="L13"/>
      <c r="M13"/>
      <c r="N13"/>
      <c r="O13"/>
    </row>
    <row r="14" spans="2:19">
      <c r="B14" t="s">
        <v>152</v>
      </c>
      <c r="D14">
        <v>1800</v>
      </c>
      <c r="E14"/>
      <c r="F14" s="480"/>
      <c r="G14"/>
      <c r="H14"/>
      <c r="I14"/>
      <c r="J14"/>
      <c r="K14"/>
      <c r="L14"/>
      <c r="M14"/>
      <c r="N14"/>
      <c r="O14"/>
    </row>
    <row r="15" spans="2:19">
      <c r="B15" t="s">
        <v>151</v>
      </c>
      <c r="D15">
        <v>0.47499999999999998</v>
      </c>
      <c r="E15"/>
      <c r="F15" s="193">
        <f>F19/$D$15</f>
        <v>59.752421052631576</v>
      </c>
      <c r="G15" s="193">
        <f>G19/$D$15</f>
        <v>59.752421052631576</v>
      </c>
      <c r="H15" s="193">
        <v>60</v>
      </c>
      <c r="I15" s="193">
        <v>60</v>
      </c>
      <c r="J15" s="193">
        <f>J19/$D$15</f>
        <v>59.752421052631576</v>
      </c>
      <c r="K15"/>
      <c r="L15" t="s">
        <v>10</v>
      </c>
      <c r="M15" t="s">
        <v>150</v>
      </c>
      <c r="N15"/>
      <c r="O15"/>
    </row>
    <row r="16" spans="2:19">
      <c r="B16"/>
      <c r="D16"/>
      <c r="E16"/>
      <c r="F16" s="480"/>
      <c r="G16"/>
      <c r="H16"/>
      <c r="I16"/>
      <c r="J16"/>
      <c r="K16"/>
      <c r="L16"/>
      <c r="M16"/>
      <c r="N16"/>
      <c r="O16"/>
    </row>
    <row r="17" spans="2:19">
      <c r="B17" t="s">
        <v>149</v>
      </c>
      <c r="D17"/>
      <c r="E17"/>
      <c r="F17" s="175">
        <f>Imports_Fossil!E6</f>
        <v>5.6772421955803125</v>
      </c>
      <c r="G17" s="175">
        <f>Imports_Fossil!F6</f>
        <v>5.9205525753908965</v>
      </c>
      <c r="H17" s="175">
        <f>Imports_Fossil!G6</f>
        <v>9.0024840529916368</v>
      </c>
      <c r="I17" s="175">
        <f>Imports_Fossil!H6</f>
        <v>10.543449791792009</v>
      </c>
      <c r="J17" s="175">
        <f>Imports_Fossil!I6</f>
        <v>12.348184440837489</v>
      </c>
      <c r="K17"/>
      <c r="L17" s="192" t="str">
        <f>Imports_Fossil!J6</f>
        <v>WEO2016 potential - Current Policies Scenario</v>
      </c>
      <c r="M17"/>
      <c r="N17"/>
      <c r="O17"/>
    </row>
    <row r="18" spans="2:19">
      <c r="B18"/>
      <c r="D18"/>
      <c r="E18"/>
      <c r="F18" s="191">
        <f>F17*F15/F19</f>
        <v>11.952088832800658</v>
      </c>
      <c r="G18" s="191">
        <f>G17*G15/G19</f>
        <v>12.464321211349256</v>
      </c>
      <c r="H18" s="191">
        <f t="shared" ref="H18:J18" si="2">H17*H15/H19</f>
        <v>19.03112644383485</v>
      </c>
      <c r="I18" s="191">
        <f t="shared" si="2"/>
        <v>22.288706645932713</v>
      </c>
      <c r="J18" s="191">
        <f t="shared" si="2"/>
        <v>25.99617777018419</v>
      </c>
      <c r="K18"/>
      <c r="L18" t="s">
        <v>156</v>
      </c>
      <c r="M18"/>
      <c r="N18"/>
      <c r="O18"/>
    </row>
    <row r="19" spans="2:19">
      <c r="B19" t="s">
        <v>148</v>
      </c>
      <c r="D19">
        <v>900</v>
      </c>
      <c r="E19"/>
      <c r="F19" s="175">
        <f t="shared" ref="F19:J19" si="3">$D$19*8760*3.6*10^-6</f>
        <v>28.382399999999997</v>
      </c>
      <c r="G19" s="175">
        <f t="shared" si="3"/>
        <v>28.382399999999997</v>
      </c>
      <c r="H19" s="175">
        <f t="shared" si="3"/>
        <v>28.382399999999997</v>
      </c>
      <c r="I19" s="175">
        <f t="shared" si="3"/>
        <v>28.382399999999997</v>
      </c>
      <c r="J19" s="175">
        <f t="shared" si="3"/>
        <v>28.382399999999997</v>
      </c>
      <c r="K19"/>
      <c r="L19" t="s">
        <v>10</v>
      </c>
      <c r="M19" t="s">
        <v>147</v>
      </c>
      <c r="N19"/>
      <c r="O19"/>
    </row>
    <row r="20" spans="2:19">
      <c r="B20" t="s">
        <v>146</v>
      </c>
      <c r="D20">
        <v>3</v>
      </c>
      <c r="E20"/>
      <c r="F20" s="48">
        <f t="shared" ref="F20:J20" si="4">$D$20/3.6</f>
        <v>0.83333333333333326</v>
      </c>
      <c r="G20" s="48">
        <f t="shared" si="4"/>
        <v>0.83333333333333326</v>
      </c>
      <c r="H20" s="48">
        <f t="shared" si="4"/>
        <v>0.83333333333333326</v>
      </c>
      <c r="I20" s="48">
        <f t="shared" si="4"/>
        <v>0.83333333333333326</v>
      </c>
      <c r="J20" s="48">
        <f t="shared" si="4"/>
        <v>0.83333333333333326</v>
      </c>
      <c r="K20"/>
      <c r="L20" t="s">
        <v>145</v>
      </c>
      <c r="M20" t="s">
        <v>144</v>
      </c>
      <c r="N20"/>
      <c r="O20"/>
    </row>
    <row r="21" spans="2:19">
      <c r="B21"/>
      <c r="C21"/>
      <c r="D21"/>
      <c r="E21"/>
      <c r="F21" s="480"/>
      <c r="G21"/>
      <c r="H21"/>
      <c r="I21"/>
      <c r="J21"/>
      <c r="K21"/>
      <c r="L21"/>
      <c r="M21"/>
      <c r="N21"/>
      <c r="O21"/>
    </row>
    <row r="22" spans="2:19">
      <c r="B22"/>
      <c r="C22"/>
      <c r="D22"/>
      <c r="E22"/>
      <c r="F22" s="190">
        <f t="shared" ref="F22" si="5">F18+F20</f>
        <v>12.785422166133992</v>
      </c>
      <c r="G22" s="190">
        <f t="shared" ref="G22:J22" si="6">G18+G20</f>
        <v>13.29765454468259</v>
      </c>
      <c r="H22" s="190">
        <f t="shared" si="6"/>
        <v>19.864459777168182</v>
      </c>
      <c r="I22" s="190">
        <f t="shared" si="6"/>
        <v>23.122039979266045</v>
      </c>
      <c r="J22" s="190">
        <f t="shared" si="6"/>
        <v>26.829511103517522</v>
      </c>
      <c r="K22"/>
      <c r="L22" s="189" t="s">
        <v>143</v>
      </c>
      <c r="M22" t="s">
        <v>142</v>
      </c>
      <c r="N22"/>
      <c r="O22" t="s">
        <v>141</v>
      </c>
    </row>
    <row r="23" spans="2:19"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</row>
    <row r="24" spans="2:19">
      <c r="B24"/>
      <c r="C24"/>
      <c r="D24"/>
      <c r="E24"/>
      <c r="F24" s="41"/>
      <c r="G24" s="41"/>
      <c r="H24" s="41"/>
      <c r="I24" s="194"/>
      <c r="J24" s="194"/>
      <c r="K24" s="195"/>
      <c r="L24" s="195"/>
      <c r="M24"/>
      <c r="N24"/>
      <c r="O24"/>
      <c r="P24"/>
      <c r="Q24"/>
    </row>
    <row r="25" spans="2:19">
      <c r="B25"/>
      <c r="C25"/>
      <c r="D25"/>
      <c r="E25"/>
      <c r="F25" s="41"/>
      <c r="G25" s="41"/>
      <c r="H25" s="41"/>
      <c r="I25" s="41"/>
      <c r="J25" s="41"/>
      <c r="K25" s="41"/>
      <c r="L25" s="41"/>
      <c r="M25"/>
      <c r="N25"/>
      <c r="O25"/>
      <c r="P25"/>
      <c r="Q25"/>
    </row>
    <row r="26" spans="2:19"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</row>
    <row r="27" spans="2:19"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</row>
    <row r="28" spans="2:19"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</row>
    <row r="29" spans="2:19"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2:19"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</row>
    <row r="31" spans="2:19"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</row>
    <row r="32" spans="2:19"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</row>
    <row r="33" spans="2:19"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</row>
    <row r="34" spans="2:19"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</row>
    <row r="35" spans="2:19"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</row>
    <row r="36" spans="2:19"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</row>
  </sheetData>
  <mergeCells count="2">
    <mergeCell ref="L7:M7"/>
    <mergeCell ref="F7:J7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7AC73-3506-47A0-A87E-4DEE2B4424AC}">
  <sheetPr codeName="Sheet11"/>
  <dimension ref="A1:F11"/>
  <sheetViews>
    <sheetView workbookViewId="0">
      <selection activeCell="M30" sqref="M30"/>
    </sheetView>
  </sheetViews>
  <sheetFormatPr defaultColWidth="9.140625" defaultRowHeight="15"/>
  <cols>
    <col min="1" max="1" width="9.140625" style="460"/>
    <col min="2" max="2" width="18.85546875" style="460" customWidth="1"/>
    <col min="3" max="16384" width="9.140625" style="460"/>
  </cols>
  <sheetData>
    <row r="1" spans="1:6">
      <c r="A1" s="472" t="s">
        <v>343</v>
      </c>
      <c r="B1" s="472"/>
      <c r="C1" s="473"/>
      <c r="D1" s="473"/>
      <c r="E1" s="473"/>
    </row>
    <row r="4" spans="1:6">
      <c r="B4" s="2" t="s">
        <v>344</v>
      </c>
    </row>
    <row r="5" spans="1:6" ht="15.75" thickBot="1">
      <c r="B5" s="474" t="s">
        <v>16</v>
      </c>
      <c r="C5" s="475" t="str">
        <f>Commodities!C50</f>
        <v>SUPNGA</v>
      </c>
      <c r="D5" s="475" t="str">
        <f>Commodities!C49</f>
        <v>SUPCOA</v>
      </c>
      <c r="E5" s="475" t="str">
        <f>Commodities!C53</f>
        <v>SUPWAS</v>
      </c>
      <c r="F5" s="475" t="s">
        <v>345</v>
      </c>
    </row>
    <row r="6" spans="1:6">
      <c r="B6" s="460" t="str">
        <f>Commodities!C64</f>
        <v>SUPCO2N</v>
      </c>
      <c r="C6" s="151">
        <v>56.1</v>
      </c>
      <c r="D6" s="151">
        <v>96.1</v>
      </c>
      <c r="E6" s="151">
        <v>75.3</v>
      </c>
      <c r="F6" s="151" t="s">
        <v>346</v>
      </c>
    </row>
    <row r="7" spans="1:6">
      <c r="B7" s="460" t="str">
        <f>Commodities!C60</f>
        <v>SUPCH4N</v>
      </c>
      <c r="C7" s="151"/>
      <c r="D7" s="151"/>
      <c r="E7" s="151"/>
    </row>
    <row r="8" spans="1:6">
      <c r="B8" s="460" t="str">
        <f>Commodities!C63</f>
        <v>SUPSO2N</v>
      </c>
      <c r="C8" s="151"/>
      <c r="D8" s="151"/>
      <c r="E8" s="151"/>
    </row>
    <row r="9" spans="1:6">
      <c r="B9" s="460" t="str">
        <f>Commodities!C67</f>
        <v>SUPNOXN</v>
      </c>
      <c r="C9" s="151"/>
      <c r="D9" s="151"/>
      <c r="E9" s="151"/>
    </row>
    <row r="10" spans="1:6">
      <c r="B10" s="459" t="str">
        <f>Commodities!C68</f>
        <v>SUPPM10</v>
      </c>
    </row>
    <row r="11" spans="1:6">
      <c r="B11" s="459" t="str">
        <f>Commodities!C69</f>
        <v>SUPPM25</v>
      </c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2">
    <tabColor rgb="FFFF0000"/>
  </sheetPr>
  <dimension ref="A1:Z57"/>
  <sheetViews>
    <sheetView zoomScale="90" zoomScaleNormal="90" workbookViewId="0">
      <pane xSplit="1" topLeftCell="B1" activePane="topRight" state="frozen"/>
      <selection activeCell="D3" sqref="D3"/>
      <selection pane="topRight" activeCell="A3" sqref="A3"/>
    </sheetView>
  </sheetViews>
  <sheetFormatPr defaultRowHeight="15"/>
  <cols>
    <col min="1" max="1" width="20.42578125" customWidth="1"/>
    <col min="2" max="7" width="12" customWidth="1"/>
  </cols>
  <sheetData>
    <row r="1" spans="1:22">
      <c r="A1" s="152" t="s">
        <v>108</v>
      </c>
      <c r="B1" s="145" t="s">
        <v>109</v>
      </c>
      <c r="C1" s="145"/>
      <c r="D1" s="145"/>
      <c r="E1" s="145"/>
      <c r="F1" s="145"/>
      <c r="G1" s="145"/>
      <c r="H1" s="145"/>
      <c r="I1" s="145"/>
      <c r="J1" s="120" t="s">
        <v>110</v>
      </c>
      <c r="P1" s="698" t="s">
        <v>111</v>
      </c>
      <c r="Q1" s="698"/>
    </row>
    <row r="2" spans="1:22">
      <c r="H2" s="145"/>
      <c r="I2" s="145"/>
      <c r="J2" s="61" t="s">
        <v>112</v>
      </c>
      <c r="K2" s="64">
        <v>41.868000000000002</v>
      </c>
      <c r="L2" s="61" t="s">
        <v>113</v>
      </c>
      <c r="P2" s="153" t="s">
        <v>114</v>
      </c>
      <c r="Q2" s="154">
        <v>2010</v>
      </c>
    </row>
    <row r="3" spans="1:22" ht="15.75" thickBot="1">
      <c r="A3" s="155" t="s">
        <v>115</v>
      </c>
      <c r="B3" s="167"/>
      <c r="H3" s="145"/>
      <c r="I3" s="145"/>
      <c r="J3" s="61" t="s">
        <v>116</v>
      </c>
      <c r="K3" s="156">
        <v>4.1868000000000002E-2</v>
      </c>
      <c r="L3" s="61" t="s">
        <v>10</v>
      </c>
      <c r="P3" s="157">
        <v>36861</v>
      </c>
      <c r="Q3" s="158">
        <v>127.61664564943254</v>
      </c>
    </row>
    <row r="4" spans="1:22">
      <c r="A4" s="159" t="s">
        <v>117</v>
      </c>
      <c r="H4" s="145"/>
      <c r="I4" s="145"/>
      <c r="J4" s="41"/>
      <c r="K4" s="160"/>
      <c r="L4" s="41"/>
      <c r="P4" s="145" t="s">
        <v>118</v>
      </c>
      <c r="Q4" s="145"/>
    </row>
    <row r="5" spans="1:22" ht="15.75" thickBot="1">
      <c r="A5" s="161" t="s">
        <v>119</v>
      </c>
      <c r="H5" s="145"/>
      <c r="I5" s="162" t="s">
        <v>120</v>
      </c>
      <c r="J5" s="145"/>
    </row>
    <row r="6" spans="1:22" ht="15.75" thickBot="1">
      <c r="A6" s="163"/>
      <c r="B6" s="164" t="s">
        <v>18</v>
      </c>
      <c r="C6" s="164">
        <v>2010</v>
      </c>
      <c r="D6" s="164">
        <v>2015</v>
      </c>
      <c r="E6" s="164">
        <v>2020</v>
      </c>
      <c r="F6" s="164">
        <v>2025</v>
      </c>
      <c r="G6" s="164">
        <v>2030</v>
      </c>
      <c r="H6" s="145"/>
      <c r="I6" s="165" t="s">
        <v>18</v>
      </c>
      <c r="J6" s="165">
        <v>2010</v>
      </c>
      <c r="K6" s="165">
        <v>2015</v>
      </c>
      <c r="L6" s="165">
        <v>2020</v>
      </c>
      <c r="M6" s="165">
        <v>2025</v>
      </c>
      <c r="N6" s="165">
        <v>2030</v>
      </c>
      <c r="P6" s="161" t="s">
        <v>119</v>
      </c>
    </row>
    <row r="7" spans="1:22" ht="15.75" thickBot="1">
      <c r="A7" s="166" t="s">
        <v>121</v>
      </c>
      <c r="B7" s="167" t="s">
        <v>122</v>
      </c>
      <c r="C7" s="168">
        <v>9358</v>
      </c>
      <c r="D7" s="167">
        <v>0</v>
      </c>
      <c r="E7" s="168">
        <v>24163</v>
      </c>
      <c r="F7" s="168">
        <v>139233</v>
      </c>
      <c r="G7" s="168">
        <v>470124</v>
      </c>
      <c r="H7" s="145"/>
      <c r="I7" s="139" t="s">
        <v>10</v>
      </c>
      <c r="J7" s="121">
        <f>C7*$K$3/1000</f>
        <v>0.39180074400000003</v>
      </c>
      <c r="K7" s="121">
        <f t="shared" ref="K7:N7" si="0">D7*$K$3/1000</f>
        <v>0</v>
      </c>
      <c r="L7" s="121">
        <f t="shared" si="0"/>
        <v>1.0116564840000002</v>
      </c>
      <c r="M7" s="121">
        <f t="shared" si="0"/>
        <v>5.8294072440000004</v>
      </c>
      <c r="N7" s="121">
        <f t="shared" si="0"/>
        <v>19.683151632000001</v>
      </c>
      <c r="P7" s="169" t="s">
        <v>123</v>
      </c>
      <c r="Q7" s="170"/>
      <c r="R7" s="170"/>
      <c r="S7" s="170"/>
    </row>
    <row r="8" spans="1:22" ht="15.75" thickBot="1">
      <c r="A8" s="166" t="s">
        <v>121</v>
      </c>
      <c r="B8" s="167" t="s">
        <v>124</v>
      </c>
      <c r="C8" s="167">
        <v>288</v>
      </c>
      <c r="D8" s="167">
        <v>162</v>
      </c>
      <c r="E8" s="167">
        <v>126</v>
      </c>
      <c r="F8" s="167">
        <v>106</v>
      </c>
      <c r="G8" s="167">
        <v>98</v>
      </c>
      <c r="H8" s="145"/>
      <c r="I8" s="139" t="s">
        <v>51</v>
      </c>
      <c r="J8" s="121">
        <f>C8/$K$2</f>
        <v>6.8787618228718825</v>
      </c>
      <c r="K8" s="121">
        <f t="shared" ref="K8:N8" si="1">D8/$K$2</f>
        <v>3.8693035253654342</v>
      </c>
      <c r="L8" s="121">
        <f t="shared" si="1"/>
        <v>3.0094582975064488</v>
      </c>
      <c r="M8" s="121">
        <f t="shared" si="1"/>
        <v>2.5317665042514568</v>
      </c>
      <c r="N8" s="121">
        <f t="shared" si="1"/>
        <v>2.3406897869494601</v>
      </c>
      <c r="P8" s="171" t="s">
        <v>125</v>
      </c>
      <c r="Q8" s="170"/>
      <c r="R8" s="170"/>
      <c r="S8" s="170"/>
    </row>
    <row r="9" spans="1:22" ht="15.75" thickBot="1">
      <c r="A9" s="166" t="s">
        <v>126</v>
      </c>
      <c r="B9" s="167" t="s">
        <v>122</v>
      </c>
      <c r="C9" s="168">
        <v>28075</v>
      </c>
      <c r="D9" s="167">
        <v>0</v>
      </c>
      <c r="E9" s="168">
        <v>72490</v>
      </c>
      <c r="F9" s="168">
        <v>417699</v>
      </c>
      <c r="G9" s="168">
        <v>1410371</v>
      </c>
      <c r="H9" s="145"/>
      <c r="I9" s="139" t="s">
        <v>10</v>
      </c>
      <c r="J9" s="121">
        <f>C9*$K$3/1000</f>
        <v>1.1754441000000002</v>
      </c>
      <c r="K9" s="121">
        <f t="shared" ref="K9:N9" si="2">D9*$K$3/1000</f>
        <v>0</v>
      </c>
      <c r="L9" s="121">
        <f t="shared" si="2"/>
        <v>3.0350113200000002</v>
      </c>
      <c r="M9" s="121">
        <f t="shared" si="2"/>
        <v>17.488221732000003</v>
      </c>
      <c r="N9" s="121">
        <f t="shared" si="2"/>
        <v>59.049413028000004</v>
      </c>
      <c r="P9" s="169" t="s">
        <v>127</v>
      </c>
      <c r="Q9" s="170"/>
      <c r="R9" s="170"/>
      <c r="S9" s="170"/>
    </row>
    <row r="10" spans="1:22" ht="15.75" thickBot="1">
      <c r="A10" s="166" t="s">
        <v>126</v>
      </c>
      <c r="B10" s="167" t="s">
        <v>124</v>
      </c>
      <c r="C10" s="167">
        <v>590</v>
      </c>
      <c r="D10" s="167">
        <v>385</v>
      </c>
      <c r="E10" s="167">
        <v>300</v>
      </c>
      <c r="F10" s="167">
        <v>251</v>
      </c>
      <c r="G10" s="167">
        <v>232</v>
      </c>
      <c r="H10" s="145"/>
      <c r="I10" s="139" t="s">
        <v>51</v>
      </c>
      <c r="J10" s="121">
        <f>C10/$K$2</f>
        <v>14.09190790102226</v>
      </c>
      <c r="K10" s="121">
        <f t="shared" ref="K10:N10" si="3">D10/$K$2</f>
        <v>9.1955670201585935</v>
      </c>
      <c r="L10" s="121">
        <f t="shared" si="3"/>
        <v>7.1653768988248778</v>
      </c>
      <c r="M10" s="121">
        <f t="shared" si="3"/>
        <v>5.995032005350148</v>
      </c>
      <c r="N10" s="121">
        <f t="shared" si="3"/>
        <v>5.5412248017579051</v>
      </c>
      <c r="P10" s="171" t="s">
        <v>128</v>
      </c>
      <c r="Q10" s="170"/>
      <c r="R10" s="170"/>
      <c r="S10" s="170"/>
    </row>
    <row r="11" spans="1:22" ht="15.75" thickBot="1">
      <c r="A11" s="166" t="s">
        <v>106</v>
      </c>
      <c r="B11" s="167" t="s">
        <v>122</v>
      </c>
      <c r="C11" s="168">
        <v>535616</v>
      </c>
      <c r="D11" s="168">
        <v>310101</v>
      </c>
      <c r="E11" s="168">
        <v>6531</v>
      </c>
      <c r="F11" s="168">
        <v>43493</v>
      </c>
      <c r="G11" s="168">
        <v>130927</v>
      </c>
      <c r="H11" s="145"/>
      <c r="I11" s="139" t="s">
        <v>10</v>
      </c>
      <c r="J11" s="121">
        <f>C11*$K$3/1000</f>
        <v>22.425170688000001</v>
      </c>
      <c r="K11" s="121">
        <f t="shared" ref="K11:N11" si="4">D11*$K$3/1000</f>
        <v>12.983308668000001</v>
      </c>
      <c r="L11" s="121">
        <f t="shared" si="4"/>
        <v>0.27343990800000001</v>
      </c>
      <c r="M11" s="121">
        <f t="shared" si="4"/>
        <v>1.8209649240000001</v>
      </c>
      <c r="N11" s="121">
        <f t="shared" si="4"/>
        <v>5.4816516360000005</v>
      </c>
    </row>
    <row r="12" spans="1:22" ht="15.75" thickBot="1">
      <c r="A12" s="166" t="s">
        <v>106</v>
      </c>
      <c r="B12" s="167" t="s">
        <v>124</v>
      </c>
      <c r="C12" s="167">
        <v>779</v>
      </c>
      <c r="D12" s="167">
        <v>740</v>
      </c>
      <c r="E12" s="167">
        <v>693</v>
      </c>
      <c r="F12" s="167">
        <v>630</v>
      </c>
      <c r="G12" s="167">
        <v>577</v>
      </c>
      <c r="H12" s="145"/>
      <c r="I12" s="139" t="s">
        <v>51</v>
      </c>
      <c r="J12" s="121">
        <f>C12/$K$2</f>
        <v>18.606095347281933</v>
      </c>
      <c r="K12" s="121">
        <f t="shared" ref="K12:N12" si="5">D12/$K$2</f>
        <v>17.674596350434697</v>
      </c>
      <c r="L12" s="121">
        <f t="shared" si="5"/>
        <v>16.552020636285469</v>
      </c>
      <c r="M12" s="121">
        <f t="shared" si="5"/>
        <v>15.047291487532243</v>
      </c>
      <c r="N12" s="121">
        <f t="shared" si="5"/>
        <v>13.781408235406515</v>
      </c>
    </row>
    <row r="13" spans="1:22" ht="15.75" thickBot="1">
      <c r="A13" s="166" t="s">
        <v>107</v>
      </c>
      <c r="B13" s="167" t="s">
        <v>122</v>
      </c>
      <c r="C13" s="168">
        <v>106129</v>
      </c>
      <c r="D13" s="167">
        <v>75725</v>
      </c>
      <c r="E13" s="167">
        <v>0</v>
      </c>
      <c r="F13" s="167">
        <v>0</v>
      </c>
      <c r="G13" s="167">
        <v>0</v>
      </c>
      <c r="H13" s="145"/>
      <c r="I13" s="139" t="s">
        <v>10</v>
      </c>
      <c r="J13" s="121">
        <f>C13*$K$3/1000</f>
        <v>4.4434089720000003</v>
      </c>
      <c r="K13" s="121">
        <f>D13*$K$3/1000</f>
        <v>3.1704543000000003</v>
      </c>
      <c r="L13" s="121">
        <f t="shared" ref="L13:N13" si="6">E13*$K$3/1000</f>
        <v>0</v>
      </c>
      <c r="M13" s="121">
        <f t="shared" si="6"/>
        <v>0</v>
      </c>
      <c r="N13" s="121">
        <f t="shared" si="6"/>
        <v>0</v>
      </c>
    </row>
    <row r="14" spans="1:22" ht="15.75" thickBot="1">
      <c r="A14" s="166" t="s">
        <v>107</v>
      </c>
      <c r="B14" s="167" t="s">
        <v>124</v>
      </c>
      <c r="C14" s="168">
        <v>1209</v>
      </c>
      <c r="D14" s="168">
        <v>1276</v>
      </c>
      <c r="E14" s="168">
        <v>1312</v>
      </c>
      <c r="F14" s="168">
        <v>1218</v>
      </c>
      <c r="G14" s="168">
        <v>1156</v>
      </c>
      <c r="H14" s="145"/>
      <c r="I14" s="139" t="s">
        <v>51</v>
      </c>
      <c r="J14" s="121">
        <f>C14/$K$2</f>
        <v>28.876468902264257</v>
      </c>
      <c r="K14" s="121">
        <f t="shared" ref="K14:N14" si="7">D14/$K$2</f>
        <v>30.476736409668479</v>
      </c>
      <c r="L14" s="121">
        <f t="shared" si="7"/>
        <v>31.336581637527466</v>
      </c>
      <c r="M14" s="121">
        <f t="shared" si="7"/>
        <v>29.091430209229003</v>
      </c>
      <c r="N14" s="121">
        <f t="shared" si="7"/>
        <v>27.610585650138528</v>
      </c>
    </row>
    <row r="15" spans="1:22">
      <c r="A15" s="172"/>
      <c r="H15" s="145"/>
      <c r="I15" s="145"/>
      <c r="J15" s="145"/>
    </row>
    <row r="16" spans="1:22" ht="15.75" thickBot="1">
      <c r="A16" s="173" t="s">
        <v>123</v>
      </c>
      <c r="B16" s="66"/>
      <c r="C16" s="66"/>
      <c r="D16" s="66"/>
      <c r="E16" s="66"/>
      <c r="F16" s="66"/>
      <c r="G16" s="66"/>
      <c r="H16" s="145"/>
      <c r="I16" s="162" t="s">
        <v>120</v>
      </c>
      <c r="J16" s="145"/>
      <c r="P16" t="s">
        <v>129</v>
      </c>
      <c r="V16" s="162" t="s">
        <v>130</v>
      </c>
    </row>
    <row r="17" spans="1:26" ht="15.75" thickBot="1">
      <c r="A17" s="163"/>
      <c r="B17" s="164" t="s">
        <v>18</v>
      </c>
      <c r="C17" s="164">
        <v>2010</v>
      </c>
      <c r="D17" s="164">
        <v>2015</v>
      </c>
      <c r="E17" s="164">
        <v>2020</v>
      </c>
      <c r="F17" s="164">
        <v>2025</v>
      </c>
      <c r="G17" s="164">
        <v>2030</v>
      </c>
      <c r="H17" s="145"/>
      <c r="I17" s="165" t="s">
        <v>18</v>
      </c>
      <c r="J17" s="165">
        <v>2010</v>
      </c>
      <c r="K17" s="165">
        <v>2015</v>
      </c>
      <c r="L17" s="165">
        <v>2020</v>
      </c>
      <c r="M17" s="165">
        <v>2025</v>
      </c>
      <c r="N17" s="165">
        <v>2030</v>
      </c>
      <c r="P17" s="174">
        <v>2010</v>
      </c>
      <c r="Q17" s="174">
        <v>2015</v>
      </c>
      <c r="R17" s="174">
        <v>2020</v>
      </c>
      <c r="S17" s="174">
        <v>2025</v>
      </c>
      <c r="T17" s="174">
        <v>2030</v>
      </c>
      <c r="V17" s="174">
        <v>2010</v>
      </c>
      <c r="W17" s="174">
        <v>2015</v>
      </c>
      <c r="X17" s="174">
        <v>2020</v>
      </c>
      <c r="Y17" s="174">
        <v>2025</v>
      </c>
      <c r="Z17" s="174">
        <v>2030</v>
      </c>
    </row>
    <row r="18" spans="1:26" ht="15.75" thickBot="1">
      <c r="A18" s="166" t="s">
        <v>121</v>
      </c>
      <c r="B18" s="167" t="s">
        <v>122</v>
      </c>
      <c r="C18" s="168">
        <v>7640</v>
      </c>
      <c r="D18" s="168">
        <v>7551</v>
      </c>
      <c r="E18" s="168">
        <v>141276</v>
      </c>
      <c r="F18" s="168">
        <v>452161</v>
      </c>
      <c r="G18" s="168">
        <v>1150679</v>
      </c>
      <c r="H18" s="145"/>
      <c r="I18" s="139" t="s">
        <v>10</v>
      </c>
      <c r="J18" s="121">
        <f>C18*$K$3/1000</f>
        <v>0.31987152000000002</v>
      </c>
      <c r="K18" s="121">
        <f t="shared" ref="K18:N18" si="8">D18*$K$3/1000</f>
        <v>0.31614526800000003</v>
      </c>
      <c r="L18" s="121">
        <f t="shared" si="8"/>
        <v>5.9149435680000009</v>
      </c>
      <c r="M18" s="121">
        <f t="shared" si="8"/>
        <v>18.931076747999999</v>
      </c>
      <c r="N18" s="121">
        <f t="shared" si="8"/>
        <v>48.176628371999996</v>
      </c>
      <c r="O18" s="145"/>
      <c r="P18" s="175"/>
    </row>
    <row r="19" spans="1:26" ht="15.75" thickBot="1">
      <c r="A19" s="166" t="s">
        <v>121</v>
      </c>
      <c r="B19" s="167" t="s">
        <v>124</v>
      </c>
      <c r="C19" s="167">
        <v>288</v>
      </c>
      <c r="D19" s="167">
        <v>218</v>
      </c>
      <c r="E19" s="167">
        <v>174</v>
      </c>
      <c r="F19" s="167">
        <v>149</v>
      </c>
      <c r="G19" s="167">
        <v>142</v>
      </c>
      <c r="H19" s="145"/>
      <c r="I19" s="139" t="s">
        <v>51</v>
      </c>
      <c r="J19" s="121">
        <f>C19/$K$2</f>
        <v>6.8787618228718825</v>
      </c>
      <c r="K19" s="121">
        <f t="shared" ref="K19:N19" si="9">D19/$K$2</f>
        <v>5.2068405464794116</v>
      </c>
      <c r="L19" s="121">
        <f t="shared" si="9"/>
        <v>4.1559186013184295</v>
      </c>
      <c r="M19" s="121">
        <f t="shared" si="9"/>
        <v>3.5588038597496894</v>
      </c>
      <c r="N19" s="121">
        <f t="shared" si="9"/>
        <v>3.3916117321104422</v>
      </c>
      <c r="P19" s="176">
        <f>J19/$J19</f>
        <v>1</v>
      </c>
      <c r="Q19" s="176">
        <f>K19/$J19</f>
        <v>0.75694444444444453</v>
      </c>
      <c r="R19" s="176">
        <f t="shared" ref="R19:T19" si="10">L19/$J19</f>
        <v>0.60416666666666674</v>
      </c>
      <c r="S19" s="176">
        <f t="shared" si="10"/>
        <v>0.51736111111111116</v>
      </c>
      <c r="T19" s="176">
        <f t="shared" si="10"/>
        <v>0.49305555555555558</v>
      </c>
      <c r="V19" s="177">
        <f>J19*100/$Q$3</f>
        <v>5.3901760133768803</v>
      </c>
      <c r="W19" s="177">
        <f t="shared" ref="W19:Z19" si="11">K19*100/$Q$3</f>
        <v>4.0800637879033328</v>
      </c>
      <c r="X19" s="177">
        <f t="shared" si="11"/>
        <v>3.2565646747485322</v>
      </c>
      <c r="Y19" s="177">
        <f t="shared" si="11"/>
        <v>2.788667451365122</v>
      </c>
      <c r="Z19" s="177">
        <f t="shared" si="11"/>
        <v>2.6576562288177672</v>
      </c>
    </row>
    <row r="20" spans="1:26" ht="15.75" thickBot="1">
      <c r="A20" s="166" t="s">
        <v>126</v>
      </c>
      <c r="B20" s="167" t="s">
        <v>122</v>
      </c>
      <c r="C20" s="168">
        <v>22921</v>
      </c>
      <c r="D20" s="168">
        <v>22653</v>
      </c>
      <c r="E20" s="168">
        <v>423827</v>
      </c>
      <c r="F20" s="168">
        <v>1356482</v>
      </c>
      <c r="G20" s="168">
        <v>3452038</v>
      </c>
      <c r="H20" s="145"/>
      <c r="I20" s="139" t="s">
        <v>10</v>
      </c>
      <c r="J20" s="121">
        <f>C20*$K$3/1000</f>
        <v>0.95965642799999995</v>
      </c>
      <c r="K20" s="121">
        <f t="shared" ref="K20:N20" si="12">D20*$K$3/1000</f>
        <v>0.94843580400000005</v>
      </c>
      <c r="L20" s="121">
        <f t="shared" si="12"/>
        <v>17.744788836000001</v>
      </c>
      <c r="M20" s="121">
        <f t="shared" si="12"/>
        <v>56.793188376000003</v>
      </c>
      <c r="N20" s="121">
        <f t="shared" si="12"/>
        <v>144.52992698400001</v>
      </c>
    </row>
    <row r="21" spans="1:26" ht="15.75" thickBot="1">
      <c r="A21" s="166" t="s">
        <v>126</v>
      </c>
      <c r="B21" s="167" t="s">
        <v>124</v>
      </c>
      <c r="C21" s="167">
        <v>590</v>
      </c>
      <c r="D21" s="167">
        <v>446</v>
      </c>
      <c r="E21" s="167">
        <v>356</v>
      </c>
      <c r="F21" s="167">
        <v>305</v>
      </c>
      <c r="G21" s="167">
        <v>291</v>
      </c>
      <c r="H21" s="145"/>
      <c r="I21" s="139" t="s">
        <v>51</v>
      </c>
      <c r="J21" s="121">
        <f>C21/$K$2</f>
        <v>14.09190790102226</v>
      </c>
      <c r="K21" s="121">
        <f t="shared" ref="K21:N21" si="13">D21/$K$2</f>
        <v>10.652526989586319</v>
      </c>
      <c r="L21" s="121">
        <f t="shared" si="13"/>
        <v>8.5029139199388553</v>
      </c>
      <c r="M21" s="121">
        <f t="shared" si="13"/>
        <v>7.2847998471386255</v>
      </c>
      <c r="N21" s="121">
        <f t="shared" si="13"/>
        <v>6.9504155918601311</v>
      </c>
      <c r="P21" s="176">
        <f>J21/$J21</f>
        <v>1</v>
      </c>
      <c r="Q21" s="176">
        <f t="shared" ref="Q21:T21" si="14">K21/$J21</f>
        <v>0.75593220338983047</v>
      </c>
      <c r="R21" s="176">
        <f t="shared" si="14"/>
        <v>0.60338983050847461</v>
      </c>
      <c r="S21" s="176">
        <f t="shared" si="14"/>
        <v>0.51694915254237284</v>
      </c>
      <c r="T21" s="176">
        <f t="shared" si="14"/>
        <v>0.49322033898305079</v>
      </c>
      <c r="V21" s="177">
        <f>J21*100/$Q$3</f>
        <v>11.04237447184847</v>
      </c>
      <c r="W21" s="177">
        <f t="shared" ref="W21:Z21" si="15">K21*100/$Q$3</f>
        <v>8.3472864651600283</v>
      </c>
      <c r="X21" s="177">
        <f t="shared" si="15"/>
        <v>6.6628564609797554</v>
      </c>
      <c r="Y21" s="177">
        <f t="shared" si="15"/>
        <v>5.7083461252775987</v>
      </c>
      <c r="Z21" s="177">
        <f t="shared" si="15"/>
        <v>5.4463236801828891</v>
      </c>
    </row>
    <row r="22" spans="1:26" ht="15.75" thickBot="1">
      <c r="A22" s="166" t="s">
        <v>106</v>
      </c>
      <c r="B22" s="167" t="s">
        <v>122</v>
      </c>
      <c r="C22" s="168">
        <v>781304</v>
      </c>
      <c r="D22" s="168">
        <v>791507</v>
      </c>
      <c r="E22" s="168">
        <v>441100</v>
      </c>
      <c r="F22" s="168">
        <v>807242</v>
      </c>
      <c r="G22" s="168">
        <v>1351788</v>
      </c>
      <c r="H22" s="145"/>
      <c r="I22" s="139" t="s">
        <v>10</v>
      </c>
      <c r="J22" s="121">
        <f>C22*$K$3/1000</f>
        <v>32.711635872000002</v>
      </c>
      <c r="K22" s="121">
        <f t="shared" ref="K22:N22" si="16">D22*$K$3/1000</f>
        <v>33.138815076</v>
      </c>
      <c r="L22" s="121">
        <f t="shared" si="16"/>
        <v>18.4679748</v>
      </c>
      <c r="M22" s="121">
        <f t="shared" si="16"/>
        <v>33.797608056000001</v>
      </c>
      <c r="N22" s="121">
        <f t="shared" si="16"/>
        <v>56.596659984000006</v>
      </c>
      <c r="P22" s="175"/>
    </row>
    <row r="23" spans="1:26" ht="15.75" thickBot="1">
      <c r="A23" s="166" t="s">
        <v>106</v>
      </c>
      <c r="B23" s="167" t="s">
        <v>124</v>
      </c>
      <c r="C23" s="167">
        <v>779</v>
      </c>
      <c r="D23" s="167">
        <v>761</v>
      </c>
      <c r="E23" s="167">
        <v>736</v>
      </c>
      <c r="F23" s="167">
        <v>695</v>
      </c>
      <c r="G23" s="167">
        <v>665</v>
      </c>
      <c r="H23" s="145"/>
      <c r="I23" s="139" t="s">
        <v>51</v>
      </c>
      <c r="J23" s="121">
        <f>C23/$K$2</f>
        <v>18.606095347281933</v>
      </c>
      <c r="K23" s="121">
        <f t="shared" ref="K23:N23" si="17">D23/$K$2</f>
        <v>18.176172733352441</v>
      </c>
      <c r="L23" s="121">
        <f t="shared" si="17"/>
        <v>17.579057991783699</v>
      </c>
      <c r="M23" s="121">
        <f t="shared" si="17"/>
        <v>16.599789815610968</v>
      </c>
      <c r="N23" s="121">
        <f t="shared" si="17"/>
        <v>15.883252125728479</v>
      </c>
      <c r="P23" s="176">
        <f>J23/$J23</f>
        <v>1</v>
      </c>
      <c r="Q23" s="176">
        <f t="shared" ref="Q23:T23" si="18">K23/$J23</f>
        <v>0.97689345314505782</v>
      </c>
      <c r="R23" s="176">
        <f t="shared" si="18"/>
        <v>0.9448010269576379</v>
      </c>
      <c r="S23" s="176">
        <f t="shared" si="18"/>
        <v>0.89216944801026965</v>
      </c>
      <c r="T23" s="176">
        <f t="shared" si="18"/>
        <v>0.85365853658536583</v>
      </c>
      <c r="V23" s="177">
        <f>J23*100/$Q$3</f>
        <v>14.579677480627048</v>
      </c>
      <c r="W23" s="177">
        <f t="shared" ref="W23:Z23" si="19">K23*100/$Q$3</f>
        <v>14.242791479790993</v>
      </c>
      <c r="X23" s="177">
        <f t="shared" si="19"/>
        <v>13.774894256407583</v>
      </c>
      <c r="Y23" s="177">
        <f t="shared" si="19"/>
        <v>13.007542810058791</v>
      </c>
      <c r="Z23" s="177">
        <f t="shared" si="19"/>
        <v>12.446066141998699</v>
      </c>
    </row>
    <row r="24" spans="1:26" ht="15.75" thickBot="1">
      <c r="A24" s="166" t="s">
        <v>107</v>
      </c>
      <c r="B24" s="167" t="s">
        <v>122</v>
      </c>
      <c r="C24" s="168">
        <v>101544</v>
      </c>
      <c r="D24" s="168">
        <v>112421</v>
      </c>
      <c r="E24" s="167">
        <v>0</v>
      </c>
      <c r="F24" s="167">
        <v>0</v>
      </c>
      <c r="G24" s="168">
        <v>92339</v>
      </c>
      <c r="H24" s="145"/>
      <c r="I24" s="139" t="s">
        <v>10</v>
      </c>
      <c r="J24" s="121">
        <f>C24*$K$3/1000</f>
        <v>4.2514441920000001</v>
      </c>
      <c r="K24" s="121">
        <f t="shared" ref="K24:N24" si="20">D24*$K$3/1000</f>
        <v>4.7068424279999999</v>
      </c>
      <c r="L24" s="121">
        <f t="shared" si="20"/>
        <v>0</v>
      </c>
      <c r="M24" s="121">
        <f t="shared" si="20"/>
        <v>0</v>
      </c>
      <c r="N24" s="121">
        <f t="shared" si="20"/>
        <v>3.8660492520000003</v>
      </c>
    </row>
    <row r="25" spans="1:26" ht="15.75" thickBot="1">
      <c r="A25" s="166" t="s">
        <v>107</v>
      </c>
      <c r="B25" s="167" t="s">
        <v>124</v>
      </c>
      <c r="C25" s="168">
        <v>1209</v>
      </c>
      <c r="D25" s="168">
        <v>1313</v>
      </c>
      <c r="E25" s="168">
        <v>1389</v>
      </c>
      <c r="F25" s="168">
        <v>1334</v>
      </c>
      <c r="G25" s="168">
        <v>1312</v>
      </c>
      <c r="H25" s="145"/>
      <c r="I25" s="139" t="s">
        <v>51</v>
      </c>
      <c r="J25" s="121">
        <f>C25/$K$2</f>
        <v>28.876468902264257</v>
      </c>
      <c r="K25" s="121">
        <f t="shared" ref="K25:N25" si="21">D25/$K$2</f>
        <v>31.360466227190216</v>
      </c>
      <c r="L25" s="121">
        <f t="shared" si="21"/>
        <v>33.175695041559187</v>
      </c>
      <c r="M25" s="121">
        <f t="shared" si="21"/>
        <v>31.862042610107956</v>
      </c>
      <c r="N25" s="121">
        <f t="shared" si="21"/>
        <v>31.336581637527466</v>
      </c>
      <c r="P25" s="176">
        <f>J25/$J25</f>
        <v>1</v>
      </c>
      <c r="Q25" s="176">
        <f t="shared" ref="Q25:T25" si="22">K25/$J25</f>
        <v>1.086021505376344</v>
      </c>
      <c r="R25" s="176">
        <f t="shared" si="22"/>
        <v>1.1488833746898264</v>
      </c>
      <c r="S25" s="176">
        <f t="shared" si="22"/>
        <v>1.1033912324234905</v>
      </c>
      <c r="T25" s="176">
        <f t="shared" si="22"/>
        <v>1.0851943755169562</v>
      </c>
      <c r="V25" s="177">
        <f>J25*100/$Q$3</f>
        <v>22.627509722821692</v>
      </c>
      <c r="W25" s="177">
        <f t="shared" ref="W25:Z25" si="23">K25*100/$Q$3</f>
        <v>24.573962172096682</v>
      </c>
      <c r="X25" s="177">
        <f t="shared" si="23"/>
        <v>25.996369731182249</v>
      </c>
      <c r="Y25" s="177">
        <f t="shared" si="23"/>
        <v>24.966995839738743</v>
      </c>
      <c r="Z25" s="177">
        <f t="shared" si="23"/>
        <v>24.555246283161342</v>
      </c>
    </row>
    <row r="26" spans="1:26" ht="15.75" thickBot="1">
      <c r="A26" s="161" t="s">
        <v>125</v>
      </c>
      <c r="H26" s="145"/>
      <c r="I26" s="162" t="s">
        <v>120</v>
      </c>
      <c r="J26" s="151"/>
      <c r="K26" s="139"/>
      <c r="L26" s="139"/>
      <c r="M26" s="139"/>
      <c r="N26" s="139"/>
      <c r="P26" t="s">
        <v>129</v>
      </c>
    </row>
    <row r="27" spans="1:26" ht="15.75" thickBot="1">
      <c r="A27" s="178"/>
      <c r="B27" s="164" t="s">
        <v>18</v>
      </c>
      <c r="C27" s="164">
        <v>2010</v>
      </c>
      <c r="D27" s="164">
        <v>2015</v>
      </c>
      <c r="E27" s="164">
        <v>2020</v>
      </c>
      <c r="F27" s="164">
        <v>2025</v>
      </c>
      <c r="G27" s="164">
        <v>2030</v>
      </c>
      <c r="H27" s="145"/>
      <c r="I27" s="165" t="s">
        <v>18</v>
      </c>
      <c r="J27" s="165">
        <v>2010</v>
      </c>
      <c r="K27" s="165">
        <v>2015</v>
      </c>
      <c r="L27" s="165">
        <v>2020</v>
      </c>
      <c r="M27" s="165">
        <v>2025</v>
      </c>
      <c r="N27" s="165">
        <v>2030</v>
      </c>
      <c r="P27" s="174">
        <v>2010</v>
      </c>
      <c r="Q27" s="174">
        <v>2015</v>
      </c>
      <c r="R27" s="174">
        <v>2020</v>
      </c>
      <c r="S27" s="174">
        <v>2025</v>
      </c>
      <c r="T27" s="174">
        <v>2030</v>
      </c>
      <c r="V27" s="174">
        <v>2010</v>
      </c>
      <c r="W27" s="174">
        <v>2015</v>
      </c>
      <c r="X27" s="174">
        <v>2020</v>
      </c>
      <c r="Y27" s="174">
        <v>2025</v>
      </c>
      <c r="Z27" s="174">
        <v>2030</v>
      </c>
    </row>
    <row r="28" spans="1:26" ht="15.75" thickBot="1">
      <c r="A28" s="166" t="s">
        <v>121</v>
      </c>
      <c r="B28" s="167" t="s">
        <v>122</v>
      </c>
      <c r="C28" s="168">
        <v>6382</v>
      </c>
      <c r="D28" s="168">
        <v>29323</v>
      </c>
      <c r="E28" s="168">
        <v>214410</v>
      </c>
      <c r="F28" s="168">
        <v>666226</v>
      </c>
      <c r="G28" s="168">
        <v>1885232</v>
      </c>
      <c r="H28" s="145"/>
      <c r="I28" s="139" t="s">
        <v>10</v>
      </c>
      <c r="J28" s="121">
        <f>C28*$K$3/1000</f>
        <v>0.267201576</v>
      </c>
      <c r="K28" s="121">
        <f t="shared" ref="K28:N28" si="24">D28*$K$3/1000</f>
        <v>1.2276953640000001</v>
      </c>
      <c r="L28" s="121">
        <f t="shared" si="24"/>
        <v>8.9769178800000002</v>
      </c>
      <c r="M28" s="121">
        <f t="shared" si="24"/>
        <v>27.893550168000001</v>
      </c>
      <c r="N28" s="121">
        <f t="shared" si="24"/>
        <v>78.930893376</v>
      </c>
      <c r="P28" s="175"/>
    </row>
    <row r="29" spans="1:26" ht="15.75" thickBot="1">
      <c r="A29" s="166" t="s">
        <v>121</v>
      </c>
      <c r="B29" s="167" t="s">
        <v>124</v>
      </c>
      <c r="C29" s="167">
        <v>288</v>
      </c>
      <c r="D29" s="167">
        <v>257</v>
      </c>
      <c r="E29" s="167">
        <v>211</v>
      </c>
      <c r="F29" s="167">
        <v>187</v>
      </c>
      <c r="G29" s="167">
        <v>183</v>
      </c>
      <c r="H29" s="145"/>
      <c r="I29" s="139" t="s">
        <v>51</v>
      </c>
      <c r="J29" s="121">
        <f>C29/$K$2</f>
        <v>6.8787618228718825</v>
      </c>
      <c r="K29" s="121">
        <f t="shared" ref="K29:N29" si="25">D29/$K$2</f>
        <v>6.1383395433266452</v>
      </c>
      <c r="L29" s="121">
        <f t="shared" si="25"/>
        <v>5.039648418840164</v>
      </c>
      <c r="M29" s="121">
        <f t="shared" si="25"/>
        <v>4.4664182669341734</v>
      </c>
      <c r="N29" s="121">
        <f t="shared" si="25"/>
        <v>4.3708799082831753</v>
      </c>
      <c r="P29" s="176">
        <f>J29/$J29</f>
        <v>1</v>
      </c>
      <c r="Q29" s="176">
        <f t="shared" ref="Q29:T29" si="26">K29/$J29</f>
        <v>0.89236111111111116</v>
      </c>
      <c r="R29" s="176">
        <f t="shared" si="26"/>
        <v>0.73263888888888895</v>
      </c>
      <c r="S29" s="176">
        <f t="shared" si="26"/>
        <v>0.64930555555555547</v>
      </c>
      <c r="T29" s="176">
        <f t="shared" si="26"/>
        <v>0.63541666666666663</v>
      </c>
      <c r="V29" s="177">
        <f>J29*100/$Q$3</f>
        <v>5.3901760133768803</v>
      </c>
      <c r="W29" s="177">
        <f t="shared" ref="W29:Z29" si="27">K29*100/$Q$3</f>
        <v>4.8099834563814525</v>
      </c>
      <c r="X29" s="177">
        <f t="shared" si="27"/>
        <v>3.949052565355978</v>
      </c>
      <c r="Y29" s="177">
        <f t="shared" si="27"/>
        <v>3.4998712309079045</v>
      </c>
      <c r="Z29" s="177">
        <f t="shared" si="27"/>
        <v>3.425007675166559</v>
      </c>
    </row>
    <row r="30" spans="1:26" ht="15.75" thickBot="1">
      <c r="A30" s="166" t="s">
        <v>126</v>
      </c>
      <c r="B30" s="167" t="s">
        <v>122</v>
      </c>
      <c r="C30" s="167" t="s">
        <v>131</v>
      </c>
      <c r="D30" s="168">
        <v>87968</v>
      </c>
      <c r="E30" s="168">
        <v>643231</v>
      </c>
      <c r="F30" s="168">
        <v>1998677</v>
      </c>
      <c r="G30" s="168">
        <v>5655695</v>
      </c>
      <c r="H30" s="145"/>
      <c r="I30" s="139" t="s">
        <v>10</v>
      </c>
      <c r="J30" s="121" t="e">
        <f>C30*$K$3/1000</f>
        <v>#VALUE!</v>
      </c>
      <c r="K30" s="121">
        <f t="shared" ref="K30:N30" si="28">D30*$K$3/1000</f>
        <v>3.6830442240000001</v>
      </c>
      <c r="L30" s="121">
        <f t="shared" si="28"/>
        <v>26.930795508000003</v>
      </c>
      <c r="M30" s="121">
        <f t="shared" si="28"/>
        <v>83.680608636000002</v>
      </c>
      <c r="N30" s="121">
        <f t="shared" si="28"/>
        <v>236.79263826000002</v>
      </c>
    </row>
    <row r="31" spans="1:26" ht="15.75" thickBot="1">
      <c r="A31" s="166" t="s">
        <v>126</v>
      </c>
      <c r="B31" s="167" t="s">
        <v>124</v>
      </c>
      <c r="C31" s="167">
        <v>590</v>
      </c>
      <c r="D31" s="167">
        <v>514</v>
      </c>
      <c r="E31" s="167">
        <v>423</v>
      </c>
      <c r="F31" s="167">
        <v>374</v>
      </c>
      <c r="G31" s="167">
        <v>367</v>
      </c>
      <c r="H31" s="145"/>
      <c r="I31" s="139" t="s">
        <v>51</v>
      </c>
      <c r="J31" s="121">
        <f>C31/$K$2</f>
        <v>14.09190790102226</v>
      </c>
      <c r="K31" s="121">
        <f t="shared" ref="K31:N31" si="29">D31/$K$2</f>
        <v>12.27667908665329</v>
      </c>
      <c r="L31" s="121">
        <f t="shared" si="29"/>
        <v>10.103181427343078</v>
      </c>
      <c r="M31" s="121">
        <f t="shared" si="29"/>
        <v>8.9328365338683469</v>
      </c>
      <c r="N31" s="121">
        <f t="shared" si="29"/>
        <v>8.7656444062291001</v>
      </c>
      <c r="P31" s="176">
        <f>J31/$J31</f>
        <v>1</v>
      </c>
      <c r="Q31" s="176">
        <f t="shared" ref="Q31:T31" si="30">K31/$J31</f>
        <v>0.87118644067796602</v>
      </c>
      <c r="R31" s="176">
        <f t="shared" si="30"/>
        <v>0.71694915254237279</v>
      </c>
      <c r="S31" s="176">
        <f t="shared" si="30"/>
        <v>0.63389830508474565</v>
      </c>
      <c r="T31" s="176">
        <f t="shared" si="30"/>
        <v>0.62203389830508471</v>
      </c>
      <c r="V31" s="177">
        <f>J31*100/$Q$3</f>
        <v>11.04237447184847</v>
      </c>
      <c r="W31" s="177">
        <f t="shared" ref="W31:Z31" si="31">K31*100/$Q$3</f>
        <v>9.6199669127629051</v>
      </c>
      <c r="X31" s="177">
        <f t="shared" si="31"/>
        <v>7.9168210196472932</v>
      </c>
      <c r="Y31" s="177">
        <f t="shared" si="31"/>
        <v>6.9997424618158091</v>
      </c>
      <c r="Z31" s="177">
        <f t="shared" si="31"/>
        <v>6.8687312392684552</v>
      </c>
    </row>
    <row r="32" spans="1:26" ht="15.75" thickBot="1">
      <c r="A32" s="166" t="s">
        <v>106</v>
      </c>
      <c r="B32" s="167" t="s">
        <v>122</v>
      </c>
      <c r="C32" s="168">
        <v>779549</v>
      </c>
      <c r="D32" s="168">
        <v>795568</v>
      </c>
      <c r="E32" s="168">
        <v>452796</v>
      </c>
      <c r="F32" s="168">
        <v>823157</v>
      </c>
      <c r="G32" s="168">
        <v>1376225</v>
      </c>
      <c r="H32" s="145"/>
      <c r="I32" s="139" t="s">
        <v>10</v>
      </c>
      <c r="J32" s="121">
        <f>C32*$K$3/1000</f>
        <v>32.638157532000001</v>
      </c>
      <c r="K32" s="121">
        <f t="shared" ref="K32:N32" si="32">D32*$K$3/1000</f>
        <v>33.308841024000003</v>
      </c>
      <c r="L32" s="121">
        <f t="shared" si="32"/>
        <v>18.957662928000001</v>
      </c>
      <c r="M32" s="121">
        <f t="shared" si="32"/>
        <v>34.463937276000003</v>
      </c>
      <c r="N32" s="121">
        <f t="shared" si="32"/>
        <v>57.619788300000003</v>
      </c>
      <c r="P32" s="175"/>
    </row>
    <row r="33" spans="1:26" ht="15.75" thickBot="1">
      <c r="A33" s="166" t="s">
        <v>106</v>
      </c>
      <c r="B33" s="167" t="s">
        <v>124</v>
      </c>
      <c r="C33" s="167">
        <v>779</v>
      </c>
      <c r="D33" s="167">
        <v>792</v>
      </c>
      <c r="E33" s="167">
        <v>799</v>
      </c>
      <c r="F33" s="167">
        <v>792</v>
      </c>
      <c r="G33" s="167">
        <v>801</v>
      </c>
      <c r="H33" s="145"/>
      <c r="I33" s="139" t="s">
        <v>51</v>
      </c>
      <c r="J33" s="121">
        <f>C33/$K$2</f>
        <v>18.606095347281933</v>
      </c>
      <c r="K33" s="121">
        <f t="shared" ref="K33:N33" si="33">D33/$K$2</f>
        <v>18.916595012897677</v>
      </c>
      <c r="L33" s="121">
        <f t="shared" si="33"/>
        <v>19.083787140536923</v>
      </c>
      <c r="M33" s="121">
        <f t="shared" si="33"/>
        <v>18.916595012897677</v>
      </c>
      <c r="N33" s="121">
        <f t="shared" si="33"/>
        <v>19.131556319862423</v>
      </c>
      <c r="P33" s="176">
        <f>J33/$J33</f>
        <v>1</v>
      </c>
      <c r="Q33" s="176">
        <f t="shared" ref="Q33:T33" si="34">K33/$J33</f>
        <v>1.0166880616174583</v>
      </c>
      <c r="R33" s="176">
        <f t="shared" si="34"/>
        <v>1.0256739409499358</v>
      </c>
      <c r="S33" s="176">
        <f t="shared" si="34"/>
        <v>1.0166880616174583</v>
      </c>
      <c r="T33" s="176">
        <f t="shared" si="34"/>
        <v>1.0282413350449293</v>
      </c>
      <c r="V33" s="177">
        <f>J33*100/$Q$3</f>
        <v>14.579677480627048</v>
      </c>
      <c r="W33" s="177">
        <f t="shared" ref="W33:Z33" si="35">K33*100/$Q$3</f>
        <v>14.822984036786419</v>
      </c>
      <c r="X33" s="177">
        <f t="shared" si="35"/>
        <v>14.953995259333775</v>
      </c>
      <c r="Y33" s="177">
        <f t="shared" si="35"/>
        <v>14.822984036786419</v>
      </c>
      <c r="Z33" s="177">
        <f t="shared" si="35"/>
        <v>14.991427037204447</v>
      </c>
    </row>
    <row r="34" spans="1:26" ht="15.75" thickBot="1">
      <c r="A34" s="166" t="s">
        <v>107</v>
      </c>
      <c r="B34" s="167" t="s">
        <v>122</v>
      </c>
      <c r="C34" s="168">
        <v>101448</v>
      </c>
      <c r="D34" s="168">
        <v>117598</v>
      </c>
      <c r="E34" s="167">
        <v>0</v>
      </c>
      <c r="F34" s="167">
        <v>0</v>
      </c>
      <c r="G34" s="168">
        <v>104602</v>
      </c>
      <c r="H34" s="145"/>
      <c r="I34" s="139" t="s">
        <v>10</v>
      </c>
      <c r="J34" s="121">
        <f>C34*$K$3/1000</f>
        <v>4.247424864000001</v>
      </c>
      <c r="K34" s="121">
        <f t="shared" ref="K34:N34" si="36">D34*$K$3/1000</f>
        <v>4.9235930640000003</v>
      </c>
      <c r="L34" s="121">
        <f t="shared" si="36"/>
        <v>0</v>
      </c>
      <c r="M34" s="121">
        <f t="shared" si="36"/>
        <v>0</v>
      </c>
      <c r="N34" s="121">
        <f t="shared" si="36"/>
        <v>4.3794765360000003</v>
      </c>
    </row>
    <row r="35" spans="1:26" ht="15.75" thickBot="1">
      <c r="A35" s="166" t="s">
        <v>107</v>
      </c>
      <c r="B35" s="167" t="s">
        <v>124</v>
      </c>
      <c r="C35" s="168">
        <v>1209</v>
      </c>
      <c r="D35" s="168">
        <v>1367</v>
      </c>
      <c r="E35" s="168">
        <v>1500</v>
      </c>
      <c r="F35" s="168">
        <v>1506</v>
      </c>
      <c r="G35" s="168">
        <v>1550</v>
      </c>
      <c r="H35" s="145"/>
      <c r="I35" s="139" t="s">
        <v>51</v>
      </c>
      <c r="J35" s="121">
        <f>C35/$K$2</f>
        <v>28.876468902264257</v>
      </c>
      <c r="K35" s="121">
        <f t="shared" ref="K35:N35" si="37">D35/$K$2</f>
        <v>32.650234068978691</v>
      </c>
      <c r="L35" s="121">
        <f t="shared" si="37"/>
        <v>35.826884494124393</v>
      </c>
      <c r="M35" s="121">
        <f t="shared" si="37"/>
        <v>35.97019203210089</v>
      </c>
      <c r="N35" s="121">
        <f t="shared" si="37"/>
        <v>37.021113977261869</v>
      </c>
      <c r="P35" s="176">
        <f>J35/$J35</f>
        <v>1</v>
      </c>
      <c r="Q35" s="176">
        <f t="shared" ref="Q35:T35" si="38">K35/$J35</f>
        <v>1.1306865177832919</v>
      </c>
      <c r="R35" s="176">
        <f>L35/$J35</f>
        <v>1.240694789081886</v>
      </c>
      <c r="S35" s="176">
        <f t="shared" si="38"/>
        <v>1.2456575682382136</v>
      </c>
      <c r="T35" s="176">
        <f t="shared" si="38"/>
        <v>1.2820512820512822</v>
      </c>
      <c r="V35" s="177">
        <f>J35*100/$Q$3</f>
        <v>22.627509722821692</v>
      </c>
      <c r="W35" s="177">
        <f t="shared" ref="W35:Z35" si="39">K35*100/$Q$3</f>
        <v>25.58462017460484</v>
      </c>
      <c r="X35" s="177">
        <f t="shared" si="39"/>
        <v>28.073833403004585</v>
      </c>
      <c r="Y35" s="177">
        <f t="shared" si="39"/>
        <v>28.186128736616606</v>
      </c>
      <c r="Z35" s="177">
        <f t="shared" si="39"/>
        <v>29.009627849771405</v>
      </c>
    </row>
    <row r="36" spans="1:26">
      <c r="A36" s="172"/>
      <c r="H36" s="145"/>
      <c r="I36" s="151"/>
      <c r="J36" s="151"/>
      <c r="K36" s="139"/>
      <c r="L36" s="139"/>
      <c r="M36" s="139"/>
      <c r="N36" s="139"/>
    </row>
    <row r="37" spans="1:26" ht="15.75" thickBot="1">
      <c r="A37" s="173" t="s">
        <v>127</v>
      </c>
      <c r="B37" s="66"/>
      <c r="C37" s="66"/>
      <c r="D37" s="66"/>
      <c r="E37" s="66"/>
      <c r="F37" s="66"/>
      <c r="G37" s="66"/>
      <c r="H37" s="145"/>
      <c r="I37" s="162" t="s">
        <v>120</v>
      </c>
      <c r="J37" s="151"/>
      <c r="K37" s="139"/>
      <c r="L37" s="139"/>
      <c r="M37" s="139"/>
      <c r="N37" s="139"/>
      <c r="P37" t="s">
        <v>129</v>
      </c>
      <c r="V37" s="162" t="s">
        <v>130</v>
      </c>
    </row>
    <row r="38" spans="1:26" ht="15.75" thickBot="1">
      <c r="A38" s="163"/>
      <c r="B38" s="164" t="s">
        <v>18</v>
      </c>
      <c r="C38" s="164">
        <v>2010</v>
      </c>
      <c r="D38" s="164">
        <v>2015</v>
      </c>
      <c r="E38" s="164">
        <v>2020</v>
      </c>
      <c r="F38" s="164">
        <v>2025</v>
      </c>
      <c r="G38" s="164">
        <v>2030</v>
      </c>
      <c r="H38" s="145"/>
      <c r="I38" s="165" t="s">
        <v>18</v>
      </c>
      <c r="J38" s="165">
        <v>2010</v>
      </c>
      <c r="K38" s="165">
        <v>2015</v>
      </c>
      <c r="L38" s="165">
        <v>2020</v>
      </c>
      <c r="M38" s="165">
        <v>2025</v>
      </c>
      <c r="N38" s="165">
        <v>2030</v>
      </c>
      <c r="P38" s="174">
        <v>2010</v>
      </c>
      <c r="Q38" s="174">
        <v>2015</v>
      </c>
      <c r="R38" s="174">
        <v>2020</v>
      </c>
      <c r="S38" s="174">
        <v>2025</v>
      </c>
      <c r="T38" s="174">
        <v>2030</v>
      </c>
      <c r="V38" s="174">
        <v>2010</v>
      </c>
      <c r="W38" s="174">
        <v>2015</v>
      </c>
      <c r="X38" s="174">
        <v>2020</v>
      </c>
      <c r="Y38" s="174">
        <v>2025</v>
      </c>
      <c r="Z38" s="174">
        <v>2030</v>
      </c>
    </row>
    <row r="39" spans="1:26" ht="15.75" thickBot="1">
      <c r="A39" s="166" t="s">
        <v>121</v>
      </c>
      <c r="B39" s="167" t="s">
        <v>122</v>
      </c>
      <c r="C39" s="168">
        <v>7640</v>
      </c>
      <c r="D39" s="167">
        <v>0</v>
      </c>
      <c r="E39" s="167">
        <v>0</v>
      </c>
      <c r="F39" s="167">
        <v>0</v>
      </c>
      <c r="G39" s="168">
        <v>142382</v>
      </c>
      <c r="H39" s="145"/>
      <c r="I39" s="139" t="s">
        <v>10</v>
      </c>
      <c r="J39" s="121">
        <f>C39*$K$3/1000</f>
        <v>0.31987152000000002</v>
      </c>
      <c r="K39" s="121">
        <f t="shared" ref="K39:N39" si="40">D39*$K$3/1000</f>
        <v>0</v>
      </c>
      <c r="L39" s="121">
        <f t="shared" si="40"/>
        <v>0</v>
      </c>
      <c r="M39" s="121">
        <f t="shared" si="40"/>
        <v>0</v>
      </c>
      <c r="N39" s="121">
        <f t="shared" si="40"/>
        <v>5.9612495760000002</v>
      </c>
      <c r="P39" s="175"/>
    </row>
    <row r="40" spans="1:26" ht="15.75" thickBot="1">
      <c r="A40" s="166" t="s">
        <v>121</v>
      </c>
      <c r="B40" s="167" t="s">
        <v>124</v>
      </c>
      <c r="C40" s="167">
        <v>288</v>
      </c>
      <c r="D40" s="167">
        <v>226</v>
      </c>
      <c r="E40" s="167">
        <v>185</v>
      </c>
      <c r="F40" s="167">
        <v>165</v>
      </c>
      <c r="G40" s="167">
        <v>162</v>
      </c>
      <c r="H40" s="145"/>
      <c r="I40" s="139" t="s">
        <v>51</v>
      </c>
      <c r="J40" s="121">
        <f>C40/$K$2</f>
        <v>6.8787618228718825</v>
      </c>
      <c r="K40" s="121">
        <f t="shared" ref="K40:N40" si="41">D40/$K$2</f>
        <v>5.3979172637814079</v>
      </c>
      <c r="L40" s="121">
        <f t="shared" si="41"/>
        <v>4.4186490876086744</v>
      </c>
      <c r="M40" s="121">
        <f t="shared" si="41"/>
        <v>3.9409572943536828</v>
      </c>
      <c r="N40" s="121">
        <f t="shared" si="41"/>
        <v>3.8693035253654342</v>
      </c>
      <c r="P40" s="176">
        <f>J40/$J40</f>
        <v>1</v>
      </c>
      <c r="Q40" s="176">
        <f t="shared" ref="Q40:T40" si="42">K40/$J40</f>
        <v>0.78472222222222221</v>
      </c>
      <c r="R40" s="176">
        <f t="shared" si="42"/>
        <v>0.64236111111111105</v>
      </c>
      <c r="S40" s="176">
        <f t="shared" si="42"/>
        <v>0.57291666666666663</v>
      </c>
      <c r="T40" s="176">
        <f t="shared" si="42"/>
        <v>0.5625</v>
      </c>
      <c r="V40" s="177">
        <f>J40*100/$Q$3</f>
        <v>5.3901760133768803</v>
      </c>
      <c r="W40" s="177">
        <f t="shared" ref="W40:Z40" si="43">K40*100/$Q$3</f>
        <v>4.2297908993860238</v>
      </c>
      <c r="X40" s="177">
        <f t="shared" si="43"/>
        <v>3.4624394530372316</v>
      </c>
      <c r="Y40" s="177">
        <f t="shared" si="43"/>
        <v>3.0881216743305044</v>
      </c>
      <c r="Z40" s="177">
        <f t="shared" si="43"/>
        <v>3.0319740075244952</v>
      </c>
    </row>
    <row r="41" spans="1:26" ht="15.75" thickBot="1">
      <c r="A41" s="166" t="s">
        <v>126</v>
      </c>
      <c r="B41" s="167" t="s">
        <v>122</v>
      </c>
      <c r="C41" s="168">
        <v>22921</v>
      </c>
      <c r="D41" s="167">
        <v>0</v>
      </c>
      <c r="E41" s="167">
        <v>0</v>
      </c>
      <c r="F41" s="167">
        <v>0</v>
      </c>
      <c r="G41" s="168">
        <v>427146</v>
      </c>
      <c r="H41" s="145"/>
      <c r="I41" s="139" t="s">
        <v>10</v>
      </c>
      <c r="J41" s="121">
        <f>C41*$K$3/1000</f>
        <v>0.95965642799999995</v>
      </c>
      <c r="K41" s="121">
        <f t="shared" ref="K41:N41" si="44">D41*$K$3/1000</f>
        <v>0</v>
      </c>
      <c r="L41" s="121">
        <f t="shared" si="44"/>
        <v>0</v>
      </c>
      <c r="M41" s="121">
        <f t="shared" si="44"/>
        <v>0</v>
      </c>
      <c r="N41" s="121">
        <f t="shared" si="44"/>
        <v>17.883748728000004</v>
      </c>
    </row>
    <row r="42" spans="1:26" ht="15.75" thickBot="1">
      <c r="A42" s="166" t="s">
        <v>126</v>
      </c>
      <c r="B42" s="167" t="s">
        <v>124</v>
      </c>
      <c r="C42" s="167">
        <v>590</v>
      </c>
      <c r="D42" s="167">
        <v>462</v>
      </c>
      <c r="E42" s="167">
        <v>379</v>
      </c>
      <c r="F42" s="167">
        <v>338</v>
      </c>
      <c r="G42" s="167">
        <v>331</v>
      </c>
      <c r="H42" s="145"/>
      <c r="I42" s="139" t="s">
        <v>51</v>
      </c>
      <c r="J42" s="121">
        <f>C42/$K$2</f>
        <v>14.09190790102226</v>
      </c>
      <c r="K42" s="121">
        <f t="shared" ref="K42:N42" si="45">D42/$K$2</f>
        <v>11.034680424190311</v>
      </c>
      <c r="L42" s="121">
        <f t="shared" si="45"/>
        <v>9.0522594821820963</v>
      </c>
      <c r="M42" s="121">
        <f t="shared" si="45"/>
        <v>8.0729913060093619</v>
      </c>
      <c r="N42" s="121">
        <f t="shared" si="45"/>
        <v>7.9057991783701151</v>
      </c>
      <c r="P42" s="176">
        <f>J42/$J42</f>
        <v>1</v>
      </c>
      <c r="Q42" s="176">
        <f t="shared" ref="Q42:T42" si="46">K42/$J42</f>
        <v>0.78305084745762699</v>
      </c>
      <c r="R42" s="176">
        <f t="shared" si="46"/>
        <v>0.64237288135593218</v>
      </c>
      <c r="S42" s="176">
        <f t="shared" si="46"/>
        <v>0.57288135593220335</v>
      </c>
      <c r="T42" s="176">
        <f t="shared" si="46"/>
        <v>0.5610169491525423</v>
      </c>
      <c r="V42" s="177">
        <f>J42*100/$Q$3</f>
        <v>11.04237447184847</v>
      </c>
      <c r="W42" s="177">
        <f t="shared" ref="W42:Z42" si="47">K42*100/$Q$3</f>
        <v>8.6467406881254103</v>
      </c>
      <c r="X42" s="177">
        <f t="shared" si="47"/>
        <v>7.0933219064924922</v>
      </c>
      <c r="Y42" s="177">
        <f t="shared" si="47"/>
        <v>6.3259704601436999</v>
      </c>
      <c r="Z42" s="177">
        <f t="shared" si="47"/>
        <v>6.1949592375963451</v>
      </c>
    </row>
    <row r="43" spans="1:26" ht="15.75" thickBot="1">
      <c r="A43" s="166" t="s">
        <v>106</v>
      </c>
      <c r="B43" s="167" t="s">
        <v>122</v>
      </c>
      <c r="C43" s="168">
        <v>781304</v>
      </c>
      <c r="D43" s="168">
        <v>788018</v>
      </c>
      <c r="E43" s="168">
        <v>409398</v>
      </c>
      <c r="F43" s="168">
        <v>734123</v>
      </c>
      <c r="G43" s="168">
        <v>1404121</v>
      </c>
      <c r="H43" s="145"/>
      <c r="I43" s="139" t="s">
        <v>10</v>
      </c>
      <c r="J43" s="121">
        <f>C43*$K$3/1000</f>
        <v>32.711635872000002</v>
      </c>
      <c r="K43" s="121">
        <f t="shared" ref="K43:N43" si="48">D43*$K$3/1000</f>
        <v>32.992737624</v>
      </c>
      <c r="L43" s="121">
        <f t="shared" si="48"/>
        <v>17.140675464000001</v>
      </c>
      <c r="M43" s="121">
        <f t="shared" si="48"/>
        <v>30.736261764000002</v>
      </c>
      <c r="N43" s="121">
        <f t="shared" si="48"/>
        <v>58.787738028000007</v>
      </c>
      <c r="P43" s="175"/>
    </row>
    <row r="44" spans="1:26" ht="15.75" thickBot="1">
      <c r="A44" s="166" t="s">
        <v>106</v>
      </c>
      <c r="B44" s="167" t="s">
        <v>124</v>
      </c>
      <c r="C44" s="167">
        <v>779</v>
      </c>
      <c r="D44" s="167">
        <v>824</v>
      </c>
      <c r="E44" s="167">
        <v>866</v>
      </c>
      <c r="F44" s="167">
        <v>911</v>
      </c>
      <c r="G44" s="167">
        <v>986</v>
      </c>
      <c r="H44" s="145"/>
      <c r="I44" s="139" t="s">
        <v>51</v>
      </c>
      <c r="J44" s="121">
        <f>C44/$K$2</f>
        <v>18.606095347281933</v>
      </c>
      <c r="K44" s="121">
        <f t="shared" ref="K44:N44" si="49">D44/$K$2</f>
        <v>19.680901882105665</v>
      </c>
      <c r="L44" s="121">
        <f t="shared" si="49"/>
        <v>20.684054647941146</v>
      </c>
      <c r="M44" s="121">
        <f t="shared" si="49"/>
        <v>21.758861182764878</v>
      </c>
      <c r="N44" s="121">
        <f t="shared" si="49"/>
        <v>23.550205407471097</v>
      </c>
      <c r="P44" s="176">
        <f>J44/$J44</f>
        <v>1</v>
      </c>
      <c r="Q44" s="176">
        <f t="shared" ref="Q44:T44" si="50">K44/$J44</f>
        <v>1.0577663671373556</v>
      </c>
      <c r="R44" s="176">
        <f t="shared" si="50"/>
        <v>1.1116816431322207</v>
      </c>
      <c r="S44" s="176">
        <f t="shared" si="50"/>
        <v>1.1694480102695763</v>
      </c>
      <c r="T44" s="176">
        <f t="shared" si="50"/>
        <v>1.2657252888318355</v>
      </c>
      <c r="V44" s="177">
        <f>J44*100/$Q$3</f>
        <v>14.579677480627048</v>
      </c>
      <c r="W44" s="177">
        <f t="shared" ref="W44:Z44" si="51">K44*100/$Q$3</f>
        <v>15.421892482717185</v>
      </c>
      <c r="X44" s="177">
        <f t="shared" si="51"/>
        <v>16.207959818001314</v>
      </c>
      <c r="Y44" s="177">
        <f t="shared" si="51"/>
        <v>17.050174820091449</v>
      </c>
      <c r="Z44" s="177">
        <f t="shared" si="51"/>
        <v>18.45386649024168</v>
      </c>
    </row>
    <row r="45" spans="1:26" ht="15.75" thickBot="1">
      <c r="A45" s="166" t="s">
        <v>107</v>
      </c>
      <c r="B45" s="167" t="s">
        <v>122</v>
      </c>
      <c r="C45" s="168">
        <v>101544</v>
      </c>
      <c r="D45" s="168">
        <v>112987</v>
      </c>
      <c r="E45" s="167">
        <v>0</v>
      </c>
      <c r="F45" s="167">
        <v>0</v>
      </c>
      <c r="G45" s="168">
        <v>109936</v>
      </c>
      <c r="H45" s="145"/>
      <c r="I45" s="139" t="s">
        <v>10</v>
      </c>
      <c r="J45" s="121">
        <f>C45*$K$3/1000</f>
        <v>4.2514441920000001</v>
      </c>
      <c r="K45" s="121">
        <f t="shared" ref="K45:N45" si="52">D45*$K$3/1000</f>
        <v>4.730539716</v>
      </c>
      <c r="L45" s="121">
        <f t="shared" si="52"/>
        <v>0</v>
      </c>
      <c r="M45" s="121">
        <f t="shared" si="52"/>
        <v>0</v>
      </c>
      <c r="N45" s="121">
        <f t="shared" si="52"/>
        <v>4.602800448</v>
      </c>
    </row>
    <row r="46" spans="1:26" ht="15.75" thickBot="1">
      <c r="A46" s="166" t="s">
        <v>107</v>
      </c>
      <c r="B46" s="167" t="s">
        <v>124</v>
      </c>
      <c r="C46" s="168">
        <v>1209</v>
      </c>
      <c r="D46" s="168">
        <v>1420</v>
      </c>
      <c r="E46" s="168">
        <v>1605</v>
      </c>
      <c r="F46" s="168">
        <v>1694</v>
      </c>
      <c r="G46" s="168">
        <v>1832</v>
      </c>
      <c r="H46" s="145"/>
      <c r="I46" s="139" t="s">
        <v>51</v>
      </c>
      <c r="J46" s="121">
        <f>C46/$K$2</f>
        <v>28.876468902264257</v>
      </c>
      <c r="K46" s="121">
        <f t="shared" ref="K46:N46" si="53">D46/$K$2</f>
        <v>33.916117321104423</v>
      </c>
      <c r="L46" s="121">
        <f t="shared" si="53"/>
        <v>38.334766408713094</v>
      </c>
      <c r="M46" s="121">
        <f t="shared" si="53"/>
        <v>40.460494888697809</v>
      </c>
      <c r="N46" s="121">
        <f t="shared" si="53"/>
        <v>43.756568262157252</v>
      </c>
      <c r="P46" s="176">
        <f>J46/$J46</f>
        <v>1</v>
      </c>
      <c r="Q46" s="176">
        <f t="shared" ref="Q46:T46" si="54">K46/$J46</f>
        <v>1.1745244003308519</v>
      </c>
      <c r="R46" s="176">
        <f t="shared" si="54"/>
        <v>1.3275434243176178</v>
      </c>
      <c r="S46" s="176">
        <f t="shared" si="54"/>
        <v>1.401157981803143</v>
      </c>
      <c r="T46" s="176">
        <f t="shared" si="54"/>
        <v>1.5153019023986765</v>
      </c>
      <c r="V46" s="177">
        <f>J46*100/$Q$3</f>
        <v>22.627509722821692</v>
      </c>
      <c r="W46" s="177">
        <f t="shared" ref="W46:Z46" si="55">K46*100/$Q$3</f>
        <v>26.576562288177673</v>
      </c>
      <c r="X46" s="177">
        <f t="shared" si="55"/>
        <v>30.039001741214904</v>
      </c>
      <c r="Y46" s="177">
        <f t="shared" si="55"/>
        <v>31.704715856459842</v>
      </c>
      <c r="Z46" s="177">
        <f t="shared" si="55"/>
        <v>34.287508529536261</v>
      </c>
    </row>
    <row r="47" spans="1:26">
      <c r="A47" s="161"/>
      <c r="H47" s="145"/>
      <c r="I47" s="151"/>
      <c r="J47" s="151"/>
      <c r="K47" s="139"/>
      <c r="L47" s="139"/>
      <c r="M47" s="139"/>
      <c r="N47" s="139"/>
    </row>
    <row r="48" spans="1:26" ht="15.75" thickBot="1">
      <c r="A48" s="161" t="s">
        <v>128</v>
      </c>
      <c r="H48" s="145"/>
      <c r="I48" s="162" t="s">
        <v>120</v>
      </c>
      <c r="J48" s="151"/>
      <c r="K48" s="139"/>
      <c r="L48" s="139"/>
      <c r="M48" s="139"/>
      <c r="N48" s="139"/>
      <c r="P48" t="s">
        <v>129</v>
      </c>
      <c r="V48" s="162" t="s">
        <v>130</v>
      </c>
    </row>
    <row r="49" spans="1:26" ht="15.75" thickBot="1">
      <c r="A49" s="163"/>
      <c r="B49" s="164" t="s">
        <v>18</v>
      </c>
      <c r="C49" s="164">
        <v>2010</v>
      </c>
      <c r="D49" s="164">
        <v>2015</v>
      </c>
      <c r="E49" s="164">
        <v>2020</v>
      </c>
      <c r="F49" s="164">
        <v>2025</v>
      </c>
      <c r="G49" s="164">
        <v>2030</v>
      </c>
      <c r="H49" s="145"/>
      <c r="I49" s="174" t="s">
        <v>18</v>
      </c>
      <c r="J49" s="174">
        <v>2010</v>
      </c>
      <c r="K49" s="174">
        <v>2015</v>
      </c>
      <c r="L49" s="174">
        <v>2020</v>
      </c>
      <c r="M49" s="174">
        <v>2025</v>
      </c>
      <c r="N49" s="174">
        <v>2030</v>
      </c>
      <c r="P49" s="174">
        <v>2010</v>
      </c>
      <c r="Q49" s="174">
        <v>2015</v>
      </c>
      <c r="R49" s="174">
        <v>2020</v>
      </c>
      <c r="S49" s="174">
        <v>2025</v>
      </c>
      <c r="T49" s="174">
        <v>2030</v>
      </c>
      <c r="V49" s="174">
        <v>2010</v>
      </c>
      <c r="W49" s="174">
        <v>2015</v>
      </c>
      <c r="X49" s="174">
        <v>2020</v>
      </c>
      <c r="Y49" s="174">
        <v>2025</v>
      </c>
      <c r="Z49" s="174">
        <v>2030</v>
      </c>
    </row>
    <row r="50" spans="1:26" ht="15.75" thickBot="1">
      <c r="A50" s="166" t="s">
        <v>121</v>
      </c>
      <c r="B50" s="167" t="s">
        <v>122</v>
      </c>
      <c r="C50" s="168">
        <v>6382</v>
      </c>
      <c r="D50" s="167">
        <v>0</v>
      </c>
      <c r="E50" s="168">
        <v>69709</v>
      </c>
      <c r="F50" s="168">
        <v>192223</v>
      </c>
      <c r="G50" s="168">
        <v>876934</v>
      </c>
      <c r="H50" s="145"/>
      <c r="I50" s="139" t="s">
        <v>10</v>
      </c>
      <c r="J50" s="121">
        <f>C50*$K$3/1000</f>
        <v>0.267201576</v>
      </c>
      <c r="K50" s="179">
        <f>AVERAGE(J50,L50)</f>
        <v>1.5928889940000002</v>
      </c>
      <c r="L50" s="121">
        <f t="shared" ref="L50:N50" si="56">E50*$K$3/1000</f>
        <v>2.9185764120000002</v>
      </c>
      <c r="M50" s="121">
        <f t="shared" si="56"/>
        <v>8.0479925639999994</v>
      </c>
      <c r="N50" s="180">
        <f t="shared" si="56"/>
        <v>36.715472712</v>
      </c>
      <c r="P50" s="175"/>
    </row>
    <row r="51" spans="1:26" ht="15.75" thickBot="1">
      <c r="A51" s="166" t="s">
        <v>121</v>
      </c>
      <c r="B51" s="167" t="s">
        <v>124</v>
      </c>
      <c r="C51" s="167">
        <v>288</v>
      </c>
      <c r="D51" s="167">
        <v>267</v>
      </c>
      <c r="E51" s="167">
        <v>226</v>
      </c>
      <c r="F51" s="167">
        <v>209</v>
      </c>
      <c r="G51" s="167">
        <v>211</v>
      </c>
      <c r="H51" s="145"/>
      <c r="I51" s="139" t="s">
        <v>51</v>
      </c>
      <c r="J51" s="121">
        <f>C51/$K$2</f>
        <v>6.8787618228718825</v>
      </c>
      <c r="K51" s="179">
        <f t="shared" ref="K51:N51" si="57">D51/$K$2</f>
        <v>6.3771854399541414</v>
      </c>
      <c r="L51" s="121">
        <f t="shared" si="57"/>
        <v>5.3979172637814079</v>
      </c>
      <c r="M51" s="121">
        <f t="shared" si="57"/>
        <v>4.9918792395146649</v>
      </c>
      <c r="N51" s="121">
        <f t="shared" si="57"/>
        <v>5.039648418840164</v>
      </c>
      <c r="P51" s="176">
        <f>J51/$J51</f>
        <v>1</v>
      </c>
      <c r="Q51" s="176">
        <f t="shared" ref="Q51:T51" si="58">K51/$J51</f>
        <v>0.92708333333333337</v>
      </c>
      <c r="R51" s="176">
        <f t="shared" si="58"/>
        <v>0.78472222222222221</v>
      </c>
      <c r="S51" s="176">
        <f t="shared" si="58"/>
        <v>0.72569444444444442</v>
      </c>
      <c r="T51" s="176">
        <f t="shared" si="58"/>
        <v>0.73263888888888895</v>
      </c>
      <c r="V51" s="177">
        <f>J51*100/$Q$3</f>
        <v>5.3901760133768803</v>
      </c>
      <c r="W51" s="177">
        <f t="shared" ref="W51:Z51" si="59">K51*100/$Q$3</f>
        <v>4.9971423457348161</v>
      </c>
      <c r="X51" s="177">
        <f t="shared" si="59"/>
        <v>4.2297908993860238</v>
      </c>
      <c r="Y51" s="177">
        <f t="shared" si="59"/>
        <v>3.9116207874853051</v>
      </c>
      <c r="Z51" s="177">
        <f t="shared" si="59"/>
        <v>3.949052565355978</v>
      </c>
    </row>
    <row r="52" spans="1:26" ht="15.75" thickBot="1">
      <c r="A52" s="166" t="s">
        <v>126</v>
      </c>
      <c r="B52" s="167" t="s">
        <v>122</v>
      </c>
      <c r="C52" s="168">
        <v>191470</v>
      </c>
      <c r="D52" s="167">
        <v>0</v>
      </c>
      <c r="E52" s="168">
        <v>209128</v>
      </c>
      <c r="F52" s="168">
        <v>576669</v>
      </c>
      <c r="G52" s="168">
        <v>2630803</v>
      </c>
      <c r="H52" s="145"/>
      <c r="I52" s="139" t="s">
        <v>10</v>
      </c>
      <c r="J52" s="121">
        <f>C52*$K$3/1000</f>
        <v>8.0164659599999997</v>
      </c>
      <c r="K52" s="179">
        <f>AVERAGE(J52,L52)</f>
        <v>8.3861185320000011</v>
      </c>
      <c r="L52" s="121">
        <f t="shared" ref="L52:N52" si="60">E52*$K$3/1000</f>
        <v>8.7557711040000008</v>
      </c>
      <c r="M52" s="121">
        <f t="shared" si="60"/>
        <v>24.143977692</v>
      </c>
      <c r="N52" s="180">
        <f t="shared" si="60"/>
        <v>110.14646000400001</v>
      </c>
    </row>
    <row r="53" spans="1:26" ht="15.75" thickBot="1">
      <c r="A53" s="166" t="s">
        <v>126</v>
      </c>
      <c r="B53" s="167" t="s">
        <v>124</v>
      </c>
      <c r="C53" s="167">
        <v>590</v>
      </c>
      <c r="D53" s="167">
        <v>535</v>
      </c>
      <c r="E53" s="167">
        <v>452</v>
      </c>
      <c r="F53" s="167">
        <v>418</v>
      </c>
      <c r="G53" s="167">
        <v>421</v>
      </c>
      <c r="H53" s="145"/>
      <c r="I53" s="139" t="s">
        <v>51</v>
      </c>
      <c r="J53" s="121">
        <f>C53/$K$2</f>
        <v>14.09190790102226</v>
      </c>
      <c r="K53" s="179">
        <f t="shared" ref="K53:N53" si="61">D53/$K$2</f>
        <v>12.778255469571032</v>
      </c>
      <c r="L53" s="121">
        <f t="shared" si="61"/>
        <v>10.795834527562816</v>
      </c>
      <c r="M53" s="121">
        <f t="shared" si="61"/>
        <v>9.9837584790293299</v>
      </c>
      <c r="N53" s="121">
        <f t="shared" si="61"/>
        <v>10.055412248017578</v>
      </c>
      <c r="P53" s="176">
        <f>J53/$J53</f>
        <v>1</v>
      </c>
      <c r="Q53" s="176">
        <f t="shared" ref="Q53:T53" si="62">K53/$J53</f>
        <v>0.90677966101694918</v>
      </c>
      <c r="R53" s="176">
        <f t="shared" si="62"/>
        <v>0.76610169491525415</v>
      </c>
      <c r="S53" s="176">
        <f t="shared" si="62"/>
        <v>0.70847457627118637</v>
      </c>
      <c r="T53" s="176">
        <f t="shared" si="62"/>
        <v>0.71355932203389827</v>
      </c>
      <c r="V53" s="177">
        <f>J53*100/$Q$3</f>
        <v>11.04237447184847</v>
      </c>
      <c r="W53" s="177">
        <f t="shared" ref="W53:Z53" si="63">K53*100/$Q$3</f>
        <v>10.013000580404968</v>
      </c>
      <c r="X53" s="177">
        <f t="shared" si="63"/>
        <v>8.4595817987720476</v>
      </c>
      <c r="Y53" s="177">
        <f t="shared" si="63"/>
        <v>7.8232415749706101</v>
      </c>
      <c r="Z53" s="177">
        <f t="shared" si="63"/>
        <v>7.8793892417766198</v>
      </c>
    </row>
    <row r="54" spans="1:26" ht="15.75" thickBot="1">
      <c r="A54" s="166" t="s">
        <v>106</v>
      </c>
      <c r="B54" s="167" t="s">
        <v>122</v>
      </c>
      <c r="C54" s="168">
        <v>779549</v>
      </c>
      <c r="D54" s="168">
        <v>792079</v>
      </c>
      <c r="E54" s="168">
        <v>421094</v>
      </c>
      <c r="F54" s="168">
        <v>750039</v>
      </c>
      <c r="G54" s="168">
        <v>1428558</v>
      </c>
      <c r="H54" s="145"/>
      <c r="I54" s="139" t="s">
        <v>10</v>
      </c>
      <c r="J54" s="121">
        <f>C54*$K$3/1000</f>
        <v>32.638157532000001</v>
      </c>
      <c r="K54" s="121">
        <f t="shared" ref="K54:N54" si="64">D54*$K$3/1000</f>
        <v>33.162763572000003</v>
      </c>
      <c r="L54" s="180">
        <f t="shared" si="64"/>
        <v>17.630363592000002</v>
      </c>
      <c r="M54" s="121">
        <f t="shared" si="64"/>
        <v>31.402632852000004</v>
      </c>
      <c r="N54" s="180">
        <f t="shared" si="64"/>
        <v>59.810866344000004</v>
      </c>
      <c r="P54" s="175"/>
    </row>
    <row r="55" spans="1:26" ht="15.75" thickBot="1">
      <c r="A55" s="166" t="s">
        <v>106</v>
      </c>
      <c r="B55" s="167" t="s">
        <v>124</v>
      </c>
      <c r="C55" s="167">
        <v>779</v>
      </c>
      <c r="D55" s="167">
        <v>864</v>
      </c>
      <c r="E55" s="167">
        <v>951</v>
      </c>
      <c r="F55" s="167">
        <v>1054</v>
      </c>
      <c r="G55" s="167">
        <v>1204</v>
      </c>
      <c r="H55" s="145"/>
      <c r="I55" s="139" t="s">
        <v>51</v>
      </c>
      <c r="J55" s="121">
        <f>C55/$K$2</f>
        <v>18.606095347281933</v>
      </c>
      <c r="K55" s="121">
        <f t="shared" ref="K55:N55" si="65">D55/$K$2</f>
        <v>20.636285468615647</v>
      </c>
      <c r="L55" s="121">
        <f t="shared" si="65"/>
        <v>22.714244769274863</v>
      </c>
      <c r="M55" s="121">
        <f t="shared" si="65"/>
        <v>25.174357504538072</v>
      </c>
      <c r="N55" s="121">
        <f t="shared" si="65"/>
        <v>28.757045953950509</v>
      </c>
      <c r="P55" s="176">
        <f>J55/$J55</f>
        <v>1</v>
      </c>
      <c r="Q55" s="176">
        <f t="shared" ref="Q55:T55" si="66">K55/$J55</f>
        <v>1.1091142490372272</v>
      </c>
      <c r="R55" s="176">
        <f t="shared" si="66"/>
        <v>1.2207958921694479</v>
      </c>
      <c r="S55" s="176">
        <f t="shared" si="66"/>
        <v>1.3530166880616175</v>
      </c>
      <c r="T55" s="176">
        <f t="shared" si="66"/>
        <v>1.5455712451861361</v>
      </c>
      <c r="V55" s="177">
        <f>J55*100/$Q$3</f>
        <v>14.579677480627048</v>
      </c>
      <c r="W55" s="177">
        <f t="shared" ref="W55:Z55" si="67">K55*100/$Q$3</f>
        <v>16.170528040130641</v>
      </c>
      <c r="X55" s="177">
        <f t="shared" si="67"/>
        <v>17.798810377504907</v>
      </c>
      <c r="Y55" s="177">
        <f t="shared" si="67"/>
        <v>19.726546937844553</v>
      </c>
      <c r="Z55" s="177">
        <f t="shared" si="67"/>
        <v>22.533930278145014</v>
      </c>
    </row>
    <row r="56" spans="1:26" ht="15.75" thickBot="1">
      <c r="A56" s="166" t="s">
        <v>107</v>
      </c>
      <c r="B56" s="167" t="s">
        <v>122</v>
      </c>
      <c r="C56" s="168">
        <v>101448</v>
      </c>
      <c r="D56" s="168">
        <v>118165</v>
      </c>
      <c r="E56" s="167">
        <v>0</v>
      </c>
      <c r="F56" s="167">
        <v>0</v>
      </c>
      <c r="G56" s="168">
        <v>122199</v>
      </c>
      <c r="H56" s="145"/>
      <c r="I56" s="139" t="s">
        <v>10</v>
      </c>
      <c r="J56" s="121">
        <f>C56*$K$3/1000</f>
        <v>4.247424864000001</v>
      </c>
      <c r="K56" s="121">
        <f t="shared" ref="K56:N56" si="68">D56*$K$3/1000</f>
        <v>4.9473322199999998</v>
      </c>
      <c r="L56" s="121">
        <f t="shared" si="68"/>
        <v>0</v>
      </c>
      <c r="M56" s="121">
        <f t="shared" si="68"/>
        <v>0</v>
      </c>
      <c r="N56" s="180">
        <f t="shared" si="68"/>
        <v>5.1162277320000005</v>
      </c>
    </row>
    <row r="57" spans="1:26" ht="15.75" thickBot="1">
      <c r="A57" s="166" t="s">
        <v>107</v>
      </c>
      <c r="B57" s="167" t="s">
        <v>124</v>
      </c>
      <c r="C57" s="168">
        <v>1209</v>
      </c>
      <c r="D57" s="168">
        <v>1488</v>
      </c>
      <c r="E57" s="168">
        <v>1755</v>
      </c>
      <c r="F57" s="168">
        <v>1948</v>
      </c>
      <c r="G57" s="168">
        <v>2212</v>
      </c>
      <c r="H57" s="145"/>
      <c r="I57" s="139" t="s">
        <v>51</v>
      </c>
      <c r="J57" s="121">
        <f>C57/$K$2</f>
        <v>28.876468902264257</v>
      </c>
      <c r="K57" s="121">
        <f t="shared" ref="K57:N57" si="69">D57/$K$2</f>
        <v>35.540269418171391</v>
      </c>
      <c r="L57" s="121">
        <f t="shared" si="69"/>
        <v>41.917454858125538</v>
      </c>
      <c r="M57" s="121">
        <f t="shared" si="69"/>
        <v>46.527180663036205</v>
      </c>
      <c r="N57" s="121">
        <f t="shared" si="69"/>
        <v>52.832712334002096</v>
      </c>
      <c r="P57" s="176">
        <f>J57/$J57</f>
        <v>1</v>
      </c>
      <c r="Q57" s="176">
        <f t="shared" ref="Q57:T57" si="70">K57/$J57</f>
        <v>1.2307692307692306</v>
      </c>
      <c r="R57" s="176">
        <f t="shared" si="70"/>
        <v>1.4516129032258065</v>
      </c>
      <c r="S57" s="176">
        <f t="shared" si="70"/>
        <v>1.6112489660876756</v>
      </c>
      <c r="T57" s="176">
        <f t="shared" si="70"/>
        <v>1.8296112489660876</v>
      </c>
      <c r="V57" s="177">
        <f>J57*100/$Q$3</f>
        <v>22.627509722821692</v>
      </c>
      <c r="W57" s="177">
        <f t="shared" ref="W57:Z57" si="71">K57*100/$Q$3</f>
        <v>27.849242735780546</v>
      </c>
      <c r="X57" s="177">
        <f t="shared" si="71"/>
        <v>32.846385081515365</v>
      </c>
      <c r="Y57" s="177">
        <f t="shared" si="71"/>
        <v>36.458551646035289</v>
      </c>
      <c r="Z57" s="177">
        <f t="shared" si="71"/>
        <v>41.399546324964092</v>
      </c>
    </row>
  </sheetData>
  <mergeCells count="1">
    <mergeCell ref="P1:Q1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4CB6D-2A3E-4879-AFF8-DE9B6A0FD3B5}">
  <sheetPr codeName="Sheet13">
    <tabColor rgb="FFFF0000"/>
  </sheetPr>
  <dimension ref="A1:AQ138"/>
  <sheetViews>
    <sheetView zoomScale="65" zoomScaleNormal="65" workbookViewId="0">
      <pane xSplit="2" ySplit="1" topLeftCell="C85" activePane="bottomRight" state="frozen"/>
      <selection activeCell="A65" sqref="A65:XFD65"/>
      <selection pane="topRight" activeCell="A65" sqref="A65:XFD65"/>
      <selection pane="bottomLeft" activeCell="A65" sqref="A65:XFD65"/>
      <selection pane="bottomRight" activeCell="A27" sqref="A27"/>
    </sheetView>
  </sheetViews>
  <sheetFormatPr defaultColWidth="9.140625" defaultRowHeight="12.75"/>
  <cols>
    <col min="1" max="1" width="38.140625" style="398" customWidth="1"/>
    <col min="2" max="2" width="13" style="394" bestFit="1" customWidth="1"/>
    <col min="3" max="4" width="7.5703125" style="399" bestFit="1" customWidth="1"/>
    <col min="5" max="5" width="9.140625" style="399"/>
    <col min="6" max="6" width="6.140625" style="400" customWidth="1"/>
    <col min="7" max="7" width="5.85546875" style="400" bestFit="1" customWidth="1"/>
    <col min="8" max="8" width="7.42578125" style="399" bestFit="1" customWidth="1"/>
    <col min="9" max="9" width="6.140625" style="400" bestFit="1" customWidth="1"/>
    <col min="10" max="10" width="6" style="400" bestFit="1" customWidth="1"/>
    <col min="11" max="11" width="6.85546875" style="400" bestFit="1" customWidth="1"/>
    <col min="12" max="12" width="8.7109375" style="396" bestFit="1" customWidth="1"/>
    <col min="13" max="13" width="8.140625" style="395" bestFit="1" customWidth="1"/>
    <col min="14" max="14" width="5.28515625" style="395" customWidth="1"/>
    <col min="15" max="15" width="7.42578125" style="395" customWidth="1"/>
    <col min="16" max="16" width="7.42578125" style="395" bestFit="1" customWidth="1"/>
    <col min="17" max="17" width="8.140625" style="395" bestFit="1" customWidth="1"/>
    <col min="18" max="18" width="7.28515625" style="395" bestFit="1" customWidth="1"/>
    <col min="19" max="19" width="7.42578125" style="395" bestFit="1" customWidth="1"/>
    <col min="20" max="20" width="8.42578125" style="395" bestFit="1" customWidth="1"/>
    <col min="21" max="21" width="6.85546875" style="395" bestFit="1" customWidth="1"/>
    <col min="22" max="24" width="5.42578125" style="395" customWidth="1"/>
    <col min="25" max="25" width="5.42578125" style="400" customWidth="1"/>
    <col min="26" max="26" width="8.140625" style="397" bestFit="1" customWidth="1"/>
    <col min="27" max="27" width="6.7109375" style="396" bestFit="1" customWidth="1"/>
    <col min="28" max="29" width="5.5703125" style="395" customWidth="1"/>
    <col min="30" max="30" width="8.7109375" style="395" bestFit="1" customWidth="1"/>
    <col min="31" max="31" width="5.5703125" style="395" customWidth="1"/>
    <col min="32" max="32" width="5.85546875" style="395" bestFit="1" customWidth="1"/>
    <col min="33" max="33" width="7" style="395" customWidth="1"/>
    <col min="34" max="36" width="5.5703125" style="395" customWidth="1"/>
    <col min="37" max="37" width="8.7109375" style="397" bestFit="1" customWidth="1"/>
    <col min="38" max="38" width="4.42578125" style="401" bestFit="1" customWidth="1"/>
    <col min="39" max="39" width="9.28515625" style="395" bestFit="1" customWidth="1"/>
    <col min="40" max="16384" width="9.140625" style="394"/>
  </cols>
  <sheetData>
    <row r="1" spans="1:43" s="255" customFormat="1" ht="105.75" customHeight="1" thickBot="1">
      <c r="A1" s="245" t="s">
        <v>198</v>
      </c>
      <c r="B1" s="246" t="s">
        <v>199</v>
      </c>
      <c r="C1" s="247" t="s">
        <v>200</v>
      </c>
      <c r="D1" s="248" t="s">
        <v>201</v>
      </c>
      <c r="E1" s="249" t="s">
        <v>202</v>
      </c>
      <c r="F1" s="250" t="s">
        <v>203</v>
      </c>
      <c r="G1" s="250" t="s">
        <v>204</v>
      </c>
      <c r="H1" s="251" t="s">
        <v>205</v>
      </c>
      <c r="I1" s="248" t="s">
        <v>206</v>
      </c>
      <c r="J1" s="249" t="s">
        <v>207</v>
      </c>
      <c r="K1" s="249" t="s">
        <v>208</v>
      </c>
      <c r="L1" s="251" t="s">
        <v>209</v>
      </c>
      <c r="M1" s="248" t="s">
        <v>210</v>
      </c>
      <c r="N1" s="249" t="s">
        <v>211</v>
      </c>
      <c r="O1" s="249" t="s">
        <v>212</v>
      </c>
      <c r="P1" s="249" t="s">
        <v>213</v>
      </c>
      <c r="Q1" s="249" t="s">
        <v>214</v>
      </c>
      <c r="R1" s="249" t="s">
        <v>215</v>
      </c>
      <c r="S1" s="249" t="s">
        <v>216</v>
      </c>
      <c r="T1" s="249" t="s">
        <v>217</v>
      </c>
      <c r="U1" s="249" t="s">
        <v>218</v>
      </c>
      <c r="V1" s="250" t="s">
        <v>219</v>
      </c>
      <c r="W1" s="250" t="s">
        <v>220</v>
      </c>
      <c r="X1" s="250" t="s">
        <v>221</v>
      </c>
      <c r="Y1" s="249" t="s">
        <v>222</v>
      </c>
      <c r="Z1" s="251" t="s">
        <v>223</v>
      </c>
      <c r="AA1" s="252" t="s">
        <v>224</v>
      </c>
      <c r="AB1" s="253" t="s">
        <v>225</v>
      </c>
      <c r="AC1" s="249" t="s">
        <v>226</v>
      </c>
      <c r="AD1" s="249" t="s">
        <v>227</v>
      </c>
      <c r="AE1" s="249" t="s">
        <v>228</v>
      </c>
      <c r="AF1" s="249" t="s">
        <v>229</v>
      </c>
      <c r="AG1" s="249" t="s">
        <v>230</v>
      </c>
      <c r="AH1" s="249" t="s">
        <v>231</v>
      </c>
      <c r="AI1" s="250" t="s">
        <v>232</v>
      </c>
      <c r="AJ1" s="251" t="s">
        <v>233</v>
      </c>
      <c r="AK1" s="251" t="s">
        <v>234</v>
      </c>
      <c r="AL1" s="252" t="s">
        <v>235</v>
      </c>
      <c r="AM1" s="254" t="s">
        <v>236</v>
      </c>
    </row>
    <row r="2" spans="1:43" s="270" customFormat="1" ht="12.75" customHeight="1">
      <c r="A2" s="256" t="s">
        <v>237</v>
      </c>
      <c r="B2" s="257"/>
      <c r="C2" s="258">
        <v>0</v>
      </c>
      <c r="D2" s="259">
        <v>0</v>
      </c>
      <c r="E2" s="260"/>
      <c r="F2" s="261"/>
      <c r="G2" s="261"/>
      <c r="H2" s="409">
        <v>315.35635744035284</v>
      </c>
      <c r="I2" s="263">
        <v>187.65235744035286</v>
      </c>
      <c r="J2" s="264">
        <v>127.70399999999999</v>
      </c>
      <c r="K2" s="264"/>
      <c r="L2" s="262">
        <v>0</v>
      </c>
      <c r="M2" s="263"/>
      <c r="N2" s="265"/>
      <c r="O2" s="265"/>
      <c r="P2" s="265"/>
      <c r="Q2" s="265"/>
      <c r="R2" s="265"/>
      <c r="S2" s="265"/>
      <c r="T2" s="265"/>
      <c r="U2" s="265"/>
      <c r="V2" s="261"/>
      <c r="W2" s="261"/>
      <c r="X2" s="261"/>
      <c r="Y2" s="264"/>
      <c r="Z2" s="409">
        <v>171.49751771428569</v>
      </c>
      <c r="AA2" s="266">
        <v>757.30604420028544</v>
      </c>
      <c r="AB2" s="267">
        <v>69.001988581977614</v>
      </c>
      <c r="AC2" s="264">
        <v>344.90112829599997</v>
      </c>
      <c r="AD2" s="264">
        <v>222.86512840487305</v>
      </c>
      <c r="AE2" s="264">
        <v>42.979400797369799</v>
      </c>
      <c r="AF2" s="264">
        <v>12.923532256094104</v>
      </c>
      <c r="AG2" s="264">
        <v>23.972115147275954</v>
      </c>
      <c r="AH2" s="263">
        <v>10.258262390627788</v>
      </c>
      <c r="AI2" s="261">
        <v>30.404488326067145</v>
      </c>
      <c r="AJ2" s="268">
        <v>43.833028461414592</v>
      </c>
      <c r="AK2" s="268"/>
      <c r="AL2" s="266"/>
      <c r="AM2" s="269">
        <v>1287.9929478163388</v>
      </c>
    </row>
    <row r="3" spans="1:43" s="270" customFormat="1" ht="12.75" customHeight="1">
      <c r="A3" s="271" t="s">
        <v>238</v>
      </c>
      <c r="B3" s="272"/>
      <c r="C3" s="273">
        <v>1346.8346647249841</v>
      </c>
      <c r="D3" s="274">
        <v>1293.324809834864</v>
      </c>
      <c r="E3" s="275">
        <v>41.45458802634522</v>
      </c>
      <c r="F3" s="276"/>
      <c r="G3" s="276">
        <v>12.055266863774902</v>
      </c>
      <c r="H3" s="277">
        <v>0</v>
      </c>
      <c r="I3" s="278"/>
      <c r="J3" s="279"/>
      <c r="K3" s="279"/>
      <c r="L3" s="277">
        <v>8265.9175837430066</v>
      </c>
      <c r="M3" s="278">
        <v>3005.4213999999997</v>
      </c>
      <c r="N3" s="279">
        <v>0</v>
      </c>
      <c r="O3" s="279">
        <v>1079.7509873962383</v>
      </c>
      <c r="P3" s="279">
        <v>532.7149551835239</v>
      </c>
      <c r="Q3" s="279">
        <v>763.43666664191994</v>
      </c>
      <c r="R3" s="279">
        <v>196.43930288361582</v>
      </c>
      <c r="S3" s="279">
        <v>104.55555529999999</v>
      </c>
      <c r="T3" s="279">
        <v>2182.8743673595941</v>
      </c>
      <c r="U3" s="279">
        <v>125.35497672939384</v>
      </c>
      <c r="V3" s="276">
        <v>0</v>
      </c>
      <c r="W3" s="276">
        <v>238.19556224871974</v>
      </c>
      <c r="X3" s="276">
        <v>0.97743000000000002</v>
      </c>
      <c r="Y3" s="279">
        <v>36.196379999999998</v>
      </c>
      <c r="Z3" s="277">
        <v>3846.4506769075715</v>
      </c>
      <c r="AA3" s="280">
        <v>79.621869102978863</v>
      </c>
      <c r="AB3" s="281"/>
      <c r="AC3" s="279"/>
      <c r="AD3" s="279">
        <v>15.392196200436368</v>
      </c>
      <c r="AE3" s="279"/>
      <c r="AF3" s="279"/>
      <c r="AG3" s="279">
        <v>64.22967290254249</v>
      </c>
      <c r="AH3" s="278"/>
      <c r="AI3" s="276"/>
      <c r="AJ3" s="282"/>
      <c r="AK3" s="282">
        <v>67.390044275999983</v>
      </c>
      <c r="AL3" s="280"/>
      <c r="AM3" s="283">
        <v>13606.21483875454</v>
      </c>
      <c r="AQ3" s="270">
        <f>S3-S4+S21</f>
        <v>148.64481996489999</v>
      </c>
    </row>
    <row r="4" spans="1:43" s="270" customFormat="1" ht="12.75" customHeight="1">
      <c r="A4" s="271" t="s">
        <v>239</v>
      </c>
      <c r="B4" s="272"/>
      <c r="C4" s="273">
        <v>9.3109921176560011</v>
      </c>
      <c r="D4" s="274">
        <v>0</v>
      </c>
      <c r="E4" s="284">
        <v>8.9073084500000004</v>
      </c>
      <c r="F4" s="276"/>
      <c r="G4" s="276">
        <v>0.40368366765599989</v>
      </c>
      <c r="H4" s="277">
        <v>8.8697459999999992</v>
      </c>
      <c r="I4" s="278"/>
      <c r="J4" s="279"/>
      <c r="K4" s="279">
        <v>8.8697459999999992</v>
      </c>
      <c r="L4" s="277">
        <v>1772.3668835381411</v>
      </c>
      <c r="M4" s="278">
        <v>0</v>
      </c>
      <c r="N4" s="279"/>
      <c r="O4" s="279">
        <v>433.62034337999995</v>
      </c>
      <c r="P4" s="279">
        <v>5.9879747386368001</v>
      </c>
      <c r="Q4" s="279">
        <v>0.47673116375999997</v>
      </c>
      <c r="R4" s="279">
        <v>962.45417516139128</v>
      </c>
      <c r="S4" s="279">
        <v>37.724257284700002</v>
      </c>
      <c r="T4" s="279">
        <v>316.4189578548112</v>
      </c>
      <c r="U4" s="279">
        <v>0.22210239784184876</v>
      </c>
      <c r="V4" s="276">
        <v>9.016279913</v>
      </c>
      <c r="W4" s="276">
        <v>1.7206643999999997E-2</v>
      </c>
      <c r="X4" s="276">
        <v>5.2550000000000001E-3</v>
      </c>
      <c r="Y4" s="279">
        <v>6.4236000000000004</v>
      </c>
      <c r="Z4" s="277">
        <v>0</v>
      </c>
      <c r="AA4" s="280">
        <v>2.8858024799999996E-3</v>
      </c>
      <c r="AB4" s="281"/>
      <c r="AC4" s="279"/>
      <c r="AD4" s="279">
        <v>2.8858024799999996E-3</v>
      </c>
      <c r="AE4" s="279"/>
      <c r="AF4" s="279"/>
      <c r="AG4" s="279">
        <v>0</v>
      </c>
      <c r="AH4" s="278"/>
      <c r="AI4" s="276"/>
      <c r="AJ4" s="282"/>
      <c r="AK4" s="282">
        <v>31.83121139</v>
      </c>
      <c r="AL4" s="280"/>
      <c r="AM4" s="283">
        <v>1822.3817188482769</v>
      </c>
      <c r="AQ4" s="270">
        <f>AQ3-S26</f>
        <v>138.32611452091263</v>
      </c>
    </row>
    <row r="5" spans="1:43" s="270" customFormat="1" ht="12.75" customHeight="1">
      <c r="A5" s="271" t="s">
        <v>240</v>
      </c>
      <c r="B5" s="272"/>
      <c r="C5" s="273">
        <v>0</v>
      </c>
      <c r="D5" s="274"/>
      <c r="E5" s="284"/>
      <c r="F5" s="276"/>
      <c r="G5" s="276"/>
      <c r="H5" s="277">
        <v>0</v>
      </c>
      <c r="I5" s="278"/>
      <c r="J5" s="279"/>
      <c r="K5" s="279"/>
      <c r="L5" s="277">
        <v>128.53879204910621</v>
      </c>
      <c r="M5" s="278"/>
      <c r="N5" s="279"/>
      <c r="O5" s="279"/>
      <c r="P5" s="279"/>
      <c r="Q5" s="279"/>
      <c r="R5" s="279">
        <v>23.696508519774007</v>
      </c>
      <c r="S5" s="279"/>
      <c r="T5" s="279">
        <v>104.84228352933221</v>
      </c>
      <c r="U5" s="279"/>
      <c r="V5" s="276"/>
      <c r="W5" s="276"/>
      <c r="X5" s="276"/>
      <c r="Y5" s="279"/>
      <c r="Z5" s="277"/>
      <c r="AA5" s="280">
        <v>0</v>
      </c>
      <c r="AB5" s="281"/>
      <c r="AC5" s="279"/>
      <c r="AD5" s="279"/>
      <c r="AE5" s="279"/>
      <c r="AF5" s="279"/>
      <c r="AG5" s="279"/>
      <c r="AH5" s="278"/>
      <c r="AI5" s="276"/>
      <c r="AJ5" s="282"/>
      <c r="AK5" s="282"/>
      <c r="AL5" s="280"/>
      <c r="AM5" s="283">
        <v>128.53879204910621</v>
      </c>
    </row>
    <row r="6" spans="1:43" s="270" customFormat="1" ht="12.75" customHeight="1" thickBot="1">
      <c r="A6" s="285" t="s">
        <v>241</v>
      </c>
      <c r="B6" s="286"/>
      <c r="C6" s="273">
        <v>155.26435651398248</v>
      </c>
      <c r="D6" s="287">
        <v>148.553498653753</v>
      </c>
      <c r="E6" s="276">
        <v>5.5182532106401219</v>
      </c>
      <c r="F6" s="288"/>
      <c r="G6" s="288">
        <v>1.1926046495893485</v>
      </c>
      <c r="H6" s="289">
        <v>464.62932322053905</v>
      </c>
      <c r="I6" s="290">
        <v>457.36678122053905</v>
      </c>
      <c r="J6" s="290">
        <v>0</v>
      </c>
      <c r="K6" s="290">
        <v>7.2625420000000007</v>
      </c>
      <c r="L6" s="289">
        <v>149.97163488893574</v>
      </c>
      <c r="M6" s="278">
        <v>131.91540000000001</v>
      </c>
      <c r="N6" s="279"/>
      <c r="O6" s="279">
        <v>11.88495739041778</v>
      </c>
      <c r="P6" s="279">
        <v>-32.993711018401761</v>
      </c>
      <c r="Q6" s="279">
        <v>2.1153777808800038</v>
      </c>
      <c r="R6" s="279">
        <v>33.907947170871473</v>
      </c>
      <c r="S6" s="279">
        <v>-0.41187664700000065</v>
      </c>
      <c r="T6" s="279">
        <v>20.336442141320198</v>
      </c>
      <c r="U6" s="279">
        <v>-11.361721059894943</v>
      </c>
      <c r="V6" s="288">
        <v>-5.4211808692569976</v>
      </c>
      <c r="W6" s="288">
        <v>0</v>
      </c>
      <c r="X6" s="288">
        <v>0</v>
      </c>
      <c r="Y6" s="290">
        <v>0</v>
      </c>
      <c r="Z6" s="289">
        <v>15.016289828571434</v>
      </c>
      <c r="AA6" s="291">
        <v>-2.1172169422381053</v>
      </c>
      <c r="AB6" s="292"/>
      <c r="AC6" s="293"/>
      <c r="AD6" s="293">
        <v>1.2741511567679997</v>
      </c>
      <c r="AE6" s="293"/>
      <c r="AF6" s="293"/>
      <c r="AG6" s="293">
        <v>-3.391368099006105</v>
      </c>
      <c r="AH6" s="290"/>
      <c r="AI6" s="288"/>
      <c r="AJ6" s="294"/>
      <c r="AK6" s="294"/>
      <c r="AL6" s="291"/>
      <c r="AM6" s="295">
        <v>782.76438750979071</v>
      </c>
    </row>
    <row r="7" spans="1:43" s="305" customFormat="1" ht="12.75" customHeight="1">
      <c r="A7" s="296" t="s">
        <v>242</v>
      </c>
      <c r="B7" s="297"/>
      <c r="C7" s="298">
        <v>1492.7880291213105</v>
      </c>
      <c r="D7" s="299">
        <v>1441.878308488617</v>
      </c>
      <c r="E7" s="300">
        <v>38.065532786985344</v>
      </c>
      <c r="F7" s="300">
        <v>0</v>
      </c>
      <c r="G7" s="300">
        <v>12.84418784570825</v>
      </c>
      <c r="H7" s="301">
        <v>771.11593466089187</v>
      </c>
      <c r="I7" s="299">
        <v>645.01913866089194</v>
      </c>
      <c r="J7" s="300">
        <v>127.70399999999999</v>
      </c>
      <c r="K7" s="300">
        <v>-1.6072039999999985</v>
      </c>
      <c r="L7" s="301">
        <v>6514.9835430446947</v>
      </c>
      <c r="M7" s="299">
        <v>3137.3367999999996</v>
      </c>
      <c r="N7" s="300">
        <v>0</v>
      </c>
      <c r="O7" s="300">
        <v>658.01560140665617</v>
      </c>
      <c r="P7" s="300">
        <v>493.73326942648532</v>
      </c>
      <c r="Q7" s="300">
        <v>765.07531325903994</v>
      </c>
      <c r="R7" s="300">
        <v>-755.80343362667804</v>
      </c>
      <c r="S7" s="300">
        <v>66.419421368299993</v>
      </c>
      <c r="T7" s="300">
        <v>1781.9495681167709</v>
      </c>
      <c r="U7" s="300">
        <v>113.77115327165704</v>
      </c>
      <c r="V7" s="300">
        <v>-14.437460782256998</v>
      </c>
      <c r="W7" s="300">
        <v>238.17835560471974</v>
      </c>
      <c r="X7" s="300">
        <v>0.97217500000000001</v>
      </c>
      <c r="Y7" s="300">
        <v>29.772779999999997</v>
      </c>
      <c r="Z7" s="301">
        <v>4032.9644844504287</v>
      </c>
      <c r="AA7" s="301">
        <v>834.80781055854618</v>
      </c>
      <c r="AB7" s="299">
        <v>69.001988581977614</v>
      </c>
      <c r="AC7" s="300">
        <v>344.90112829599997</v>
      </c>
      <c r="AD7" s="300">
        <v>239.52858995959741</v>
      </c>
      <c r="AE7" s="300">
        <v>42.979400797369799</v>
      </c>
      <c r="AF7" s="300">
        <v>12.923532256094104</v>
      </c>
      <c r="AG7" s="300">
        <v>84.810419950812346</v>
      </c>
      <c r="AH7" s="302">
        <v>10.258262390627788</v>
      </c>
      <c r="AI7" s="299">
        <v>30.404488326067145</v>
      </c>
      <c r="AJ7" s="301">
        <v>43.833028461414592</v>
      </c>
      <c r="AK7" s="301">
        <v>35.558832885999983</v>
      </c>
      <c r="AL7" s="303">
        <v>0</v>
      </c>
      <c r="AM7" s="304">
        <v>13726.051663183287</v>
      </c>
      <c r="AN7" s="270"/>
      <c r="AO7" s="305">
        <f>AM7/0.95</f>
        <v>14448.475434929776</v>
      </c>
    </row>
    <row r="8" spans="1:43" s="305" customFormat="1" ht="12.75" customHeight="1" thickBot="1">
      <c r="A8" s="306" t="s">
        <v>243</v>
      </c>
      <c r="B8" s="307"/>
      <c r="C8" s="308">
        <v>1492.7880291213105</v>
      </c>
      <c r="D8" s="309">
        <v>1441.878308488617</v>
      </c>
      <c r="E8" s="310">
        <v>38.065532786985344</v>
      </c>
      <c r="F8" s="311">
        <v>0</v>
      </c>
      <c r="G8" s="311">
        <v>12.84418784570825</v>
      </c>
      <c r="H8" s="312">
        <v>771.11593466089187</v>
      </c>
      <c r="I8" s="309">
        <v>645.01913866089194</v>
      </c>
      <c r="J8" s="310">
        <v>127.70399999999999</v>
      </c>
      <c r="K8" s="310">
        <v>-1.6072039999999985</v>
      </c>
      <c r="L8" s="312">
        <v>6246.0602324399752</v>
      </c>
      <c r="M8" s="309">
        <v>3137.3367999999996</v>
      </c>
      <c r="N8" s="310">
        <v>0</v>
      </c>
      <c r="O8" s="310">
        <v>658.01560140665617</v>
      </c>
      <c r="P8" s="310">
        <v>493.73326942648532</v>
      </c>
      <c r="Q8" s="310">
        <v>765.07531325903994</v>
      </c>
      <c r="R8" s="310">
        <v>-755.80343362667804</v>
      </c>
      <c r="S8" s="310">
        <v>66.419421368299993</v>
      </c>
      <c r="T8" s="310">
        <v>1781.9495681167709</v>
      </c>
      <c r="U8" s="310">
        <v>113.77115327165704</v>
      </c>
      <c r="V8" s="311">
        <v>-14.437460782256998</v>
      </c>
      <c r="W8" s="311">
        <v>0</v>
      </c>
      <c r="X8" s="311">
        <v>0</v>
      </c>
      <c r="Y8" s="310">
        <v>0</v>
      </c>
      <c r="Z8" s="312">
        <v>4032.9644844504287</v>
      </c>
      <c r="AA8" s="313">
        <v>834.80781055854618</v>
      </c>
      <c r="AB8" s="309">
        <v>69.001988581977614</v>
      </c>
      <c r="AC8" s="310">
        <v>344.90112829599997</v>
      </c>
      <c r="AD8" s="310">
        <v>239.52858995959741</v>
      </c>
      <c r="AE8" s="310">
        <v>42.979400797369799</v>
      </c>
      <c r="AF8" s="310">
        <v>12.923532256094104</v>
      </c>
      <c r="AG8" s="310">
        <v>84.810419950812346</v>
      </c>
      <c r="AH8" s="314">
        <v>10.258262390627788</v>
      </c>
      <c r="AI8" s="309">
        <v>30.404488326067145</v>
      </c>
      <c r="AJ8" s="312">
        <v>43.833028461414592</v>
      </c>
      <c r="AK8" s="312">
        <v>35.558832885999983</v>
      </c>
      <c r="AL8" s="309">
        <v>0</v>
      </c>
      <c r="AM8" s="315">
        <v>13457.128352578568</v>
      </c>
      <c r="AN8" s="270"/>
    </row>
    <row r="9" spans="1:43" s="305" customFormat="1" ht="12.75" customHeight="1">
      <c r="A9" s="296" t="s">
        <v>244</v>
      </c>
      <c r="B9" s="297"/>
      <c r="C9" s="298">
        <v>1160.1104733552247</v>
      </c>
      <c r="D9" s="302">
        <v>1160.1104733552247</v>
      </c>
      <c r="E9" s="300">
        <v>0</v>
      </c>
      <c r="F9" s="316">
        <v>0</v>
      </c>
      <c r="G9" s="316">
        <v>0</v>
      </c>
      <c r="H9" s="301">
        <v>656.95502828815472</v>
      </c>
      <c r="I9" s="302">
        <v>656.95502828815472</v>
      </c>
      <c r="J9" s="300">
        <v>0</v>
      </c>
      <c r="K9" s="300">
        <v>0</v>
      </c>
      <c r="L9" s="301">
        <v>3193.221579748662</v>
      </c>
      <c r="M9" s="300">
        <v>3137.3368</v>
      </c>
      <c r="N9" s="300">
        <v>8.7413981759999988</v>
      </c>
      <c r="O9" s="300">
        <v>0</v>
      </c>
      <c r="P9" s="300">
        <v>0</v>
      </c>
      <c r="Q9" s="300">
        <v>0</v>
      </c>
      <c r="R9" s="300">
        <v>39.385257909776691</v>
      </c>
      <c r="S9" s="300">
        <v>0.49079650780767087</v>
      </c>
      <c r="T9" s="300">
        <v>7.2673271550774992</v>
      </c>
      <c r="U9" s="300">
        <v>0</v>
      </c>
      <c r="V9" s="316">
        <v>0</v>
      </c>
      <c r="W9" s="316">
        <v>0</v>
      </c>
      <c r="X9" s="316">
        <v>0</v>
      </c>
      <c r="Y9" s="300">
        <v>0</v>
      </c>
      <c r="Z9" s="301">
        <v>2328.2369151487947</v>
      </c>
      <c r="AA9" s="299">
        <v>112.78478660237138</v>
      </c>
      <c r="AB9" s="317">
        <v>0</v>
      </c>
      <c r="AC9" s="300">
        <v>0</v>
      </c>
      <c r="AD9" s="300">
        <v>65.656076622923834</v>
      </c>
      <c r="AE9" s="300">
        <v>42.979400797369799</v>
      </c>
      <c r="AF9" s="300">
        <v>4.149309182077757</v>
      </c>
      <c r="AG9" s="300">
        <v>0</v>
      </c>
      <c r="AH9" s="302">
        <v>0</v>
      </c>
      <c r="AI9" s="316">
        <v>0</v>
      </c>
      <c r="AJ9" s="301">
        <v>18.348744670969214</v>
      </c>
      <c r="AK9" s="301">
        <v>49.016600935999996</v>
      </c>
      <c r="AL9" s="299">
        <v>0</v>
      </c>
      <c r="AM9" s="318">
        <v>7518.6741287501773</v>
      </c>
      <c r="AN9" s="270"/>
    </row>
    <row r="10" spans="1:43" s="270" customFormat="1" ht="12.75" customHeight="1">
      <c r="A10" s="319" t="s">
        <v>245</v>
      </c>
      <c r="B10" s="320"/>
      <c r="C10" s="321">
        <v>1160.1104733552247</v>
      </c>
      <c r="D10" s="322">
        <v>1160.1104733552247</v>
      </c>
      <c r="E10" s="323"/>
      <c r="F10" s="324"/>
      <c r="G10" s="324"/>
      <c r="H10" s="325">
        <v>549.99918274545769</v>
      </c>
      <c r="I10" s="322">
        <v>549.99918274545769</v>
      </c>
      <c r="J10" s="323">
        <v>0</v>
      </c>
      <c r="K10" s="323"/>
      <c r="L10" s="325">
        <v>46.652585064854193</v>
      </c>
      <c r="M10" s="323"/>
      <c r="N10" s="323"/>
      <c r="O10" s="323"/>
      <c r="P10" s="323"/>
      <c r="Q10" s="323"/>
      <c r="R10" s="323">
        <v>39.385257909776691</v>
      </c>
      <c r="S10" s="323"/>
      <c r="T10" s="323">
        <v>7.2673271550774992</v>
      </c>
      <c r="U10" s="323"/>
      <c r="V10" s="324"/>
      <c r="W10" s="324"/>
      <c r="X10" s="324"/>
      <c r="Y10" s="323"/>
      <c r="Z10" s="325">
        <v>1994.4962718704596</v>
      </c>
      <c r="AA10" s="326">
        <v>103.85177430541363</v>
      </c>
      <c r="AB10" s="327"/>
      <c r="AC10" s="323"/>
      <c r="AD10" s="323">
        <v>60.872373508043829</v>
      </c>
      <c r="AE10" s="323">
        <v>42.979400797369799</v>
      </c>
      <c r="AF10" s="323"/>
      <c r="AG10" s="323"/>
      <c r="AH10" s="322"/>
      <c r="AI10" s="324"/>
      <c r="AJ10" s="328">
        <v>18.348744670969214</v>
      </c>
      <c r="AK10" s="325"/>
      <c r="AL10" s="326"/>
      <c r="AM10" s="329">
        <v>3873.4590320123793</v>
      </c>
    </row>
    <row r="11" spans="1:43" s="270" customFormat="1" ht="12.75" customHeight="1">
      <c r="A11" s="271" t="s">
        <v>246</v>
      </c>
      <c r="B11" s="272"/>
      <c r="C11" s="273">
        <v>0</v>
      </c>
      <c r="D11" s="278">
        <v>0</v>
      </c>
      <c r="E11" s="279"/>
      <c r="F11" s="276"/>
      <c r="G11" s="276"/>
      <c r="H11" s="277">
        <v>7.3137987180636967</v>
      </c>
      <c r="I11" s="278">
        <v>7.3137987180636967</v>
      </c>
      <c r="J11" s="279"/>
      <c r="K11" s="279"/>
      <c r="L11" s="277">
        <v>9.2321946838076698</v>
      </c>
      <c r="M11" s="279"/>
      <c r="N11" s="330">
        <v>8.7413981759999988</v>
      </c>
      <c r="O11" s="279"/>
      <c r="P11" s="279"/>
      <c r="Q11" s="279"/>
      <c r="R11" s="279">
        <v>0</v>
      </c>
      <c r="S11" s="279">
        <v>0.49079650780767087</v>
      </c>
      <c r="T11" s="279">
        <v>0</v>
      </c>
      <c r="U11" s="279"/>
      <c r="V11" s="276"/>
      <c r="W11" s="276"/>
      <c r="X11" s="276"/>
      <c r="Y11" s="279"/>
      <c r="Z11" s="277">
        <v>274.98639864056184</v>
      </c>
      <c r="AA11" s="280">
        <v>8.9330122969577559</v>
      </c>
      <c r="AB11" s="281"/>
      <c r="AC11" s="279"/>
      <c r="AD11" s="279">
        <v>4.7837031148799998</v>
      </c>
      <c r="AE11" s="279"/>
      <c r="AF11" s="279">
        <v>4.149309182077757</v>
      </c>
      <c r="AG11" s="279"/>
      <c r="AH11" s="278"/>
      <c r="AI11" s="276"/>
      <c r="AJ11" s="282"/>
      <c r="AK11" s="282"/>
      <c r="AL11" s="280"/>
      <c r="AM11" s="283">
        <v>300.465404339391</v>
      </c>
    </row>
    <row r="12" spans="1:43" s="270" customFormat="1" ht="12.75" customHeight="1">
      <c r="A12" s="271" t="s">
        <v>247</v>
      </c>
      <c r="B12" s="272"/>
      <c r="C12" s="273"/>
      <c r="D12" s="278"/>
      <c r="E12" s="279"/>
      <c r="F12" s="276"/>
      <c r="G12" s="276"/>
      <c r="H12" s="277"/>
      <c r="I12" s="278"/>
      <c r="J12" s="279"/>
      <c r="K12" s="279"/>
      <c r="L12" s="277"/>
      <c r="M12" s="279"/>
      <c r="N12" s="330"/>
      <c r="O12" s="279"/>
      <c r="P12" s="279"/>
      <c r="Q12" s="279"/>
      <c r="R12" s="279"/>
      <c r="S12" s="279"/>
      <c r="T12" s="279"/>
      <c r="U12" s="279"/>
      <c r="V12" s="276"/>
      <c r="W12" s="276"/>
      <c r="X12" s="276"/>
      <c r="Y12" s="279"/>
      <c r="Z12" s="277"/>
      <c r="AA12" s="280"/>
      <c r="AB12" s="281"/>
      <c r="AC12" s="279"/>
      <c r="AD12" s="279"/>
      <c r="AE12" s="279"/>
      <c r="AF12" s="279"/>
      <c r="AG12" s="279"/>
      <c r="AH12" s="278"/>
      <c r="AI12" s="276"/>
      <c r="AJ12" s="282"/>
      <c r="AK12" s="282">
        <v>29.801018935999998</v>
      </c>
      <c r="AL12" s="280"/>
      <c r="AM12" s="283">
        <v>29.801018935999998</v>
      </c>
    </row>
    <row r="13" spans="1:43" s="270" customFormat="1" ht="12.75" customHeight="1">
      <c r="A13" s="271" t="s">
        <v>248</v>
      </c>
      <c r="B13" s="272"/>
      <c r="C13" s="273">
        <v>0</v>
      </c>
      <c r="D13" s="278"/>
      <c r="E13" s="276"/>
      <c r="F13" s="276"/>
      <c r="G13" s="276"/>
      <c r="H13" s="277">
        <v>99.642046824633354</v>
      </c>
      <c r="I13" s="278">
        <v>99.642046824633354</v>
      </c>
      <c r="J13" s="279"/>
      <c r="K13" s="279"/>
      <c r="L13" s="277">
        <v>0</v>
      </c>
      <c r="M13" s="279"/>
      <c r="N13" s="279"/>
      <c r="O13" s="279"/>
      <c r="P13" s="279"/>
      <c r="Q13" s="279"/>
      <c r="R13" s="279"/>
      <c r="S13" s="279"/>
      <c r="T13" s="279"/>
      <c r="U13" s="279"/>
      <c r="V13" s="276"/>
      <c r="W13" s="276"/>
      <c r="X13" s="276"/>
      <c r="Y13" s="279"/>
      <c r="Z13" s="277"/>
      <c r="AA13" s="280">
        <v>0</v>
      </c>
      <c r="AB13" s="281"/>
      <c r="AC13" s="279"/>
      <c r="AD13" s="279"/>
      <c r="AE13" s="279"/>
      <c r="AF13" s="279"/>
      <c r="AG13" s="279"/>
      <c r="AH13" s="278"/>
      <c r="AI13" s="276"/>
      <c r="AJ13" s="282"/>
      <c r="AK13" s="282"/>
      <c r="AL13" s="280"/>
      <c r="AM13" s="283">
        <v>99.642046824633354</v>
      </c>
    </row>
    <row r="14" spans="1:43" s="270" customFormat="1" ht="12.75" customHeight="1">
      <c r="A14" s="410" t="s">
        <v>249</v>
      </c>
      <c r="B14" s="411"/>
      <c r="C14" s="412">
        <v>0</v>
      </c>
      <c r="D14" s="413"/>
      <c r="E14" s="414"/>
      <c r="F14" s="415"/>
      <c r="G14" s="415"/>
      <c r="H14" s="416">
        <v>0</v>
      </c>
      <c r="I14" s="413"/>
      <c r="J14" s="414"/>
      <c r="K14" s="414"/>
      <c r="L14" s="416">
        <v>3137.3368</v>
      </c>
      <c r="M14" s="414">
        <v>3137.3368</v>
      </c>
      <c r="N14" s="414"/>
      <c r="O14" s="414"/>
      <c r="P14" s="414"/>
      <c r="Q14" s="414"/>
      <c r="R14" s="414"/>
      <c r="S14" s="414"/>
      <c r="T14" s="414"/>
      <c r="U14" s="414"/>
      <c r="V14" s="415"/>
      <c r="W14" s="415"/>
      <c r="X14" s="415"/>
      <c r="Y14" s="414"/>
      <c r="Z14" s="416">
        <v>58.754244637773425</v>
      </c>
      <c r="AA14" s="417">
        <v>0</v>
      </c>
      <c r="AB14" s="418"/>
      <c r="AC14" s="414"/>
      <c r="AD14" s="414"/>
      <c r="AE14" s="414"/>
      <c r="AF14" s="414"/>
      <c r="AG14" s="414"/>
      <c r="AH14" s="413"/>
      <c r="AI14" s="415"/>
      <c r="AJ14" s="419"/>
      <c r="AK14" s="419">
        <v>19.215581999999998</v>
      </c>
      <c r="AL14" s="417"/>
      <c r="AM14" s="420">
        <v>3215.3066266377732</v>
      </c>
    </row>
    <row r="15" spans="1:43" s="305" customFormat="1" ht="12.75" customHeight="1">
      <c r="A15" s="342" t="s">
        <v>250</v>
      </c>
      <c r="B15" s="343"/>
      <c r="C15" s="344">
        <v>0</v>
      </c>
      <c r="D15" s="345">
        <v>0</v>
      </c>
      <c r="E15" s="346">
        <v>0</v>
      </c>
      <c r="F15" s="347">
        <v>0</v>
      </c>
      <c r="G15" s="347">
        <v>0</v>
      </c>
      <c r="H15" s="348">
        <v>87.066334000000012</v>
      </c>
      <c r="I15" s="345">
        <v>0</v>
      </c>
      <c r="J15" s="346">
        <v>0</v>
      </c>
      <c r="K15" s="346">
        <v>87.066334000000012</v>
      </c>
      <c r="L15" s="348">
        <v>3100.4499153283145</v>
      </c>
      <c r="M15" s="346">
        <v>0</v>
      </c>
      <c r="N15" s="346">
        <v>39.365629364283173</v>
      </c>
      <c r="O15" s="346">
        <v>587.00931856235991</v>
      </c>
      <c r="P15" s="346">
        <v>139.33763876760005</v>
      </c>
      <c r="Q15" s="346">
        <v>0</v>
      </c>
      <c r="R15" s="346">
        <v>946.93779043262703</v>
      </c>
      <c r="S15" s="346">
        <v>81.813521949600002</v>
      </c>
      <c r="T15" s="346">
        <v>1295.8924299065873</v>
      </c>
      <c r="U15" s="346">
        <v>0</v>
      </c>
      <c r="V15" s="347">
        <v>10.093586345256998</v>
      </c>
      <c r="W15" s="347">
        <v>0</v>
      </c>
      <c r="X15" s="347">
        <v>0</v>
      </c>
      <c r="Y15" s="346">
        <v>0</v>
      </c>
      <c r="Z15" s="348">
        <v>0</v>
      </c>
      <c r="AA15" s="349">
        <v>37.775283898293786</v>
      </c>
      <c r="AB15" s="350">
        <v>0</v>
      </c>
      <c r="AC15" s="346">
        <v>0</v>
      </c>
      <c r="AD15" s="346">
        <v>20.652906547174766</v>
      </c>
      <c r="AE15" s="351">
        <v>15.015800062490019</v>
      </c>
      <c r="AF15" s="351">
        <v>2.106577288629</v>
      </c>
      <c r="AG15" s="351">
        <v>0</v>
      </c>
      <c r="AH15" s="345">
        <v>0</v>
      </c>
      <c r="AI15" s="347">
        <v>0</v>
      </c>
      <c r="AJ15" s="348">
        <v>3.9249397296005823</v>
      </c>
      <c r="AK15" s="348">
        <v>1959.6296581071515</v>
      </c>
      <c r="AL15" s="349">
        <v>0</v>
      </c>
      <c r="AM15" s="352">
        <v>5188.8461310633611</v>
      </c>
      <c r="AN15" s="270"/>
    </row>
    <row r="16" spans="1:43" s="354" customFormat="1" ht="12.75" customHeight="1">
      <c r="A16" s="319" t="s">
        <v>245</v>
      </c>
      <c r="B16" s="320"/>
      <c r="C16" s="321">
        <v>0</v>
      </c>
      <c r="D16" s="322"/>
      <c r="E16" s="323"/>
      <c r="F16" s="324"/>
      <c r="G16" s="324"/>
      <c r="H16" s="325">
        <v>0</v>
      </c>
      <c r="I16" s="322"/>
      <c r="J16" s="323"/>
      <c r="K16" s="323"/>
      <c r="L16" s="325">
        <v>0</v>
      </c>
      <c r="M16" s="323"/>
      <c r="N16" s="323"/>
      <c r="O16" s="323"/>
      <c r="P16" s="323"/>
      <c r="Q16" s="323"/>
      <c r="R16" s="323"/>
      <c r="S16" s="323"/>
      <c r="T16" s="323"/>
      <c r="U16" s="323"/>
      <c r="V16" s="324"/>
      <c r="W16" s="324"/>
      <c r="X16" s="324"/>
      <c r="Y16" s="323"/>
      <c r="Z16" s="325"/>
      <c r="AA16" s="326">
        <v>33.764175893664785</v>
      </c>
      <c r="AB16" s="327"/>
      <c r="AC16" s="323"/>
      <c r="AD16" s="323">
        <v>18.748375831174766</v>
      </c>
      <c r="AE16" s="330">
        <v>15.015800062490019</v>
      </c>
      <c r="AF16" s="330"/>
      <c r="AG16" s="330"/>
      <c r="AH16" s="322"/>
      <c r="AI16" s="324"/>
      <c r="AJ16" s="328">
        <v>3.9249397296005823</v>
      </c>
      <c r="AK16" s="328">
        <v>1758.55124286982</v>
      </c>
      <c r="AL16" s="326"/>
      <c r="AM16" s="353">
        <v>1758.55124286982</v>
      </c>
      <c r="AN16" s="270"/>
    </row>
    <row r="17" spans="1:40" s="354" customFormat="1" ht="12.75" customHeight="1">
      <c r="A17" s="271" t="s">
        <v>251</v>
      </c>
      <c r="B17" s="272"/>
      <c r="C17" s="273">
        <v>0</v>
      </c>
      <c r="D17" s="278"/>
      <c r="E17" s="279"/>
      <c r="F17" s="276"/>
      <c r="G17" s="276"/>
      <c r="H17" s="277">
        <v>0</v>
      </c>
      <c r="I17" s="278"/>
      <c r="J17" s="279"/>
      <c r="K17" s="279"/>
      <c r="L17" s="277">
        <v>0</v>
      </c>
      <c r="M17" s="279"/>
      <c r="N17" s="279"/>
      <c r="O17" s="279"/>
      <c r="P17" s="279"/>
      <c r="Q17" s="279"/>
      <c r="R17" s="279"/>
      <c r="S17" s="279"/>
      <c r="T17" s="279"/>
      <c r="U17" s="279"/>
      <c r="V17" s="276"/>
      <c r="W17" s="276"/>
      <c r="X17" s="276"/>
      <c r="Y17" s="279"/>
      <c r="Z17" s="277"/>
      <c r="AA17" s="280">
        <v>4.0111080046289995</v>
      </c>
      <c r="AB17" s="281"/>
      <c r="AC17" s="279"/>
      <c r="AD17" s="279">
        <v>1.9045307159999998</v>
      </c>
      <c r="AE17" s="279"/>
      <c r="AF17" s="279">
        <v>2.106577288629</v>
      </c>
      <c r="AG17" s="279"/>
      <c r="AH17" s="278"/>
      <c r="AI17" s="276"/>
      <c r="AJ17" s="282"/>
      <c r="AK17" s="355">
        <v>182.86602689418905</v>
      </c>
      <c r="AL17" s="280"/>
      <c r="AM17" s="283">
        <v>182.86602689418905</v>
      </c>
      <c r="AN17" s="270"/>
    </row>
    <row r="18" spans="1:40" s="354" customFormat="1" ht="12.75" customHeight="1">
      <c r="A18" s="271" t="s">
        <v>252</v>
      </c>
      <c r="B18" s="272"/>
      <c r="C18" s="273"/>
      <c r="D18" s="278"/>
      <c r="E18" s="279"/>
      <c r="F18" s="276"/>
      <c r="G18" s="276"/>
      <c r="H18" s="277"/>
      <c r="I18" s="278"/>
      <c r="J18" s="279"/>
      <c r="K18" s="279"/>
      <c r="L18" s="277"/>
      <c r="M18" s="279"/>
      <c r="N18" s="279"/>
      <c r="O18" s="279"/>
      <c r="P18" s="279"/>
      <c r="Q18" s="279"/>
      <c r="R18" s="279"/>
      <c r="S18" s="279"/>
      <c r="T18" s="279"/>
      <c r="U18" s="279"/>
      <c r="V18" s="276"/>
      <c r="W18" s="276"/>
      <c r="X18" s="276"/>
      <c r="Y18" s="279"/>
      <c r="Z18" s="277"/>
      <c r="AA18" s="280">
        <v>0</v>
      </c>
      <c r="AB18" s="281"/>
      <c r="AC18" s="279"/>
      <c r="AD18" s="279"/>
      <c r="AE18" s="279"/>
      <c r="AF18" s="279"/>
      <c r="AG18" s="279"/>
      <c r="AH18" s="278"/>
      <c r="AI18" s="276"/>
      <c r="AJ18" s="282"/>
      <c r="AK18" s="282"/>
      <c r="AL18" s="280"/>
      <c r="AM18" s="283">
        <v>0</v>
      </c>
      <c r="AN18" s="270"/>
    </row>
    <row r="19" spans="1:40" s="354" customFormat="1" ht="12.75" customHeight="1">
      <c r="A19" s="271" t="s">
        <v>253</v>
      </c>
      <c r="B19" s="272"/>
      <c r="C19" s="273"/>
      <c r="D19" s="278"/>
      <c r="E19" s="279"/>
      <c r="F19" s="276"/>
      <c r="G19" s="276"/>
      <c r="H19" s="277"/>
      <c r="I19" s="278"/>
      <c r="J19" s="279"/>
      <c r="K19" s="279"/>
      <c r="L19" s="277"/>
      <c r="M19" s="279"/>
      <c r="N19" s="279"/>
      <c r="O19" s="279"/>
      <c r="P19" s="279"/>
      <c r="Q19" s="279"/>
      <c r="R19" s="279"/>
      <c r="S19" s="279"/>
      <c r="T19" s="279"/>
      <c r="U19" s="279"/>
      <c r="V19" s="276"/>
      <c r="W19" s="276"/>
      <c r="X19" s="276"/>
      <c r="Y19" s="279"/>
      <c r="Z19" s="277"/>
      <c r="AA19" s="280"/>
      <c r="AB19" s="281"/>
      <c r="AC19" s="279"/>
      <c r="AD19" s="279"/>
      <c r="AE19" s="279"/>
      <c r="AF19" s="279"/>
      <c r="AG19" s="279"/>
      <c r="AH19" s="278"/>
      <c r="AI19" s="276"/>
      <c r="AJ19" s="282"/>
      <c r="AK19" s="282">
        <v>18.212388343142397</v>
      </c>
      <c r="AL19" s="280"/>
      <c r="AM19" s="283">
        <v>18.212388343142397</v>
      </c>
      <c r="AN19" s="270"/>
    </row>
    <row r="20" spans="1:40" s="354" customFormat="1" ht="12.75" customHeight="1">
      <c r="A20" s="271" t="s">
        <v>248</v>
      </c>
      <c r="B20" s="272"/>
      <c r="C20" s="273"/>
      <c r="E20" s="279"/>
      <c r="F20" s="276"/>
      <c r="G20" s="276"/>
      <c r="H20" s="277">
        <v>87.066334000000012</v>
      </c>
      <c r="I20" s="278"/>
      <c r="J20" s="279"/>
      <c r="K20" s="279">
        <v>87.066334000000012</v>
      </c>
      <c r="L20" s="277">
        <v>0</v>
      </c>
      <c r="M20" s="279"/>
      <c r="N20" s="279"/>
      <c r="O20" s="279"/>
      <c r="P20" s="279"/>
      <c r="Q20" s="279"/>
      <c r="R20" s="279"/>
      <c r="S20" s="279"/>
      <c r="T20" s="279"/>
      <c r="U20" s="279"/>
      <c r="V20" s="276"/>
      <c r="W20" s="276"/>
      <c r="X20" s="276"/>
      <c r="Y20" s="279"/>
      <c r="Z20" s="277"/>
      <c r="AA20" s="280">
        <v>0</v>
      </c>
      <c r="AB20" s="281"/>
      <c r="AC20" s="279"/>
      <c r="AD20" s="279"/>
      <c r="AE20" s="279"/>
      <c r="AF20" s="279"/>
      <c r="AG20" s="279"/>
      <c r="AH20" s="278"/>
      <c r="AI20" s="276"/>
      <c r="AJ20" s="282"/>
      <c r="AK20" s="282"/>
      <c r="AL20" s="280"/>
      <c r="AM20" s="283">
        <v>87.066334000000012</v>
      </c>
      <c r="AN20" s="270"/>
    </row>
    <row r="21" spans="1:40" s="354" customFormat="1" ht="12.75" customHeight="1">
      <c r="A21" s="410" t="s">
        <v>254</v>
      </c>
      <c r="B21" s="411"/>
      <c r="C21" s="412"/>
      <c r="D21" s="413"/>
      <c r="E21" s="414"/>
      <c r="F21" s="415"/>
      <c r="G21" s="415"/>
      <c r="H21" s="416">
        <v>0</v>
      </c>
      <c r="I21" s="413"/>
      <c r="J21" s="414"/>
      <c r="K21" s="414"/>
      <c r="L21" s="416">
        <v>3100.4499153283145</v>
      </c>
      <c r="M21" s="414"/>
      <c r="N21" s="414">
        <v>39.365629364283173</v>
      </c>
      <c r="O21" s="414">
        <v>587.00931856235991</v>
      </c>
      <c r="P21" s="414">
        <v>139.33763876760005</v>
      </c>
      <c r="Q21" s="414">
        <v>0</v>
      </c>
      <c r="R21" s="414">
        <v>946.93779043262703</v>
      </c>
      <c r="S21" s="414">
        <v>81.813521949600002</v>
      </c>
      <c r="T21" s="414">
        <v>1295.8924299065873</v>
      </c>
      <c r="U21" s="414"/>
      <c r="V21" s="415">
        <v>10.093586345256998</v>
      </c>
      <c r="W21" s="415"/>
      <c r="X21" s="415"/>
      <c r="Y21" s="414"/>
      <c r="Z21" s="416"/>
      <c r="AA21" s="417">
        <v>0</v>
      </c>
      <c r="AB21" s="418"/>
      <c r="AC21" s="414"/>
      <c r="AD21" s="414"/>
      <c r="AE21" s="414"/>
      <c r="AF21" s="414"/>
      <c r="AG21" s="414"/>
      <c r="AH21" s="413"/>
      <c r="AI21" s="415"/>
      <c r="AJ21" s="419"/>
      <c r="AK21" s="419"/>
      <c r="AL21" s="417"/>
      <c r="AM21" s="420">
        <v>3100.4499153283145</v>
      </c>
      <c r="AN21" s="270"/>
    </row>
    <row r="22" spans="1:40" s="354" customFormat="1" ht="12.75" customHeight="1">
      <c r="A22" s="356" t="s">
        <v>255</v>
      </c>
      <c r="B22" s="357"/>
      <c r="C22" s="358">
        <v>17.197479693013754</v>
      </c>
      <c r="D22" s="359">
        <v>-11.292365000000002</v>
      </c>
      <c r="E22" s="360">
        <v>28.489844693013758</v>
      </c>
      <c r="F22" s="361">
        <v>0</v>
      </c>
      <c r="G22" s="361">
        <v>0</v>
      </c>
      <c r="H22" s="362">
        <v>0</v>
      </c>
      <c r="I22" s="359">
        <v>0</v>
      </c>
      <c r="J22" s="360">
        <v>0</v>
      </c>
      <c r="K22" s="360">
        <v>0</v>
      </c>
      <c r="L22" s="362">
        <v>-18.19450505671319</v>
      </c>
      <c r="M22" s="360">
        <v>0</v>
      </c>
      <c r="N22" s="360">
        <v>0</v>
      </c>
      <c r="O22" s="360">
        <v>2.4707211111111169E-2</v>
      </c>
      <c r="P22" s="360">
        <v>169.09571529760004</v>
      </c>
      <c r="Q22" s="360">
        <v>-168.71280274895997</v>
      </c>
      <c r="R22" s="360">
        <v>0.56981287485875698</v>
      </c>
      <c r="S22" s="360">
        <v>0</v>
      </c>
      <c r="T22" s="360">
        <v>-1.9744579983093757</v>
      </c>
      <c r="U22" s="360">
        <v>-17.197479693013758</v>
      </c>
      <c r="V22" s="361">
        <v>0</v>
      </c>
      <c r="W22" s="361">
        <v>0</v>
      </c>
      <c r="X22" s="361">
        <v>0</v>
      </c>
      <c r="Y22" s="360">
        <v>0</v>
      </c>
      <c r="Z22" s="362">
        <v>0</v>
      </c>
      <c r="AA22" s="363">
        <v>-413.95865675511038</v>
      </c>
      <c r="AB22" s="364">
        <v>-69.001988581977614</v>
      </c>
      <c r="AC22" s="360">
        <v>-344.90112829599997</v>
      </c>
      <c r="AD22" s="360">
        <v>0</v>
      </c>
      <c r="AE22" s="365">
        <v>0</v>
      </c>
      <c r="AF22" s="365">
        <v>0</v>
      </c>
      <c r="AG22" s="365">
        <v>0</v>
      </c>
      <c r="AH22" s="359">
        <v>-5.5539877132800002E-2</v>
      </c>
      <c r="AI22" s="361">
        <v>0</v>
      </c>
      <c r="AJ22" s="366">
        <v>0</v>
      </c>
      <c r="AK22" s="362">
        <v>413.95865675511038</v>
      </c>
      <c r="AL22" s="363">
        <v>0</v>
      </c>
      <c r="AM22" s="367">
        <v>-0.99702536369943573</v>
      </c>
      <c r="AN22" s="270"/>
    </row>
    <row r="23" spans="1:40" s="354" customFormat="1" ht="12.75" customHeight="1">
      <c r="A23" s="319" t="s">
        <v>256</v>
      </c>
      <c r="B23" s="320"/>
      <c r="C23" s="368"/>
      <c r="D23" s="369"/>
      <c r="E23" s="370"/>
      <c r="F23" s="324"/>
      <c r="G23" s="324"/>
      <c r="H23" s="325"/>
      <c r="I23" s="371"/>
      <c r="J23" s="323"/>
      <c r="K23" s="323"/>
      <c r="L23" s="325"/>
      <c r="M23" s="323"/>
      <c r="N23" s="323"/>
      <c r="O23" s="323"/>
      <c r="P23" s="323"/>
      <c r="Q23" s="323"/>
      <c r="R23" s="323"/>
      <c r="S23" s="323"/>
      <c r="T23" s="323"/>
      <c r="U23" s="323"/>
      <c r="V23" s="324"/>
      <c r="W23" s="324"/>
      <c r="X23" s="324"/>
      <c r="Y23" s="323"/>
      <c r="Z23" s="325"/>
      <c r="AA23" s="326">
        <v>-413.95865675511038</v>
      </c>
      <c r="AB23" s="327">
        <v>-69.001988581977614</v>
      </c>
      <c r="AC23" s="323">
        <v>-344.90112829599997</v>
      </c>
      <c r="AD23" s="323"/>
      <c r="AE23" s="330"/>
      <c r="AF23" s="330"/>
      <c r="AG23" s="330"/>
      <c r="AH23" s="322">
        <v>-5.5539877132800002E-2</v>
      </c>
      <c r="AI23" s="324"/>
      <c r="AJ23" s="328"/>
      <c r="AK23" s="325">
        <v>413.95865675511038</v>
      </c>
      <c r="AL23" s="326"/>
      <c r="AM23" s="353">
        <v>0</v>
      </c>
      <c r="AN23" s="270"/>
    </row>
    <row r="24" spans="1:40" s="354" customFormat="1" ht="12.75" customHeight="1">
      <c r="A24" s="372" t="s">
        <v>257</v>
      </c>
      <c r="B24" s="343"/>
      <c r="C24" s="373"/>
      <c r="D24" s="374"/>
      <c r="E24" s="346"/>
      <c r="F24" s="375"/>
      <c r="G24" s="375"/>
      <c r="H24" s="348"/>
      <c r="I24" s="376"/>
      <c r="J24" s="377"/>
      <c r="K24" s="377"/>
      <c r="L24" s="348"/>
      <c r="M24" s="377"/>
      <c r="N24" s="377"/>
      <c r="O24" s="377"/>
      <c r="P24" s="377"/>
      <c r="Q24" s="377"/>
      <c r="R24" s="377"/>
      <c r="S24" s="377"/>
      <c r="T24" s="377"/>
      <c r="U24" s="377"/>
      <c r="V24" s="375"/>
      <c r="W24" s="375"/>
      <c r="X24" s="375"/>
      <c r="Y24" s="377"/>
      <c r="Z24" s="348"/>
      <c r="AA24" s="349"/>
      <c r="AB24" s="378"/>
      <c r="AC24" s="377"/>
      <c r="AD24" s="377"/>
      <c r="AE24" s="377"/>
      <c r="AF24" s="377"/>
      <c r="AG24" s="377"/>
      <c r="AH24" s="379"/>
      <c r="AI24" s="375"/>
      <c r="AJ24" s="380"/>
      <c r="AK24" s="348"/>
      <c r="AL24" s="349"/>
      <c r="AM24" s="381">
        <v>0</v>
      </c>
      <c r="AN24" s="270"/>
    </row>
    <row r="25" spans="1:40" s="354" customFormat="1" ht="12.75" customHeight="1" thickBot="1">
      <c r="A25" s="285" t="s">
        <v>258</v>
      </c>
      <c r="B25" s="286"/>
      <c r="C25" s="382">
        <v>17.197479693013754</v>
      </c>
      <c r="D25" s="383">
        <v>-11.292365000000002</v>
      </c>
      <c r="E25" s="293">
        <v>28.489844693013758</v>
      </c>
      <c r="F25" s="288"/>
      <c r="G25" s="288"/>
      <c r="H25" s="289"/>
      <c r="I25" s="384"/>
      <c r="J25" s="293"/>
      <c r="K25" s="293"/>
      <c r="L25" s="289">
        <v>-18.19450505671319</v>
      </c>
      <c r="M25" s="293"/>
      <c r="N25" s="293"/>
      <c r="O25" s="293">
        <v>2.4707211111111169E-2</v>
      </c>
      <c r="P25" s="293">
        <v>169.09571529760004</v>
      </c>
      <c r="Q25" s="293">
        <v>-168.71280274895997</v>
      </c>
      <c r="R25" s="293">
        <v>0.56981287485875698</v>
      </c>
      <c r="S25" s="293"/>
      <c r="T25" s="293">
        <v>-1.9744579983093757</v>
      </c>
      <c r="U25" s="288">
        <v>-17.197479693013758</v>
      </c>
      <c r="V25" s="288"/>
      <c r="W25" s="288"/>
      <c r="X25" s="288"/>
      <c r="Y25" s="293"/>
      <c r="Z25" s="289"/>
      <c r="AA25" s="289">
        <v>0</v>
      </c>
      <c r="AB25" s="292"/>
      <c r="AC25" s="293"/>
      <c r="AD25" s="293"/>
      <c r="AE25" s="293"/>
      <c r="AF25" s="293"/>
      <c r="AG25" s="293"/>
      <c r="AH25" s="290"/>
      <c r="AI25" s="288"/>
      <c r="AJ25" s="294"/>
      <c r="AK25" s="289"/>
      <c r="AL25" s="291"/>
      <c r="AM25" s="295">
        <v>-0.99702536369943573</v>
      </c>
      <c r="AN25" s="270"/>
    </row>
    <row r="26" spans="1:40" s="354" customFormat="1" ht="12.75" customHeight="1" thickBot="1">
      <c r="A26" s="342" t="s">
        <v>259</v>
      </c>
      <c r="B26" s="343"/>
      <c r="C26" s="344">
        <v>0</v>
      </c>
      <c r="D26" s="345"/>
      <c r="E26" s="346"/>
      <c r="F26" s="375"/>
      <c r="G26" s="375"/>
      <c r="H26" s="348">
        <v>14.46737289271303</v>
      </c>
      <c r="I26" s="375">
        <v>14.46737289271303</v>
      </c>
      <c r="J26" s="377"/>
      <c r="K26" s="377"/>
      <c r="L26" s="348">
        <v>41.091467728150285</v>
      </c>
      <c r="M26" s="377"/>
      <c r="N26" s="377">
        <v>30.624231188283176</v>
      </c>
      <c r="O26" s="377"/>
      <c r="P26" s="377"/>
      <c r="Q26" s="377"/>
      <c r="R26" s="377">
        <v>0</v>
      </c>
      <c r="S26" s="377">
        <v>10.318705443987364</v>
      </c>
      <c r="T26" s="377">
        <v>0.1485310958797475</v>
      </c>
      <c r="U26" s="377"/>
      <c r="V26" s="375"/>
      <c r="W26" s="375"/>
      <c r="X26" s="375"/>
      <c r="Y26" s="377"/>
      <c r="Z26" s="348">
        <v>61.026448031999998</v>
      </c>
      <c r="AA26" s="349">
        <v>0</v>
      </c>
      <c r="AB26" s="350"/>
      <c r="AC26" s="377"/>
      <c r="AD26" s="377"/>
      <c r="AE26" s="377"/>
      <c r="AF26" s="377"/>
      <c r="AG26" s="377"/>
      <c r="AH26" s="379"/>
      <c r="AI26" s="375"/>
      <c r="AJ26" s="380"/>
      <c r="AK26" s="348">
        <v>270.35018850069127</v>
      </c>
      <c r="AL26" s="349"/>
      <c r="AM26" s="381">
        <v>386.93547715355459</v>
      </c>
      <c r="AN26" s="270"/>
    </row>
    <row r="27" spans="1:40" s="305" customFormat="1" ht="12.75" customHeight="1" thickBot="1">
      <c r="A27" s="385" t="s">
        <v>260</v>
      </c>
      <c r="B27" s="386"/>
      <c r="C27" s="387">
        <v>349.87503545909954</v>
      </c>
      <c r="D27" s="388">
        <v>270.47547013339226</v>
      </c>
      <c r="E27" s="389">
        <v>66.555377479999095</v>
      </c>
      <c r="F27" s="389">
        <v>0</v>
      </c>
      <c r="G27" s="389">
        <v>12.84418784570825</v>
      </c>
      <c r="H27" s="390">
        <v>186.75986748002413</v>
      </c>
      <c r="I27" s="388">
        <v>-26.403262519975812</v>
      </c>
      <c r="J27" s="389">
        <v>127.70399999999999</v>
      </c>
      <c r="K27" s="389">
        <v>85.459130000000016</v>
      </c>
      <c r="L27" s="390">
        <v>6362.9259058394846</v>
      </c>
      <c r="M27" s="389">
        <v>-4.5474735088646412E-13</v>
      </c>
      <c r="N27" s="389">
        <v>0</v>
      </c>
      <c r="O27" s="389">
        <v>1245.0496271801271</v>
      </c>
      <c r="P27" s="389">
        <v>802.16662349168541</v>
      </c>
      <c r="Q27" s="389">
        <v>596.36251051008003</v>
      </c>
      <c r="R27" s="389">
        <v>152.31891177103108</v>
      </c>
      <c r="S27" s="389">
        <v>137.42344136610495</v>
      </c>
      <c r="T27" s="389">
        <v>3068.4516817740919</v>
      </c>
      <c r="U27" s="389">
        <v>96.57367357864328</v>
      </c>
      <c r="V27" s="389">
        <v>-4.3438744370000002</v>
      </c>
      <c r="W27" s="389">
        <v>238.17835560471974</v>
      </c>
      <c r="X27" s="389">
        <v>0.97217500000000001</v>
      </c>
      <c r="Y27" s="389">
        <v>29.772779999999997</v>
      </c>
      <c r="Z27" s="390">
        <v>1643.7011212696341</v>
      </c>
      <c r="AA27" s="391">
        <v>308.06436720106444</v>
      </c>
      <c r="AB27" s="317">
        <v>0</v>
      </c>
      <c r="AC27" s="300">
        <v>0</v>
      </c>
      <c r="AD27" s="300">
        <v>173.87251333667359</v>
      </c>
      <c r="AE27" s="300">
        <v>0</v>
      </c>
      <c r="AF27" s="300">
        <v>8.7742230740163478</v>
      </c>
      <c r="AG27" s="300">
        <v>84.810419950812346</v>
      </c>
      <c r="AH27" s="302">
        <v>10.202722513494988</v>
      </c>
      <c r="AI27" s="392">
        <v>30.404488326067145</v>
      </c>
      <c r="AJ27" s="390">
        <v>25.484283790445378</v>
      </c>
      <c r="AK27" s="390">
        <v>2089.7803583115706</v>
      </c>
      <c r="AL27" s="391">
        <v>0</v>
      </c>
      <c r="AM27" s="393">
        <v>10966.590939351323</v>
      </c>
      <c r="AN27" s="270"/>
    </row>
    <row r="28" spans="1:40">
      <c r="L28" s="395"/>
    </row>
    <row r="29" spans="1:40" s="255" customFormat="1" ht="105.75" customHeight="1" thickBot="1">
      <c r="A29" s="245" t="s">
        <v>261</v>
      </c>
      <c r="B29" s="246" t="s">
        <v>199</v>
      </c>
      <c r="C29" s="247" t="s">
        <v>200</v>
      </c>
      <c r="D29" s="248" t="s">
        <v>201</v>
      </c>
      <c r="E29" s="249" t="s">
        <v>202</v>
      </c>
      <c r="F29" s="250" t="s">
        <v>203</v>
      </c>
      <c r="G29" s="250" t="s">
        <v>204</v>
      </c>
      <c r="H29" s="251" t="s">
        <v>205</v>
      </c>
      <c r="I29" s="248" t="s">
        <v>206</v>
      </c>
      <c r="J29" s="249" t="s">
        <v>207</v>
      </c>
      <c r="K29" s="249" t="s">
        <v>208</v>
      </c>
      <c r="L29" s="251" t="s">
        <v>209</v>
      </c>
      <c r="M29" s="248" t="s">
        <v>210</v>
      </c>
      <c r="N29" s="249" t="s">
        <v>211</v>
      </c>
      <c r="O29" s="249" t="s">
        <v>212</v>
      </c>
      <c r="P29" s="249" t="s">
        <v>213</v>
      </c>
      <c r="Q29" s="249" t="s">
        <v>214</v>
      </c>
      <c r="R29" s="249" t="s">
        <v>215</v>
      </c>
      <c r="S29" s="249" t="s">
        <v>216</v>
      </c>
      <c r="T29" s="249" t="s">
        <v>217</v>
      </c>
      <c r="U29" s="249" t="s">
        <v>218</v>
      </c>
      <c r="V29" s="250" t="s">
        <v>219</v>
      </c>
      <c r="W29" s="250" t="s">
        <v>220</v>
      </c>
      <c r="X29" s="250" t="s">
        <v>221</v>
      </c>
      <c r="Y29" s="249" t="s">
        <v>222</v>
      </c>
      <c r="Z29" s="251" t="s">
        <v>223</v>
      </c>
      <c r="AA29" s="252" t="s">
        <v>224</v>
      </c>
      <c r="AB29" s="253" t="s">
        <v>225</v>
      </c>
      <c r="AC29" s="249" t="s">
        <v>226</v>
      </c>
      <c r="AD29" s="249" t="s">
        <v>227</v>
      </c>
      <c r="AE29" s="249" t="s">
        <v>228</v>
      </c>
      <c r="AF29" s="249" t="s">
        <v>229</v>
      </c>
      <c r="AG29" s="249" t="s">
        <v>230</v>
      </c>
      <c r="AH29" s="249" t="s">
        <v>231</v>
      </c>
      <c r="AI29" s="250" t="s">
        <v>232</v>
      </c>
      <c r="AJ29" s="251" t="s">
        <v>233</v>
      </c>
      <c r="AK29" s="251" t="s">
        <v>234</v>
      </c>
      <c r="AL29" s="252" t="s">
        <v>235</v>
      </c>
      <c r="AM29" s="254" t="s">
        <v>236</v>
      </c>
    </row>
    <row r="30" spans="1:40" s="270" customFormat="1" ht="12.75" customHeight="1">
      <c r="A30" s="256" t="s">
        <v>237</v>
      </c>
      <c r="B30" s="257"/>
      <c r="C30" s="258">
        <v>0</v>
      </c>
      <c r="D30" s="259">
        <v>0</v>
      </c>
      <c r="E30" s="260"/>
      <c r="F30" s="261"/>
      <c r="G30" s="261"/>
      <c r="H30" s="409">
        <v>1291.5250271244345</v>
      </c>
      <c r="I30" s="263">
        <v>1163.8210271244345</v>
      </c>
      <c r="J30" s="264">
        <v>127.70399999999999</v>
      </c>
      <c r="K30" s="264"/>
      <c r="L30" s="262">
        <v>0</v>
      </c>
      <c r="M30" s="263"/>
      <c r="N30" s="265"/>
      <c r="O30" s="265"/>
      <c r="P30" s="265"/>
      <c r="Q30" s="265"/>
      <c r="R30" s="265"/>
      <c r="S30" s="265"/>
      <c r="T30" s="265"/>
      <c r="U30" s="265"/>
      <c r="V30" s="261"/>
      <c r="W30" s="261"/>
      <c r="X30" s="261"/>
      <c r="Y30" s="264"/>
      <c r="Z30" s="409">
        <v>144.49057940828402</v>
      </c>
      <c r="AA30" s="266">
        <v>788.45364191783005</v>
      </c>
      <c r="AB30" s="267">
        <v>51.556772735281996</v>
      </c>
      <c r="AC30" s="264">
        <v>390.57024527999988</v>
      </c>
      <c r="AD30" s="264">
        <v>231.99468362061299</v>
      </c>
      <c r="AE30" s="264">
        <v>36.754687451319768</v>
      </c>
      <c r="AF30" s="264">
        <v>11.443677581561426</v>
      </c>
      <c r="AG30" s="264">
        <v>21.566652586175998</v>
      </c>
      <c r="AH30" s="263">
        <v>11.338416494172282</v>
      </c>
      <c r="AI30" s="261">
        <v>33.2285061687056</v>
      </c>
      <c r="AJ30" s="268">
        <v>57.7445443207259</v>
      </c>
      <c r="AK30" s="268"/>
      <c r="AL30" s="266"/>
      <c r="AM30" s="269">
        <v>2282.2137927712743</v>
      </c>
    </row>
    <row r="31" spans="1:40" s="270" customFormat="1" ht="12.75" customHeight="1">
      <c r="A31" s="271" t="s">
        <v>238</v>
      </c>
      <c r="B31" s="272"/>
      <c r="C31" s="273">
        <v>1495.6519584700479</v>
      </c>
      <c r="D31" s="274">
        <v>1407.1792459806832</v>
      </c>
      <c r="E31" s="275">
        <v>66.669393419996794</v>
      </c>
      <c r="F31" s="276"/>
      <c r="G31" s="276">
        <v>21.803319069367976</v>
      </c>
      <c r="H31" s="277">
        <v>0</v>
      </c>
      <c r="I31" s="278"/>
      <c r="J31" s="279"/>
      <c r="K31" s="279"/>
      <c r="L31" s="277">
        <v>8202.9828435346735</v>
      </c>
      <c r="M31" s="278">
        <v>3224.7393668824002</v>
      </c>
      <c r="N31" s="279">
        <v>0</v>
      </c>
      <c r="O31" s="279">
        <v>835.80532284444439</v>
      </c>
      <c r="P31" s="279">
        <v>492.83680019392006</v>
      </c>
      <c r="Q31" s="279">
        <v>886.62171108431994</v>
      </c>
      <c r="R31" s="279">
        <v>181.42774736016949</v>
      </c>
      <c r="S31" s="279">
        <v>102.62516826266319</v>
      </c>
      <c r="T31" s="279">
        <v>2072.0867067570584</v>
      </c>
      <c r="U31" s="279">
        <v>112.17530045990912</v>
      </c>
      <c r="V31" s="276">
        <v>0</v>
      </c>
      <c r="W31" s="276">
        <v>255.6528130406756</v>
      </c>
      <c r="X31" s="276">
        <v>1.0655053795478999</v>
      </c>
      <c r="Y31" s="279">
        <v>37.946401269562998</v>
      </c>
      <c r="Z31" s="277">
        <v>3717.3683218661595</v>
      </c>
      <c r="AA31" s="280">
        <v>114.408490001616</v>
      </c>
      <c r="AB31" s="281"/>
      <c r="AC31" s="279"/>
      <c r="AD31" s="279">
        <v>35.751513688319996</v>
      </c>
      <c r="AE31" s="279"/>
      <c r="AF31" s="279"/>
      <c r="AG31" s="279">
        <v>78.656976313295999</v>
      </c>
      <c r="AH31" s="278"/>
      <c r="AI31" s="276"/>
      <c r="AJ31" s="282"/>
      <c r="AK31" s="282">
        <v>225.7640782</v>
      </c>
      <c r="AL31" s="280"/>
      <c r="AM31" s="283">
        <v>13756.175692072497</v>
      </c>
    </row>
    <row r="32" spans="1:40" s="270" customFormat="1" ht="12.75" customHeight="1">
      <c r="A32" s="271" t="s">
        <v>239</v>
      </c>
      <c r="B32" s="272"/>
      <c r="C32" s="273">
        <v>10.263011098368001</v>
      </c>
      <c r="D32" s="274">
        <v>0</v>
      </c>
      <c r="E32" s="284">
        <v>9.6257199599999996</v>
      </c>
      <c r="F32" s="276"/>
      <c r="G32" s="276">
        <v>0.637291138368</v>
      </c>
      <c r="H32" s="277">
        <v>8.5388249999999992</v>
      </c>
      <c r="I32" s="278"/>
      <c r="J32" s="279"/>
      <c r="K32" s="279">
        <v>8.5388249999999992</v>
      </c>
      <c r="L32" s="277">
        <v>1376.3449163381467</v>
      </c>
      <c r="M32" s="278">
        <v>227.26246140660001</v>
      </c>
      <c r="N32" s="279"/>
      <c r="O32" s="279">
        <v>176.67692224444443</v>
      </c>
      <c r="P32" s="279">
        <v>4.0942298924800005</v>
      </c>
      <c r="Q32" s="279">
        <v>0.41725173407999999</v>
      </c>
      <c r="R32" s="279">
        <v>900.69753438870055</v>
      </c>
      <c r="S32" s="279">
        <v>31.383906037754567</v>
      </c>
      <c r="T32" s="279">
        <v>0.34975486052409127</v>
      </c>
      <c r="U32" s="279">
        <v>8.3976696266481812E-2</v>
      </c>
      <c r="V32" s="276">
        <v>28.401526478591158</v>
      </c>
      <c r="W32" s="276">
        <v>6.8443905999999999E-2</v>
      </c>
      <c r="X32" s="276">
        <v>2.8511527999999998E-2</v>
      </c>
      <c r="Y32" s="279">
        <v>6.8803971647049993</v>
      </c>
      <c r="Z32" s="277">
        <v>0</v>
      </c>
      <c r="AA32" s="280">
        <v>5.0090687999999987E-3</v>
      </c>
      <c r="AB32" s="281"/>
      <c r="AC32" s="279"/>
      <c r="AD32" s="279">
        <v>5.0090687999999987E-3</v>
      </c>
      <c r="AE32" s="279"/>
      <c r="AF32" s="279"/>
      <c r="AG32" s="279">
        <v>0</v>
      </c>
      <c r="AH32" s="278"/>
      <c r="AI32" s="276"/>
      <c r="AJ32" s="282"/>
      <c r="AK32" s="282">
        <v>32.935514599999998</v>
      </c>
      <c r="AL32" s="280"/>
      <c r="AM32" s="283">
        <v>1428.0872761053149</v>
      </c>
    </row>
    <row r="33" spans="1:40" s="270" customFormat="1" ht="12.75" customHeight="1">
      <c r="A33" s="271" t="s">
        <v>240</v>
      </c>
      <c r="B33" s="272"/>
      <c r="C33" s="273">
        <v>0</v>
      </c>
      <c r="D33" s="274"/>
      <c r="E33" s="284"/>
      <c r="F33" s="276"/>
      <c r="G33" s="276"/>
      <c r="H33" s="277">
        <v>0</v>
      </c>
      <c r="I33" s="278"/>
      <c r="J33" s="279"/>
      <c r="K33" s="279"/>
      <c r="L33" s="277">
        <v>146.30974479571017</v>
      </c>
      <c r="M33" s="278"/>
      <c r="N33" s="279"/>
      <c r="O33" s="279"/>
      <c r="P33" s="279"/>
      <c r="Q33" s="279"/>
      <c r="R33" s="279">
        <v>18.117529486158194</v>
      </c>
      <c r="S33" s="279"/>
      <c r="T33" s="279">
        <v>128.19221530955198</v>
      </c>
      <c r="U33" s="279"/>
      <c r="V33" s="276"/>
      <c r="W33" s="276"/>
      <c r="X33" s="276"/>
      <c r="Y33" s="279"/>
      <c r="Z33" s="277"/>
      <c r="AA33" s="280">
        <v>0</v>
      </c>
      <c r="AB33" s="281"/>
      <c r="AC33" s="279"/>
      <c r="AD33" s="279"/>
      <c r="AE33" s="279"/>
      <c r="AF33" s="279"/>
      <c r="AG33" s="279"/>
      <c r="AH33" s="278"/>
      <c r="AI33" s="276"/>
      <c r="AJ33" s="282"/>
      <c r="AK33" s="282"/>
      <c r="AL33" s="280"/>
      <c r="AM33" s="283">
        <v>146.30974479571017</v>
      </c>
    </row>
    <row r="34" spans="1:40" s="270" customFormat="1" ht="12.75" customHeight="1" thickBot="1">
      <c r="A34" s="285" t="s">
        <v>241</v>
      </c>
      <c r="B34" s="286"/>
      <c r="C34" s="273">
        <v>-162.65533775963095</v>
      </c>
      <c r="D34" s="287">
        <v>-146.91938918054831</v>
      </c>
      <c r="E34" s="276">
        <v>-11.915282402253517</v>
      </c>
      <c r="F34" s="288"/>
      <c r="G34" s="288">
        <v>-3.8206661768291252</v>
      </c>
      <c r="H34" s="289">
        <v>-559.86079957754225</v>
      </c>
      <c r="I34" s="290">
        <v>-547.20118857754221</v>
      </c>
      <c r="J34" s="290">
        <v>0</v>
      </c>
      <c r="K34" s="290">
        <v>-12.659611000000002</v>
      </c>
      <c r="L34" s="289">
        <v>-92.54642091350243</v>
      </c>
      <c r="M34" s="278">
        <v>-97.146999999999991</v>
      </c>
      <c r="N34" s="279"/>
      <c r="O34" s="279">
        <v>-5.451136233333334</v>
      </c>
      <c r="P34" s="279">
        <v>19.943732856319997</v>
      </c>
      <c r="Q34" s="279">
        <v>-16.141776997440001</v>
      </c>
      <c r="R34" s="279">
        <v>-1.6827368912429379</v>
      </c>
      <c r="S34" s="279">
        <v>-2.3111387808355093</v>
      </c>
      <c r="T34" s="279">
        <v>-2.6529116023668635</v>
      </c>
      <c r="U34" s="279">
        <v>11.487319046860302</v>
      </c>
      <c r="V34" s="288">
        <v>1.4092276885359116</v>
      </c>
      <c r="W34" s="288">
        <v>0</v>
      </c>
      <c r="X34" s="288">
        <v>0</v>
      </c>
      <c r="Y34" s="290">
        <v>0</v>
      </c>
      <c r="Z34" s="289">
        <v>-20.745295479289958</v>
      </c>
      <c r="AA34" s="291">
        <v>-1.7541773264406</v>
      </c>
      <c r="AB34" s="292"/>
      <c r="AC34" s="293"/>
      <c r="AD34" s="293">
        <v>-0.95088547610460006</v>
      </c>
      <c r="AE34" s="293"/>
      <c r="AF34" s="293"/>
      <c r="AG34" s="293">
        <v>-0.80329185033599992</v>
      </c>
      <c r="AH34" s="290"/>
      <c r="AI34" s="288"/>
      <c r="AJ34" s="294"/>
      <c r="AK34" s="294"/>
      <c r="AL34" s="291"/>
      <c r="AM34" s="295">
        <v>-837.56203105640623</v>
      </c>
    </row>
    <row r="35" spans="1:40" s="305" customFormat="1" ht="12.75" customHeight="1">
      <c r="A35" s="296" t="s">
        <v>242</v>
      </c>
      <c r="B35" s="297"/>
      <c r="C35" s="298">
        <v>1322.7336096120489</v>
      </c>
      <c r="D35" s="299">
        <v>1260.2598568001349</v>
      </c>
      <c r="E35" s="300">
        <v>45.128391057743279</v>
      </c>
      <c r="F35" s="300">
        <v>0</v>
      </c>
      <c r="G35" s="300">
        <v>17.345361754170852</v>
      </c>
      <c r="H35" s="301">
        <v>723.12540254689213</v>
      </c>
      <c r="I35" s="299">
        <v>616.61983854689231</v>
      </c>
      <c r="J35" s="300">
        <v>127.70399999999999</v>
      </c>
      <c r="K35" s="300">
        <v>-21.198436000000001</v>
      </c>
      <c r="L35" s="301">
        <v>6587.7817614873147</v>
      </c>
      <c r="M35" s="299">
        <v>2900.3299054758004</v>
      </c>
      <c r="N35" s="300">
        <v>0</v>
      </c>
      <c r="O35" s="300">
        <v>653.67726436666658</v>
      </c>
      <c r="P35" s="300">
        <v>508.68630315776011</v>
      </c>
      <c r="Q35" s="300">
        <v>870.06268235279992</v>
      </c>
      <c r="R35" s="300">
        <v>-739.07005340593219</v>
      </c>
      <c r="S35" s="300">
        <v>68.930123444073118</v>
      </c>
      <c r="T35" s="300">
        <v>1940.8918249846154</v>
      </c>
      <c r="U35" s="300">
        <v>123.57864281050296</v>
      </c>
      <c r="V35" s="300">
        <v>-26.992298790055248</v>
      </c>
      <c r="W35" s="300">
        <v>255.5843691346756</v>
      </c>
      <c r="X35" s="300">
        <v>1.0369938515479</v>
      </c>
      <c r="Y35" s="300">
        <v>31.066004104857999</v>
      </c>
      <c r="Z35" s="301">
        <v>3841.1136057951535</v>
      </c>
      <c r="AA35" s="301">
        <v>901.10294552420544</v>
      </c>
      <c r="AB35" s="299">
        <v>51.556772735281996</v>
      </c>
      <c r="AC35" s="300">
        <v>390.57024527999988</v>
      </c>
      <c r="AD35" s="300">
        <v>266.79030276402841</v>
      </c>
      <c r="AE35" s="300">
        <v>36.754687451319768</v>
      </c>
      <c r="AF35" s="300">
        <v>11.443677581561426</v>
      </c>
      <c r="AG35" s="300">
        <v>99.420337049136009</v>
      </c>
      <c r="AH35" s="302">
        <v>11.338416494172282</v>
      </c>
      <c r="AI35" s="299">
        <v>33.2285061687056</v>
      </c>
      <c r="AJ35" s="301">
        <v>57.7445443207259</v>
      </c>
      <c r="AK35" s="301">
        <v>192.8285636</v>
      </c>
      <c r="AL35" s="303">
        <v>0</v>
      </c>
      <c r="AM35" s="304">
        <v>13626.43043288634</v>
      </c>
      <c r="AN35" s="270"/>
    </row>
    <row r="36" spans="1:40" s="305" customFormat="1" ht="12.75" customHeight="1" thickBot="1">
      <c r="A36" s="306" t="s">
        <v>243</v>
      </c>
      <c r="B36" s="307"/>
      <c r="C36" s="308">
        <v>1322.7336096120489</v>
      </c>
      <c r="D36" s="309">
        <v>1260.2598568001349</v>
      </c>
      <c r="E36" s="310">
        <v>45.128391057743279</v>
      </c>
      <c r="F36" s="311">
        <v>0</v>
      </c>
      <c r="G36" s="311">
        <v>17.345361754170852</v>
      </c>
      <c r="H36" s="312">
        <v>723.12540254689213</v>
      </c>
      <c r="I36" s="309">
        <v>616.61983854689231</v>
      </c>
      <c r="J36" s="310">
        <v>127.70399999999999</v>
      </c>
      <c r="K36" s="310">
        <v>-21.198436000000001</v>
      </c>
      <c r="L36" s="312">
        <v>6300.0943943962329</v>
      </c>
      <c r="M36" s="309">
        <v>2900.3299054758004</v>
      </c>
      <c r="N36" s="310">
        <v>0</v>
      </c>
      <c r="O36" s="310">
        <v>653.67726436666658</v>
      </c>
      <c r="P36" s="310">
        <v>508.68630315776011</v>
      </c>
      <c r="Q36" s="310">
        <v>870.06268235279992</v>
      </c>
      <c r="R36" s="310">
        <v>-739.07005340593219</v>
      </c>
      <c r="S36" s="310">
        <v>68.930123444073118</v>
      </c>
      <c r="T36" s="310">
        <v>1940.8918249846154</v>
      </c>
      <c r="U36" s="310">
        <v>123.57864281050296</v>
      </c>
      <c r="V36" s="311">
        <v>-26.992298790055248</v>
      </c>
      <c r="W36" s="311">
        <v>0</v>
      </c>
      <c r="X36" s="311">
        <v>0</v>
      </c>
      <c r="Y36" s="310">
        <v>0</v>
      </c>
      <c r="Z36" s="312">
        <v>3841.1136057951535</v>
      </c>
      <c r="AA36" s="313">
        <v>901.10294552420544</v>
      </c>
      <c r="AB36" s="309">
        <v>51.556772735281996</v>
      </c>
      <c r="AC36" s="310">
        <v>390.57024527999988</v>
      </c>
      <c r="AD36" s="310">
        <v>266.79030276402841</v>
      </c>
      <c r="AE36" s="310">
        <v>36.754687451319768</v>
      </c>
      <c r="AF36" s="310">
        <v>11.443677581561426</v>
      </c>
      <c r="AG36" s="310">
        <v>99.420337049136009</v>
      </c>
      <c r="AH36" s="314">
        <v>11.338416494172282</v>
      </c>
      <c r="AI36" s="309">
        <v>33.2285061687056</v>
      </c>
      <c r="AJ36" s="312">
        <v>57.7445443207259</v>
      </c>
      <c r="AK36" s="312">
        <v>192.8285636</v>
      </c>
      <c r="AL36" s="309">
        <v>0</v>
      </c>
      <c r="AM36" s="315">
        <v>13338.743065795259</v>
      </c>
      <c r="AN36" s="270"/>
    </row>
    <row r="37" spans="1:40" s="305" customFormat="1" ht="12.75" customHeight="1">
      <c r="A37" s="296" t="s">
        <v>244</v>
      </c>
      <c r="B37" s="297"/>
      <c r="C37" s="298">
        <v>970.32299165317386</v>
      </c>
      <c r="D37" s="302">
        <v>970.32299165317386</v>
      </c>
      <c r="E37" s="300">
        <v>0</v>
      </c>
      <c r="F37" s="316">
        <v>0</v>
      </c>
      <c r="G37" s="316">
        <v>0</v>
      </c>
      <c r="H37" s="301">
        <v>638.55291862312038</v>
      </c>
      <c r="I37" s="302">
        <v>638.55291862312038</v>
      </c>
      <c r="J37" s="300">
        <v>0</v>
      </c>
      <c r="K37" s="300">
        <v>0</v>
      </c>
      <c r="L37" s="301">
        <v>2945.5902206998644</v>
      </c>
      <c r="M37" s="300">
        <v>2902.1387999999997</v>
      </c>
      <c r="N37" s="300">
        <v>5.0546089151999993</v>
      </c>
      <c r="O37" s="300">
        <v>0</v>
      </c>
      <c r="P37" s="300">
        <v>0</v>
      </c>
      <c r="Q37" s="300">
        <v>0</v>
      </c>
      <c r="R37" s="300">
        <v>33.292608944288524</v>
      </c>
      <c r="S37" s="300">
        <v>0.61192773760319985</v>
      </c>
      <c r="T37" s="300">
        <v>4.4922751027731254</v>
      </c>
      <c r="U37" s="300">
        <v>0</v>
      </c>
      <c r="V37" s="316">
        <v>0</v>
      </c>
      <c r="W37" s="316">
        <v>0</v>
      </c>
      <c r="X37" s="316">
        <v>0</v>
      </c>
      <c r="Y37" s="300">
        <v>0</v>
      </c>
      <c r="Z37" s="301">
        <v>2153.9333794154181</v>
      </c>
      <c r="AA37" s="299">
        <v>118.219495395424</v>
      </c>
      <c r="AB37" s="317">
        <v>0</v>
      </c>
      <c r="AC37" s="300">
        <v>0</v>
      </c>
      <c r="AD37" s="300">
        <v>77.110661205077406</v>
      </c>
      <c r="AE37" s="300">
        <v>36.754687451319768</v>
      </c>
      <c r="AF37" s="300">
        <v>4.3541467390268371</v>
      </c>
      <c r="AG37" s="300">
        <v>0</v>
      </c>
      <c r="AH37" s="302">
        <v>0</v>
      </c>
      <c r="AI37" s="316">
        <v>0</v>
      </c>
      <c r="AJ37" s="301">
        <v>22.857128964614091</v>
      </c>
      <c r="AK37" s="301">
        <v>67.803114660000006</v>
      </c>
      <c r="AL37" s="299">
        <v>0</v>
      </c>
      <c r="AM37" s="318">
        <v>6917.2792494116147</v>
      </c>
      <c r="AN37" s="270"/>
    </row>
    <row r="38" spans="1:40" s="270" customFormat="1" ht="12.75" customHeight="1">
      <c r="A38" s="319" t="s">
        <v>245</v>
      </c>
      <c r="B38" s="320"/>
      <c r="C38" s="321">
        <v>970.32299165317386</v>
      </c>
      <c r="D38" s="322">
        <v>970.32299165317386</v>
      </c>
      <c r="E38" s="323"/>
      <c r="F38" s="324"/>
      <c r="G38" s="324"/>
      <c r="H38" s="325">
        <v>497.52552670669769</v>
      </c>
      <c r="I38" s="322">
        <v>497.52552670669769</v>
      </c>
      <c r="J38" s="323">
        <v>0</v>
      </c>
      <c r="K38" s="323"/>
      <c r="L38" s="325">
        <v>37.784884047061652</v>
      </c>
      <c r="M38" s="323"/>
      <c r="N38" s="323"/>
      <c r="O38" s="323"/>
      <c r="P38" s="323"/>
      <c r="Q38" s="323"/>
      <c r="R38" s="323">
        <v>33.292608944288524</v>
      </c>
      <c r="S38" s="323"/>
      <c r="T38" s="323">
        <v>4.4922751027731254</v>
      </c>
      <c r="U38" s="323"/>
      <c r="V38" s="324"/>
      <c r="W38" s="324"/>
      <c r="X38" s="324"/>
      <c r="Y38" s="323"/>
      <c r="Z38" s="325">
        <v>1829.9457145389074</v>
      </c>
      <c r="AA38" s="326">
        <v>109.74668205542056</v>
      </c>
      <c r="AB38" s="327"/>
      <c r="AC38" s="323"/>
      <c r="AD38" s="323">
        <v>72.991994604100796</v>
      </c>
      <c r="AE38" s="323">
        <v>36.754687451319768</v>
      </c>
      <c r="AF38" s="323"/>
      <c r="AG38" s="323"/>
      <c r="AH38" s="322"/>
      <c r="AI38" s="324"/>
      <c r="AJ38" s="328">
        <v>22.857128964614091</v>
      </c>
      <c r="AK38" s="325"/>
      <c r="AL38" s="326"/>
      <c r="AM38" s="329">
        <v>3468.1829279658755</v>
      </c>
    </row>
    <row r="39" spans="1:40" s="270" customFormat="1" ht="12.75" customHeight="1">
      <c r="A39" s="271" t="s">
        <v>246</v>
      </c>
      <c r="B39" s="272"/>
      <c r="C39" s="273">
        <v>0</v>
      </c>
      <c r="D39" s="278">
        <v>0</v>
      </c>
      <c r="E39" s="279"/>
      <c r="F39" s="276"/>
      <c r="G39" s="276"/>
      <c r="H39" s="277">
        <v>9.4132356226773783</v>
      </c>
      <c r="I39" s="278">
        <v>9.4132356226773783</v>
      </c>
      <c r="J39" s="279"/>
      <c r="K39" s="279"/>
      <c r="L39" s="277">
        <v>5.6665366528031988</v>
      </c>
      <c r="M39" s="279"/>
      <c r="N39" s="330">
        <v>5.0546089151999993</v>
      </c>
      <c r="O39" s="279"/>
      <c r="P39" s="279"/>
      <c r="Q39" s="279"/>
      <c r="R39" s="279">
        <v>0</v>
      </c>
      <c r="S39" s="279">
        <v>0.61192773760319985</v>
      </c>
      <c r="T39" s="279">
        <v>0</v>
      </c>
      <c r="U39" s="279"/>
      <c r="V39" s="276"/>
      <c r="W39" s="276"/>
      <c r="X39" s="276"/>
      <c r="Y39" s="279"/>
      <c r="Z39" s="277">
        <v>268.07429530517408</v>
      </c>
      <c r="AA39" s="280">
        <v>8.4728133400034409</v>
      </c>
      <c r="AB39" s="281"/>
      <c r="AC39" s="279"/>
      <c r="AD39" s="279">
        <v>4.1186666009766029</v>
      </c>
      <c r="AE39" s="279"/>
      <c r="AF39" s="279">
        <v>4.3541467390268371</v>
      </c>
      <c r="AG39" s="279"/>
      <c r="AH39" s="278"/>
      <c r="AI39" s="276"/>
      <c r="AJ39" s="282"/>
      <c r="AK39" s="282"/>
      <c r="AL39" s="280"/>
      <c r="AM39" s="283">
        <v>291.6268809206581</v>
      </c>
    </row>
    <row r="40" spans="1:40" s="270" customFormat="1" ht="12.75" customHeight="1">
      <c r="A40" s="271" t="s">
        <v>247</v>
      </c>
      <c r="B40" s="272"/>
      <c r="C40" s="273"/>
      <c r="D40" s="278"/>
      <c r="E40" s="279"/>
      <c r="F40" s="276"/>
      <c r="G40" s="276"/>
      <c r="H40" s="277"/>
      <c r="I40" s="278"/>
      <c r="J40" s="279"/>
      <c r="K40" s="279"/>
      <c r="L40" s="277"/>
      <c r="M40" s="279"/>
      <c r="N40" s="330"/>
      <c r="O40" s="279"/>
      <c r="P40" s="279"/>
      <c r="Q40" s="279"/>
      <c r="R40" s="279"/>
      <c r="S40" s="279"/>
      <c r="T40" s="279"/>
      <c r="U40" s="279"/>
      <c r="V40" s="276"/>
      <c r="W40" s="276"/>
      <c r="X40" s="276"/>
      <c r="Y40" s="279"/>
      <c r="Z40" s="277"/>
      <c r="AA40" s="280"/>
      <c r="AB40" s="281"/>
      <c r="AC40" s="279"/>
      <c r="AD40" s="279"/>
      <c r="AE40" s="279"/>
      <c r="AF40" s="279"/>
      <c r="AG40" s="279"/>
      <c r="AH40" s="278"/>
      <c r="AI40" s="276"/>
      <c r="AJ40" s="282"/>
      <c r="AK40" s="282">
        <v>50.326280660000002</v>
      </c>
      <c r="AL40" s="280"/>
      <c r="AM40" s="283">
        <v>50.326280660000002</v>
      </c>
    </row>
    <row r="41" spans="1:40" s="270" customFormat="1" ht="12.75" customHeight="1">
      <c r="A41" s="271" t="s">
        <v>248</v>
      </c>
      <c r="B41" s="272"/>
      <c r="C41" s="273">
        <v>0</v>
      </c>
      <c r="D41" s="278"/>
      <c r="E41" s="276"/>
      <c r="F41" s="276"/>
      <c r="G41" s="276"/>
      <c r="H41" s="277">
        <v>131.61415629374525</v>
      </c>
      <c r="I41" s="278">
        <v>131.61415629374525</v>
      </c>
      <c r="J41" s="279"/>
      <c r="K41" s="279"/>
      <c r="L41" s="277">
        <v>0</v>
      </c>
      <c r="M41" s="279"/>
      <c r="N41" s="279"/>
      <c r="O41" s="279"/>
      <c r="P41" s="279"/>
      <c r="Q41" s="279"/>
      <c r="R41" s="279"/>
      <c r="S41" s="279"/>
      <c r="T41" s="279"/>
      <c r="U41" s="279"/>
      <c r="V41" s="276"/>
      <c r="W41" s="276"/>
      <c r="X41" s="276"/>
      <c r="Y41" s="279"/>
      <c r="Z41" s="277"/>
      <c r="AA41" s="280">
        <v>0</v>
      </c>
      <c r="AB41" s="281"/>
      <c r="AC41" s="279"/>
      <c r="AD41" s="279"/>
      <c r="AE41" s="279"/>
      <c r="AF41" s="279"/>
      <c r="AG41" s="279"/>
      <c r="AH41" s="278"/>
      <c r="AI41" s="276"/>
      <c r="AJ41" s="282"/>
      <c r="AK41" s="282"/>
      <c r="AL41" s="280"/>
      <c r="AM41" s="283">
        <v>131.61415629374525</v>
      </c>
    </row>
    <row r="42" spans="1:40" s="270" customFormat="1" ht="12.75" customHeight="1">
      <c r="A42" s="331" t="s">
        <v>249</v>
      </c>
      <c r="B42" s="332"/>
      <c r="C42" s="333">
        <v>0</v>
      </c>
      <c r="D42" s="334"/>
      <c r="E42" s="335"/>
      <c r="F42" s="336"/>
      <c r="G42" s="336"/>
      <c r="H42" s="337">
        <v>0</v>
      </c>
      <c r="I42" s="334"/>
      <c r="J42" s="335"/>
      <c r="K42" s="335"/>
      <c r="L42" s="337">
        <v>2902.1387999999997</v>
      </c>
      <c r="M42" s="335">
        <v>2902.1387999999997</v>
      </c>
      <c r="N42" s="335"/>
      <c r="O42" s="335"/>
      <c r="P42" s="335"/>
      <c r="Q42" s="335"/>
      <c r="R42" s="335"/>
      <c r="S42" s="335"/>
      <c r="T42" s="335"/>
      <c r="U42" s="335"/>
      <c r="V42" s="336"/>
      <c r="W42" s="336"/>
      <c r="X42" s="336"/>
      <c r="Y42" s="335"/>
      <c r="Z42" s="337">
        <v>55.913369571336688</v>
      </c>
      <c r="AA42" s="338">
        <v>0</v>
      </c>
      <c r="AB42" s="339"/>
      <c r="AC42" s="335"/>
      <c r="AD42" s="335"/>
      <c r="AE42" s="335"/>
      <c r="AF42" s="335"/>
      <c r="AG42" s="335"/>
      <c r="AH42" s="334"/>
      <c r="AI42" s="336"/>
      <c r="AJ42" s="340"/>
      <c r="AK42" s="340">
        <v>17.476834</v>
      </c>
      <c r="AL42" s="338"/>
      <c r="AM42" s="341">
        <v>2975.5290035713365</v>
      </c>
    </row>
    <row r="43" spans="1:40" s="305" customFormat="1" ht="12.75" customHeight="1">
      <c r="A43" s="342" t="s">
        <v>250</v>
      </c>
      <c r="B43" s="343"/>
      <c r="C43" s="344">
        <v>0</v>
      </c>
      <c r="D43" s="345">
        <v>0</v>
      </c>
      <c r="E43" s="346">
        <v>0</v>
      </c>
      <c r="F43" s="347">
        <v>0</v>
      </c>
      <c r="G43" s="347">
        <v>0</v>
      </c>
      <c r="H43" s="348">
        <v>106.10514499999999</v>
      </c>
      <c r="I43" s="345">
        <v>0</v>
      </c>
      <c r="J43" s="346">
        <v>0</v>
      </c>
      <c r="K43" s="346">
        <v>106.10514499999999</v>
      </c>
      <c r="L43" s="348">
        <v>2940.4566443049412</v>
      </c>
      <c r="M43" s="346">
        <v>0</v>
      </c>
      <c r="N43" s="346">
        <v>69.086897826126389</v>
      </c>
      <c r="O43" s="346">
        <v>562.92173059764002</v>
      </c>
      <c r="P43" s="346">
        <v>111.32215516240002</v>
      </c>
      <c r="Q43" s="346">
        <v>0</v>
      </c>
      <c r="R43" s="346">
        <v>916.87017170280012</v>
      </c>
      <c r="S43" s="346">
        <v>70.984914459900011</v>
      </c>
      <c r="T43" s="346">
        <v>1179.2461476955775</v>
      </c>
      <c r="U43" s="346">
        <v>0</v>
      </c>
      <c r="V43" s="347">
        <v>30.024626860497236</v>
      </c>
      <c r="W43" s="347">
        <v>0</v>
      </c>
      <c r="X43" s="347">
        <v>0</v>
      </c>
      <c r="Y43" s="346">
        <v>0</v>
      </c>
      <c r="Z43" s="348">
        <v>0</v>
      </c>
      <c r="AA43" s="349">
        <v>41.354392922611957</v>
      </c>
      <c r="AB43" s="350">
        <v>0</v>
      </c>
      <c r="AC43" s="346">
        <v>0</v>
      </c>
      <c r="AD43" s="346">
        <v>25.3266389940555</v>
      </c>
      <c r="AE43" s="351">
        <v>13.557483702156457</v>
      </c>
      <c r="AF43" s="351">
        <v>2.4702702263999994</v>
      </c>
      <c r="AG43" s="351">
        <v>0</v>
      </c>
      <c r="AH43" s="345">
        <v>0</v>
      </c>
      <c r="AI43" s="347">
        <v>0</v>
      </c>
      <c r="AJ43" s="348">
        <v>5.2130909864396546</v>
      </c>
      <c r="AK43" s="348">
        <v>1806.0231215105837</v>
      </c>
      <c r="AL43" s="349">
        <v>0</v>
      </c>
      <c r="AM43" s="352">
        <v>4899.1523947245769</v>
      </c>
      <c r="AN43" s="270"/>
    </row>
    <row r="44" spans="1:40" s="354" customFormat="1" ht="12.75" customHeight="1">
      <c r="A44" s="319" t="s">
        <v>245</v>
      </c>
      <c r="B44" s="320"/>
      <c r="C44" s="321">
        <v>0</v>
      </c>
      <c r="D44" s="322"/>
      <c r="E44" s="323"/>
      <c r="F44" s="324"/>
      <c r="G44" s="324"/>
      <c r="H44" s="325">
        <v>0</v>
      </c>
      <c r="I44" s="322"/>
      <c r="J44" s="323"/>
      <c r="K44" s="323"/>
      <c r="L44" s="325">
        <v>0</v>
      </c>
      <c r="M44" s="323"/>
      <c r="N44" s="323"/>
      <c r="O44" s="323"/>
      <c r="P44" s="323"/>
      <c r="Q44" s="323"/>
      <c r="R44" s="323"/>
      <c r="S44" s="323"/>
      <c r="T44" s="323"/>
      <c r="U44" s="323"/>
      <c r="V44" s="324"/>
      <c r="W44" s="324"/>
      <c r="X44" s="324"/>
      <c r="Y44" s="323"/>
      <c r="Z44" s="325"/>
      <c r="AA44" s="326">
        <v>37.555917712211958</v>
      </c>
      <c r="AB44" s="327"/>
      <c r="AC44" s="323"/>
      <c r="AD44" s="323">
        <v>23.998434010055501</v>
      </c>
      <c r="AE44" s="330">
        <v>13.557483702156457</v>
      </c>
      <c r="AF44" s="330"/>
      <c r="AG44" s="330"/>
      <c r="AH44" s="322"/>
      <c r="AI44" s="324"/>
      <c r="AJ44" s="328">
        <v>5.2130909864396546</v>
      </c>
      <c r="AK44" s="328">
        <v>1599.4864474058443</v>
      </c>
      <c r="AL44" s="326"/>
      <c r="AM44" s="353">
        <v>1599.4864474058443</v>
      </c>
      <c r="AN44" s="270"/>
    </row>
    <row r="45" spans="1:40" s="354" customFormat="1" ht="12.75" customHeight="1">
      <c r="A45" s="271" t="s">
        <v>251</v>
      </c>
      <c r="B45" s="272"/>
      <c r="C45" s="273">
        <v>0</v>
      </c>
      <c r="D45" s="278"/>
      <c r="E45" s="279"/>
      <c r="F45" s="276"/>
      <c r="G45" s="276"/>
      <c r="H45" s="277">
        <v>0</v>
      </c>
      <c r="I45" s="278"/>
      <c r="J45" s="279"/>
      <c r="K45" s="279"/>
      <c r="L45" s="277">
        <v>0</v>
      </c>
      <c r="M45" s="279"/>
      <c r="N45" s="279"/>
      <c r="O45" s="279"/>
      <c r="P45" s="279"/>
      <c r="Q45" s="279"/>
      <c r="R45" s="279"/>
      <c r="S45" s="279"/>
      <c r="T45" s="279"/>
      <c r="U45" s="279"/>
      <c r="V45" s="276"/>
      <c r="W45" s="276"/>
      <c r="X45" s="276"/>
      <c r="Y45" s="279"/>
      <c r="Z45" s="277"/>
      <c r="AA45" s="280">
        <v>3.7984752103999995</v>
      </c>
      <c r="AB45" s="281"/>
      <c r="AC45" s="279"/>
      <c r="AD45" s="279">
        <v>1.3282049839999999</v>
      </c>
      <c r="AE45" s="279"/>
      <c r="AF45" s="279">
        <v>2.4702702263999994</v>
      </c>
      <c r="AG45" s="279"/>
      <c r="AH45" s="278"/>
      <c r="AI45" s="276"/>
      <c r="AJ45" s="282"/>
      <c r="AK45" s="355">
        <v>176.89008524765129</v>
      </c>
      <c r="AL45" s="280"/>
      <c r="AM45" s="283">
        <v>176.89008524765129</v>
      </c>
      <c r="AN45" s="270"/>
    </row>
    <row r="46" spans="1:40" s="354" customFormat="1" ht="12.75" customHeight="1">
      <c r="A46" s="271" t="s">
        <v>252</v>
      </c>
      <c r="B46" s="272"/>
      <c r="C46" s="273"/>
      <c r="D46" s="278"/>
      <c r="E46" s="279"/>
      <c r="F46" s="276"/>
      <c r="G46" s="276"/>
      <c r="H46" s="277"/>
      <c r="I46" s="278"/>
      <c r="J46" s="279"/>
      <c r="K46" s="279"/>
      <c r="L46" s="277"/>
      <c r="M46" s="279"/>
      <c r="N46" s="279"/>
      <c r="O46" s="279"/>
      <c r="P46" s="279"/>
      <c r="Q46" s="279"/>
      <c r="R46" s="279"/>
      <c r="S46" s="279"/>
      <c r="T46" s="279"/>
      <c r="U46" s="279"/>
      <c r="V46" s="276"/>
      <c r="W46" s="276"/>
      <c r="X46" s="276"/>
      <c r="Y46" s="279"/>
      <c r="Z46" s="277"/>
      <c r="AA46" s="280">
        <v>0</v>
      </c>
      <c r="AB46" s="281"/>
      <c r="AC46" s="279"/>
      <c r="AD46" s="279"/>
      <c r="AE46" s="279"/>
      <c r="AF46" s="279"/>
      <c r="AG46" s="279"/>
      <c r="AH46" s="278"/>
      <c r="AI46" s="276"/>
      <c r="AJ46" s="282"/>
      <c r="AK46" s="282"/>
      <c r="AL46" s="280"/>
      <c r="AM46" s="283">
        <v>0</v>
      </c>
      <c r="AN46" s="270"/>
    </row>
    <row r="47" spans="1:40" s="354" customFormat="1" ht="12.75" customHeight="1">
      <c r="A47" s="271" t="s">
        <v>253</v>
      </c>
      <c r="B47" s="272"/>
      <c r="C47" s="273"/>
      <c r="D47" s="278"/>
      <c r="E47" s="279"/>
      <c r="F47" s="276"/>
      <c r="G47" s="276"/>
      <c r="H47" s="277"/>
      <c r="I47" s="278"/>
      <c r="J47" s="279"/>
      <c r="K47" s="279"/>
      <c r="L47" s="277"/>
      <c r="M47" s="279"/>
      <c r="N47" s="279"/>
      <c r="O47" s="279"/>
      <c r="P47" s="279"/>
      <c r="Q47" s="279"/>
      <c r="R47" s="279"/>
      <c r="S47" s="279"/>
      <c r="T47" s="279"/>
      <c r="U47" s="279"/>
      <c r="V47" s="276"/>
      <c r="W47" s="276"/>
      <c r="X47" s="276"/>
      <c r="Y47" s="279"/>
      <c r="Z47" s="277"/>
      <c r="AA47" s="280"/>
      <c r="AB47" s="281"/>
      <c r="AC47" s="279"/>
      <c r="AD47" s="279"/>
      <c r="AE47" s="279"/>
      <c r="AF47" s="279"/>
      <c r="AG47" s="279"/>
      <c r="AH47" s="278"/>
      <c r="AI47" s="276"/>
      <c r="AJ47" s="282"/>
      <c r="AK47" s="282">
        <v>29.646588857087998</v>
      </c>
      <c r="AL47" s="280"/>
      <c r="AM47" s="283">
        <v>29.646588857087998</v>
      </c>
      <c r="AN47" s="270"/>
    </row>
    <row r="48" spans="1:40" s="354" customFormat="1" ht="12.75" customHeight="1">
      <c r="A48" s="271" t="s">
        <v>248</v>
      </c>
      <c r="B48" s="272"/>
      <c r="C48" s="273"/>
      <c r="E48" s="279"/>
      <c r="F48" s="276"/>
      <c r="G48" s="276"/>
      <c r="H48" s="277">
        <v>106.10514499999999</v>
      </c>
      <c r="I48" s="278"/>
      <c r="J48" s="279"/>
      <c r="K48" s="279">
        <v>106.10514499999999</v>
      </c>
      <c r="L48" s="277">
        <v>0</v>
      </c>
      <c r="M48" s="279"/>
      <c r="N48" s="279"/>
      <c r="O48" s="279"/>
      <c r="P48" s="279"/>
      <c r="Q48" s="279"/>
      <c r="R48" s="279"/>
      <c r="S48" s="279"/>
      <c r="T48" s="279"/>
      <c r="U48" s="279"/>
      <c r="V48" s="276"/>
      <c r="W48" s="276"/>
      <c r="X48" s="276"/>
      <c r="Y48" s="279"/>
      <c r="Z48" s="277"/>
      <c r="AA48" s="280">
        <v>0</v>
      </c>
      <c r="AB48" s="281"/>
      <c r="AC48" s="279"/>
      <c r="AD48" s="279"/>
      <c r="AE48" s="279"/>
      <c r="AF48" s="279"/>
      <c r="AG48" s="279"/>
      <c r="AH48" s="278"/>
      <c r="AI48" s="276"/>
      <c r="AJ48" s="282"/>
      <c r="AK48" s="282"/>
      <c r="AL48" s="280"/>
      <c r="AM48" s="283">
        <v>106.10514499999999</v>
      </c>
      <c r="AN48" s="270"/>
    </row>
    <row r="49" spans="1:41" s="354" customFormat="1" ht="12.75" customHeight="1">
      <c r="A49" s="410" t="s">
        <v>254</v>
      </c>
      <c r="B49" s="411"/>
      <c r="C49" s="412"/>
      <c r="D49" s="413"/>
      <c r="E49" s="414"/>
      <c r="F49" s="415"/>
      <c r="G49" s="415"/>
      <c r="H49" s="416">
        <v>0</v>
      </c>
      <c r="I49" s="413"/>
      <c r="J49" s="414"/>
      <c r="K49" s="414"/>
      <c r="L49" s="416">
        <v>2940.4566443049412</v>
      </c>
      <c r="M49" s="414"/>
      <c r="N49" s="414">
        <v>69.086897826126389</v>
      </c>
      <c r="O49" s="414">
        <v>562.92173059764002</v>
      </c>
      <c r="P49" s="414">
        <v>111.32215516240002</v>
      </c>
      <c r="Q49" s="414">
        <v>0</v>
      </c>
      <c r="R49" s="414">
        <v>916.87017170280012</v>
      </c>
      <c r="S49" s="414">
        <v>70.984914459900011</v>
      </c>
      <c r="T49" s="414">
        <v>1179.2461476955775</v>
      </c>
      <c r="U49" s="414"/>
      <c r="V49" s="415">
        <v>30.024626860497236</v>
      </c>
      <c r="W49" s="415"/>
      <c r="X49" s="415"/>
      <c r="Y49" s="414"/>
      <c r="Z49" s="416"/>
      <c r="AA49" s="417">
        <v>0</v>
      </c>
      <c r="AB49" s="418"/>
      <c r="AC49" s="414"/>
      <c r="AD49" s="414"/>
      <c r="AE49" s="414"/>
      <c r="AF49" s="414"/>
      <c r="AG49" s="414"/>
      <c r="AH49" s="413"/>
      <c r="AI49" s="415"/>
      <c r="AJ49" s="419"/>
      <c r="AK49" s="419"/>
      <c r="AL49" s="417"/>
      <c r="AM49" s="420">
        <v>2940.4566443049412</v>
      </c>
      <c r="AN49" s="270"/>
    </row>
    <row r="50" spans="1:41" s="354" customFormat="1" ht="12.75" customHeight="1">
      <c r="A50" s="356" t="s">
        <v>255</v>
      </c>
      <c r="B50" s="357"/>
      <c r="C50" s="358">
        <v>23.921544282453681</v>
      </c>
      <c r="D50" s="359">
        <v>-14.006230000000002</v>
      </c>
      <c r="E50" s="360">
        <v>37.927774282453683</v>
      </c>
      <c r="F50" s="361">
        <v>0</v>
      </c>
      <c r="G50" s="361">
        <v>0</v>
      </c>
      <c r="H50" s="362">
        <v>0</v>
      </c>
      <c r="I50" s="359">
        <v>0</v>
      </c>
      <c r="J50" s="360">
        <v>0</v>
      </c>
      <c r="K50" s="360">
        <v>0</v>
      </c>
      <c r="L50" s="362">
        <v>-25.844452321811737</v>
      </c>
      <c r="M50" s="360">
        <v>0</v>
      </c>
      <c r="N50" s="360">
        <v>0</v>
      </c>
      <c r="O50" s="360">
        <v>0.27860952222222218</v>
      </c>
      <c r="P50" s="360">
        <v>218.03413355360001</v>
      </c>
      <c r="Q50" s="360">
        <v>-217.84516094495999</v>
      </c>
      <c r="R50" s="360">
        <v>1.7216905209039548</v>
      </c>
      <c r="S50" s="360">
        <v>0</v>
      </c>
      <c r="T50" s="360">
        <v>-4.1121806911242516</v>
      </c>
      <c r="U50" s="360">
        <v>-23.921544282453681</v>
      </c>
      <c r="V50" s="361">
        <v>0</v>
      </c>
      <c r="W50" s="361">
        <v>0</v>
      </c>
      <c r="X50" s="361">
        <v>0</v>
      </c>
      <c r="Y50" s="360">
        <v>0</v>
      </c>
      <c r="Z50" s="362">
        <v>0</v>
      </c>
      <c r="AA50" s="363">
        <v>-442.18716101860986</v>
      </c>
      <c r="AB50" s="364">
        <v>-51.556772735281996</v>
      </c>
      <c r="AC50" s="360">
        <v>-390.57024527999988</v>
      </c>
      <c r="AD50" s="360">
        <v>0</v>
      </c>
      <c r="AE50" s="365">
        <v>0</v>
      </c>
      <c r="AF50" s="365">
        <v>0</v>
      </c>
      <c r="AG50" s="365">
        <v>0</v>
      </c>
      <c r="AH50" s="359">
        <v>-6.014300332800001E-2</v>
      </c>
      <c r="AI50" s="361">
        <v>0</v>
      </c>
      <c r="AJ50" s="366">
        <v>0</v>
      </c>
      <c r="AK50" s="362">
        <v>442.18716101860986</v>
      </c>
      <c r="AL50" s="363">
        <v>0</v>
      </c>
      <c r="AM50" s="367">
        <v>-1.922908039358056</v>
      </c>
      <c r="AN50" s="270"/>
    </row>
    <row r="51" spans="1:41" s="354" customFormat="1" ht="12.75" customHeight="1">
      <c r="A51" s="319" t="s">
        <v>256</v>
      </c>
      <c r="B51" s="320"/>
      <c r="C51" s="368"/>
      <c r="D51" s="369"/>
      <c r="E51" s="370"/>
      <c r="F51" s="324"/>
      <c r="G51" s="324"/>
      <c r="H51" s="325"/>
      <c r="I51" s="371"/>
      <c r="J51" s="323"/>
      <c r="K51" s="323"/>
      <c r="L51" s="325"/>
      <c r="M51" s="323"/>
      <c r="N51" s="323"/>
      <c r="O51" s="323"/>
      <c r="P51" s="323"/>
      <c r="Q51" s="323"/>
      <c r="R51" s="323"/>
      <c r="S51" s="323"/>
      <c r="T51" s="323"/>
      <c r="U51" s="323"/>
      <c r="V51" s="324"/>
      <c r="W51" s="324"/>
      <c r="X51" s="324"/>
      <c r="Y51" s="323"/>
      <c r="Z51" s="325"/>
      <c r="AA51" s="326">
        <v>-442.18716101860986</v>
      </c>
      <c r="AB51" s="327">
        <v>-51.556772735281996</v>
      </c>
      <c r="AC51" s="323">
        <v>-390.57024527999988</v>
      </c>
      <c r="AD51" s="323"/>
      <c r="AE51" s="330"/>
      <c r="AF51" s="330"/>
      <c r="AG51" s="330"/>
      <c r="AH51" s="322">
        <v>-6.014300332800001E-2</v>
      </c>
      <c r="AI51" s="324"/>
      <c r="AJ51" s="328"/>
      <c r="AK51" s="325">
        <v>442.18716101860986</v>
      </c>
      <c r="AL51" s="326"/>
      <c r="AM51" s="353">
        <v>0</v>
      </c>
      <c r="AN51" s="270"/>
    </row>
    <row r="52" spans="1:41" s="354" customFormat="1" ht="12.75" customHeight="1">
      <c r="A52" s="372" t="s">
        <v>257</v>
      </c>
      <c r="B52" s="343"/>
      <c r="C52" s="373"/>
      <c r="D52" s="374"/>
      <c r="E52" s="346"/>
      <c r="F52" s="375"/>
      <c r="G52" s="375"/>
      <c r="H52" s="348"/>
      <c r="I52" s="376"/>
      <c r="J52" s="377"/>
      <c r="K52" s="377"/>
      <c r="L52" s="348"/>
      <c r="M52" s="377"/>
      <c r="N52" s="377"/>
      <c r="O52" s="377"/>
      <c r="P52" s="377"/>
      <c r="Q52" s="377"/>
      <c r="R52" s="377"/>
      <c r="S52" s="377"/>
      <c r="T52" s="377"/>
      <c r="U52" s="377"/>
      <c r="V52" s="375"/>
      <c r="W52" s="375"/>
      <c r="X52" s="375"/>
      <c r="Y52" s="377"/>
      <c r="Z52" s="348"/>
      <c r="AA52" s="349"/>
      <c r="AB52" s="378"/>
      <c r="AC52" s="377"/>
      <c r="AD52" s="377"/>
      <c r="AE52" s="377"/>
      <c r="AF52" s="377"/>
      <c r="AG52" s="377"/>
      <c r="AH52" s="379"/>
      <c r="AI52" s="375"/>
      <c r="AJ52" s="380"/>
      <c r="AK52" s="348"/>
      <c r="AL52" s="349"/>
      <c r="AM52" s="381">
        <v>0</v>
      </c>
      <c r="AN52" s="270"/>
    </row>
    <row r="53" spans="1:41" s="354" customFormat="1" ht="12.75" customHeight="1" thickBot="1">
      <c r="A53" s="285" t="s">
        <v>258</v>
      </c>
      <c r="B53" s="286"/>
      <c r="C53" s="382">
        <v>23.921544282453681</v>
      </c>
      <c r="D53" s="383">
        <v>-14.006230000000002</v>
      </c>
      <c r="E53" s="293">
        <v>37.927774282453683</v>
      </c>
      <c r="F53" s="288"/>
      <c r="G53" s="288"/>
      <c r="H53" s="289"/>
      <c r="I53" s="384"/>
      <c r="J53" s="293"/>
      <c r="K53" s="293"/>
      <c r="L53" s="289">
        <v>-25.844452321811737</v>
      </c>
      <c r="M53" s="293"/>
      <c r="N53" s="293"/>
      <c r="O53" s="293">
        <v>0.27860952222222218</v>
      </c>
      <c r="P53" s="293">
        <v>218.03413355360001</v>
      </c>
      <c r="Q53" s="293">
        <v>-217.84516094495999</v>
      </c>
      <c r="R53" s="293">
        <v>1.7216905209039548</v>
      </c>
      <c r="S53" s="293"/>
      <c r="T53" s="293">
        <v>-4.1121806911242516</v>
      </c>
      <c r="U53" s="288">
        <v>-23.921544282453681</v>
      </c>
      <c r="V53" s="288"/>
      <c r="W53" s="288"/>
      <c r="X53" s="288"/>
      <c r="Y53" s="293"/>
      <c r="Z53" s="289"/>
      <c r="AA53" s="289">
        <v>0</v>
      </c>
      <c r="AB53" s="292"/>
      <c r="AC53" s="293"/>
      <c r="AD53" s="293"/>
      <c r="AE53" s="293"/>
      <c r="AF53" s="293"/>
      <c r="AG53" s="293"/>
      <c r="AH53" s="290"/>
      <c r="AI53" s="288"/>
      <c r="AJ53" s="294"/>
      <c r="AK53" s="289"/>
      <c r="AL53" s="291"/>
      <c r="AM53" s="295">
        <v>-1.922908039358056</v>
      </c>
      <c r="AN53" s="270"/>
    </row>
    <row r="54" spans="1:41" s="354" customFormat="1" ht="12.75" customHeight="1" thickBot="1">
      <c r="A54" s="342" t="s">
        <v>259</v>
      </c>
      <c r="B54" s="343"/>
      <c r="C54" s="344">
        <v>0</v>
      </c>
      <c r="D54" s="345"/>
      <c r="E54" s="346"/>
      <c r="F54" s="375"/>
      <c r="G54" s="375"/>
      <c r="H54" s="348">
        <v>16.322798391725023</v>
      </c>
      <c r="I54" s="375">
        <v>16.322798391725023</v>
      </c>
      <c r="J54" s="377"/>
      <c r="K54" s="377"/>
      <c r="L54" s="348">
        <v>64.17224747266998</v>
      </c>
      <c r="M54" s="377"/>
      <c r="N54" s="377">
        <v>64.032288910926383</v>
      </c>
      <c r="O54" s="377"/>
      <c r="P54" s="377"/>
      <c r="Q54" s="377"/>
      <c r="R54" s="377">
        <v>0</v>
      </c>
      <c r="S54" s="377">
        <v>0</v>
      </c>
      <c r="T54" s="377">
        <v>0.13995856174359694</v>
      </c>
      <c r="U54" s="377"/>
      <c r="V54" s="375"/>
      <c r="W54" s="375"/>
      <c r="X54" s="375"/>
      <c r="Y54" s="377"/>
      <c r="Z54" s="348">
        <v>64.533120959999991</v>
      </c>
      <c r="AA54" s="349">
        <v>0</v>
      </c>
      <c r="AB54" s="350"/>
      <c r="AC54" s="377"/>
      <c r="AD54" s="377"/>
      <c r="AE54" s="377"/>
      <c r="AF54" s="377"/>
      <c r="AG54" s="377"/>
      <c r="AH54" s="379"/>
      <c r="AI54" s="375"/>
      <c r="AJ54" s="380"/>
      <c r="AK54" s="348">
        <v>263.25545657720949</v>
      </c>
      <c r="AL54" s="349"/>
      <c r="AM54" s="381">
        <v>408.28362340160447</v>
      </c>
      <c r="AN54" s="270"/>
    </row>
    <row r="55" spans="1:41" s="305" customFormat="1" ht="12.75" customHeight="1" thickBot="1">
      <c r="A55" s="385" t="s">
        <v>260</v>
      </c>
      <c r="B55" s="386"/>
      <c r="C55" s="387">
        <v>376.33216224132872</v>
      </c>
      <c r="D55" s="388">
        <v>275.93063514696104</v>
      </c>
      <c r="E55" s="389">
        <v>83.056165340196969</v>
      </c>
      <c r="F55" s="389">
        <v>0</v>
      </c>
      <c r="G55" s="389">
        <v>17.345361754170852</v>
      </c>
      <c r="H55" s="390">
        <v>174.35483053204672</v>
      </c>
      <c r="I55" s="388">
        <v>-38.255878467953089</v>
      </c>
      <c r="J55" s="389">
        <v>127.70399999999999</v>
      </c>
      <c r="K55" s="389">
        <v>84.906708999999992</v>
      </c>
      <c r="L55" s="390">
        <v>6492.6314852979103</v>
      </c>
      <c r="M55" s="389">
        <v>-1.8088945241993315</v>
      </c>
      <c r="N55" s="389">
        <v>0</v>
      </c>
      <c r="O55" s="389">
        <v>1216.877604486529</v>
      </c>
      <c r="P55" s="389">
        <v>838.0425918737601</v>
      </c>
      <c r="Q55" s="389">
        <v>652.21752140783997</v>
      </c>
      <c r="R55" s="389">
        <v>146.22919987348337</v>
      </c>
      <c r="S55" s="389">
        <v>139.30311016636995</v>
      </c>
      <c r="T55" s="389">
        <v>3111.393558324552</v>
      </c>
      <c r="U55" s="389">
        <v>99.657098528049275</v>
      </c>
      <c r="V55" s="389">
        <v>3.0323280704419879</v>
      </c>
      <c r="W55" s="389">
        <v>255.5843691346756</v>
      </c>
      <c r="X55" s="389">
        <v>1.0369938515479</v>
      </c>
      <c r="Y55" s="389">
        <v>31.066004104857999</v>
      </c>
      <c r="Z55" s="390">
        <v>1622.6471054197355</v>
      </c>
      <c r="AA55" s="391">
        <v>340.69628911017156</v>
      </c>
      <c r="AB55" s="317">
        <v>0</v>
      </c>
      <c r="AC55" s="300">
        <v>0</v>
      </c>
      <c r="AD55" s="300">
        <v>189.679641558951</v>
      </c>
      <c r="AE55" s="300">
        <v>0</v>
      </c>
      <c r="AF55" s="300">
        <v>7.0895308425345887</v>
      </c>
      <c r="AG55" s="300">
        <v>99.420337049136009</v>
      </c>
      <c r="AH55" s="302">
        <v>11.278273490844283</v>
      </c>
      <c r="AI55" s="392">
        <v>33.2285061687056</v>
      </c>
      <c r="AJ55" s="390">
        <v>34.887415356111809</v>
      </c>
      <c r="AK55" s="390">
        <v>2109.9802748919842</v>
      </c>
      <c r="AL55" s="391">
        <v>0</v>
      </c>
      <c r="AM55" s="393">
        <v>11151.52956284929</v>
      </c>
      <c r="AN55" s="270"/>
    </row>
    <row r="57" spans="1:41" s="402" customFormat="1" ht="105.75" customHeight="1" thickBot="1">
      <c r="A57" s="245" t="s">
        <v>262</v>
      </c>
      <c r="B57" s="246" t="s">
        <v>199</v>
      </c>
      <c r="C57" s="247" t="s">
        <v>200</v>
      </c>
      <c r="D57" s="248" t="s">
        <v>201</v>
      </c>
      <c r="E57" s="249" t="s">
        <v>202</v>
      </c>
      <c r="F57" s="250" t="s">
        <v>203</v>
      </c>
      <c r="G57" s="250" t="s">
        <v>204</v>
      </c>
      <c r="H57" s="251" t="s">
        <v>205</v>
      </c>
      <c r="I57" s="248" t="s">
        <v>206</v>
      </c>
      <c r="J57" s="249" t="s">
        <v>207</v>
      </c>
      <c r="K57" s="249" t="s">
        <v>208</v>
      </c>
      <c r="L57" s="251" t="s">
        <v>209</v>
      </c>
      <c r="M57" s="248" t="s">
        <v>210</v>
      </c>
      <c r="N57" s="249" t="s">
        <v>211</v>
      </c>
      <c r="O57" s="249" t="s">
        <v>212</v>
      </c>
      <c r="P57" s="249" t="s">
        <v>213</v>
      </c>
      <c r="Q57" s="249" t="s">
        <v>214</v>
      </c>
      <c r="R57" s="249" t="s">
        <v>215</v>
      </c>
      <c r="S57" s="249" t="s">
        <v>216</v>
      </c>
      <c r="T57" s="249" t="s">
        <v>217</v>
      </c>
      <c r="U57" s="249" t="s">
        <v>218</v>
      </c>
      <c r="V57" s="250" t="s">
        <v>219</v>
      </c>
      <c r="W57" s="250" t="s">
        <v>220</v>
      </c>
      <c r="X57" s="250" t="s">
        <v>221</v>
      </c>
      <c r="Y57" s="249" t="s">
        <v>222</v>
      </c>
      <c r="Z57" s="251" t="s">
        <v>223</v>
      </c>
      <c r="AA57" s="252" t="s">
        <v>224</v>
      </c>
      <c r="AB57" s="253" t="s">
        <v>225</v>
      </c>
      <c r="AC57" s="249" t="s">
        <v>226</v>
      </c>
      <c r="AD57" s="249" t="s">
        <v>227</v>
      </c>
      <c r="AE57" s="249" t="s">
        <v>228</v>
      </c>
      <c r="AF57" s="249" t="s">
        <v>229</v>
      </c>
      <c r="AG57" s="249" t="s">
        <v>230</v>
      </c>
      <c r="AH57" s="249" t="s">
        <v>231</v>
      </c>
      <c r="AI57" s="250" t="s">
        <v>232</v>
      </c>
      <c r="AJ57" s="251" t="s">
        <v>233</v>
      </c>
      <c r="AK57" s="251" t="s">
        <v>234</v>
      </c>
      <c r="AL57" s="252" t="s">
        <v>235</v>
      </c>
      <c r="AM57" s="254" t="s">
        <v>236</v>
      </c>
    </row>
    <row r="58" spans="1:41" s="403" customFormat="1" ht="12.75" customHeight="1">
      <c r="A58" s="256" t="s">
        <v>237</v>
      </c>
      <c r="B58" s="257"/>
      <c r="C58" s="258">
        <v>0</v>
      </c>
      <c r="D58" s="259">
        <v>0</v>
      </c>
      <c r="E58" s="260"/>
      <c r="F58" s="261"/>
      <c r="G58" s="261"/>
      <c r="H58" s="409">
        <v>971.14274567964389</v>
      </c>
      <c r="I58" s="263">
        <v>843.43874567964394</v>
      </c>
      <c r="J58" s="264">
        <v>127.70399999999999</v>
      </c>
      <c r="K58" s="264"/>
      <c r="L58" s="262">
        <v>0</v>
      </c>
      <c r="M58" s="263"/>
      <c r="N58" s="265"/>
      <c r="O58" s="265"/>
      <c r="P58" s="265"/>
      <c r="Q58" s="265"/>
      <c r="R58" s="265"/>
      <c r="S58" s="265"/>
      <c r="T58" s="265"/>
      <c r="U58" s="265"/>
      <c r="V58" s="261"/>
      <c r="W58" s="261"/>
      <c r="X58" s="261"/>
      <c r="Y58" s="264"/>
      <c r="Z58" s="409">
        <v>122.69591100591715</v>
      </c>
      <c r="AA58" s="266">
        <v>891.20919458719175</v>
      </c>
      <c r="AB58" s="267">
        <v>60.944232425259983</v>
      </c>
      <c r="AC58" s="264">
        <v>442.04525606199996</v>
      </c>
      <c r="AD58" s="264">
        <v>261.9590208627132</v>
      </c>
      <c r="AE58" s="264">
        <v>39.064855679693935</v>
      </c>
      <c r="AF58" s="264">
        <v>13.156909078968509</v>
      </c>
      <c r="AG58" s="264">
        <v>24.016782050043428</v>
      </c>
      <c r="AH58" s="263">
        <v>12.27628805199466</v>
      </c>
      <c r="AI58" s="261">
        <v>37.745850376518071</v>
      </c>
      <c r="AJ58" s="268">
        <v>63.007176048088219</v>
      </c>
      <c r="AK58" s="268"/>
      <c r="AL58" s="266"/>
      <c r="AM58" s="269">
        <v>2048.055027320841</v>
      </c>
      <c r="AO58" s="404"/>
    </row>
    <row r="59" spans="1:41" s="403" customFormat="1" ht="12.75" customHeight="1">
      <c r="A59" s="271" t="s">
        <v>238</v>
      </c>
      <c r="B59" s="272"/>
      <c r="C59" s="273">
        <v>1225.8431692696049</v>
      </c>
      <c r="D59" s="274">
        <v>1157.5765642983513</v>
      </c>
      <c r="E59" s="275">
        <v>55.066384486617437</v>
      </c>
      <c r="F59" s="276"/>
      <c r="G59" s="276">
        <v>13.200220484636274</v>
      </c>
      <c r="H59" s="277">
        <v>0</v>
      </c>
      <c r="I59" s="278"/>
      <c r="J59" s="279"/>
      <c r="K59" s="279"/>
      <c r="L59" s="277">
        <v>7912.2798944530996</v>
      </c>
      <c r="M59" s="278">
        <v>2883.7382777414</v>
      </c>
      <c r="N59" s="279">
        <v>0</v>
      </c>
      <c r="O59" s="279">
        <v>891.43655555555551</v>
      </c>
      <c r="P59" s="279">
        <v>387.34027384416004</v>
      </c>
      <c r="Q59" s="279">
        <v>946.98439095647996</v>
      </c>
      <c r="R59" s="279">
        <v>132.87560317994348</v>
      </c>
      <c r="S59" s="279">
        <v>112.84764997613578</v>
      </c>
      <c r="T59" s="279">
        <v>2188.7852787144548</v>
      </c>
      <c r="U59" s="279">
        <v>158.86535873534964</v>
      </c>
      <c r="V59" s="276">
        <v>0</v>
      </c>
      <c r="W59" s="276">
        <v>169.29450897544444</v>
      </c>
      <c r="X59" s="276">
        <v>1.5290799393029</v>
      </c>
      <c r="Y59" s="279">
        <v>38.582916834873004</v>
      </c>
      <c r="Z59" s="277">
        <v>3590.214279152266</v>
      </c>
      <c r="AA59" s="280">
        <v>132.700126932096</v>
      </c>
      <c r="AB59" s="281"/>
      <c r="AC59" s="279"/>
      <c r="AD59" s="279">
        <v>41.967772176479997</v>
      </c>
      <c r="AE59" s="279"/>
      <c r="AF59" s="279"/>
      <c r="AG59" s="279">
        <v>90.732354755616001</v>
      </c>
      <c r="AH59" s="278"/>
      <c r="AI59" s="276"/>
      <c r="AJ59" s="282"/>
      <c r="AK59" s="282">
        <v>245.35926419999998</v>
      </c>
      <c r="AL59" s="280"/>
      <c r="AM59" s="283">
        <v>13106.396734007067</v>
      </c>
      <c r="AO59" s="404"/>
    </row>
    <row r="60" spans="1:41" s="403" customFormat="1" ht="12.75" customHeight="1">
      <c r="A60" s="271" t="s">
        <v>239</v>
      </c>
      <c r="B60" s="272"/>
      <c r="C60" s="273">
        <v>9.9309903525919996</v>
      </c>
      <c r="D60" s="274">
        <v>0</v>
      </c>
      <c r="E60" s="284">
        <v>9.5338335139999995</v>
      </c>
      <c r="F60" s="276"/>
      <c r="G60" s="276">
        <v>0.39715683859200002</v>
      </c>
      <c r="H60" s="277">
        <v>1.9952719999999999</v>
      </c>
      <c r="I60" s="278"/>
      <c r="J60" s="279"/>
      <c r="K60" s="279">
        <v>1.9952719999999999</v>
      </c>
      <c r="L60" s="277">
        <v>1405.7776234077326</v>
      </c>
      <c r="M60" s="278">
        <v>124.41407781859999</v>
      </c>
      <c r="N60" s="279"/>
      <c r="O60" s="279">
        <v>276.34183507777772</v>
      </c>
      <c r="P60" s="279">
        <v>8.6579830646400016</v>
      </c>
      <c r="Q60" s="279">
        <v>6.4434995519999996E-2</v>
      </c>
      <c r="R60" s="279">
        <v>918.40118144378539</v>
      </c>
      <c r="S60" s="279">
        <v>37.20029509347259</v>
      </c>
      <c r="T60" s="279">
        <v>17.640119851901943</v>
      </c>
      <c r="U60" s="279">
        <v>9.1588901016641966E-2</v>
      </c>
      <c r="V60" s="276">
        <v>16.613553302486185</v>
      </c>
      <c r="W60" s="276">
        <v>0.17039957215895998</v>
      </c>
      <c r="X60" s="276">
        <v>2.3690591E-2</v>
      </c>
      <c r="Y60" s="279">
        <v>6.1584636953730003</v>
      </c>
      <c r="Z60" s="277">
        <v>0</v>
      </c>
      <c r="AA60" s="280">
        <v>1.5653339999999998E-3</v>
      </c>
      <c r="AB60" s="281"/>
      <c r="AC60" s="279"/>
      <c r="AD60" s="279">
        <v>1.5653339999999998E-3</v>
      </c>
      <c r="AE60" s="279"/>
      <c r="AF60" s="279"/>
      <c r="AG60" s="279">
        <v>0</v>
      </c>
      <c r="AH60" s="278"/>
      <c r="AI60" s="276"/>
      <c r="AJ60" s="282"/>
      <c r="AK60" s="282">
        <v>60.540362200000011</v>
      </c>
      <c r="AL60" s="280"/>
      <c r="AM60" s="283">
        <v>1478.2458132943245</v>
      </c>
      <c r="AO60" s="404"/>
    </row>
    <row r="61" spans="1:41" s="403" customFormat="1" ht="12.75" customHeight="1">
      <c r="A61" s="271" t="s">
        <v>240</v>
      </c>
      <c r="B61" s="272"/>
      <c r="C61" s="273">
        <v>0</v>
      </c>
      <c r="D61" s="274"/>
      <c r="E61" s="284"/>
      <c r="F61" s="276"/>
      <c r="G61" s="276"/>
      <c r="H61" s="277">
        <v>0</v>
      </c>
      <c r="I61" s="278"/>
      <c r="J61" s="279"/>
      <c r="K61" s="279"/>
      <c r="L61" s="277">
        <v>134.05953536548682</v>
      </c>
      <c r="M61" s="278"/>
      <c r="N61" s="279"/>
      <c r="O61" s="279"/>
      <c r="P61" s="279"/>
      <c r="Q61" s="279"/>
      <c r="R61" s="279">
        <v>20.133664301412431</v>
      </c>
      <c r="S61" s="279"/>
      <c r="T61" s="279">
        <v>113.9258710640744</v>
      </c>
      <c r="U61" s="279"/>
      <c r="V61" s="276"/>
      <c r="W61" s="276"/>
      <c r="X61" s="276"/>
      <c r="Y61" s="279"/>
      <c r="Z61" s="277"/>
      <c r="AA61" s="280">
        <v>0</v>
      </c>
      <c r="AB61" s="281"/>
      <c r="AC61" s="279"/>
      <c r="AD61" s="279"/>
      <c r="AE61" s="279"/>
      <c r="AF61" s="279"/>
      <c r="AG61" s="279"/>
      <c r="AH61" s="278"/>
      <c r="AI61" s="276"/>
      <c r="AJ61" s="282"/>
      <c r="AK61" s="282"/>
      <c r="AL61" s="280"/>
      <c r="AM61" s="283">
        <v>134.05953536548682</v>
      </c>
      <c r="AO61" s="404"/>
    </row>
    <row r="62" spans="1:41" s="403" customFormat="1" ht="12.75" customHeight="1" thickBot="1">
      <c r="A62" s="285" t="s">
        <v>241</v>
      </c>
      <c r="B62" s="286"/>
      <c r="C62" s="273">
        <v>46.443891028749562</v>
      </c>
      <c r="D62" s="287">
        <v>47.493969900499962</v>
      </c>
      <c r="E62" s="276">
        <v>-2.3593049323999997</v>
      </c>
      <c r="F62" s="288"/>
      <c r="G62" s="288">
        <v>1.3092260606496005</v>
      </c>
      <c r="H62" s="289">
        <v>-200.8413226573646</v>
      </c>
      <c r="I62" s="290">
        <v>-192.28256265736459</v>
      </c>
      <c r="J62" s="290">
        <v>0</v>
      </c>
      <c r="K62" s="290">
        <v>-8.5587599999999995</v>
      </c>
      <c r="L62" s="289">
        <v>80.059226296346793</v>
      </c>
      <c r="M62" s="278">
        <v>51.856040886999999</v>
      </c>
      <c r="N62" s="279"/>
      <c r="O62" s="279">
        <v>-6.7759102444444439</v>
      </c>
      <c r="P62" s="279">
        <v>-5.7916068246400005</v>
      </c>
      <c r="Q62" s="279">
        <v>23.475342856560001</v>
      </c>
      <c r="R62" s="279">
        <v>29.408110551977398</v>
      </c>
      <c r="S62" s="279">
        <v>-0.807728250548303</v>
      </c>
      <c r="T62" s="279">
        <v>8.6283702167371104</v>
      </c>
      <c r="U62" s="279">
        <v>-19.949102733311534</v>
      </c>
      <c r="V62" s="288">
        <v>1.5709837016574586E-2</v>
      </c>
      <c r="W62" s="288">
        <v>0</v>
      </c>
      <c r="X62" s="288">
        <v>0</v>
      </c>
      <c r="Y62" s="290">
        <v>0</v>
      </c>
      <c r="Z62" s="289">
        <v>7.9913784142011899</v>
      </c>
      <c r="AA62" s="291">
        <v>-2.5655011456439998</v>
      </c>
      <c r="AB62" s="292"/>
      <c r="AC62" s="293"/>
      <c r="AD62" s="293">
        <v>-2.3756719499999555E-2</v>
      </c>
      <c r="AE62" s="293"/>
      <c r="AF62" s="293"/>
      <c r="AG62" s="293">
        <v>-2.5417444261440001</v>
      </c>
      <c r="AH62" s="290"/>
      <c r="AI62" s="288"/>
      <c r="AJ62" s="294"/>
      <c r="AK62" s="294"/>
      <c r="AL62" s="291"/>
      <c r="AM62" s="295">
        <v>-68.912328063711058</v>
      </c>
      <c r="AO62" s="404"/>
    </row>
    <row r="63" spans="1:41" s="405" customFormat="1" ht="12.75" customHeight="1">
      <c r="A63" s="296" t="s">
        <v>242</v>
      </c>
      <c r="B63" s="297"/>
      <c r="C63" s="298">
        <v>1262.3560699457623</v>
      </c>
      <c r="D63" s="299">
        <v>1205.0705341988512</v>
      </c>
      <c r="E63" s="300">
        <v>43.173246040217435</v>
      </c>
      <c r="F63" s="300">
        <v>0</v>
      </c>
      <c r="G63" s="300">
        <v>14.112289706693874</v>
      </c>
      <c r="H63" s="301">
        <v>768.30615102227932</v>
      </c>
      <c r="I63" s="299">
        <v>651.15618302227938</v>
      </c>
      <c r="J63" s="300">
        <v>127.70399999999999</v>
      </c>
      <c r="K63" s="300">
        <v>-10.554031999999999</v>
      </c>
      <c r="L63" s="301">
        <v>6452.5019619762261</v>
      </c>
      <c r="M63" s="299">
        <v>2811.1802408097997</v>
      </c>
      <c r="N63" s="300">
        <v>0</v>
      </c>
      <c r="O63" s="300">
        <v>608.31881023333347</v>
      </c>
      <c r="P63" s="300">
        <v>372.89068395488005</v>
      </c>
      <c r="Q63" s="300">
        <v>970.39529881752003</v>
      </c>
      <c r="R63" s="300">
        <v>-776.2511320132769</v>
      </c>
      <c r="S63" s="300">
        <v>74.839626632114886</v>
      </c>
      <c r="T63" s="300">
        <v>2065.8476580152155</v>
      </c>
      <c r="U63" s="300">
        <v>138.82466710102148</v>
      </c>
      <c r="V63" s="300">
        <v>-16.597843465469609</v>
      </c>
      <c r="W63" s="300">
        <v>169.12410940328547</v>
      </c>
      <c r="X63" s="300">
        <v>1.5053893483028999</v>
      </c>
      <c r="Y63" s="300">
        <v>32.424453139500002</v>
      </c>
      <c r="Z63" s="301">
        <v>3720.9015685723843</v>
      </c>
      <c r="AA63" s="301">
        <v>1021.3422550396436</v>
      </c>
      <c r="AB63" s="299">
        <v>60.944232425259983</v>
      </c>
      <c r="AC63" s="300">
        <v>442.04525606199996</v>
      </c>
      <c r="AD63" s="300">
        <v>303.90147098569315</v>
      </c>
      <c r="AE63" s="300">
        <v>39.064855679693935</v>
      </c>
      <c r="AF63" s="300">
        <v>13.156909078968509</v>
      </c>
      <c r="AG63" s="300">
        <v>112.20739237951543</v>
      </c>
      <c r="AH63" s="302">
        <v>12.27628805199466</v>
      </c>
      <c r="AI63" s="299">
        <v>37.745850376518071</v>
      </c>
      <c r="AJ63" s="301">
        <v>63.007176048088219</v>
      </c>
      <c r="AK63" s="301">
        <v>184.81890199999998</v>
      </c>
      <c r="AL63" s="303">
        <v>0</v>
      </c>
      <c r="AM63" s="304">
        <v>13473.234084604384</v>
      </c>
      <c r="AN63" s="403"/>
      <c r="AO63" s="404"/>
    </row>
    <row r="64" spans="1:41" s="405" customFormat="1" ht="12.75" customHeight="1" thickBot="1">
      <c r="A64" s="306" t="s">
        <v>243</v>
      </c>
      <c r="B64" s="307"/>
      <c r="C64" s="308">
        <v>1262.3560699457623</v>
      </c>
      <c r="D64" s="309">
        <v>1205.0705341988512</v>
      </c>
      <c r="E64" s="310">
        <v>43.173246040217435</v>
      </c>
      <c r="F64" s="311">
        <v>0</v>
      </c>
      <c r="G64" s="311">
        <v>14.112289706693874</v>
      </c>
      <c r="H64" s="312">
        <v>768.30615102227932</v>
      </c>
      <c r="I64" s="309">
        <v>651.15618302227938</v>
      </c>
      <c r="J64" s="310">
        <v>127.70399999999999</v>
      </c>
      <c r="K64" s="310">
        <v>-10.554031999999999</v>
      </c>
      <c r="L64" s="312">
        <v>6249.4480100851379</v>
      </c>
      <c r="M64" s="309">
        <v>2811.1802408097997</v>
      </c>
      <c r="N64" s="310">
        <v>0</v>
      </c>
      <c r="O64" s="310">
        <v>608.31881023333347</v>
      </c>
      <c r="P64" s="310">
        <v>372.89068395488005</v>
      </c>
      <c r="Q64" s="310">
        <v>970.39529881752003</v>
      </c>
      <c r="R64" s="310">
        <v>-776.2511320132769</v>
      </c>
      <c r="S64" s="310">
        <v>74.839626632114886</v>
      </c>
      <c r="T64" s="310">
        <v>2065.8476580152155</v>
      </c>
      <c r="U64" s="310">
        <v>138.82466710102148</v>
      </c>
      <c r="V64" s="311">
        <v>-16.597843465469609</v>
      </c>
      <c r="W64" s="311">
        <v>0</v>
      </c>
      <c r="X64" s="311">
        <v>0</v>
      </c>
      <c r="Y64" s="310">
        <v>0</v>
      </c>
      <c r="Z64" s="312">
        <v>3720.9015685723843</v>
      </c>
      <c r="AA64" s="313">
        <v>1021.3422550396436</v>
      </c>
      <c r="AB64" s="309">
        <v>60.944232425259983</v>
      </c>
      <c r="AC64" s="310">
        <v>442.04525606199996</v>
      </c>
      <c r="AD64" s="310">
        <v>303.90147098569315</v>
      </c>
      <c r="AE64" s="310">
        <v>39.064855679693935</v>
      </c>
      <c r="AF64" s="310">
        <v>13.156909078968509</v>
      </c>
      <c r="AG64" s="310">
        <v>112.20739237951543</v>
      </c>
      <c r="AH64" s="314">
        <v>12.27628805199466</v>
      </c>
      <c r="AI64" s="309">
        <v>37.745850376518071</v>
      </c>
      <c r="AJ64" s="312">
        <v>63.007176048088219</v>
      </c>
      <c r="AK64" s="312">
        <v>184.81890199999998</v>
      </c>
      <c r="AL64" s="309">
        <v>0</v>
      </c>
      <c r="AM64" s="315">
        <v>13270.180132713296</v>
      </c>
      <c r="AN64" s="403"/>
      <c r="AO64" s="404"/>
    </row>
    <row r="65" spans="1:41" s="405" customFormat="1" ht="12.75" customHeight="1">
      <c r="A65" s="296" t="s">
        <v>244</v>
      </c>
      <c r="B65" s="297"/>
      <c r="C65" s="298">
        <v>942.05859365846607</v>
      </c>
      <c r="D65" s="302">
        <v>942.05859365846607</v>
      </c>
      <c r="E65" s="300">
        <v>0</v>
      </c>
      <c r="F65" s="316">
        <v>0</v>
      </c>
      <c r="G65" s="316">
        <v>0</v>
      </c>
      <c r="H65" s="301">
        <v>668.28429134655153</v>
      </c>
      <c r="I65" s="302">
        <v>668.28429134655153</v>
      </c>
      <c r="J65" s="300">
        <v>0</v>
      </c>
      <c r="K65" s="300">
        <v>0</v>
      </c>
      <c r="L65" s="301">
        <v>2874.4663680916492</v>
      </c>
      <c r="M65" s="300">
        <v>2814.1951999999997</v>
      </c>
      <c r="N65" s="300">
        <v>4.8226428745602208</v>
      </c>
      <c r="O65" s="300">
        <v>0</v>
      </c>
      <c r="P65" s="300">
        <v>0</v>
      </c>
      <c r="Q65" s="300">
        <v>0</v>
      </c>
      <c r="R65" s="300">
        <v>47.397657075727196</v>
      </c>
      <c r="S65" s="300">
        <v>0.51942510359999994</v>
      </c>
      <c r="T65" s="300">
        <v>7.5314430377622141</v>
      </c>
      <c r="U65" s="300">
        <v>0</v>
      </c>
      <c r="V65" s="316">
        <v>0</v>
      </c>
      <c r="W65" s="316">
        <v>0</v>
      </c>
      <c r="X65" s="316">
        <v>0</v>
      </c>
      <c r="Y65" s="300">
        <v>0</v>
      </c>
      <c r="Z65" s="301">
        <v>2017.4680540151119</v>
      </c>
      <c r="AA65" s="299">
        <v>127.78629473629765</v>
      </c>
      <c r="AB65" s="317">
        <v>0</v>
      </c>
      <c r="AC65" s="300">
        <v>0</v>
      </c>
      <c r="AD65" s="300">
        <v>83.713349268023094</v>
      </c>
      <c r="AE65" s="300">
        <v>39.064855679693935</v>
      </c>
      <c r="AF65" s="300">
        <v>5.0080897885806186</v>
      </c>
      <c r="AG65" s="300">
        <v>0</v>
      </c>
      <c r="AH65" s="302">
        <v>0</v>
      </c>
      <c r="AI65" s="316">
        <v>0</v>
      </c>
      <c r="AJ65" s="301">
        <v>24.518096548679999</v>
      </c>
      <c r="AK65" s="301">
        <v>58.226871555999992</v>
      </c>
      <c r="AL65" s="299">
        <v>0</v>
      </c>
      <c r="AM65" s="318">
        <v>6712.8085699527564</v>
      </c>
      <c r="AN65" s="403"/>
      <c r="AO65" s="404"/>
    </row>
    <row r="66" spans="1:41" s="403" customFormat="1" ht="12.75" customHeight="1">
      <c r="A66" s="319" t="s">
        <v>245</v>
      </c>
      <c r="B66" s="320"/>
      <c r="C66" s="321">
        <v>942.05859365846607</v>
      </c>
      <c r="D66" s="322">
        <v>942.05859365846607</v>
      </c>
      <c r="E66" s="323"/>
      <c r="F66" s="324"/>
      <c r="G66" s="324"/>
      <c r="H66" s="325">
        <v>541.83907492037906</v>
      </c>
      <c r="I66" s="322">
        <v>541.83907492037906</v>
      </c>
      <c r="J66" s="323">
        <v>0</v>
      </c>
      <c r="K66" s="323"/>
      <c r="L66" s="325">
        <v>54.929100113489412</v>
      </c>
      <c r="M66" s="323"/>
      <c r="N66" s="323"/>
      <c r="O66" s="323"/>
      <c r="P66" s="323"/>
      <c r="Q66" s="323"/>
      <c r="R66" s="323">
        <v>47.397657075727196</v>
      </c>
      <c r="S66" s="323"/>
      <c r="T66" s="323">
        <v>7.5314430377622141</v>
      </c>
      <c r="U66" s="323"/>
      <c r="V66" s="324"/>
      <c r="W66" s="324"/>
      <c r="X66" s="324"/>
      <c r="Y66" s="323"/>
      <c r="Z66" s="325">
        <v>1714.4540102949693</v>
      </c>
      <c r="AA66" s="326">
        <v>119.60923239064275</v>
      </c>
      <c r="AB66" s="327"/>
      <c r="AC66" s="323"/>
      <c r="AD66" s="323">
        <v>80.544376710948811</v>
      </c>
      <c r="AE66" s="323">
        <v>39.064855679693935</v>
      </c>
      <c r="AF66" s="323"/>
      <c r="AG66" s="323"/>
      <c r="AH66" s="322"/>
      <c r="AI66" s="324"/>
      <c r="AJ66" s="328">
        <v>24.518096548679999</v>
      </c>
      <c r="AK66" s="325"/>
      <c r="AL66" s="326"/>
      <c r="AM66" s="329">
        <v>3397.4081079266271</v>
      </c>
    </row>
    <row r="67" spans="1:41" s="403" customFormat="1" ht="12.75" customHeight="1">
      <c r="A67" s="271" t="s">
        <v>246</v>
      </c>
      <c r="B67" s="272"/>
      <c r="C67" s="273">
        <v>0</v>
      </c>
      <c r="D67" s="278">
        <v>0</v>
      </c>
      <c r="E67" s="279"/>
      <c r="F67" s="276"/>
      <c r="G67" s="276"/>
      <c r="H67" s="277">
        <v>7.9103891629398939</v>
      </c>
      <c r="I67" s="278">
        <v>7.9103891629398939</v>
      </c>
      <c r="J67" s="279"/>
      <c r="K67" s="279"/>
      <c r="L67" s="277">
        <v>5.3420679781602205</v>
      </c>
      <c r="M67" s="279"/>
      <c r="N67" s="330">
        <v>4.8226428745602208</v>
      </c>
      <c r="O67" s="279"/>
      <c r="P67" s="279"/>
      <c r="Q67" s="279"/>
      <c r="R67" s="279">
        <v>0</v>
      </c>
      <c r="S67" s="279">
        <v>0.51942510359999994</v>
      </c>
      <c r="T67" s="279">
        <v>0</v>
      </c>
      <c r="U67" s="279"/>
      <c r="V67" s="276"/>
      <c r="W67" s="276"/>
      <c r="X67" s="276"/>
      <c r="Y67" s="279"/>
      <c r="Z67" s="277">
        <v>258.45618601805808</v>
      </c>
      <c r="AA67" s="280">
        <v>8.1770623456549032</v>
      </c>
      <c r="AB67" s="281"/>
      <c r="AC67" s="279"/>
      <c r="AD67" s="279">
        <v>3.1689725570742846</v>
      </c>
      <c r="AE67" s="279"/>
      <c r="AF67" s="279">
        <v>5.0080897885806186</v>
      </c>
      <c r="AG67" s="279"/>
      <c r="AH67" s="278"/>
      <c r="AI67" s="276"/>
      <c r="AJ67" s="282"/>
      <c r="AK67" s="282"/>
      <c r="AL67" s="280"/>
      <c r="AM67" s="283">
        <v>279.88570550481313</v>
      </c>
    </row>
    <row r="68" spans="1:41" s="403" customFormat="1" ht="12.75" customHeight="1">
      <c r="A68" s="271" t="s">
        <v>247</v>
      </c>
      <c r="B68" s="272"/>
      <c r="C68" s="273"/>
      <c r="D68" s="278"/>
      <c r="E68" s="279"/>
      <c r="F68" s="276"/>
      <c r="G68" s="276"/>
      <c r="H68" s="277"/>
      <c r="I68" s="278"/>
      <c r="J68" s="279"/>
      <c r="K68" s="279"/>
      <c r="L68" s="277"/>
      <c r="M68" s="279"/>
      <c r="N68" s="330"/>
      <c r="O68" s="279"/>
      <c r="P68" s="279"/>
      <c r="Q68" s="279"/>
      <c r="R68" s="279"/>
      <c r="S68" s="279"/>
      <c r="T68" s="279"/>
      <c r="U68" s="279"/>
      <c r="V68" s="276"/>
      <c r="W68" s="276"/>
      <c r="X68" s="276"/>
      <c r="Y68" s="279"/>
      <c r="Z68" s="277"/>
      <c r="AA68" s="280"/>
      <c r="AB68" s="281"/>
      <c r="AC68" s="279"/>
      <c r="AD68" s="279"/>
      <c r="AE68" s="279"/>
      <c r="AF68" s="279"/>
      <c r="AG68" s="279"/>
      <c r="AH68" s="278"/>
      <c r="AI68" s="276"/>
      <c r="AJ68" s="282"/>
      <c r="AK68" s="282">
        <v>43.062676799999991</v>
      </c>
      <c r="AL68" s="280"/>
      <c r="AM68" s="283">
        <v>43.062676799999991</v>
      </c>
    </row>
    <row r="69" spans="1:41" s="403" customFormat="1" ht="12.75" customHeight="1">
      <c r="A69" s="271" t="s">
        <v>248</v>
      </c>
      <c r="B69" s="272"/>
      <c r="C69" s="273">
        <v>0</v>
      </c>
      <c r="D69" s="278"/>
      <c r="E69" s="276"/>
      <c r="F69" s="276"/>
      <c r="G69" s="276"/>
      <c r="H69" s="277">
        <v>118.5348272632326</v>
      </c>
      <c r="I69" s="278">
        <v>118.5348272632326</v>
      </c>
      <c r="J69" s="279"/>
      <c r="K69" s="279"/>
      <c r="L69" s="277">
        <v>0</v>
      </c>
      <c r="M69" s="279"/>
      <c r="N69" s="279"/>
      <c r="O69" s="279"/>
      <c r="P69" s="279"/>
      <c r="Q69" s="279"/>
      <c r="R69" s="279"/>
      <c r="S69" s="279"/>
      <c r="T69" s="279"/>
      <c r="U69" s="279"/>
      <c r="V69" s="276"/>
      <c r="W69" s="276"/>
      <c r="X69" s="276"/>
      <c r="Y69" s="279"/>
      <c r="Z69" s="277"/>
      <c r="AA69" s="280">
        <v>0</v>
      </c>
      <c r="AB69" s="281"/>
      <c r="AC69" s="279"/>
      <c r="AD69" s="279"/>
      <c r="AE69" s="279"/>
      <c r="AF69" s="279"/>
      <c r="AG69" s="279"/>
      <c r="AH69" s="278"/>
      <c r="AI69" s="276"/>
      <c r="AJ69" s="282"/>
      <c r="AK69" s="282"/>
      <c r="AL69" s="280"/>
      <c r="AM69" s="283">
        <v>118.5348272632326</v>
      </c>
    </row>
    <row r="70" spans="1:41" s="403" customFormat="1" ht="12.75" customHeight="1">
      <c r="A70" s="331" t="s">
        <v>249</v>
      </c>
      <c r="B70" s="332"/>
      <c r="C70" s="333">
        <v>0</v>
      </c>
      <c r="D70" s="334"/>
      <c r="E70" s="335"/>
      <c r="F70" s="336"/>
      <c r="G70" s="336"/>
      <c r="H70" s="337">
        <v>0</v>
      </c>
      <c r="I70" s="334"/>
      <c r="J70" s="335"/>
      <c r="K70" s="335"/>
      <c r="L70" s="337">
        <v>2814.1951999999997</v>
      </c>
      <c r="M70" s="335">
        <v>2814.1951999999997</v>
      </c>
      <c r="N70" s="335"/>
      <c r="O70" s="335"/>
      <c r="P70" s="335"/>
      <c r="Q70" s="335"/>
      <c r="R70" s="335"/>
      <c r="S70" s="335"/>
      <c r="T70" s="335"/>
      <c r="U70" s="335"/>
      <c r="V70" s="336"/>
      <c r="W70" s="336"/>
      <c r="X70" s="336"/>
      <c r="Y70" s="335"/>
      <c r="Z70" s="337">
        <v>44.557857702084455</v>
      </c>
      <c r="AA70" s="338">
        <v>0</v>
      </c>
      <c r="AB70" s="339"/>
      <c r="AC70" s="335"/>
      <c r="AD70" s="335"/>
      <c r="AE70" s="335"/>
      <c r="AF70" s="335"/>
      <c r="AG70" s="335"/>
      <c r="AH70" s="334"/>
      <c r="AI70" s="336"/>
      <c r="AJ70" s="340"/>
      <c r="AK70" s="340">
        <v>15.164194755999999</v>
      </c>
      <c r="AL70" s="338"/>
      <c r="AM70" s="341">
        <v>2873.9172524580845</v>
      </c>
    </row>
    <row r="71" spans="1:41" s="405" customFormat="1" ht="12.75" customHeight="1">
      <c r="A71" s="342" t="s">
        <v>250</v>
      </c>
      <c r="B71" s="343"/>
      <c r="C71" s="344">
        <v>0</v>
      </c>
      <c r="D71" s="345">
        <v>0</v>
      </c>
      <c r="E71" s="346">
        <v>0</v>
      </c>
      <c r="F71" s="347">
        <v>0</v>
      </c>
      <c r="G71" s="347">
        <v>0</v>
      </c>
      <c r="H71" s="348">
        <v>91.775424000000001</v>
      </c>
      <c r="I71" s="345">
        <v>0</v>
      </c>
      <c r="J71" s="346">
        <v>0</v>
      </c>
      <c r="K71" s="346">
        <v>91.775424000000001</v>
      </c>
      <c r="L71" s="348">
        <v>2871.4458206664322</v>
      </c>
      <c r="M71" s="346">
        <v>0</v>
      </c>
      <c r="N71" s="346">
        <v>74.22189472710744</v>
      </c>
      <c r="O71" s="346">
        <v>523.95213249999995</v>
      </c>
      <c r="P71" s="346">
        <v>144.39412638560003</v>
      </c>
      <c r="Q71" s="346">
        <v>0</v>
      </c>
      <c r="R71" s="346">
        <v>918.2172360666666</v>
      </c>
      <c r="S71" s="346">
        <v>67.173742993054844</v>
      </c>
      <c r="T71" s="346">
        <v>1122.5326375181742</v>
      </c>
      <c r="U71" s="346">
        <v>0</v>
      </c>
      <c r="V71" s="347">
        <v>20.95405047582873</v>
      </c>
      <c r="W71" s="347">
        <v>0</v>
      </c>
      <c r="X71" s="347">
        <v>0</v>
      </c>
      <c r="Y71" s="346">
        <v>0</v>
      </c>
      <c r="Z71" s="348">
        <v>0</v>
      </c>
      <c r="AA71" s="349">
        <v>46.109140714763754</v>
      </c>
      <c r="AB71" s="350">
        <v>0</v>
      </c>
      <c r="AC71" s="346">
        <v>0</v>
      </c>
      <c r="AD71" s="346">
        <v>28.42125554889202</v>
      </c>
      <c r="AE71" s="351">
        <v>14.574428081771728</v>
      </c>
      <c r="AF71" s="351">
        <v>3.1134570841000002</v>
      </c>
      <c r="AG71" s="351">
        <v>0</v>
      </c>
      <c r="AH71" s="345">
        <v>0</v>
      </c>
      <c r="AI71" s="347">
        <v>0</v>
      </c>
      <c r="AJ71" s="348">
        <v>5.6163703005691383</v>
      </c>
      <c r="AK71" s="348">
        <v>1759.9304281704051</v>
      </c>
      <c r="AL71" s="349">
        <v>0</v>
      </c>
      <c r="AM71" s="352">
        <v>4774.8771838521698</v>
      </c>
      <c r="AN71" s="403"/>
      <c r="AO71" s="404"/>
    </row>
    <row r="72" spans="1:41" s="406" customFormat="1" ht="12.75" customHeight="1">
      <c r="A72" s="319" t="s">
        <v>245</v>
      </c>
      <c r="B72" s="320"/>
      <c r="C72" s="321">
        <v>0</v>
      </c>
      <c r="D72" s="322"/>
      <c r="E72" s="323"/>
      <c r="F72" s="324"/>
      <c r="G72" s="324"/>
      <c r="H72" s="325">
        <v>0</v>
      </c>
      <c r="I72" s="322"/>
      <c r="J72" s="323"/>
      <c r="K72" s="323"/>
      <c r="L72" s="325">
        <v>0</v>
      </c>
      <c r="M72" s="323"/>
      <c r="N72" s="323"/>
      <c r="O72" s="323"/>
      <c r="P72" s="323"/>
      <c r="Q72" s="323"/>
      <c r="R72" s="323"/>
      <c r="S72" s="323"/>
      <c r="T72" s="323"/>
      <c r="U72" s="323"/>
      <c r="V72" s="324"/>
      <c r="W72" s="324"/>
      <c r="X72" s="324"/>
      <c r="Y72" s="323"/>
      <c r="Z72" s="325"/>
      <c r="AA72" s="326">
        <v>41.74517637866375</v>
      </c>
      <c r="AB72" s="327"/>
      <c r="AC72" s="323"/>
      <c r="AD72" s="323">
        <v>27.170748296892022</v>
      </c>
      <c r="AE72" s="330">
        <v>14.574428081771728</v>
      </c>
      <c r="AF72" s="330"/>
      <c r="AG72" s="330"/>
      <c r="AH72" s="322"/>
      <c r="AI72" s="324"/>
      <c r="AJ72" s="328">
        <v>5.6163703005691383</v>
      </c>
      <c r="AK72" s="328">
        <v>1557.7618530170109</v>
      </c>
      <c r="AL72" s="326"/>
      <c r="AM72" s="353">
        <v>1557.7618530170109</v>
      </c>
      <c r="AN72" s="403"/>
    </row>
    <row r="73" spans="1:41" s="406" customFormat="1" ht="12.75" customHeight="1">
      <c r="A73" s="271" t="s">
        <v>251</v>
      </c>
      <c r="B73" s="272"/>
      <c r="C73" s="273">
        <v>0</v>
      </c>
      <c r="D73" s="278"/>
      <c r="E73" s="279"/>
      <c r="F73" s="276"/>
      <c r="G73" s="276"/>
      <c r="H73" s="277">
        <v>0</v>
      </c>
      <c r="I73" s="278"/>
      <c r="J73" s="279"/>
      <c r="K73" s="279"/>
      <c r="L73" s="277">
        <v>0</v>
      </c>
      <c r="M73" s="279"/>
      <c r="N73" s="279"/>
      <c r="O73" s="279"/>
      <c r="P73" s="279"/>
      <c r="Q73" s="279"/>
      <c r="R73" s="279"/>
      <c r="S73" s="279"/>
      <c r="T73" s="279"/>
      <c r="U73" s="279"/>
      <c r="V73" s="276"/>
      <c r="W73" s="276"/>
      <c r="X73" s="276"/>
      <c r="Y73" s="279"/>
      <c r="Z73" s="277"/>
      <c r="AA73" s="280">
        <v>4.3639643361000005</v>
      </c>
      <c r="AB73" s="281"/>
      <c r="AC73" s="279"/>
      <c r="AD73" s="279">
        <v>1.250507252</v>
      </c>
      <c r="AE73" s="279"/>
      <c r="AF73" s="279">
        <v>3.1134570841000002</v>
      </c>
      <c r="AG73" s="279"/>
      <c r="AH73" s="278"/>
      <c r="AI73" s="276"/>
      <c r="AJ73" s="282"/>
      <c r="AK73" s="355">
        <v>178.16793204555418</v>
      </c>
      <c r="AL73" s="280"/>
      <c r="AM73" s="283">
        <v>178.16793204555418</v>
      </c>
      <c r="AN73" s="403"/>
    </row>
    <row r="74" spans="1:41" s="406" customFormat="1" ht="12.75" customHeight="1">
      <c r="A74" s="271" t="s">
        <v>252</v>
      </c>
      <c r="B74" s="272"/>
      <c r="C74" s="273"/>
      <c r="D74" s="278"/>
      <c r="E74" s="279"/>
      <c r="F74" s="276"/>
      <c r="G74" s="276"/>
      <c r="H74" s="277"/>
      <c r="I74" s="278"/>
      <c r="J74" s="279"/>
      <c r="K74" s="279"/>
      <c r="L74" s="277"/>
      <c r="M74" s="279"/>
      <c r="N74" s="279"/>
      <c r="O74" s="279"/>
      <c r="P74" s="279"/>
      <c r="Q74" s="279"/>
      <c r="R74" s="279"/>
      <c r="S74" s="279"/>
      <c r="T74" s="279"/>
      <c r="U74" s="279"/>
      <c r="V74" s="276"/>
      <c r="W74" s="276"/>
      <c r="X74" s="276"/>
      <c r="Y74" s="279"/>
      <c r="Z74" s="277"/>
      <c r="AA74" s="280">
        <v>0</v>
      </c>
      <c r="AB74" s="281"/>
      <c r="AC74" s="279"/>
      <c r="AD74" s="279"/>
      <c r="AE74" s="279"/>
      <c r="AF74" s="279"/>
      <c r="AG74" s="279"/>
      <c r="AH74" s="278"/>
      <c r="AI74" s="276"/>
      <c r="AJ74" s="282"/>
      <c r="AK74" s="282"/>
      <c r="AL74" s="280"/>
      <c r="AM74" s="283">
        <v>0</v>
      </c>
      <c r="AN74" s="403"/>
    </row>
    <row r="75" spans="1:41" s="406" customFormat="1" ht="12.75" customHeight="1">
      <c r="A75" s="271" t="s">
        <v>253</v>
      </c>
      <c r="B75" s="272"/>
      <c r="C75" s="273"/>
      <c r="D75" s="278"/>
      <c r="E75" s="279"/>
      <c r="F75" s="276"/>
      <c r="G75" s="276"/>
      <c r="H75" s="277"/>
      <c r="I75" s="278"/>
      <c r="J75" s="279"/>
      <c r="K75" s="279"/>
      <c r="L75" s="277"/>
      <c r="M75" s="279"/>
      <c r="N75" s="279"/>
      <c r="O75" s="279"/>
      <c r="P75" s="279"/>
      <c r="Q75" s="279"/>
      <c r="R75" s="279"/>
      <c r="S75" s="279"/>
      <c r="T75" s="279"/>
      <c r="U75" s="279"/>
      <c r="V75" s="276"/>
      <c r="W75" s="276"/>
      <c r="X75" s="276"/>
      <c r="Y75" s="279"/>
      <c r="Z75" s="277"/>
      <c r="AA75" s="280"/>
      <c r="AB75" s="281"/>
      <c r="AC75" s="279"/>
      <c r="AD75" s="279"/>
      <c r="AE75" s="279"/>
      <c r="AF75" s="279"/>
      <c r="AG75" s="279"/>
      <c r="AH75" s="278"/>
      <c r="AI75" s="276"/>
      <c r="AJ75" s="282"/>
      <c r="AK75" s="282">
        <v>24.000643107840006</v>
      </c>
      <c r="AL75" s="280"/>
      <c r="AM75" s="283">
        <v>24.000643107840006</v>
      </c>
      <c r="AN75" s="403"/>
    </row>
    <row r="76" spans="1:41" s="406" customFormat="1" ht="12.75" customHeight="1">
      <c r="A76" s="271" t="s">
        <v>248</v>
      </c>
      <c r="B76" s="272"/>
      <c r="C76" s="273"/>
      <c r="E76" s="279"/>
      <c r="F76" s="276"/>
      <c r="G76" s="276"/>
      <c r="H76" s="277">
        <v>91.775424000000001</v>
      </c>
      <c r="I76" s="278"/>
      <c r="J76" s="279"/>
      <c r="K76" s="279">
        <v>91.775424000000001</v>
      </c>
      <c r="L76" s="277">
        <v>0</v>
      </c>
      <c r="M76" s="279"/>
      <c r="N76" s="279"/>
      <c r="O76" s="279"/>
      <c r="P76" s="279"/>
      <c r="Q76" s="279"/>
      <c r="R76" s="279"/>
      <c r="S76" s="279"/>
      <c r="T76" s="279"/>
      <c r="U76" s="279"/>
      <c r="V76" s="276"/>
      <c r="W76" s="276"/>
      <c r="X76" s="276"/>
      <c r="Y76" s="279"/>
      <c r="Z76" s="277"/>
      <c r="AA76" s="280">
        <v>0</v>
      </c>
      <c r="AB76" s="281"/>
      <c r="AC76" s="279"/>
      <c r="AD76" s="279"/>
      <c r="AE76" s="279"/>
      <c r="AF76" s="279"/>
      <c r="AG76" s="279"/>
      <c r="AH76" s="278"/>
      <c r="AI76" s="276"/>
      <c r="AJ76" s="282"/>
      <c r="AK76" s="282"/>
      <c r="AL76" s="280"/>
      <c r="AM76" s="283">
        <v>91.775424000000001</v>
      </c>
      <c r="AN76" s="403"/>
    </row>
    <row r="77" spans="1:41" s="406" customFormat="1" ht="12.75" customHeight="1">
      <c r="A77" s="410" t="s">
        <v>254</v>
      </c>
      <c r="B77" s="411"/>
      <c r="C77" s="412"/>
      <c r="D77" s="413"/>
      <c r="E77" s="414"/>
      <c r="F77" s="415"/>
      <c r="G77" s="415"/>
      <c r="H77" s="416">
        <v>0</v>
      </c>
      <c r="I77" s="413"/>
      <c r="J77" s="414"/>
      <c r="K77" s="414"/>
      <c r="L77" s="416">
        <v>2871.4458206664322</v>
      </c>
      <c r="M77" s="414"/>
      <c r="N77" s="414">
        <v>74.22189472710744</v>
      </c>
      <c r="O77" s="414">
        <v>523.95213249999995</v>
      </c>
      <c r="P77" s="414">
        <v>144.39412638560003</v>
      </c>
      <c r="Q77" s="414">
        <v>0</v>
      </c>
      <c r="R77" s="414">
        <v>918.2172360666666</v>
      </c>
      <c r="S77" s="414">
        <v>67.173742993054844</v>
      </c>
      <c r="T77" s="414">
        <v>1122.5326375181742</v>
      </c>
      <c r="U77" s="414"/>
      <c r="V77" s="415">
        <v>20.95405047582873</v>
      </c>
      <c r="W77" s="415"/>
      <c r="X77" s="415"/>
      <c r="Y77" s="414"/>
      <c r="Z77" s="416"/>
      <c r="AA77" s="417">
        <v>0</v>
      </c>
      <c r="AB77" s="418"/>
      <c r="AC77" s="414"/>
      <c r="AD77" s="414"/>
      <c r="AE77" s="414"/>
      <c r="AF77" s="414"/>
      <c r="AG77" s="414"/>
      <c r="AH77" s="413"/>
      <c r="AI77" s="415"/>
      <c r="AJ77" s="419"/>
      <c r="AK77" s="419"/>
      <c r="AL77" s="417"/>
      <c r="AM77" s="420">
        <v>2871.4458206664322</v>
      </c>
      <c r="AN77" s="403"/>
    </row>
    <row r="78" spans="1:41" s="406" customFormat="1" ht="12.75" customHeight="1">
      <c r="A78" s="356" t="s">
        <v>255</v>
      </c>
      <c r="B78" s="357"/>
      <c r="C78" s="358">
        <v>17.236365325401415</v>
      </c>
      <c r="D78" s="359">
        <v>-11.541075000000001</v>
      </c>
      <c r="E78" s="360">
        <v>28.777440325401415</v>
      </c>
      <c r="F78" s="361">
        <v>0</v>
      </c>
      <c r="G78" s="361">
        <v>0</v>
      </c>
      <c r="H78" s="362">
        <v>0</v>
      </c>
      <c r="I78" s="359">
        <v>0</v>
      </c>
      <c r="J78" s="360">
        <v>0</v>
      </c>
      <c r="K78" s="360">
        <v>0</v>
      </c>
      <c r="L78" s="362">
        <v>-19.289998189989539</v>
      </c>
      <c r="M78" s="360">
        <v>0</v>
      </c>
      <c r="N78" s="360">
        <v>0</v>
      </c>
      <c r="O78" s="360">
        <v>-0.10381462222222221</v>
      </c>
      <c r="P78" s="360">
        <v>204.55238023584002</v>
      </c>
      <c r="Q78" s="360">
        <v>-204.14611135823998</v>
      </c>
      <c r="R78" s="360">
        <v>1.4972557378531075</v>
      </c>
      <c r="S78" s="360">
        <v>0</v>
      </c>
      <c r="T78" s="360">
        <v>-3.8533428578190581</v>
      </c>
      <c r="U78" s="360">
        <v>-17.236365325401412</v>
      </c>
      <c r="V78" s="361">
        <v>0</v>
      </c>
      <c r="W78" s="361">
        <v>0</v>
      </c>
      <c r="X78" s="361">
        <v>0</v>
      </c>
      <c r="Y78" s="360">
        <v>0</v>
      </c>
      <c r="Z78" s="362">
        <v>0</v>
      </c>
      <c r="AA78" s="363">
        <v>-503.07084831419115</v>
      </c>
      <c r="AB78" s="364">
        <v>-60.944232425259983</v>
      </c>
      <c r="AC78" s="360">
        <v>-442.04525606199996</v>
      </c>
      <c r="AD78" s="360">
        <v>0</v>
      </c>
      <c r="AE78" s="365">
        <v>0</v>
      </c>
      <c r="AF78" s="365">
        <v>0</v>
      </c>
      <c r="AG78" s="365">
        <v>0</v>
      </c>
      <c r="AH78" s="359">
        <v>-8.1359826931200002E-2</v>
      </c>
      <c r="AI78" s="361">
        <v>0</v>
      </c>
      <c r="AJ78" s="366">
        <v>0</v>
      </c>
      <c r="AK78" s="362">
        <v>503.07084831419115</v>
      </c>
      <c r="AL78" s="363">
        <v>0</v>
      </c>
      <c r="AM78" s="367">
        <v>-2.0536328645881241</v>
      </c>
      <c r="AN78" s="403"/>
      <c r="AO78" s="404"/>
    </row>
    <row r="79" spans="1:41" s="406" customFormat="1" ht="12.75" customHeight="1">
      <c r="A79" s="319" t="s">
        <v>256</v>
      </c>
      <c r="B79" s="320"/>
      <c r="C79" s="368"/>
      <c r="D79" s="369"/>
      <c r="E79" s="370"/>
      <c r="F79" s="324"/>
      <c r="G79" s="324"/>
      <c r="H79" s="325"/>
      <c r="I79" s="371"/>
      <c r="J79" s="323"/>
      <c r="K79" s="323"/>
      <c r="L79" s="325"/>
      <c r="M79" s="323"/>
      <c r="N79" s="323"/>
      <c r="O79" s="323"/>
      <c r="P79" s="323"/>
      <c r="Q79" s="323"/>
      <c r="R79" s="323"/>
      <c r="S79" s="323"/>
      <c r="T79" s="323"/>
      <c r="U79" s="323"/>
      <c r="V79" s="324"/>
      <c r="W79" s="324"/>
      <c r="X79" s="324"/>
      <c r="Y79" s="323"/>
      <c r="Z79" s="325"/>
      <c r="AA79" s="326">
        <v>-503.07084831419115</v>
      </c>
      <c r="AB79" s="327">
        <v>-60.944232425259983</v>
      </c>
      <c r="AC79" s="323">
        <v>-442.04525606199996</v>
      </c>
      <c r="AD79" s="323"/>
      <c r="AE79" s="330"/>
      <c r="AF79" s="330"/>
      <c r="AG79" s="330"/>
      <c r="AH79" s="322">
        <v>-8.1359826931200002E-2</v>
      </c>
      <c r="AI79" s="324"/>
      <c r="AJ79" s="328"/>
      <c r="AK79" s="325">
        <v>503.07084831419115</v>
      </c>
      <c r="AL79" s="326"/>
      <c r="AM79" s="353">
        <v>0</v>
      </c>
      <c r="AN79" s="403"/>
    </row>
    <row r="80" spans="1:41" s="406" customFormat="1" ht="12.75" customHeight="1">
      <c r="A80" s="372" t="s">
        <v>257</v>
      </c>
      <c r="B80" s="343"/>
      <c r="C80" s="373"/>
      <c r="D80" s="374"/>
      <c r="E80" s="346"/>
      <c r="F80" s="375"/>
      <c r="G80" s="375"/>
      <c r="H80" s="348"/>
      <c r="I80" s="376"/>
      <c r="J80" s="377"/>
      <c r="K80" s="377"/>
      <c r="L80" s="348"/>
      <c r="M80" s="377"/>
      <c r="N80" s="377"/>
      <c r="O80" s="377"/>
      <c r="P80" s="377"/>
      <c r="Q80" s="377"/>
      <c r="R80" s="377"/>
      <c r="S80" s="377"/>
      <c r="T80" s="377"/>
      <c r="U80" s="377"/>
      <c r="V80" s="375"/>
      <c r="W80" s="375"/>
      <c r="X80" s="375"/>
      <c r="Y80" s="377"/>
      <c r="Z80" s="348"/>
      <c r="AA80" s="349"/>
      <c r="AB80" s="378"/>
      <c r="AC80" s="377"/>
      <c r="AD80" s="377"/>
      <c r="AE80" s="377"/>
      <c r="AF80" s="377"/>
      <c r="AG80" s="377"/>
      <c r="AH80" s="379"/>
      <c r="AI80" s="375"/>
      <c r="AJ80" s="380"/>
      <c r="AK80" s="348"/>
      <c r="AL80" s="349"/>
      <c r="AM80" s="381">
        <v>0</v>
      </c>
      <c r="AN80" s="403"/>
    </row>
    <row r="81" spans="1:41" s="406" customFormat="1" ht="12.75" customHeight="1" thickBot="1">
      <c r="A81" s="285" t="s">
        <v>258</v>
      </c>
      <c r="B81" s="286"/>
      <c r="C81" s="382">
        <v>17.236365325401415</v>
      </c>
      <c r="D81" s="383">
        <v>-11.541075000000001</v>
      </c>
      <c r="E81" s="293">
        <v>28.777440325401415</v>
      </c>
      <c r="F81" s="288"/>
      <c r="G81" s="288"/>
      <c r="H81" s="289"/>
      <c r="I81" s="384"/>
      <c r="J81" s="293"/>
      <c r="K81" s="293"/>
      <c r="L81" s="289">
        <v>-19.289998189989539</v>
      </c>
      <c r="M81" s="293"/>
      <c r="N81" s="293"/>
      <c r="O81" s="293">
        <v>-0.10381462222222221</v>
      </c>
      <c r="P81" s="293">
        <v>204.55238023584002</v>
      </c>
      <c r="Q81" s="293">
        <v>-204.14611135823998</v>
      </c>
      <c r="R81" s="293">
        <v>1.4972557378531075</v>
      </c>
      <c r="S81" s="293"/>
      <c r="T81" s="293">
        <v>-3.8533428578190581</v>
      </c>
      <c r="U81" s="288">
        <v>-17.236365325401412</v>
      </c>
      <c r="V81" s="288"/>
      <c r="W81" s="288"/>
      <c r="X81" s="288"/>
      <c r="Y81" s="293"/>
      <c r="Z81" s="289"/>
      <c r="AA81" s="289">
        <v>0</v>
      </c>
      <c r="AB81" s="292"/>
      <c r="AC81" s="293"/>
      <c r="AD81" s="293"/>
      <c r="AE81" s="293"/>
      <c r="AF81" s="293"/>
      <c r="AG81" s="293"/>
      <c r="AH81" s="290"/>
      <c r="AI81" s="288"/>
      <c r="AJ81" s="294"/>
      <c r="AK81" s="289"/>
      <c r="AL81" s="291"/>
      <c r="AM81" s="295">
        <v>-2.0536328645881241</v>
      </c>
      <c r="AN81" s="403"/>
    </row>
    <row r="82" spans="1:41" s="406" customFormat="1" ht="12.75" customHeight="1" thickBot="1">
      <c r="A82" s="342" t="s">
        <v>259</v>
      </c>
      <c r="B82" s="343"/>
      <c r="C82" s="344">
        <v>0</v>
      </c>
      <c r="D82" s="345"/>
      <c r="E82" s="346"/>
      <c r="F82" s="375"/>
      <c r="G82" s="375"/>
      <c r="H82" s="348">
        <v>13.034293271425252</v>
      </c>
      <c r="I82" s="375">
        <v>13.034293271425252</v>
      </c>
      <c r="J82" s="377"/>
      <c r="K82" s="377"/>
      <c r="L82" s="348">
        <v>70.70367153247237</v>
      </c>
      <c r="M82" s="377"/>
      <c r="N82" s="377">
        <v>69.399251852547224</v>
      </c>
      <c r="O82" s="377"/>
      <c r="P82" s="377"/>
      <c r="Q82" s="377"/>
      <c r="R82" s="377">
        <v>0</v>
      </c>
      <c r="S82" s="377">
        <v>4.1693256233877908E-3</v>
      </c>
      <c r="T82" s="377">
        <v>1.3002503543017518</v>
      </c>
      <c r="U82" s="377"/>
      <c r="V82" s="375"/>
      <c r="W82" s="375"/>
      <c r="X82" s="375"/>
      <c r="Y82" s="377"/>
      <c r="Z82" s="348">
        <v>63.79750643224147</v>
      </c>
      <c r="AA82" s="349">
        <v>0</v>
      </c>
      <c r="AB82" s="350"/>
      <c r="AC82" s="377"/>
      <c r="AD82" s="377"/>
      <c r="AE82" s="377"/>
      <c r="AF82" s="377"/>
      <c r="AG82" s="377"/>
      <c r="AH82" s="379"/>
      <c r="AI82" s="375"/>
      <c r="AJ82" s="380"/>
      <c r="AK82" s="348">
        <v>262.19016108209235</v>
      </c>
      <c r="AL82" s="349"/>
      <c r="AM82" s="381">
        <v>409.72563231823142</v>
      </c>
      <c r="AN82" s="403"/>
      <c r="AO82" s="404"/>
    </row>
    <row r="83" spans="1:41" s="405" customFormat="1" ht="12.75" customHeight="1" thickBot="1">
      <c r="A83" s="385" t="s">
        <v>260</v>
      </c>
      <c r="B83" s="386"/>
      <c r="C83" s="387">
        <v>337.5338416126977</v>
      </c>
      <c r="D83" s="388">
        <v>251.47086554038512</v>
      </c>
      <c r="E83" s="389">
        <v>71.95068636561885</v>
      </c>
      <c r="F83" s="389">
        <v>0</v>
      </c>
      <c r="G83" s="389">
        <v>14.112289706693874</v>
      </c>
      <c r="H83" s="390">
        <v>178.76299040430254</v>
      </c>
      <c r="I83" s="388">
        <v>-30.1624015956974</v>
      </c>
      <c r="J83" s="389">
        <v>127.70399999999999</v>
      </c>
      <c r="K83" s="389">
        <v>81.221392000000009</v>
      </c>
      <c r="L83" s="390">
        <v>6359.4877448285479</v>
      </c>
      <c r="M83" s="389">
        <v>-3.0149591901999884</v>
      </c>
      <c r="N83" s="389">
        <v>0</v>
      </c>
      <c r="O83" s="389">
        <v>1132.1671281111112</v>
      </c>
      <c r="P83" s="389">
        <v>721.83719057632015</v>
      </c>
      <c r="Q83" s="389">
        <v>766.24918745928005</v>
      </c>
      <c r="R83" s="389">
        <v>96.06570271551557</v>
      </c>
      <c r="S83" s="389">
        <v>141.48977519594635</v>
      </c>
      <c r="T83" s="389">
        <v>3175.6952592835069</v>
      </c>
      <c r="U83" s="389">
        <v>121.58830177562007</v>
      </c>
      <c r="V83" s="389">
        <v>4.3562070103591211</v>
      </c>
      <c r="W83" s="389">
        <v>169.12410940328547</v>
      </c>
      <c r="X83" s="389">
        <v>1.5053893483028999</v>
      </c>
      <c r="Y83" s="389">
        <v>32.424453139500002</v>
      </c>
      <c r="Z83" s="390">
        <v>1639.6360081250309</v>
      </c>
      <c r="AA83" s="391">
        <v>390.4851119891548</v>
      </c>
      <c r="AB83" s="317">
        <v>0</v>
      </c>
      <c r="AC83" s="300">
        <v>0</v>
      </c>
      <c r="AD83" s="300">
        <v>220.18812171767007</v>
      </c>
      <c r="AE83" s="300">
        <v>0</v>
      </c>
      <c r="AF83" s="300">
        <v>8.1488192903878911</v>
      </c>
      <c r="AG83" s="300">
        <v>112.20739237951543</v>
      </c>
      <c r="AH83" s="302">
        <v>12.19492822506346</v>
      </c>
      <c r="AI83" s="392">
        <v>37.745850376518071</v>
      </c>
      <c r="AJ83" s="390">
        <v>38.48907949940822</v>
      </c>
      <c r="AK83" s="390">
        <v>2127.4031458465038</v>
      </c>
      <c r="AL83" s="391">
        <v>0</v>
      </c>
      <c r="AM83" s="393">
        <v>11071.797922305646</v>
      </c>
      <c r="AN83" s="403"/>
      <c r="AO83" s="404"/>
    </row>
    <row r="85" spans="1:41" ht="86.25" thickBot="1">
      <c r="A85" s="245" t="s">
        <v>277</v>
      </c>
      <c r="B85" s="246" t="s">
        <v>199</v>
      </c>
      <c r="C85" s="247" t="s">
        <v>200</v>
      </c>
      <c r="D85" s="248" t="s">
        <v>201</v>
      </c>
      <c r="E85" s="249" t="s">
        <v>202</v>
      </c>
      <c r="F85" s="250" t="s">
        <v>203</v>
      </c>
      <c r="G85" s="250" t="s">
        <v>204</v>
      </c>
      <c r="H85" s="251" t="s">
        <v>205</v>
      </c>
      <c r="I85" s="248" t="s">
        <v>206</v>
      </c>
      <c r="J85" s="249" t="s">
        <v>207</v>
      </c>
      <c r="K85" s="249" t="s">
        <v>208</v>
      </c>
      <c r="L85" s="251" t="s">
        <v>209</v>
      </c>
      <c r="M85" s="248" t="s">
        <v>210</v>
      </c>
      <c r="N85" s="249" t="s">
        <v>211</v>
      </c>
      <c r="O85" s="249" t="s">
        <v>212</v>
      </c>
      <c r="P85" s="249" t="s">
        <v>213</v>
      </c>
      <c r="Q85" s="249" t="s">
        <v>214</v>
      </c>
      <c r="R85" s="249" t="s">
        <v>215</v>
      </c>
      <c r="S85" s="249" t="s">
        <v>216</v>
      </c>
      <c r="T85" s="249" t="s">
        <v>217</v>
      </c>
      <c r="U85" s="249" t="s">
        <v>218</v>
      </c>
      <c r="V85" s="250" t="s">
        <v>219</v>
      </c>
      <c r="W85" s="250" t="s">
        <v>220</v>
      </c>
      <c r="X85" s="250" t="s">
        <v>221</v>
      </c>
      <c r="Y85" s="249" t="s">
        <v>222</v>
      </c>
      <c r="Z85" s="251" t="s">
        <v>223</v>
      </c>
      <c r="AA85" s="252" t="s">
        <v>224</v>
      </c>
      <c r="AB85" s="253" t="s">
        <v>225</v>
      </c>
      <c r="AC85" s="249" t="s">
        <v>226</v>
      </c>
      <c r="AD85" s="249" t="s">
        <v>227</v>
      </c>
      <c r="AE85" s="249" t="s">
        <v>228</v>
      </c>
      <c r="AF85" s="249" t="s">
        <v>229</v>
      </c>
      <c r="AG85" s="249" t="s">
        <v>230</v>
      </c>
      <c r="AH85" s="249" t="s">
        <v>231</v>
      </c>
      <c r="AI85" s="250" t="s">
        <v>232</v>
      </c>
      <c r="AJ85" s="251" t="s">
        <v>233</v>
      </c>
      <c r="AK85" s="251" t="s">
        <v>234</v>
      </c>
      <c r="AL85" s="252" t="s">
        <v>235</v>
      </c>
      <c r="AM85" s="254" t="s">
        <v>236</v>
      </c>
    </row>
    <row r="86" spans="1:41">
      <c r="A86" s="256" t="s">
        <v>237</v>
      </c>
      <c r="B86" s="257"/>
      <c r="C86" s="258">
        <v>0</v>
      </c>
      <c r="D86" s="259">
        <v>0</v>
      </c>
      <c r="E86" s="260"/>
      <c r="F86" s="261"/>
      <c r="G86" s="261"/>
      <c r="H86" s="262">
        <v>761.70763590773026</v>
      </c>
      <c r="I86" s="263">
        <v>634.00363590773031</v>
      </c>
      <c r="J86" s="264">
        <v>127.70399999999999</v>
      </c>
      <c r="K86" s="264"/>
      <c r="L86" s="262">
        <v>0</v>
      </c>
      <c r="M86" s="263"/>
      <c r="N86" s="265"/>
      <c r="O86" s="265"/>
      <c r="P86" s="265"/>
      <c r="Q86" s="265"/>
      <c r="R86" s="265"/>
      <c r="S86" s="265"/>
      <c r="T86" s="265"/>
      <c r="U86" s="265"/>
      <c r="V86" s="261"/>
      <c r="W86" s="261"/>
      <c r="X86" s="261"/>
      <c r="Y86" s="264"/>
      <c r="Z86" s="262">
        <v>107.45580499386362</v>
      </c>
      <c r="AA86" s="266">
        <v>1025.6192332066662</v>
      </c>
      <c r="AB86" s="267">
        <v>69.358155996860006</v>
      </c>
      <c r="AC86" s="264">
        <v>565.277794202</v>
      </c>
      <c r="AD86" s="264">
        <v>254.00082678560469</v>
      </c>
      <c r="AE86" s="264">
        <v>41.011254769021484</v>
      </c>
      <c r="AF86" s="264">
        <v>13.60554532380441</v>
      </c>
      <c r="AG86" s="264">
        <v>24.078432909586283</v>
      </c>
      <c r="AH86" s="263">
        <v>13.136807353841927</v>
      </c>
      <c r="AI86" s="261">
        <v>45.150415865947451</v>
      </c>
      <c r="AJ86" s="268">
        <v>62.006582672407923</v>
      </c>
      <c r="AK86" s="268"/>
      <c r="AL86" s="266"/>
      <c r="AM86" s="269">
        <v>1956.7892567806678</v>
      </c>
    </row>
    <row r="87" spans="1:41">
      <c r="A87" s="271" t="s">
        <v>238</v>
      </c>
      <c r="B87" s="272"/>
      <c r="C87" s="273">
        <v>1480.8561810077201</v>
      </c>
      <c r="D87" s="274">
        <v>1419.3245167438956</v>
      </c>
      <c r="E87" s="275">
        <v>48.638129791947776</v>
      </c>
      <c r="F87" s="276"/>
      <c r="G87" s="276">
        <v>12.893534471876839</v>
      </c>
      <c r="H87" s="277">
        <v>0</v>
      </c>
      <c r="I87" s="278"/>
      <c r="J87" s="279"/>
      <c r="K87" s="279"/>
      <c r="L87" s="277">
        <v>9105.9898844214713</v>
      </c>
      <c r="M87" s="278">
        <v>3725.1582678477998</v>
      </c>
      <c r="N87" s="279">
        <v>0</v>
      </c>
      <c r="O87" s="279">
        <v>847.66482598888888</v>
      </c>
      <c r="P87" s="279">
        <v>446.09681081056004</v>
      </c>
      <c r="Q87" s="279">
        <v>1215.53298794088</v>
      </c>
      <c r="R87" s="279">
        <v>118.23049259237288</v>
      </c>
      <c r="S87" s="279">
        <v>120.28455064966059</v>
      </c>
      <c r="T87" s="279">
        <v>2267.71850562705</v>
      </c>
      <c r="U87" s="279">
        <v>148.76918240020279</v>
      </c>
      <c r="V87" s="276">
        <v>0</v>
      </c>
      <c r="W87" s="276">
        <v>174.06439741855056</v>
      </c>
      <c r="X87" s="276">
        <v>1.4416431455041887</v>
      </c>
      <c r="Y87" s="279">
        <v>41.028219999999997</v>
      </c>
      <c r="Z87" s="277">
        <v>3628.7520365355981</v>
      </c>
      <c r="AA87" s="280">
        <v>124.32951742525199</v>
      </c>
      <c r="AB87" s="281"/>
      <c r="AC87" s="279"/>
      <c r="AD87" s="439">
        <v>27.322662714563993</v>
      </c>
      <c r="AE87" s="279"/>
      <c r="AF87" s="279"/>
      <c r="AG87" s="439">
        <v>97.006854710688003</v>
      </c>
      <c r="AH87" s="278"/>
      <c r="AI87" s="276"/>
      <c r="AJ87" s="282"/>
      <c r="AK87" s="282">
        <v>150.66980699999999</v>
      </c>
      <c r="AL87" s="280"/>
      <c r="AM87" s="283">
        <v>14490.597426390043</v>
      </c>
    </row>
    <row r="88" spans="1:41">
      <c r="A88" s="271" t="s">
        <v>239</v>
      </c>
      <c r="B88" s="272"/>
      <c r="C88" s="273">
        <v>11.4325550038792</v>
      </c>
      <c r="D88" s="274">
        <v>0</v>
      </c>
      <c r="E88" s="284">
        <v>10.291667649999999</v>
      </c>
      <c r="F88" s="276"/>
      <c r="G88" s="276">
        <v>1.1408873538792002</v>
      </c>
      <c r="H88" s="277">
        <v>6.9838950000000004</v>
      </c>
      <c r="I88" s="278"/>
      <c r="J88" s="279"/>
      <c r="K88" s="279">
        <v>6.9838950000000004</v>
      </c>
      <c r="L88" s="277">
        <v>1777.4210655236768</v>
      </c>
      <c r="M88" s="278">
        <v>0</v>
      </c>
      <c r="N88" s="279"/>
      <c r="O88" s="279">
        <v>414.29421579999996</v>
      </c>
      <c r="P88" s="279">
        <v>18.861340039360002</v>
      </c>
      <c r="Q88" s="279">
        <v>84.796615891200005</v>
      </c>
      <c r="R88" s="279">
        <v>1147.0051231689265</v>
      </c>
      <c r="S88" s="279">
        <v>16.342021913054833</v>
      </c>
      <c r="T88" s="279">
        <v>60.418044008114961</v>
      </c>
      <c r="U88" s="279">
        <v>0.439036343074581</v>
      </c>
      <c r="V88" s="276">
        <v>26.2553830269337</v>
      </c>
      <c r="W88" s="276">
        <v>1.1139046488</v>
      </c>
      <c r="X88" s="276">
        <v>3.9475559999999996E-3</v>
      </c>
      <c r="Y88" s="279">
        <v>7.8914331282124301</v>
      </c>
      <c r="Z88" s="277">
        <v>0</v>
      </c>
      <c r="AA88" s="280">
        <v>0.20694933359999998</v>
      </c>
      <c r="AB88" s="281"/>
      <c r="AC88" s="279"/>
      <c r="AD88" s="279">
        <v>0.20694933359999998</v>
      </c>
      <c r="AE88" s="279"/>
      <c r="AF88" s="279"/>
      <c r="AG88" s="279">
        <v>0</v>
      </c>
      <c r="AH88" s="278"/>
      <c r="AI88" s="276"/>
      <c r="AJ88" s="282"/>
      <c r="AK88" s="282">
        <v>92.759986999999981</v>
      </c>
      <c r="AL88" s="280"/>
      <c r="AM88" s="283">
        <v>1888.8044518611559</v>
      </c>
    </row>
    <row r="89" spans="1:41">
      <c r="A89" s="271" t="s">
        <v>240</v>
      </c>
      <c r="B89" s="272"/>
      <c r="C89" s="273">
        <v>0</v>
      </c>
      <c r="D89" s="274"/>
      <c r="E89" s="284"/>
      <c r="F89" s="276"/>
      <c r="G89" s="276"/>
      <c r="H89" s="277">
        <v>0</v>
      </c>
      <c r="I89" s="278"/>
      <c r="J89" s="279"/>
      <c r="K89" s="279"/>
      <c r="L89" s="277">
        <v>159.60393936750791</v>
      </c>
      <c r="M89" s="278"/>
      <c r="N89" s="279"/>
      <c r="O89" s="279"/>
      <c r="P89" s="279"/>
      <c r="Q89" s="279"/>
      <c r="R89" s="279">
        <v>13.614509187288135</v>
      </c>
      <c r="S89" s="279"/>
      <c r="T89" s="279">
        <v>145.98943018021978</v>
      </c>
      <c r="U89" s="279"/>
      <c r="V89" s="276"/>
      <c r="W89" s="276"/>
      <c r="X89" s="276"/>
      <c r="Y89" s="279"/>
      <c r="Z89" s="277"/>
      <c r="AA89" s="280">
        <v>0</v>
      </c>
      <c r="AB89" s="281"/>
      <c r="AC89" s="279"/>
      <c r="AD89" s="279"/>
      <c r="AE89" s="279"/>
      <c r="AF89" s="279"/>
      <c r="AG89" s="279"/>
      <c r="AH89" s="278"/>
      <c r="AI89" s="276"/>
      <c r="AJ89" s="282"/>
      <c r="AK89" s="282"/>
      <c r="AL89" s="280"/>
      <c r="AM89" s="283">
        <v>159.60393936750791</v>
      </c>
    </row>
    <row r="90" spans="1:41" ht="13.5" thickBot="1">
      <c r="A90" s="285" t="s">
        <v>241</v>
      </c>
      <c r="B90" s="286"/>
      <c r="C90" s="273">
        <v>-43.353999663869153</v>
      </c>
      <c r="D90" s="287">
        <v>-49.87240463484995</v>
      </c>
      <c r="E90" s="276">
        <v>6.1992574654499997</v>
      </c>
      <c r="F90" s="288"/>
      <c r="G90" s="288">
        <v>0.31914750553080012</v>
      </c>
      <c r="H90" s="289">
        <v>4.6751440926291323</v>
      </c>
      <c r="I90" s="290">
        <v>-9.4069399073708695</v>
      </c>
      <c r="J90" s="290">
        <v>0</v>
      </c>
      <c r="K90" s="290">
        <v>14.082084000000002</v>
      </c>
      <c r="L90" s="289">
        <v>-303.07898124682441</v>
      </c>
      <c r="M90" s="278">
        <v>-310.50166782419996</v>
      </c>
      <c r="N90" s="279"/>
      <c r="O90" s="279">
        <v>9.5819328000000006</v>
      </c>
      <c r="P90" s="279">
        <v>-7.0956714192000003</v>
      </c>
      <c r="Q90" s="279">
        <v>9.0425080329600007</v>
      </c>
      <c r="R90" s="279">
        <v>5.9342024158192102</v>
      </c>
      <c r="S90" s="279">
        <v>-0.46439142845953013</v>
      </c>
      <c r="T90" s="279">
        <v>-4.8885123185122588</v>
      </c>
      <c r="U90" s="279">
        <v>-2.6442048429390725</v>
      </c>
      <c r="V90" s="288">
        <v>-2.0431766622928174</v>
      </c>
      <c r="W90" s="288">
        <v>0</v>
      </c>
      <c r="X90" s="288">
        <v>0</v>
      </c>
      <c r="Y90" s="290">
        <v>0</v>
      </c>
      <c r="Z90" s="289">
        <v>24.350353264387156</v>
      </c>
      <c r="AA90" s="291">
        <v>0.72127593063599993</v>
      </c>
      <c r="AB90" s="292"/>
      <c r="AC90" s="293"/>
      <c r="AD90" s="293">
        <v>-0.57397924299600001</v>
      </c>
      <c r="AE90" s="293"/>
      <c r="AF90" s="293"/>
      <c r="AG90" s="293">
        <v>1.2952551736319999</v>
      </c>
      <c r="AH90" s="290"/>
      <c r="AI90" s="288"/>
      <c r="AJ90" s="294"/>
      <c r="AK90" s="294"/>
      <c r="AL90" s="291"/>
      <c r="AM90" s="295">
        <v>-316.6862076230413</v>
      </c>
    </row>
    <row r="91" spans="1:41">
      <c r="A91" s="296" t="s">
        <v>242</v>
      </c>
      <c r="B91" s="297"/>
      <c r="C91" s="298">
        <v>1426.0696263399718</v>
      </c>
      <c r="D91" s="299">
        <v>1369.4521121090456</v>
      </c>
      <c r="E91" s="300">
        <v>44.545719607397771</v>
      </c>
      <c r="F91" s="300">
        <v>0</v>
      </c>
      <c r="G91" s="300">
        <v>12.071794623528438</v>
      </c>
      <c r="H91" s="301">
        <v>759.39888500035943</v>
      </c>
      <c r="I91" s="299">
        <v>624.59669600035943</v>
      </c>
      <c r="J91" s="300">
        <v>127.70399999999999</v>
      </c>
      <c r="K91" s="300">
        <v>7.0981890000000014</v>
      </c>
      <c r="L91" s="301">
        <v>6865.8858982834618</v>
      </c>
      <c r="M91" s="299">
        <v>3414.6566000235998</v>
      </c>
      <c r="N91" s="300">
        <v>0</v>
      </c>
      <c r="O91" s="300">
        <v>442.95254298888892</v>
      </c>
      <c r="P91" s="300">
        <v>420.13979935200001</v>
      </c>
      <c r="Q91" s="300">
        <v>1139.7788800826402</v>
      </c>
      <c r="R91" s="300">
        <v>-1036.4549373480224</v>
      </c>
      <c r="S91" s="300">
        <v>103.47813730814622</v>
      </c>
      <c r="T91" s="300">
        <v>2056.4225191202031</v>
      </c>
      <c r="U91" s="300">
        <v>145.68594121418914</v>
      </c>
      <c r="V91" s="300">
        <v>-28.298559689226519</v>
      </c>
      <c r="W91" s="300">
        <v>172.95049276975055</v>
      </c>
      <c r="X91" s="300">
        <v>1.4376955895041887</v>
      </c>
      <c r="Y91" s="300">
        <v>33.136786871787564</v>
      </c>
      <c r="Z91" s="301">
        <v>3760.558194793849</v>
      </c>
      <c r="AA91" s="301">
        <v>1150.4630772289543</v>
      </c>
      <c r="AB91" s="299">
        <v>69.358155996860006</v>
      </c>
      <c r="AC91" s="300">
        <v>565.277794202</v>
      </c>
      <c r="AD91" s="300">
        <v>280.54256092357269</v>
      </c>
      <c r="AE91" s="300">
        <v>41.011254769021484</v>
      </c>
      <c r="AF91" s="300">
        <v>13.60554532380441</v>
      </c>
      <c r="AG91" s="300">
        <v>122.38054279390629</v>
      </c>
      <c r="AH91" s="302">
        <v>13.136807353841927</v>
      </c>
      <c r="AI91" s="299">
        <v>45.150415865947451</v>
      </c>
      <c r="AJ91" s="301">
        <v>62.006582672407923</v>
      </c>
      <c r="AK91" s="301">
        <v>57.909820000000011</v>
      </c>
      <c r="AL91" s="303">
        <v>0</v>
      </c>
      <c r="AM91" s="304">
        <v>14082.292084319004</v>
      </c>
    </row>
    <row r="92" spans="1:41" ht="13.5" thickBot="1">
      <c r="A92" s="306" t="s">
        <v>243</v>
      </c>
      <c r="B92" s="307"/>
      <c r="C92" s="308">
        <v>1426.0696263399718</v>
      </c>
      <c r="D92" s="309">
        <v>1369.4521121090456</v>
      </c>
      <c r="E92" s="310">
        <v>44.545719607397771</v>
      </c>
      <c r="F92" s="311">
        <v>0</v>
      </c>
      <c r="G92" s="311">
        <v>12.071794623528438</v>
      </c>
      <c r="H92" s="312">
        <v>759.39888500035943</v>
      </c>
      <c r="I92" s="309">
        <v>624.59669600035943</v>
      </c>
      <c r="J92" s="310">
        <v>127.70399999999999</v>
      </c>
      <c r="K92" s="310">
        <v>7.0981890000000014</v>
      </c>
      <c r="L92" s="312">
        <v>6658.3609230524198</v>
      </c>
      <c r="M92" s="309">
        <v>3414.6566000235998</v>
      </c>
      <c r="N92" s="310">
        <v>0</v>
      </c>
      <c r="O92" s="310">
        <v>442.95254298888892</v>
      </c>
      <c r="P92" s="310">
        <v>420.13979935200001</v>
      </c>
      <c r="Q92" s="310">
        <v>1139.7788800826402</v>
      </c>
      <c r="R92" s="310">
        <v>-1036.4549373480224</v>
      </c>
      <c r="S92" s="310">
        <v>103.47813730814622</v>
      </c>
      <c r="T92" s="310">
        <v>2056.4225191202031</v>
      </c>
      <c r="U92" s="310">
        <v>145.68594121418914</v>
      </c>
      <c r="V92" s="311">
        <v>-28.298559689226519</v>
      </c>
      <c r="W92" s="311">
        <v>0</v>
      </c>
      <c r="X92" s="311">
        <v>0</v>
      </c>
      <c r="Y92" s="310">
        <v>0</v>
      </c>
      <c r="Z92" s="312">
        <v>3760.558194793849</v>
      </c>
      <c r="AA92" s="313">
        <v>1150.4630772289543</v>
      </c>
      <c r="AB92" s="309">
        <v>69.358155996860006</v>
      </c>
      <c r="AC92" s="310">
        <v>565.277794202</v>
      </c>
      <c r="AD92" s="310">
        <v>280.54256092357269</v>
      </c>
      <c r="AE92" s="310">
        <v>41.011254769021484</v>
      </c>
      <c r="AF92" s="310">
        <v>13.60554532380441</v>
      </c>
      <c r="AG92" s="310">
        <v>122.38054279390629</v>
      </c>
      <c r="AH92" s="314">
        <v>13.136807353841927</v>
      </c>
      <c r="AI92" s="309">
        <v>45.150415865947451</v>
      </c>
      <c r="AJ92" s="312">
        <v>62.006582672407923</v>
      </c>
      <c r="AK92" s="312">
        <v>57.909820000000011</v>
      </c>
      <c r="AL92" s="309">
        <v>0</v>
      </c>
      <c r="AM92" s="315">
        <v>13874.767109087963</v>
      </c>
    </row>
    <row r="93" spans="1:41">
      <c r="A93" s="296" t="s">
        <v>244</v>
      </c>
      <c r="B93" s="297"/>
      <c r="C93" s="298">
        <v>1126.9085590705945</v>
      </c>
      <c r="D93" s="302">
        <v>1126.9085590705945</v>
      </c>
      <c r="E93" s="300">
        <v>0</v>
      </c>
      <c r="F93" s="316">
        <v>0</v>
      </c>
      <c r="G93" s="316">
        <v>0</v>
      </c>
      <c r="H93" s="301">
        <v>638.63601856628566</v>
      </c>
      <c r="I93" s="302">
        <v>638.63601856628566</v>
      </c>
      <c r="J93" s="300">
        <v>0</v>
      </c>
      <c r="K93" s="300">
        <v>0</v>
      </c>
      <c r="L93" s="301">
        <v>3526.1878097885847</v>
      </c>
      <c r="M93" s="300">
        <v>3414.6566000236003</v>
      </c>
      <c r="N93" s="300">
        <v>33.845876697599998</v>
      </c>
      <c r="O93" s="300">
        <v>0</v>
      </c>
      <c r="P93" s="300">
        <v>0</v>
      </c>
      <c r="Q93" s="300">
        <v>0</v>
      </c>
      <c r="R93" s="300">
        <v>58.029340981354551</v>
      </c>
      <c r="S93" s="300">
        <v>0.63707342085838004</v>
      </c>
      <c r="T93" s="300">
        <v>19.018918665171498</v>
      </c>
      <c r="U93" s="300">
        <v>0</v>
      </c>
      <c r="V93" s="316">
        <v>0</v>
      </c>
      <c r="W93" s="316">
        <v>0</v>
      </c>
      <c r="X93" s="316">
        <v>0</v>
      </c>
      <c r="Y93" s="300">
        <v>0</v>
      </c>
      <c r="Z93" s="301">
        <v>1942.6269931474885</v>
      </c>
      <c r="AA93" s="299">
        <v>114.6656156818615</v>
      </c>
      <c r="AB93" s="317">
        <v>0</v>
      </c>
      <c r="AC93" s="300">
        <v>0</v>
      </c>
      <c r="AD93" s="300">
        <v>68.888388612060652</v>
      </c>
      <c r="AE93" s="300">
        <v>41.011254769021484</v>
      </c>
      <c r="AF93" s="300">
        <v>4.7659723007793584</v>
      </c>
      <c r="AG93" s="300">
        <v>0</v>
      </c>
      <c r="AH93" s="302">
        <v>0</v>
      </c>
      <c r="AI93" s="316">
        <v>0</v>
      </c>
      <c r="AJ93" s="301">
        <v>24.810363388691997</v>
      </c>
      <c r="AK93" s="301">
        <v>56.421942600000001</v>
      </c>
      <c r="AL93" s="299">
        <v>0</v>
      </c>
      <c r="AM93" s="318">
        <v>7430.2573022435081</v>
      </c>
    </row>
    <row r="94" spans="1:41">
      <c r="A94" s="319" t="s">
        <v>245</v>
      </c>
      <c r="B94" s="320"/>
      <c r="C94" s="321">
        <v>1126.9085590705945</v>
      </c>
      <c r="D94" s="322">
        <v>1126.9085590705945</v>
      </c>
      <c r="E94" s="323"/>
      <c r="F94" s="324"/>
      <c r="G94" s="324"/>
      <c r="H94" s="325">
        <v>547.20073970697877</v>
      </c>
      <c r="I94" s="322">
        <v>547.20073970697877</v>
      </c>
      <c r="J94" s="323">
        <v>0</v>
      </c>
      <c r="K94" s="323"/>
      <c r="L94" s="325">
        <v>77.048259646526049</v>
      </c>
      <c r="M94" s="323"/>
      <c r="N94" s="323"/>
      <c r="O94" s="323"/>
      <c r="P94" s="323"/>
      <c r="Q94" s="323"/>
      <c r="R94" s="323">
        <v>58.029340981354551</v>
      </c>
      <c r="S94" s="323"/>
      <c r="T94" s="323">
        <v>19.018918665171498</v>
      </c>
      <c r="U94" s="323"/>
      <c r="V94" s="324"/>
      <c r="W94" s="324"/>
      <c r="X94" s="324"/>
      <c r="Y94" s="323"/>
      <c r="Z94" s="325">
        <v>1619.9789481399689</v>
      </c>
      <c r="AA94" s="326">
        <v>107.16488439457504</v>
      </c>
      <c r="AB94" s="327"/>
      <c r="AC94" s="323"/>
      <c r="AD94" s="323">
        <v>66.153629625553549</v>
      </c>
      <c r="AE94" s="323">
        <v>41.011254769021484</v>
      </c>
      <c r="AF94" s="323"/>
      <c r="AG94" s="323"/>
      <c r="AH94" s="322"/>
      <c r="AI94" s="324"/>
      <c r="AJ94" s="328">
        <v>24.810363388691997</v>
      </c>
      <c r="AK94" s="325"/>
      <c r="AL94" s="326"/>
      <c r="AM94" s="329">
        <v>3503.1117543473356</v>
      </c>
    </row>
    <row r="95" spans="1:41">
      <c r="A95" s="271" t="s">
        <v>246</v>
      </c>
      <c r="B95" s="272"/>
      <c r="C95" s="273">
        <v>0</v>
      </c>
      <c r="D95" s="278">
        <v>0</v>
      </c>
      <c r="E95" s="279"/>
      <c r="F95" s="276"/>
      <c r="G95" s="276"/>
      <c r="H95" s="277">
        <v>6.8342998573008806</v>
      </c>
      <c r="I95" s="278">
        <v>6.8342998573008806</v>
      </c>
      <c r="J95" s="279"/>
      <c r="K95" s="279"/>
      <c r="L95" s="277">
        <v>34.482950118458376</v>
      </c>
      <c r="M95" s="279"/>
      <c r="N95" s="330">
        <v>33.845876697599998</v>
      </c>
      <c r="O95" s="279"/>
      <c r="P95" s="279"/>
      <c r="Q95" s="279"/>
      <c r="R95" s="279">
        <v>0</v>
      </c>
      <c r="S95" s="279">
        <v>0.63707342085838004</v>
      </c>
      <c r="T95" s="279">
        <v>0</v>
      </c>
      <c r="U95" s="279"/>
      <c r="V95" s="276"/>
      <c r="W95" s="276"/>
      <c r="X95" s="276"/>
      <c r="Y95" s="279"/>
      <c r="Z95" s="277">
        <v>279.3462141168477</v>
      </c>
      <c r="AA95" s="280">
        <v>7.5007312872864587</v>
      </c>
      <c r="AB95" s="281"/>
      <c r="AC95" s="279"/>
      <c r="AD95" s="279">
        <v>2.7347589865071003</v>
      </c>
      <c r="AE95" s="279"/>
      <c r="AF95" s="279">
        <v>4.7659723007793584</v>
      </c>
      <c r="AG95" s="279"/>
      <c r="AH95" s="278"/>
      <c r="AI95" s="276"/>
      <c r="AJ95" s="282"/>
      <c r="AK95" s="282"/>
      <c r="AL95" s="280"/>
      <c r="AM95" s="283">
        <v>328.16419537989339</v>
      </c>
    </row>
    <row r="96" spans="1:41">
      <c r="A96" s="271" t="s">
        <v>247</v>
      </c>
      <c r="B96" s="272"/>
      <c r="C96" s="273"/>
      <c r="D96" s="278"/>
      <c r="E96" s="279"/>
      <c r="F96" s="276"/>
      <c r="G96" s="276"/>
      <c r="H96" s="277"/>
      <c r="I96" s="278"/>
      <c r="J96" s="279"/>
      <c r="K96" s="279"/>
      <c r="L96" s="277"/>
      <c r="M96" s="279"/>
      <c r="N96" s="330"/>
      <c r="O96" s="279"/>
      <c r="P96" s="279"/>
      <c r="Q96" s="279"/>
      <c r="R96" s="279"/>
      <c r="S96" s="279"/>
      <c r="T96" s="279"/>
      <c r="U96" s="279"/>
      <c r="V96" s="276"/>
      <c r="W96" s="276"/>
      <c r="X96" s="276"/>
      <c r="Y96" s="279"/>
      <c r="Z96" s="277"/>
      <c r="AA96" s="280"/>
      <c r="AB96" s="281"/>
      <c r="AC96" s="279"/>
      <c r="AD96" s="279"/>
      <c r="AE96" s="279"/>
      <c r="AF96" s="279"/>
      <c r="AG96" s="279"/>
      <c r="AH96" s="278"/>
      <c r="AI96" s="276"/>
      <c r="AJ96" s="282"/>
      <c r="AK96" s="282">
        <v>45.609850600000001</v>
      </c>
      <c r="AL96" s="280"/>
      <c r="AM96" s="283">
        <v>45.609850600000001</v>
      </c>
    </row>
    <row r="97" spans="1:39">
      <c r="A97" s="271" t="s">
        <v>248</v>
      </c>
      <c r="B97" s="272"/>
      <c r="C97" s="273">
        <v>0</v>
      </c>
      <c r="D97" s="278"/>
      <c r="E97" s="276"/>
      <c r="F97" s="276"/>
      <c r="G97" s="276"/>
      <c r="H97" s="277">
        <v>84.600979002006028</v>
      </c>
      <c r="I97" s="278">
        <v>84.600979002006028</v>
      </c>
      <c r="J97" s="279"/>
      <c r="K97" s="279"/>
      <c r="L97" s="277">
        <v>0</v>
      </c>
      <c r="M97" s="279"/>
      <c r="N97" s="279"/>
      <c r="O97" s="279"/>
      <c r="P97" s="279"/>
      <c r="Q97" s="279"/>
      <c r="R97" s="279"/>
      <c r="S97" s="279"/>
      <c r="T97" s="279"/>
      <c r="U97" s="279"/>
      <c r="V97" s="276"/>
      <c r="W97" s="276"/>
      <c r="X97" s="276"/>
      <c r="Y97" s="279"/>
      <c r="Z97" s="277"/>
      <c r="AA97" s="280">
        <v>0</v>
      </c>
      <c r="AB97" s="281"/>
      <c r="AC97" s="279"/>
      <c r="AD97" s="279"/>
      <c r="AE97" s="279"/>
      <c r="AF97" s="279"/>
      <c r="AG97" s="279"/>
      <c r="AH97" s="278"/>
      <c r="AI97" s="276"/>
      <c r="AJ97" s="282"/>
      <c r="AK97" s="282"/>
      <c r="AL97" s="280"/>
      <c r="AM97" s="283">
        <v>84.600979002006028</v>
      </c>
    </row>
    <row r="98" spans="1:39">
      <c r="A98" s="331" t="s">
        <v>249</v>
      </c>
      <c r="B98" s="332"/>
      <c r="C98" s="333">
        <v>0</v>
      </c>
      <c r="D98" s="334"/>
      <c r="E98" s="335"/>
      <c r="F98" s="336"/>
      <c r="G98" s="336"/>
      <c r="H98" s="337">
        <v>0</v>
      </c>
      <c r="I98" s="334"/>
      <c r="J98" s="335"/>
      <c r="K98" s="335"/>
      <c r="L98" s="337">
        <v>3414.6566000236003</v>
      </c>
      <c r="M98" s="335">
        <v>3414.6566000236003</v>
      </c>
      <c r="N98" s="335"/>
      <c r="O98" s="335"/>
      <c r="P98" s="335"/>
      <c r="Q98" s="335"/>
      <c r="R98" s="335"/>
      <c r="S98" s="335"/>
      <c r="T98" s="335"/>
      <c r="U98" s="335"/>
      <c r="V98" s="336"/>
      <c r="W98" s="336"/>
      <c r="X98" s="336"/>
      <c r="Y98" s="335"/>
      <c r="Z98" s="337">
        <v>43.301830890671894</v>
      </c>
      <c r="AA98" s="338">
        <v>0</v>
      </c>
      <c r="AB98" s="339"/>
      <c r="AC98" s="335"/>
      <c r="AD98" s="335"/>
      <c r="AE98" s="335"/>
      <c r="AF98" s="335"/>
      <c r="AG98" s="335"/>
      <c r="AH98" s="334"/>
      <c r="AI98" s="336"/>
      <c r="AJ98" s="340"/>
      <c r="AK98" s="340">
        <v>10.812091999999998</v>
      </c>
      <c r="AL98" s="338"/>
      <c r="AM98" s="341">
        <v>3468.7705229142721</v>
      </c>
    </row>
    <row r="99" spans="1:39">
      <c r="A99" s="342" t="s">
        <v>250</v>
      </c>
      <c r="B99" s="343"/>
      <c r="C99" s="344">
        <v>0</v>
      </c>
      <c r="D99" s="345">
        <v>0</v>
      </c>
      <c r="E99" s="346">
        <v>0</v>
      </c>
      <c r="F99" s="347">
        <v>0</v>
      </c>
      <c r="G99" s="347">
        <v>0</v>
      </c>
      <c r="H99" s="348">
        <v>65.371295000000003</v>
      </c>
      <c r="I99" s="345">
        <v>0</v>
      </c>
      <c r="J99" s="346">
        <v>0</v>
      </c>
      <c r="K99" s="346">
        <v>65.371295000000003</v>
      </c>
      <c r="L99" s="348">
        <v>3481.1652697032605</v>
      </c>
      <c r="M99" s="346">
        <v>0</v>
      </c>
      <c r="N99" s="346">
        <v>107.04912334314866</v>
      </c>
      <c r="O99" s="346">
        <v>644.09577492222229</v>
      </c>
      <c r="P99" s="346">
        <v>150.16423359391999</v>
      </c>
      <c r="Q99" s="346">
        <v>0</v>
      </c>
      <c r="R99" s="346">
        <v>1142.2272972220337</v>
      </c>
      <c r="S99" s="346">
        <v>52.699478191436029</v>
      </c>
      <c r="T99" s="346">
        <v>1354.6896696142012</v>
      </c>
      <c r="U99" s="346">
        <v>0</v>
      </c>
      <c r="V99" s="347">
        <v>30.239692816298341</v>
      </c>
      <c r="W99" s="347">
        <v>0</v>
      </c>
      <c r="X99" s="347">
        <v>0</v>
      </c>
      <c r="Y99" s="346">
        <v>0</v>
      </c>
      <c r="Z99" s="348">
        <v>0</v>
      </c>
      <c r="AA99" s="349">
        <v>40.949412345446866</v>
      </c>
      <c r="AB99" s="350">
        <v>0</v>
      </c>
      <c r="AC99" s="346">
        <v>0</v>
      </c>
      <c r="AD99" s="346">
        <v>23.623149604516094</v>
      </c>
      <c r="AE99" s="351">
        <v>14.779618982261171</v>
      </c>
      <c r="AF99" s="351">
        <v>2.5466437586696009</v>
      </c>
      <c r="AG99" s="351">
        <v>0</v>
      </c>
      <c r="AH99" s="345">
        <v>0</v>
      </c>
      <c r="AI99" s="347">
        <v>0</v>
      </c>
      <c r="AJ99" s="348">
        <v>6.3692817396053689</v>
      </c>
      <c r="AK99" s="348">
        <v>1806.2084570024481</v>
      </c>
      <c r="AL99" s="349">
        <v>0</v>
      </c>
      <c r="AM99" s="352">
        <v>5400.0637157907604</v>
      </c>
    </row>
    <row r="100" spans="1:39">
      <c r="A100" s="319" t="s">
        <v>245</v>
      </c>
      <c r="B100" s="320"/>
      <c r="C100" s="321">
        <v>0</v>
      </c>
      <c r="D100" s="322"/>
      <c r="E100" s="323"/>
      <c r="F100" s="324"/>
      <c r="G100" s="324"/>
      <c r="H100" s="325">
        <v>0</v>
      </c>
      <c r="I100" s="322"/>
      <c r="J100" s="323"/>
      <c r="K100" s="323"/>
      <c r="L100" s="325">
        <v>0</v>
      </c>
      <c r="M100" s="323"/>
      <c r="N100" s="323"/>
      <c r="O100" s="323"/>
      <c r="P100" s="323"/>
      <c r="Q100" s="323"/>
      <c r="R100" s="323"/>
      <c r="S100" s="323"/>
      <c r="T100" s="323"/>
      <c r="U100" s="323"/>
      <c r="V100" s="324"/>
      <c r="W100" s="324"/>
      <c r="X100" s="324"/>
      <c r="Y100" s="323"/>
      <c r="Z100" s="325"/>
      <c r="AA100" s="326">
        <v>37.236727266777265</v>
      </c>
      <c r="AB100" s="327"/>
      <c r="AC100" s="323"/>
      <c r="AD100" s="323">
        <v>22.457108284516092</v>
      </c>
      <c r="AE100" s="330">
        <v>14.779618982261171</v>
      </c>
      <c r="AF100" s="330"/>
      <c r="AG100" s="330"/>
      <c r="AH100" s="322"/>
      <c r="AI100" s="324"/>
      <c r="AJ100" s="328">
        <v>6.3692817396053689</v>
      </c>
      <c r="AK100" s="328">
        <v>1596.0576633487287</v>
      </c>
      <c r="AL100" s="326"/>
      <c r="AM100" s="353">
        <v>1596.0576633487287</v>
      </c>
    </row>
    <row r="101" spans="1:39">
      <c r="A101" s="271" t="s">
        <v>251</v>
      </c>
      <c r="B101" s="272"/>
      <c r="C101" s="273">
        <v>0</v>
      </c>
      <c r="D101" s="278"/>
      <c r="E101" s="279"/>
      <c r="F101" s="276"/>
      <c r="G101" s="276"/>
      <c r="H101" s="277">
        <v>0</v>
      </c>
      <c r="I101" s="278"/>
      <c r="J101" s="279"/>
      <c r="K101" s="279"/>
      <c r="L101" s="277">
        <v>0</v>
      </c>
      <c r="M101" s="279"/>
      <c r="N101" s="279"/>
      <c r="O101" s="279"/>
      <c r="P101" s="279"/>
      <c r="Q101" s="279"/>
      <c r="R101" s="279"/>
      <c r="S101" s="279"/>
      <c r="T101" s="279"/>
      <c r="U101" s="279"/>
      <c r="V101" s="276"/>
      <c r="W101" s="276"/>
      <c r="X101" s="276"/>
      <c r="Y101" s="279"/>
      <c r="Z101" s="277"/>
      <c r="AA101" s="280">
        <v>3.7126850786696011</v>
      </c>
      <c r="AB101" s="281"/>
      <c r="AC101" s="279"/>
      <c r="AD101" s="279">
        <v>1.1660413199999999</v>
      </c>
      <c r="AE101" s="279"/>
      <c r="AF101" s="279">
        <v>2.5466437586696009</v>
      </c>
      <c r="AG101" s="279"/>
      <c r="AH101" s="278"/>
      <c r="AI101" s="276"/>
      <c r="AJ101" s="282"/>
      <c r="AK101" s="355">
        <v>185.37352568827944</v>
      </c>
      <c r="AL101" s="280"/>
      <c r="AM101" s="283">
        <v>185.37352568827944</v>
      </c>
    </row>
    <row r="102" spans="1:39">
      <c r="A102" s="271" t="s">
        <v>252</v>
      </c>
      <c r="B102" s="272"/>
      <c r="C102" s="273"/>
      <c r="D102" s="278"/>
      <c r="E102" s="279"/>
      <c r="F102" s="276"/>
      <c r="G102" s="276"/>
      <c r="H102" s="277"/>
      <c r="I102" s="278"/>
      <c r="J102" s="279"/>
      <c r="K102" s="279"/>
      <c r="L102" s="277"/>
      <c r="M102" s="279"/>
      <c r="N102" s="279"/>
      <c r="O102" s="279"/>
      <c r="P102" s="279"/>
      <c r="Q102" s="279"/>
      <c r="R102" s="279"/>
      <c r="S102" s="279"/>
      <c r="T102" s="279"/>
      <c r="U102" s="279"/>
      <c r="V102" s="276"/>
      <c r="W102" s="276"/>
      <c r="X102" s="276"/>
      <c r="Y102" s="279"/>
      <c r="Z102" s="277"/>
      <c r="AA102" s="280">
        <v>0</v>
      </c>
      <c r="AB102" s="281"/>
      <c r="AC102" s="279"/>
      <c r="AD102" s="279"/>
      <c r="AE102" s="279"/>
      <c r="AF102" s="279"/>
      <c r="AG102" s="279"/>
      <c r="AH102" s="278"/>
      <c r="AI102" s="276"/>
      <c r="AJ102" s="282"/>
      <c r="AK102" s="282"/>
      <c r="AL102" s="280"/>
      <c r="AM102" s="283">
        <v>0</v>
      </c>
    </row>
    <row r="103" spans="1:39">
      <c r="A103" s="271" t="s">
        <v>253</v>
      </c>
      <c r="B103" s="272"/>
      <c r="C103" s="273"/>
      <c r="D103" s="278"/>
      <c r="E103" s="279"/>
      <c r="F103" s="276"/>
      <c r="G103" s="276"/>
      <c r="H103" s="277"/>
      <c r="I103" s="278"/>
      <c r="J103" s="279"/>
      <c r="K103" s="279"/>
      <c r="L103" s="277"/>
      <c r="M103" s="279"/>
      <c r="N103" s="279"/>
      <c r="O103" s="279"/>
      <c r="P103" s="279"/>
      <c r="Q103" s="279"/>
      <c r="R103" s="279"/>
      <c r="S103" s="279"/>
      <c r="T103" s="279"/>
      <c r="U103" s="279"/>
      <c r="V103" s="276"/>
      <c r="W103" s="276"/>
      <c r="X103" s="276"/>
      <c r="Y103" s="279"/>
      <c r="Z103" s="277"/>
      <c r="AA103" s="280"/>
      <c r="AB103" s="281"/>
      <c r="AC103" s="279"/>
      <c r="AD103" s="279"/>
      <c r="AE103" s="279"/>
      <c r="AF103" s="279"/>
      <c r="AG103" s="279"/>
      <c r="AH103" s="278"/>
      <c r="AI103" s="276"/>
      <c r="AJ103" s="282"/>
      <c r="AK103" s="282">
        <v>24.777267965439997</v>
      </c>
      <c r="AL103" s="280"/>
      <c r="AM103" s="283">
        <v>24.777267965439997</v>
      </c>
    </row>
    <row r="104" spans="1:39">
      <c r="A104" s="271" t="s">
        <v>248</v>
      </c>
      <c r="B104" s="272"/>
      <c r="C104" s="273"/>
      <c r="D104" s="452"/>
      <c r="E104" s="279"/>
      <c r="F104" s="276"/>
      <c r="G104" s="276"/>
      <c r="H104" s="277">
        <v>65.371295000000003</v>
      </c>
      <c r="I104" s="278"/>
      <c r="J104" s="279"/>
      <c r="K104" s="279">
        <v>65.371295000000003</v>
      </c>
      <c r="L104" s="277">
        <v>0</v>
      </c>
      <c r="M104" s="279"/>
      <c r="N104" s="279"/>
      <c r="O104" s="279"/>
      <c r="P104" s="279"/>
      <c r="Q104" s="279"/>
      <c r="R104" s="279"/>
      <c r="S104" s="279"/>
      <c r="T104" s="279"/>
      <c r="U104" s="279"/>
      <c r="V104" s="276"/>
      <c r="W104" s="276"/>
      <c r="X104" s="276"/>
      <c r="Y104" s="279"/>
      <c r="Z104" s="277"/>
      <c r="AA104" s="280">
        <v>0</v>
      </c>
      <c r="AB104" s="281"/>
      <c r="AC104" s="279"/>
      <c r="AD104" s="279"/>
      <c r="AE104" s="279"/>
      <c r="AF104" s="279"/>
      <c r="AG104" s="279"/>
      <c r="AH104" s="278"/>
      <c r="AI104" s="276"/>
      <c r="AJ104" s="282"/>
      <c r="AK104" s="282"/>
      <c r="AL104" s="280"/>
      <c r="AM104" s="283">
        <v>65.371295000000003</v>
      </c>
    </row>
    <row r="105" spans="1:39">
      <c r="A105" s="410" t="s">
        <v>254</v>
      </c>
      <c r="B105" s="411"/>
      <c r="C105" s="412"/>
      <c r="D105" s="413"/>
      <c r="E105" s="414"/>
      <c r="F105" s="415"/>
      <c r="G105" s="415"/>
      <c r="H105" s="416">
        <v>0</v>
      </c>
      <c r="I105" s="413"/>
      <c r="J105" s="414"/>
      <c r="K105" s="414"/>
      <c r="L105" s="416">
        <v>3481.1652697032605</v>
      </c>
      <c r="M105" s="414"/>
      <c r="N105" s="414">
        <v>107.04912334314866</v>
      </c>
      <c r="O105" s="414">
        <v>644.09577492222229</v>
      </c>
      <c r="P105" s="414">
        <v>150.16423359391999</v>
      </c>
      <c r="Q105" s="414">
        <v>0</v>
      </c>
      <c r="R105" s="414">
        <v>1142.2272972220337</v>
      </c>
      <c r="S105" s="414">
        <v>52.699478191436029</v>
      </c>
      <c r="T105" s="414">
        <v>1354.6896696142012</v>
      </c>
      <c r="U105" s="414"/>
      <c r="V105" s="415">
        <v>30.239692816298341</v>
      </c>
      <c r="W105" s="415"/>
      <c r="X105" s="415"/>
      <c r="Y105" s="414"/>
      <c r="Z105" s="416"/>
      <c r="AA105" s="417">
        <v>0</v>
      </c>
      <c r="AB105" s="418"/>
      <c r="AC105" s="414"/>
      <c r="AD105" s="414"/>
      <c r="AE105" s="414"/>
      <c r="AF105" s="414"/>
      <c r="AG105" s="414"/>
      <c r="AH105" s="413"/>
      <c r="AI105" s="415"/>
      <c r="AJ105" s="419"/>
      <c r="AK105" s="419"/>
      <c r="AL105" s="417"/>
      <c r="AM105" s="420">
        <v>3481.1652697032605</v>
      </c>
    </row>
    <row r="106" spans="1:39">
      <c r="A106" s="451" t="s">
        <v>255</v>
      </c>
      <c r="B106" s="456"/>
      <c r="C106" s="440">
        <v>15.165173583806995</v>
      </c>
      <c r="D106" s="450">
        <v>-9.8998550000000005</v>
      </c>
      <c r="E106" s="446">
        <v>25.065028583806995</v>
      </c>
      <c r="F106" s="437">
        <v>0</v>
      </c>
      <c r="G106" s="437">
        <v>0</v>
      </c>
      <c r="H106" s="434">
        <v>0</v>
      </c>
      <c r="I106" s="450">
        <v>0</v>
      </c>
      <c r="J106" s="446">
        <v>0</v>
      </c>
      <c r="K106" s="446">
        <v>0</v>
      </c>
      <c r="L106" s="434">
        <v>-17.772607549625931</v>
      </c>
      <c r="M106" s="446">
        <v>0</v>
      </c>
      <c r="N106" s="446">
        <v>0</v>
      </c>
      <c r="O106" s="446">
        <v>0.57492013333333336</v>
      </c>
      <c r="P106" s="446">
        <v>310.34640000000002</v>
      </c>
      <c r="Q106" s="446">
        <v>-309.67019999999997</v>
      </c>
      <c r="R106" s="446">
        <v>1.8791595231638418</v>
      </c>
      <c r="S106" s="446">
        <v>0</v>
      </c>
      <c r="T106" s="446">
        <v>-5.7377136223161358</v>
      </c>
      <c r="U106" s="446">
        <v>-15.165173583806995</v>
      </c>
      <c r="V106" s="437">
        <v>0</v>
      </c>
      <c r="W106" s="437">
        <v>0</v>
      </c>
      <c r="X106" s="437">
        <v>0</v>
      </c>
      <c r="Y106" s="446">
        <v>0</v>
      </c>
      <c r="Z106" s="434">
        <v>0</v>
      </c>
      <c r="AA106" s="445">
        <v>-634.77495461986473</v>
      </c>
      <c r="AB106" s="449">
        <v>-69.358155996860006</v>
      </c>
      <c r="AC106" s="446">
        <v>-565.277794202</v>
      </c>
      <c r="AD106" s="446">
        <v>0</v>
      </c>
      <c r="AE106" s="365">
        <v>0</v>
      </c>
      <c r="AF106" s="365">
        <v>0</v>
      </c>
      <c r="AG106" s="365">
        <v>0</v>
      </c>
      <c r="AH106" s="450">
        <v>-0.13900442100480001</v>
      </c>
      <c r="AI106" s="437">
        <v>0</v>
      </c>
      <c r="AJ106" s="444">
        <v>0</v>
      </c>
      <c r="AK106" s="434">
        <v>634.77495461986473</v>
      </c>
      <c r="AL106" s="445">
        <v>0</v>
      </c>
      <c r="AM106" s="436">
        <v>-2.6074339658189363</v>
      </c>
    </row>
    <row r="107" spans="1:39">
      <c r="A107" s="319" t="s">
        <v>256</v>
      </c>
      <c r="B107" s="320"/>
      <c r="C107" s="368"/>
      <c r="D107" s="369"/>
      <c r="E107" s="370"/>
      <c r="F107" s="324"/>
      <c r="G107" s="324"/>
      <c r="H107" s="325"/>
      <c r="I107" s="371"/>
      <c r="J107" s="323"/>
      <c r="K107" s="323"/>
      <c r="L107" s="325"/>
      <c r="M107" s="323"/>
      <c r="N107" s="323"/>
      <c r="O107" s="323"/>
      <c r="P107" s="323"/>
      <c r="Q107" s="323"/>
      <c r="R107" s="323"/>
      <c r="S107" s="323"/>
      <c r="T107" s="323"/>
      <c r="U107" s="323"/>
      <c r="V107" s="324"/>
      <c r="W107" s="324"/>
      <c r="X107" s="324"/>
      <c r="Y107" s="323"/>
      <c r="Z107" s="325"/>
      <c r="AA107" s="326">
        <v>-634.77495461986473</v>
      </c>
      <c r="AB107" s="327">
        <v>-69.358155996860006</v>
      </c>
      <c r="AC107" s="323">
        <v>-565.277794202</v>
      </c>
      <c r="AD107" s="323"/>
      <c r="AE107" s="330"/>
      <c r="AF107" s="330"/>
      <c r="AG107" s="330"/>
      <c r="AH107" s="322">
        <v>-0.13900442100480001</v>
      </c>
      <c r="AI107" s="324"/>
      <c r="AJ107" s="328"/>
      <c r="AK107" s="325">
        <v>634.77495461986473</v>
      </c>
      <c r="AL107" s="326"/>
      <c r="AM107" s="353">
        <v>0</v>
      </c>
    </row>
    <row r="108" spans="1:39">
      <c r="A108" s="372" t="s">
        <v>257</v>
      </c>
      <c r="B108" s="343"/>
      <c r="C108" s="373"/>
      <c r="D108" s="374"/>
      <c r="E108" s="346"/>
      <c r="F108" s="375"/>
      <c r="G108" s="375"/>
      <c r="H108" s="348"/>
      <c r="I108" s="376"/>
      <c r="J108" s="377"/>
      <c r="K108" s="377"/>
      <c r="L108" s="348"/>
      <c r="M108" s="377"/>
      <c r="N108" s="377"/>
      <c r="O108" s="377"/>
      <c r="P108" s="377"/>
      <c r="Q108" s="377"/>
      <c r="R108" s="377"/>
      <c r="S108" s="377"/>
      <c r="T108" s="377"/>
      <c r="U108" s="377"/>
      <c r="V108" s="375"/>
      <c r="W108" s="375"/>
      <c r="X108" s="375"/>
      <c r="Y108" s="377"/>
      <c r="Z108" s="348"/>
      <c r="AA108" s="349"/>
      <c r="AB108" s="378"/>
      <c r="AC108" s="377"/>
      <c r="AD108" s="377"/>
      <c r="AE108" s="377"/>
      <c r="AF108" s="377"/>
      <c r="AG108" s="377"/>
      <c r="AH108" s="379"/>
      <c r="AI108" s="375"/>
      <c r="AJ108" s="380"/>
      <c r="AK108" s="348"/>
      <c r="AL108" s="349"/>
      <c r="AM108" s="381">
        <v>0</v>
      </c>
    </row>
    <row r="109" spans="1:39" ht="13.5" thickBot="1">
      <c r="A109" s="285" t="s">
        <v>258</v>
      </c>
      <c r="B109" s="286"/>
      <c r="C109" s="382">
        <v>15.165173583806995</v>
      </c>
      <c r="D109" s="383">
        <v>-9.8998550000000005</v>
      </c>
      <c r="E109" s="293">
        <v>25.065028583806995</v>
      </c>
      <c r="F109" s="288"/>
      <c r="G109" s="288"/>
      <c r="H109" s="289"/>
      <c r="I109" s="384"/>
      <c r="J109" s="293"/>
      <c r="K109" s="293"/>
      <c r="L109" s="289">
        <v>-17.772607549625931</v>
      </c>
      <c r="M109" s="293"/>
      <c r="N109" s="293"/>
      <c r="O109" s="293">
        <v>0.57492013333333336</v>
      </c>
      <c r="P109" s="293">
        <v>310.34640000000002</v>
      </c>
      <c r="Q109" s="293">
        <v>-309.67019999999997</v>
      </c>
      <c r="R109" s="293">
        <v>1.8791595231638418</v>
      </c>
      <c r="S109" s="293"/>
      <c r="T109" s="293">
        <v>-5.7377136223161358</v>
      </c>
      <c r="U109" s="288">
        <v>-15.165173583806995</v>
      </c>
      <c r="V109" s="288"/>
      <c r="W109" s="288"/>
      <c r="X109" s="288"/>
      <c r="Y109" s="293"/>
      <c r="Z109" s="289"/>
      <c r="AA109" s="289">
        <v>0</v>
      </c>
      <c r="AB109" s="292"/>
      <c r="AC109" s="293"/>
      <c r="AD109" s="293"/>
      <c r="AE109" s="293"/>
      <c r="AF109" s="293"/>
      <c r="AG109" s="293"/>
      <c r="AH109" s="290"/>
      <c r="AI109" s="288"/>
      <c r="AJ109" s="294"/>
      <c r="AK109" s="289"/>
      <c r="AL109" s="291"/>
      <c r="AM109" s="295">
        <v>-2.6074339658189363</v>
      </c>
    </row>
    <row r="110" spans="1:39">
      <c r="A110" s="342" t="s">
        <v>259</v>
      </c>
      <c r="B110" s="343"/>
      <c r="C110" s="344">
        <v>0</v>
      </c>
      <c r="D110" s="345"/>
      <c r="E110" s="346"/>
      <c r="F110" s="375"/>
      <c r="G110" s="375"/>
      <c r="H110" s="348">
        <v>8.8111292294479444</v>
      </c>
      <c r="I110" s="375">
        <v>8.8111292294479444</v>
      </c>
      <c r="J110" s="377"/>
      <c r="K110" s="377"/>
      <c r="L110" s="348">
        <v>73.367793171897603</v>
      </c>
      <c r="M110" s="377"/>
      <c r="N110" s="377">
        <v>73.20324664554866</v>
      </c>
      <c r="O110" s="377"/>
      <c r="P110" s="377"/>
      <c r="Q110" s="377"/>
      <c r="R110" s="377">
        <v>0</v>
      </c>
      <c r="S110" s="377">
        <v>4.1693256233877908E-3</v>
      </c>
      <c r="T110" s="377">
        <v>0.16037720072554928</v>
      </c>
      <c r="U110" s="377"/>
      <c r="V110" s="375"/>
      <c r="W110" s="375"/>
      <c r="X110" s="375"/>
      <c r="Y110" s="377"/>
      <c r="Z110" s="348">
        <v>60.110290065384362</v>
      </c>
      <c r="AA110" s="349">
        <v>0</v>
      </c>
      <c r="AB110" s="350"/>
      <c r="AC110" s="377"/>
      <c r="AD110" s="377"/>
      <c r="AE110" s="377"/>
      <c r="AF110" s="377"/>
      <c r="AG110" s="377"/>
      <c r="AH110" s="379"/>
      <c r="AI110" s="375"/>
      <c r="AJ110" s="380"/>
      <c r="AK110" s="348">
        <v>245.07726951340476</v>
      </c>
      <c r="AL110" s="349"/>
      <c r="AM110" s="381">
        <v>387.36648198013467</v>
      </c>
    </row>
    <row r="112" spans="1:39" ht="86.25" thickBot="1">
      <c r="A112" s="522" t="s">
        <v>510</v>
      </c>
      <c r="B112" s="654" t="s">
        <v>511</v>
      </c>
      <c r="C112" s="643" t="s">
        <v>200</v>
      </c>
      <c r="D112" s="644" t="s">
        <v>201</v>
      </c>
      <c r="E112" s="645" t="s">
        <v>202</v>
      </c>
      <c r="F112" s="646" t="s">
        <v>203</v>
      </c>
      <c r="G112" s="646" t="s">
        <v>204</v>
      </c>
      <c r="H112" s="647" t="s">
        <v>205</v>
      </c>
      <c r="I112" s="644" t="s">
        <v>206</v>
      </c>
      <c r="J112" s="645" t="s">
        <v>207</v>
      </c>
      <c r="K112" s="645" t="s">
        <v>208</v>
      </c>
      <c r="L112" s="647" t="s">
        <v>209</v>
      </c>
      <c r="M112" s="644" t="s">
        <v>210</v>
      </c>
      <c r="N112" s="645" t="s">
        <v>211</v>
      </c>
      <c r="O112" s="645" t="s">
        <v>212</v>
      </c>
      <c r="P112" s="645" t="s">
        <v>213</v>
      </c>
      <c r="Q112" s="645" t="s">
        <v>214</v>
      </c>
      <c r="R112" s="645" t="s">
        <v>215</v>
      </c>
      <c r="S112" s="645" t="s">
        <v>216</v>
      </c>
      <c r="T112" s="645" t="s">
        <v>217</v>
      </c>
      <c r="U112" s="645" t="s">
        <v>218</v>
      </c>
      <c r="V112" s="646" t="s">
        <v>219</v>
      </c>
      <c r="W112" s="646" t="s">
        <v>220</v>
      </c>
      <c r="X112" s="646" t="s">
        <v>221</v>
      </c>
      <c r="Y112" s="645" t="s">
        <v>222</v>
      </c>
      <c r="Z112" s="647" t="s">
        <v>223</v>
      </c>
      <c r="AA112" s="648" t="s">
        <v>224</v>
      </c>
      <c r="AB112" s="649" t="s">
        <v>225</v>
      </c>
      <c r="AC112" s="645" t="s">
        <v>226</v>
      </c>
      <c r="AD112" s="645" t="s">
        <v>227</v>
      </c>
      <c r="AE112" s="645" t="s">
        <v>228</v>
      </c>
      <c r="AF112" s="645" t="s">
        <v>229</v>
      </c>
      <c r="AG112" s="645" t="s">
        <v>230</v>
      </c>
      <c r="AH112" s="645" t="s">
        <v>231</v>
      </c>
      <c r="AI112" s="646" t="s">
        <v>232</v>
      </c>
      <c r="AJ112" s="647" t="s">
        <v>233</v>
      </c>
      <c r="AK112" s="647" t="s">
        <v>234</v>
      </c>
      <c r="AL112" s="648" t="s">
        <v>235</v>
      </c>
      <c r="AM112" s="650" t="s">
        <v>236</v>
      </c>
    </row>
    <row r="113" spans="1:39">
      <c r="A113" s="535" t="s">
        <v>237</v>
      </c>
      <c r="B113" s="536"/>
      <c r="C113" s="565">
        <v>0</v>
      </c>
      <c r="D113" s="566">
        <v>0</v>
      </c>
      <c r="E113" s="567"/>
      <c r="F113" s="568"/>
      <c r="G113" s="568"/>
      <c r="H113" s="596">
        <v>815.92434898628403</v>
      </c>
      <c r="I113" s="518">
        <v>688.22034898628408</v>
      </c>
      <c r="J113" s="660">
        <v>127.70399999999999</v>
      </c>
      <c r="K113" s="597"/>
      <c r="L113" s="596">
        <v>0</v>
      </c>
      <c r="M113" s="518"/>
      <c r="N113" s="523"/>
      <c r="O113" s="523"/>
      <c r="P113" s="523"/>
      <c r="Q113" s="523"/>
      <c r="R113" s="523"/>
      <c r="S113" s="523"/>
      <c r="T113" s="523"/>
      <c r="U113" s="523"/>
      <c r="V113" s="568"/>
      <c r="W113" s="568"/>
      <c r="X113" s="568"/>
      <c r="Y113" s="597"/>
      <c r="Z113" s="596">
        <v>2751.9191872187112</v>
      </c>
      <c r="AA113" s="609">
        <v>1310.4304732727737</v>
      </c>
      <c r="AB113" s="610">
        <v>59.691708987970003</v>
      </c>
      <c r="AC113" s="597">
        <v>727.12733781532609</v>
      </c>
      <c r="AD113" s="597">
        <v>386.92983626909194</v>
      </c>
      <c r="AE113" s="597">
        <v>33.531818868055431</v>
      </c>
      <c r="AF113" s="597">
        <v>16.813132576534866</v>
      </c>
      <c r="AG113" s="597">
        <v>27.095124147648001</v>
      </c>
      <c r="AH113" s="518">
        <v>14.978481167970049</v>
      </c>
      <c r="AI113" s="568">
        <v>44.263033440177487</v>
      </c>
      <c r="AJ113" s="625">
        <v>145.43710297949829</v>
      </c>
      <c r="AK113" s="625"/>
      <c r="AL113" s="609"/>
      <c r="AM113" s="537">
        <v>5023.7111124572675</v>
      </c>
    </row>
    <row r="114" spans="1:39">
      <c r="A114" s="538" t="s">
        <v>238</v>
      </c>
      <c r="B114" s="539"/>
      <c r="C114" s="569">
        <v>845.31519216250194</v>
      </c>
      <c r="D114" s="570">
        <v>795.03994947759963</v>
      </c>
      <c r="E114" s="641">
        <v>42.207539024941362</v>
      </c>
      <c r="F114" s="533"/>
      <c r="G114" s="533">
        <v>8.0677036599609497</v>
      </c>
      <c r="H114" s="598">
        <v>0</v>
      </c>
      <c r="I114" s="519"/>
      <c r="J114" s="655"/>
      <c r="K114" s="521"/>
      <c r="L114" s="598">
        <v>9098.7612301490572</v>
      </c>
      <c r="M114" s="519">
        <v>3053.4742963851995</v>
      </c>
      <c r="N114" s="521">
        <v>0</v>
      </c>
      <c r="O114" s="521">
        <v>564.2282843555555</v>
      </c>
      <c r="P114" s="521">
        <v>369.55541863968</v>
      </c>
      <c r="Q114" s="521">
        <v>1543.1782335883197</v>
      </c>
      <c r="R114" s="521">
        <v>59.086705990112996</v>
      </c>
      <c r="S114" s="521">
        <v>157.5463640726893</v>
      </c>
      <c r="T114" s="521">
        <v>2941.4703035056637</v>
      </c>
      <c r="U114" s="521">
        <v>163.70335639230669</v>
      </c>
      <c r="V114" s="533">
        <v>0</v>
      </c>
      <c r="W114" s="533">
        <v>201.02619184950296</v>
      </c>
      <c r="X114" s="533">
        <v>1.2397796420726457</v>
      </c>
      <c r="Y114" s="521">
        <v>44.252295727955044</v>
      </c>
      <c r="Z114" s="598">
        <v>1728.338063506957</v>
      </c>
      <c r="AA114" s="611">
        <v>157.61637079012797</v>
      </c>
      <c r="AB114" s="612"/>
      <c r="AC114" s="521"/>
      <c r="AD114" s="521">
        <v>30.596672981664</v>
      </c>
      <c r="AE114" s="521"/>
      <c r="AF114" s="521"/>
      <c r="AG114" s="521">
        <v>127.01969780846397</v>
      </c>
      <c r="AH114" s="519"/>
      <c r="AI114" s="533"/>
      <c r="AJ114" s="626"/>
      <c r="AK114" s="626">
        <v>139.45061680000001</v>
      </c>
      <c r="AL114" s="611"/>
      <c r="AM114" s="540">
        <v>11969.481473408645</v>
      </c>
    </row>
    <row r="115" spans="1:39">
      <c r="A115" s="538" t="s">
        <v>239</v>
      </c>
      <c r="B115" s="539"/>
      <c r="C115" s="569">
        <v>15.186580890896002</v>
      </c>
      <c r="D115" s="570">
        <v>0</v>
      </c>
      <c r="E115" s="571">
        <v>14.097722162000002</v>
      </c>
      <c r="F115" s="533"/>
      <c r="G115" s="533">
        <v>1.0888587288959999</v>
      </c>
      <c r="H115" s="598">
        <v>7.0330680000000001</v>
      </c>
      <c r="I115" s="519"/>
      <c r="J115" s="655"/>
      <c r="K115" s="521">
        <v>7.0330680000000001</v>
      </c>
      <c r="L115" s="598">
        <v>1717.0574370770564</v>
      </c>
      <c r="M115" s="519">
        <v>0</v>
      </c>
      <c r="N115" s="521"/>
      <c r="O115" s="521">
        <v>364.52221864444448</v>
      </c>
      <c r="P115" s="521">
        <v>21.672508399360005</v>
      </c>
      <c r="Q115" s="521">
        <v>156.29379915984001</v>
      </c>
      <c r="R115" s="521">
        <v>986.60611760112999</v>
      </c>
      <c r="S115" s="521">
        <v>35.289733288720633</v>
      </c>
      <c r="T115" s="521">
        <v>102.14625414775992</v>
      </c>
      <c r="U115" s="521">
        <v>2.9088437938490893E-3</v>
      </c>
      <c r="V115" s="533">
        <v>36.297317128453038</v>
      </c>
      <c r="W115" s="533">
        <v>5.465927722</v>
      </c>
      <c r="X115" s="533">
        <v>1.7941621000000001E-2</v>
      </c>
      <c r="Y115" s="521">
        <v>8.7427105205545299</v>
      </c>
      <c r="Z115" s="598">
        <v>0</v>
      </c>
      <c r="AA115" s="611">
        <v>16.875293717856</v>
      </c>
      <c r="AB115" s="612"/>
      <c r="AC115" s="521"/>
      <c r="AD115" s="521">
        <v>7.8402815999999991</v>
      </c>
      <c r="AE115" s="521"/>
      <c r="AF115" s="521"/>
      <c r="AG115" s="521">
        <v>9.0350121178560006</v>
      </c>
      <c r="AH115" s="519"/>
      <c r="AI115" s="533"/>
      <c r="AJ115" s="626"/>
      <c r="AK115" s="626">
        <v>141.83539077999998</v>
      </c>
      <c r="AL115" s="611"/>
      <c r="AM115" s="540">
        <v>1897.9877704658084</v>
      </c>
    </row>
    <row r="116" spans="1:39">
      <c r="A116" s="538" t="s">
        <v>240</v>
      </c>
      <c r="B116" s="539"/>
      <c r="C116" s="569">
        <v>0</v>
      </c>
      <c r="D116" s="570"/>
      <c r="E116" s="571"/>
      <c r="F116" s="533"/>
      <c r="G116" s="533"/>
      <c r="H116" s="598">
        <v>0</v>
      </c>
      <c r="I116" s="519"/>
      <c r="J116" s="655"/>
      <c r="K116" s="521"/>
      <c r="L116" s="598">
        <v>162.14899063248015</v>
      </c>
      <c r="M116" s="519"/>
      <c r="N116" s="521"/>
      <c r="O116" s="521"/>
      <c r="P116" s="521"/>
      <c r="Q116" s="521"/>
      <c r="R116" s="521">
        <v>15.730078096892656</v>
      </c>
      <c r="S116" s="521"/>
      <c r="T116" s="521">
        <v>146.41891253558748</v>
      </c>
      <c r="U116" s="521"/>
      <c r="V116" s="533"/>
      <c r="W116" s="533"/>
      <c r="X116" s="533"/>
      <c r="Y116" s="521"/>
      <c r="Z116" s="598"/>
      <c r="AA116" s="611">
        <v>0</v>
      </c>
      <c r="AB116" s="612"/>
      <c r="AC116" s="521"/>
      <c r="AD116" s="521"/>
      <c r="AE116" s="521"/>
      <c r="AF116" s="521"/>
      <c r="AG116" s="521"/>
      <c r="AH116" s="519"/>
      <c r="AI116" s="533"/>
      <c r="AJ116" s="626"/>
      <c r="AK116" s="626"/>
      <c r="AL116" s="611"/>
      <c r="AM116" s="540">
        <v>162.14899063248015</v>
      </c>
    </row>
    <row r="117" spans="1:39" ht="13.5" thickBot="1">
      <c r="A117" s="541" t="s">
        <v>241</v>
      </c>
      <c r="B117" s="542"/>
      <c r="C117" s="569">
        <v>-105.50045932171129</v>
      </c>
      <c r="D117" s="572">
        <v>-106.11399866466098</v>
      </c>
      <c r="E117" s="533">
        <v>-0.8079766727235479</v>
      </c>
      <c r="F117" s="573"/>
      <c r="G117" s="573">
        <v>1.4215160156732278</v>
      </c>
      <c r="H117" s="599">
        <v>-122.93905189963694</v>
      </c>
      <c r="I117" s="600">
        <v>-136.53826589963694</v>
      </c>
      <c r="J117" s="661">
        <v>0</v>
      </c>
      <c r="K117" s="600">
        <v>13.599214000000003</v>
      </c>
      <c r="L117" s="599">
        <v>160.4304507360369</v>
      </c>
      <c r="M117" s="519">
        <v>38.730964773999993</v>
      </c>
      <c r="N117" s="521"/>
      <c r="O117" s="521">
        <v>-9.6980083333333713</v>
      </c>
      <c r="P117" s="521">
        <v>12.883201938880001</v>
      </c>
      <c r="Q117" s="521">
        <v>82.12024884504001</v>
      </c>
      <c r="R117" s="521">
        <v>23.637599999999999</v>
      </c>
      <c r="S117" s="521">
        <v>1.4659197380156652</v>
      </c>
      <c r="T117" s="521">
        <v>8.3874136006762399</v>
      </c>
      <c r="U117" s="521">
        <v>3.419577960051174</v>
      </c>
      <c r="V117" s="573">
        <v>-0.51646778729281662</v>
      </c>
      <c r="W117" s="573">
        <v>0</v>
      </c>
      <c r="X117" s="573">
        <v>0</v>
      </c>
      <c r="Y117" s="600">
        <v>0</v>
      </c>
      <c r="Z117" s="599">
        <v>0</v>
      </c>
      <c r="AA117" s="613">
        <v>4.2804283179600002</v>
      </c>
      <c r="AB117" s="614"/>
      <c r="AC117" s="530"/>
      <c r="AD117" s="530">
        <v>8.7401158199999704E-2</v>
      </c>
      <c r="AE117" s="530"/>
      <c r="AF117" s="530"/>
      <c r="AG117" s="530">
        <v>4.1930271597600006</v>
      </c>
      <c r="AH117" s="600"/>
      <c r="AI117" s="573"/>
      <c r="AJ117" s="627"/>
      <c r="AK117" s="627"/>
      <c r="AL117" s="613"/>
      <c r="AM117" s="543">
        <v>-63.728632167351321</v>
      </c>
    </row>
    <row r="118" spans="1:39">
      <c r="A118" s="544" t="s">
        <v>242</v>
      </c>
      <c r="B118" s="545"/>
      <c r="C118" s="574">
        <v>724.62815194989457</v>
      </c>
      <c r="D118" s="615">
        <v>688.92595081293871</v>
      </c>
      <c r="E118" s="524">
        <v>27.30184019021781</v>
      </c>
      <c r="F118" s="524">
        <v>0</v>
      </c>
      <c r="G118" s="524">
        <v>8.4003609467381786</v>
      </c>
      <c r="H118" s="601">
        <v>685.95222908664709</v>
      </c>
      <c r="I118" s="615">
        <v>551.68208308664714</v>
      </c>
      <c r="J118" s="656">
        <v>127.70399999999999</v>
      </c>
      <c r="K118" s="524">
        <v>6.5661460000000034</v>
      </c>
      <c r="L118" s="601">
        <v>7379.9852531755569</v>
      </c>
      <c r="M118" s="615">
        <v>3092.2052611591994</v>
      </c>
      <c r="N118" s="524">
        <v>0</v>
      </c>
      <c r="O118" s="524">
        <v>190.00805737777765</v>
      </c>
      <c r="P118" s="524">
        <v>360.76611217919998</v>
      </c>
      <c r="Q118" s="524">
        <v>1469.0046832735197</v>
      </c>
      <c r="R118" s="524">
        <v>-919.61188970790954</v>
      </c>
      <c r="S118" s="524">
        <v>123.72255052198433</v>
      </c>
      <c r="T118" s="524">
        <v>2701.2925504229925</v>
      </c>
      <c r="U118" s="524">
        <v>167.12002550856403</v>
      </c>
      <c r="V118" s="524">
        <v>-36.813784915745856</v>
      </c>
      <c r="W118" s="524">
        <v>195.56026412750296</v>
      </c>
      <c r="X118" s="524">
        <v>1.2218380210726456</v>
      </c>
      <c r="Y118" s="524">
        <v>35.509585207400512</v>
      </c>
      <c r="Z118" s="601">
        <v>4480.2572507256682</v>
      </c>
      <c r="AA118" s="601">
        <v>1455.4519786630058</v>
      </c>
      <c r="AB118" s="615">
        <v>59.691708987970003</v>
      </c>
      <c r="AC118" s="524">
        <v>727.12733781532609</v>
      </c>
      <c r="AD118" s="524">
        <v>409.77362880895589</v>
      </c>
      <c r="AE118" s="524">
        <v>33.531818868055431</v>
      </c>
      <c r="AF118" s="524">
        <v>16.813132576534866</v>
      </c>
      <c r="AG118" s="524">
        <v>149.27283699801595</v>
      </c>
      <c r="AH118" s="575">
        <v>14.978481167970049</v>
      </c>
      <c r="AI118" s="615">
        <v>44.263033440177487</v>
      </c>
      <c r="AJ118" s="601">
        <v>145.43710297949829</v>
      </c>
      <c r="AK118" s="601">
        <v>-2.3847739799999772</v>
      </c>
      <c r="AL118" s="631">
        <v>0</v>
      </c>
      <c r="AM118" s="564">
        <v>14869.327192600271</v>
      </c>
    </row>
    <row r="119" spans="1:39" ht="13.5" thickBot="1">
      <c r="A119" s="632" t="s">
        <v>243</v>
      </c>
      <c r="B119" s="633"/>
      <c r="C119" s="634">
        <v>724.62815194989457</v>
      </c>
      <c r="D119" s="635">
        <v>688.92595081293871</v>
      </c>
      <c r="E119" s="636">
        <v>27.30184019021781</v>
      </c>
      <c r="F119" s="637">
        <v>0</v>
      </c>
      <c r="G119" s="637">
        <v>8.4003609467381786</v>
      </c>
      <c r="H119" s="638">
        <v>685.95222908664709</v>
      </c>
      <c r="I119" s="635">
        <v>551.68208308664714</v>
      </c>
      <c r="J119" s="662">
        <v>127.70399999999999</v>
      </c>
      <c r="K119" s="636">
        <v>6.5661460000000034</v>
      </c>
      <c r="L119" s="638">
        <v>7147.6935658195807</v>
      </c>
      <c r="M119" s="635">
        <v>3092.2052611591994</v>
      </c>
      <c r="N119" s="636">
        <v>0</v>
      </c>
      <c r="O119" s="636">
        <v>190.00805737777765</v>
      </c>
      <c r="P119" s="636">
        <v>360.76611217919998</v>
      </c>
      <c r="Q119" s="636">
        <v>1469.0046832735197</v>
      </c>
      <c r="R119" s="636">
        <v>-919.61188970790954</v>
      </c>
      <c r="S119" s="636">
        <v>123.72255052198433</v>
      </c>
      <c r="T119" s="636">
        <v>2701.2925504229925</v>
      </c>
      <c r="U119" s="636">
        <v>167.12002550856403</v>
      </c>
      <c r="V119" s="637">
        <v>-36.813784915745856</v>
      </c>
      <c r="W119" s="637">
        <v>0</v>
      </c>
      <c r="X119" s="637">
        <v>0</v>
      </c>
      <c r="Y119" s="636">
        <v>0</v>
      </c>
      <c r="Z119" s="638">
        <v>4480.2572507256682</v>
      </c>
      <c r="AA119" s="642">
        <v>1455.4519786630058</v>
      </c>
      <c r="AB119" s="635">
        <v>59.691708987970003</v>
      </c>
      <c r="AC119" s="636">
        <v>727.12733781532609</v>
      </c>
      <c r="AD119" s="636">
        <v>409.77362880895589</v>
      </c>
      <c r="AE119" s="636">
        <v>33.531818868055431</v>
      </c>
      <c r="AF119" s="636">
        <v>16.813132576534866</v>
      </c>
      <c r="AG119" s="636">
        <v>149.27283699801595</v>
      </c>
      <c r="AH119" s="652">
        <v>14.978481167970049</v>
      </c>
      <c r="AI119" s="635">
        <v>44.263033440177487</v>
      </c>
      <c r="AJ119" s="638">
        <v>145.43710297949829</v>
      </c>
      <c r="AK119" s="638">
        <v>-2.3847739799999772</v>
      </c>
      <c r="AL119" s="635">
        <v>0</v>
      </c>
      <c r="AM119" s="639">
        <v>14637.035505244296</v>
      </c>
    </row>
    <row r="120" spans="1:39">
      <c r="A120" s="544" t="s">
        <v>244</v>
      </c>
      <c r="B120" s="545"/>
      <c r="C120" s="574">
        <v>488.64939432989598</v>
      </c>
      <c r="D120" s="575">
        <v>488.64939432989598</v>
      </c>
      <c r="E120" s="524">
        <v>0</v>
      </c>
      <c r="F120" s="576">
        <v>0</v>
      </c>
      <c r="G120" s="576">
        <v>0</v>
      </c>
      <c r="H120" s="601">
        <v>539.94139129191865</v>
      </c>
      <c r="I120" s="575">
        <v>539.94139129191865</v>
      </c>
      <c r="J120" s="656">
        <v>0</v>
      </c>
      <c r="K120" s="524">
        <v>0</v>
      </c>
      <c r="L120" s="601">
        <v>3126.9350452866179</v>
      </c>
      <c r="M120" s="524">
        <v>3092.2052611591994</v>
      </c>
      <c r="N120" s="524">
        <v>0</v>
      </c>
      <c r="O120" s="524">
        <v>0</v>
      </c>
      <c r="P120" s="524">
        <v>0</v>
      </c>
      <c r="Q120" s="524">
        <v>0</v>
      </c>
      <c r="R120" s="524">
        <v>25.868327226603597</v>
      </c>
      <c r="S120" s="524">
        <v>0.63499472294399995</v>
      </c>
      <c r="T120" s="524">
        <v>8.2264621778709284</v>
      </c>
      <c r="U120" s="524">
        <v>0</v>
      </c>
      <c r="V120" s="576">
        <v>0</v>
      </c>
      <c r="W120" s="576">
        <v>0</v>
      </c>
      <c r="X120" s="576">
        <v>0</v>
      </c>
      <c r="Y120" s="524">
        <v>0</v>
      </c>
      <c r="Z120" s="601">
        <v>2501.2994242635782</v>
      </c>
      <c r="AA120" s="615">
        <v>213.29280212790383</v>
      </c>
      <c r="AB120" s="616">
        <v>0</v>
      </c>
      <c r="AC120" s="524">
        <v>0</v>
      </c>
      <c r="AD120" s="524">
        <v>172.72491180671966</v>
      </c>
      <c r="AE120" s="524">
        <v>33.531818868055431</v>
      </c>
      <c r="AF120" s="524">
        <v>7.0360714531287174</v>
      </c>
      <c r="AG120" s="524">
        <v>0</v>
      </c>
      <c r="AH120" s="575">
        <v>0</v>
      </c>
      <c r="AI120" s="576">
        <v>0</v>
      </c>
      <c r="AJ120" s="601">
        <v>90.714163374524205</v>
      </c>
      <c r="AK120" s="601">
        <v>54.069944079999999</v>
      </c>
      <c r="AL120" s="615">
        <v>0</v>
      </c>
      <c r="AM120" s="546">
        <v>7014.9021647544387</v>
      </c>
    </row>
    <row r="121" spans="1:39">
      <c r="A121" s="547" t="s">
        <v>245</v>
      </c>
      <c r="B121" s="548"/>
      <c r="C121" s="577">
        <v>488.64939432989598</v>
      </c>
      <c r="D121" s="578">
        <v>488.64939432989598</v>
      </c>
      <c r="E121" s="525"/>
      <c r="F121" s="579"/>
      <c r="G121" s="579"/>
      <c r="H121" s="602">
        <v>467.10845991760607</v>
      </c>
      <c r="I121" s="578">
        <v>467.10845991760607</v>
      </c>
      <c r="J121" s="657">
        <v>0</v>
      </c>
      <c r="K121" s="525"/>
      <c r="L121" s="602">
        <v>34.094789404474525</v>
      </c>
      <c r="M121" s="525"/>
      <c r="N121" s="525"/>
      <c r="O121" s="525"/>
      <c r="P121" s="525"/>
      <c r="Q121" s="525"/>
      <c r="R121" s="525">
        <v>25.868327226603597</v>
      </c>
      <c r="S121" s="525"/>
      <c r="T121" s="525">
        <v>8.2264621778709284</v>
      </c>
      <c r="U121" s="525"/>
      <c r="V121" s="579"/>
      <c r="W121" s="579"/>
      <c r="X121" s="579"/>
      <c r="Y121" s="525"/>
      <c r="Z121" s="602">
        <v>2187.6033883210698</v>
      </c>
      <c r="AA121" s="617">
        <v>204.19282321191795</v>
      </c>
      <c r="AB121" s="618"/>
      <c r="AC121" s="525"/>
      <c r="AD121" s="525">
        <v>170.66100434386252</v>
      </c>
      <c r="AE121" s="525">
        <v>33.531818868055431</v>
      </c>
      <c r="AF121" s="525"/>
      <c r="AG121" s="525"/>
      <c r="AH121" s="578"/>
      <c r="AI121" s="579"/>
      <c r="AJ121" s="628">
        <v>90.714163374524205</v>
      </c>
      <c r="AK121" s="602"/>
      <c r="AL121" s="617"/>
      <c r="AM121" s="549">
        <v>3472.3630185594884</v>
      </c>
    </row>
    <row r="122" spans="1:39">
      <c r="A122" s="538" t="s">
        <v>246</v>
      </c>
      <c r="B122" s="539"/>
      <c r="C122" s="569">
        <v>0</v>
      </c>
      <c r="D122" s="519">
        <v>0</v>
      </c>
      <c r="E122" s="521"/>
      <c r="F122" s="533"/>
      <c r="G122" s="533"/>
      <c r="H122" s="598">
        <v>4.7573545322072528</v>
      </c>
      <c r="I122" s="519">
        <v>4.7573545322072528</v>
      </c>
      <c r="J122" s="655"/>
      <c r="K122" s="521"/>
      <c r="L122" s="598">
        <v>0.63499472294399995</v>
      </c>
      <c r="M122" s="521"/>
      <c r="N122" s="531">
        <v>0</v>
      </c>
      <c r="O122" s="521"/>
      <c r="P122" s="521"/>
      <c r="Q122" s="521"/>
      <c r="R122" s="521">
        <v>0</v>
      </c>
      <c r="S122" s="521">
        <v>0.63499472294399995</v>
      </c>
      <c r="T122" s="521">
        <v>0</v>
      </c>
      <c r="U122" s="521"/>
      <c r="V122" s="533"/>
      <c r="W122" s="533"/>
      <c r="X122" s="533"/>
      <c r="Y122" s="521"/>
      <c r="Z122" s="598">
        <v>272.96145103491432</v>
      </c>
      <c r="AA122" s="611">
        <v>9.0999789159858597</v>
      </c>
      <c r="AB122" s="612"/>
      <c r="AC122" s="521"/>
      <c r="AD122" s="521">
        <v>2.0639074628571428</v>
      </c>
      <c r="AE122" s="521"/>
      <c r="AF122" s="521">
        <v>7.0360714531287174</v>
      </c>
      <c r="AG122" s="521"/>
      <c r="AH122" s="519"/>
      <c r="AI122" s="533"/>
      <c r="AJ122" s="626"/>
      <c r="AK122" s="626"/>
      <c r="AL122" s="611"/>
      <c r="AM122" s="540">
        <v>287.45377920605142</v>
      </c>
    </row>
    <row r="123" spans="1:39">
      <c r="A123" s="538" t="s">
        <v>247</v>
      </c>
      <c r="B123" s="539"/>
      <c r="C123" s="569"/>
      <c r="D123" s="519"/>
      <c r="E123" s="521"/>
      <c r="F123" s="533"/>
      <c r="G123" s="533"/>
      <c r="H123" s="598"/>
      <c r="I123" s="519"/>
      <c r="J123" s="655"/>
      <c r="K123" s="521"/>
      <c r="L123" s="598"/>
      <c r="M123" s="521"/>
      <c r="N123" s="531"/>
      <c r="O123" s="521"/>
      <c r="P123" s="521"/>
      <c r="Q123" s="521"/>
      <c r="R123" s="521"/>
      <c r="S123" s="521"/>
      <c r="T123" s="521"/>
      <c r="U123" s="521"/>
      <c r="V123" s="533"/>
      <c r="W123" s="533"/>
      <c r="X123" s="533"/>
      <c r="Y123" s="521"/>
      <c r="Z123" s="598"/>
      <c r="AA123" s="611"/>
      <c r="AB123" s="612"/>
      <c r="AC123" s="521"/>
      <c r="AD123" s="521"/>
      <c r="AE123" s="521"/>
      <c r="AF123" s="521"/>
      <c r="AG123" s="521"/>
      <c r="AH123" s="519"/>
      <c r="AI123" s="533"/>
      <c r="AJ123" s="626"/>
      <c r="AK123" s="626">
        <v>42.942060079999997</v>
      </c>
      <c r="AL123" s="611"/>
      <c r="AM123" s="540">
        <v>42.942060079999997</v>
      </c>
    </row>
    <row r="124" spans="1:39">
      <c r="A124" s="538" t="s">
        <v>248</v>
      </c>
      <c r="B124" s="539"/>
      <c r="C124" s="569">
        <v>0</v>
      </c>
      <c r="D124" s="519"/>
      <c r="E124" s="533"/>
      <c r="F124" s="533"/>
      <c r="G124" s="533"/>
      <c r="H124" s="598">
        <v>68.075576842105264</v>
      </c>
      <c r="I124" s="519">
        <v>68.075576842105264</v>
      </c>
      <c r="J124" s="655"/>
      <c r="K124" s="521"/>
      <c r="L124" s="598">
        <v>0</v>
      </c>
      <c r="M124" s="521"/>
      <c r="N124" s="521"/>
      <c r="O124" s="521"/>
      <c r="P124" s="521"/>
      <c r="Q124" s="521"/>
      <c r="R124" s="521"/>
      <c r="S124" s="521"/>
      <c r="T124" s="521"/>
      <c r="U124" s="521"/>
      <c r="V124" s="533"/>
      <c r="W124" s="533"/>
      <c r="X124" s="533"/>
      <c r="Y124" s="521"/>
      <c r="Z124" s="598"/>
      <c r="AA124" s="611">
        <v>0</v>
      </c>
      <c r="AB124" s="612"/>
      <c r="AC124" s="521"/>
      <c r="AD124" s="521"/>
      <c r="AE124" s="521"/>
      <c r="AF124" s="521"/>
      <c r="AG124" s="521"/>
      <c r="AH124" s="519"/>
      <c r="AI124" s="533"/>
      <c r="AJ124" s="626"/>
      <c r="AK124" s="626"/>
      <c r="AL124" s="611"/>
      <c r="AM124" s="540">
        <v>68.075576842105264</v>
      </c>
    </row>
    <row r="125" spans="1:39">
      <c r="A125" s="550" t="s">
        <v>249</v>
      </c>
      <c r="B125" s="551"/>
      <c r="C125" s="580">
        <v>0</v>
      </c>
      <c r="D125" s="581"/>
      <c r="E125" s="526"/>
      <c r="F125" s="582"/>
      <c r="G125" s="582"/>
      <c r="H125" s="603">
        <v>0</v>
      </c>
      <c r="I125" s="581"/>
      <c r="J125" s="658"/>
      <c r="K125" s="526"/>
      <c r="L125" s="603">
        <v>3092.2052611591994</v>
      </c>
      <c r="M125" s="526">
        <v>3092.2052611591994</v>
      </c>
      <c r="N125" s="526"/>
      <c r="O125" s="526"/>
      <c r="P125" s="526"/>
      <c r="Q125" s="526"/>
      <c r="R125" s="526"/>
      <c r="S125" s="526"/>
      <c r="T125" s="526"/>
      <c r="U125" s="526"/>
      <c r="V125" s="582"/>
      <c r="W125" s="582"/>
      <c r="X125" s="582"/>
      <c r="Y125" s="526"/>
      <c r="Z125" s="603">
        <v>40.734584907594211</v>
      </c>
      <c r="AA125" s="619">
        <v>0</v>
      </c>
      <c r="AB125" s="620"/>
      <c r="AC125" s="526"/>
      <c r="AD125" s="526"/>
      <c r="AE125" s="526"/>
      <c r="AF125" s="526"/>
      <c r="AG125" s="526"/>
      <c r="AH125" s="581"/>
      <c r="AI125" s="582"/>
      <c r="AJ125" s="629"/>
      <c r="AK125" s="629">
        <v>11.127884</v>
      </c>
      <c r="AL125" s="619"/>
      <c r="AM125" s="552">
        <v>3144.0677300667935</v>
      </c>
    </row>
    <row r="126" spans="1:39">
      <c r="A126" s="553" t="s">
        <v>250</v>
      </c>
      <c r="B126" s="534"/>
      <c r="C126" s="583">
        <v>0</v>
      </c>
      <c r="D126" s="584">
        <v>0</v>
      </c>
      <c r="E126" s="527">
        <v>0</v>
      </c>
      <c r="F126" s="585">
        <v>0</v>
      </c>
      <c r="G126" s="585">
        <v>0</v>
      </c>
      <c r="H126" s="604">
        <v>64.671797999999995</v>
      </c>
      <c r="I126" s="584">
        <v>0</v>
      </c>
      <c r="J126" s="663">
        <v>0</v>
      </c>
      <c r="K126" s="527">
        <v>64.671797999999995</v>
      </c>
      <c r="L126" s="604">
        <v>3166.7368998172387</v>
      </c>
      <c r="M126" s="527">
        <v>0</v>
      </c>
      <c r="N126" s="527">
        <v>89.969014531910801</v>
      </c>
      <c r="O126" s="527">
        <v>640.53679657777786</v>
      </c>
      <c r="P126" s="527">
        <v>226.77459106847999</v>
      </c>
      <c r="Q126" s="527">
        <v>0</v>
      </c>
      <c r="R126" s="527">
        <v>960.95017928079096</v>
      </c>
      <c r="S126" s="527">
        <v>64.797462901984332</v>
      </c>
      <c r="T126" s="527">
        <v>1146.9502117491124</v>
      </c>
      <c r="U126" s="527">
        <v>0</v>
      </c>
      <c r="V126" s="585">
        <v>36.758643707182323</v>
      </c>
      <c r="W126" s="585">
        <v>0</v>
      </c>
      <c r="X126" s="585">
        <v>0</v>
      </c>
      <c r="Y126" s="527">
        <v>0</v>
      </c>
      <c r="Z126" s="604">
        <v>0</v>
      </c>
      <c r="AA126" s="554">
        <v>70.406409383935852</v>
      </c>
      <c r="AB126" s="621">
        <v>0</v>
      </c>
      <c r="AC126" s="527">
        <v>0</v>
      </c>
      <c r="AD126" s="527">
        <v>54.776406842584706</v>
      </c>
      <c r="AE126" s="532">
        <v>11.967173135751148</v>
      </c>
      <c r="AF126" s="532">
        <v>3.6628294055999997</v>
      </c>
      <c r="AG126" s="532">
        <v>0</v>
      </c>
      <c r="AH126" s="584">
        <v>0</v>
      </c>
      <c r="AI126" s="585">
        <v>0</v>
      </c>
      <c r="AJ126" s="604">
        <v>24.127289822325451</v>
      </c>
      <c r="AK126" s="604">
        <v>1869.3696002087718</v>
      </c>
      <c r="AL126" s="554">
        <v>0</v>
      </c>
      <c r="AM126" s="555">
        <v>5195.3119972322711</v>
      </c>
    </row>
    <row r="127" spans="1:39">
      <c r="A127" s="547" t="s">
        <v>245</v>
      </c>
      <c r="B127" s="548"/>
      <c r="C127" s="577">
        <v>0</v>
      </c>
      <c r="D127" s="578"/>
      <c r="E127" s="525"/>
      <c r="F127" s="579"/>
      <c r="G127" s="579"/>
      <c r="H127" s="602">
        <v>0</v>
      </c>
      <c r="I127" s="578"/>
      <c r="J127" s="657"/>
      <c r="K127" s="525"/>
      <c r="L127" s="602">
        <v>0</v>
      </c>
      <c r="M127" s="525"/>
      <c r="N127" s="525"/>
      <c r="O127" s="525"/>
      <c r="P127" s="525"/>
      <c r="Q127" s="525"/>
      <c r="R127" s="525"/>
      <c r="S127" s="525"/>
      <c r="T127" s="525"/>
      <c r="U127" s="525"/>
      <c r="V127" s="579"/>
      <c r="W127" s="579"/>
      <c r="X127" s="579"/>
      <c r="Y127" s="525"/>
      <c r="Z127" s="602"/>
      <c r="AA127" s="617">
        <v>65.648541978335857</v>
      </c>
      <c r="AB127" s="618"/>
      <c r="AC127" s="525"/>
      <c r="AD127" s="525">
        <v>53.681368842584703</v>
      </c>
      <c r="AE127" s="531">
        <v>11.967173135751148</v>
      </c>
      <c r="AF127" s="531"/>
      <c r="AG127" s="531"/>
      <c r="AH127" s="578"/>
      <c r="AI127" s="579"/>
      <c r="AJ127" s="628">
        <v>24.127289822325451</v>
      </c>
      <c r="AK127" s="628">
        <v>1663.9966121740963</v>
      </c>
      <c r="AL127" s="617"/>
      <c r="AM127" s="556">
        <v>1663.9966121740963</v>
      </c>
    </row>
    <row r="128" spans="1:39">
      <c r="A128" s="538" t="s">
        <v>251</v>
      </c>
      <c r="B128" s="539"/>
      <c r="C128" s="569">
        <v>0</v>
      </c>
      <c r="D128" s="519"/>
      <c r="E128" s="521"/>
      <c r="F128" s="533"/>
      <c r="G128" s="533"/>
      <c r="H128" s="598">
        <v>0</v>
      </c>
      <c r="I128" s="519"/>
      <c r="J128" s="655"/>
      <c r="K128" s="521"/>
      <c r="L128" s="598">
        <v>0</v>
      </c>
      <c r="M128" s="521"/>
      <c r="N128" s="521"/>
      <c r="O128" s="521"/>
      <c r="P128" s="521"/>
      <c r="Q128" s="521"/>
      <c r="R128" s="521"/>
      <c r="S128" s="521"/>
      <c r="T128" s="521"/>
      <c r="U128" s="521"/>
      <c r="V128" s="533"/>
      <c r="W128" s="533"/>
      <c r="X128" s="533"/>
      <c r="Y128" s="521"/>
      <c r="Z128" s="598"/>
      <c r="AA128" s="611">
        <v>4.7578674055999999</v>
      </c>
      <c r="AB128" s="612"/>
      <c r="AC128" s="521"/>
      <c r="AD128" s="521">
        <v>1.095038</v>
      </c>
      <c r="AE128" s="521"/>
      <c r="AF128" s="521">
        <v>3.6628294055999997</v>
      </c>
      <c r="AG128" s="521"/>
      <c r="AH128" s="519"/>
      <c r="AI128" s="533"/>
      <c r="AJ128" s="626"/>
      <c r="AK128" s="653">
        <v>184.94204862424348</v>
      </c>
      <c r="AL128" s="611"/>
      <c r="AM128" s="540">
        <v>184.94204862424348</v>
      </c>
    </row>
    <row r="129" spans="1:39">
      <c r="A129" s="538" t="s">
        <v>252</v>
      </c>
      <c r="B129" s="539"/>
      <c r="C129" s="569"/>
      <c r="D129" s="519"/>
      <c r="E129" s="521"/>
      <c r="F129" s="533"/>
      <c r="G129" s="533"/>
      <c r="H129" s="598"/>
      <c r="I129" s="519"/>
      <c r="J129" s="655"/>
      <c r="K129" s="521"/>
      <c r="L129" s="598"/>
      <c r="M129" s="521"/>
      <c r="N129" s="521"/>
      <c r="O129" s="521"/>
      <c r="P129" s="521"/>
      <c r="Q129" s="521"/>
      <c r="R129" s="521"/>
      <c r="S129" s="521"/>
      <c r="T129" s="521"/>
      <c r="U129" s="521"/>
      <c r="V129" s="533"/>
      <c r="W129" s="533"/>
      <c r="X129" s="533"/>
      <c r="Y129" s="521"/>
      <c r="Z129" s="598"/>
      <c r="AA129" s="611">
        <v>0</v>
      </c>
      <c r="AB129" s="612"/>
      <c r="AC129" s="521"/>
      <c r="AD129" s="521"/>
      <c r="AE129" s="521"/>
      <c r="AF129" s="521"/>
      <c r="AG129" s="521"/>
      <c r="AH129" s="519"/>
      <c r="AI129" s="533"/>
      <c r="AJ129" s="626"/>
      <c r="AK129" s="626"/>
      <c r="AL129" s="611"/>
      <c r="AM129" s="540">
        <v>0</v>
      </c>
    </row>
    <row r="130" spans="1:39">
      <c r="A130" s="538" t="s">
        <v>253</v>
      </c>
      <c r="B130" s="539"/>
      <c r="C130" s="569"/>
      <c r="D130" s="519"/>
      <c r="E130" s="521"/>
      <c r="F130" s="533"/>
      <c r="G130" s="533"/>
      <c r="H130" s="598"/>
      <c r="I130" s="519"/>
      <c r="J130" s="655"/>
      <c r="K130" s="521"/>
      <c r="L130" s="598"/>
      <c r="M130" s="521"/>
      <c r="N130" s="521"/>
      <c r="O130" s="521"/>
      <c r="P130" s="521"/>
      <c r="Q130" s="521"/>
      <c r="R130" s="521"/>
      <c r="S130" s="521"/>
      <c r="T130" s="521"/>
      <c r="U130" s="521"/>
      <c r="V130" s="533"/>
      <c r="W130" s="533"/>
      <c r="X130" s="533"/>
      <c r="Y130" s="521"/>
      <c r="Z130" s="598"/>
      <c r="AA130" s="611"/>
      <c r="AB130" s="612"/>
      <c r="AC130" s="521"/>
      <c r="AD130" s="521"/>
      <c r="AE130" s="521"/>
      <c r="AF130" s="521"/>
      <c r="AG130" s="521"/>
      <c r="AH130" s="519"/>
      <c r="AI130" s="533"/>
      <c r="AJ130" s="626"/>
      <c r="AK130" s="626">
        <v>20.430939410432</v>
      </c>
      <c r="AL130" s="611"/>
      <c r="AM130" s="540">
        <v>20.430939410432</v>
      </c>
    </row>
    <row r="131" spans="1:39">
      <c r="A131" s="538" t="s">
        <v>248</v>
      </c>
      <c r="B131" s="539"/>
      <c r="C131" s="569"/>
      <c r="D131" s="557"/>
      <c r="E131" s="521"/>
      <c r="F131" s="533"/>
      <c r="G131" s="533"/>
      <c r="H131" s="598">
        <v>64.671797999999995</v>
      </c>
      <c r="I131" s="519"/>
      <c r="J131" s="655"/>
      <c r="K131" s="521">
        <v>64.671797999999995</v>
      </c>
      <c r="L131" s="598">
        <v>0</v>
      </c>
      <c r="M131" s="521"/>
      <c r="N131" s="521"/>
      <c r="O131" s="521"/>
      <c r="P131" s="521"/>
      <c r="Q131" s="521"/>
      <c r="R131" s="521"/>
      <c r="S131" s="521"/>
      <c r="T131" s="521"/>
      <c r="U131" s="521"/>
      <c r="V131" s="533"/>
      <c r="W131" s="533"/>
      <c r="X131" s="533"/>
      <c r="Y131" s="521"/>
      <c r="Z131" s="598"/>
      <c r="AA131" s="611">
        <v>0</v>
      </c>
      <c r="AB131" s="612"/>
      <c r="AC131" s="521"/>
      <c r="AD131" s="521"/>
      <c r="AE131" s="521"/>
      <c r="AF131" s="521"/>
      <c r="AG131" s="521"/>
      <c r="AH131" s="519"/>
      <c r="AI131" s="533"/>
      <c r="AJ131" s="626"/>
      <c r="AK131" s="626"/>
      <c r="AL131" s="611"/>
      <c r="AM131" s="540">
        <v>64.671797999999995</v>
      </c>
    </row>
    <row r="132" spans="1:39">
      <c r="A132" s="550" t="s">
        <v>254</v>
      </c>
      <c r="B132" s="551"/>
      <c r="C132" s="580"/>
      <c r="D132" s="581"/>
      <c r="E132" s="526"/>
      <c r="F132" s="582"/>
      <c r="G132" s="582"/>
      <c r="H132" s="603">
        <v>0</v>
      </c>
      <c r="I132" s="581"/>
      <c r="J132" s="658"/>
      <c r="K132" s="526"/>
      <c r="L132" s="603">
        <v>3166.7368998172387</v>
      </c>
      <c r="M132" s="526"/>
      <c r="N132" s="526">
        <v>89.969014531910801</v>
      </c>
      <c r="O132" s="526">
        <v>640.53679657777786</v>
      </c>
      <c r="P132" s="526">
        <v>226.77459106847999</v>
      </c>
      <c r="Q132" s="526">
        <v>0</v>
      </c>
      <c r="R132" s="526">
        <v>960.95017928079096</v>
      </c>
      <c r="S132" s="526">
        <v>64.797462901984332</v>
      </c>
      <c r="T132" s="526">
        <v>1146.9502117491124</v>
      </c>
      <c r="U132" s="526"/>
      <c r="V132" s="582">
        <v>36.758643707182323</v>
      </c>
      <c r="W132" s="582"/>
      <c r="X132" s="582"/>
      <c r="Y132" s="526"/>
      <c r="Z132" s="603"/>
      <c r="AA132" s="619">
        <v>0</v>
      </c>
      <c r="AB132" s="620"/>
      <c r="AC132" s="526"/>
      <c r="AD132" s="526"/>
      <c r="AE132" s="526"/>
      <c r="AF132" s="526"/>
      <c r="AG132" s="526"/>
      <c r="AH132" s="581"/>
      <c r="AI132" s="582"/>
      <c r="AJ132" s="629"/>
      <c r="AK132" s="629"/>
      <c r="AL132" s="619"/>
      <c r="AM132" s="552">
        <v>3166.7368998172387</v>
      </c>
    </row>
    <row r="133" spans="1:39">
      <c r="A133" s="558" t="s">
        <v>255</v>
      </c>
      <c r="B133" s="559"/>
      <c r="C133" s="586">
        <v>21.675620234332229</v>
      </c>
      <c r="D133" s="587">
        <v>-17.141361188350004</v>
      </c>
      <c r="E133" s="528">
        <v>38.816981422682233</v>
      </c>
      <c r="F133" s="588">
        <v>0</v>
      </c>
      <c r="G133" s="588">
        <v>0</v>
      </c>
      <c r="H133" s="605">
        <v>0</v>
      </c>
      <c r="I133" s="587">
        <v>0</v>
      </c>
      <c r="J133" s="664">
        <v>0</v>
      </c>
      <c r="K133" s="528">
        <v>0</v>
      </c>
      <c r="L133" s="605">
        <v>-24.071643477187674</v>
      </c>
      <c r="M133" s="528">
        <v>0</v>
      </c>
      <c r="N133" s="528">
        <v>0</v>
      </c>
      <c r="O133" s="528">
        <v>0.11733854444431926</v>
      </c>
      <c r="P133" s="528">
        <v>374.46366644960005</v>
      </c>
      <c r="Q133" s="528">
        <v>-373.64776418279996</v>
      </c>
      <c r="R133" s="528">
        <v>0</v>
      </c>
      <c r="S133" s="528">
        <v>0</v>
      </c>
      <c r="T133" s="528">
        <v>-3.3292640540998377</v>
      </c>
      <c r="U133" s="528">
        <v>-21.675620234332225</v>
      </c>
      <c r="V133" s="588">
        <v>0</v>
      </c>
      <c r="W133" s="588">
        <v>0</v>
      </c>
      <c r="X133" s="588">
        <v>0</v>
      </c>
      <c r="Y133" s="528">
        <v>0</v>
      </c>
      <c r="Z133" s="605">
        <v>0</v>
      </c>
      <c r="AA133" s="622">
        <v>-788.25144236760048</v>
      </c>
      <c r="AB133" s="623">
        <v>-59.691708987970003</v>
      </c>
      <c r="AC133" s="528">
        <v>-727.12733781532609</v>
      </c>
      <c r="AD133" s="528">
        <v>0</v>
      </c>
      <c r="AE133" s="624">
        <v>0</v>
      </c>
      <c r="AF133" s="624">
        <v>0</v>
      </c>
      <c r="AG133" s="624">
        <v>0</v>
      </c>
      <c r="AH133" s="587">
        <v>-1.4323955643044282</v>
      </c>
      <c r="AI133" s="588">
        <v>0</v>
      </c>
      <c r="AJ133" s="608">
        <v>0</v>
      </c>
      <c r="AK133" s="605">
        <v>788.25144236760048</v>
      </c>
      <c r="AL133" s="622">
        <v>0</v>
      </c>
      <c r="AM133" s="560">
        <v>-2.3960232428554455</v>
      </c>
    </row>
    <row r="134" spans="1:39">
      <c r="A134" s="547" t="s">
        <v>256</v>
      </c>
      <c r="B134" s="548"/>
      <c r="C134" s="589"/>
      <c r="D134" s="590"/>
      <c r="E134" s="591"/>
      <c r="F134" s="579"/>
      <c r="G134" s="579"/>
      <c r="H134" s="602"/>
      <c r="I134" s="606"/>
      <c r="J134" s="657"/>
      <c r="K134" s="525"/>
      <c r="L134" s="602"/>
      <c r="M134" s="525"/>
      <c r="N134" s="525"/>
      <c r="O134" s="525"/>
      <c r="P134" s="525"/>
      <c r="Q134" s="525"/>
      <c r="R134" s="525"/>
      <c r="S134" s="525"/>
      <c r="T134" s="525"/>
      <c r="U134" s="525"/>
      <c r="V134" s="579"/>
      <c r="W134" s="579"/>
      <c r="X134" s="579"/>
      <c r="Y134" s="525"/>
      <c r="Z134" s="602"/>
      <c r="AA134" s="617">
        <v>-788.25144236760048</v>
      </c>
      <c r="AB134" s="618">
        <v>-59.691708987970003</v>
      </c>
      <c r="AC134" s="525">
        <v>-727.12733781532609</v>
      </c>
      <c r="AD134" s="525"/>
      <c r="AE134" s="531"/>
      <c r="AF134" s="531"/>
      <c r="AG134" s="531"/>
      <c r="AH134" s="578">
        <v>-1.4323955643044282</v>
      </c>
      <c r="AI134" s="579"/>
      <c r="AJ134" s="628"/>
      <c r="AK134" s="602">
        <v>788.25144236760048</v>
      </c>
      <c r="AL134" s="617"/>
      <c r="AM134" s="556">
        <v>0</v>
      </c>
    </row>
    <row r="135" spans="1:39">
      <c r="A135" s="561" t="s">
        <v>257</v>
      </c>
      <c r="B135" s="534"/>
      <c r="C135" s="592"/>
      <c r="D135" s="593"/>
      <c r="E135" s="527"/>
      <c r="F135" s="520"/>
      <c r="G135" s="520"/>
      <c r="H135" s="604"/>
      <c r="I135" s="562"/>
      <c r="J135" s="659"/>
      <c r="K135" s="529"/>
      <c r="L135" s="604"/>
      <c r="M135" s="529"/>
      <c r="N135" s="529"/>
      <c r="O135" s="529"/>
      <c r="P135" s="529"/>
      <c r="Q135" s="529"/>
      <c r="R135" s="529"/>
      <c r="S135" s="529"/>
      <c r="T135" s="529"/>
      <c r="U135" s="529"/>
      <c r="V135" s="520"/>
      <c r="W135" s="520"/>
      <c r="X135" s="520"/>
      <c r="Y135" s="529"/>
      <c r="Z135" s="604"/>
      <c r="AA135" s="554"/>
      <c r="AB135" s="595"/>
      <c r="AC135" s="529"/>
      <c r="AD135" s="529"/>
      <c r="AE135" s="529"/>
      <c r="AF135" s="529"/>
      <c r="AG135" s="529"/>
      <c r="AH135" s="630"/>
      <c r="AI135" s="520"/>
      <c r="AJ135" s="640"/>
      <c r="AK135" s="604"/>
      <c r="AL135" s="554"/>
      <c r="AM135" s="563">
        <v>0</v>
      </c>
    </row>
    <row r="136" spans="1:39" ht="13.5" thickBot="1">
      <c r="A136" s="541" t="s">
        <v>258</v>
      </c>
      <c r="B136" s="542"/>
      <c r="C136" s="594">
        <v>21.675620234332229</v>
      </c>
      <c r="D136" s="651">
        <v>-17.141361188350004</v>
      </c>
      <c r="E136" s="530">
        <v>38.816981422682233</v>
      </c>
      <c r="F136" s="573"/>
      <c r="G136" s="573"/>
      <c r="H136" s="599"/>
      <c r="I136" s="607"/>
      <c r="J136" s="665"/>
      <c r="K136" s="530"/>
      <c r="L136" s="599">
        <v>-24.071643477187674</v>
      </c>
      <c r="M136" s="530"/>
      <c r="N136" s="530"/>
      <c r="O136" s="530">
        <v>0.11733854444431926</v>
      </c>
      <c r="P136" s="530">
        <v>374.46366644960005</v>
      </c>
      <c r="Q136" s="530">
        <v>-373.64776418279996</v>
      </c>
      <c r="R136" s="530">
        <v>0</v>
      </c>
      <c r="S136" s="530"/>
      <c r="T136" s="530">
        <v>-3.3292640540998377</v>
      </c>
      <c r="U136" s="573">
        <v>-21.675620234332225</v>
      </c>
      <c r="V136" s="573"/>
      <c r="W136" s="573"/>
      <c r="X136" s="573"/>
      <c r="Y136" s="530"/>
      <c r="Z136" s="599"/>
      <c r="AA136" s="599">
        <v>0</v>
      </c>
      <c r="AB136" s="614"/>
      <c r="AC136" s="530"/>
      <c r="AD136" s="530"/>
      <c r="AE136" s="530"/>
      <c r="AF136" s="530"/>
      <c r="AG136" s="530"/>
      <c r="AH136" s="600"/>
      <c r="AI136" s="573"/>
      <c r="AJ136" s="627"/>
      <c r="AK136" s="599"/>
      <c r="AL136" s="613"/>
      <c r="AM136" s="543">
        <v>-2.3960232428554455</v>
      </c>
    </row>
    <row r="137" spans="1:39" ht="13.5" thickBot="1">
      <c r="A137" s="553" t="s">
        <v>259</v>
      </c>
      <c r="B137" s="534"/>
      <c r="C137" s="583">
        <v>0</v>
      </c>
      <c r="D137" s="584"/>
      <c r="E137" s="527"/>
      <c r="F137" s="520"/>
      <c r="G137" s="520"/>
      <c r="H137" s="604">
        <v>11.368440725877685</v>
      </c>
      <c r="I137" s="520">
        <v>11.368440725877685</v>
      </c>
      <c r="J137" s="659"/>
      <c r="K137" s="529"/>
      <c r="L137" s="604">
        <v>92.978980127232518</v>
      </c>
      <c r="M137" s="529"/>
      <c r="N137" s="529">
        <v>89.969014531910801</v>
      </c>
      <c r="O137" s="529"/>
      <c r="P137" s="529"/>
      <c r="Q137" s="529"/>
      <c r="R137" s="529">
        <v>0</v>
      </c>
      <c r="S137" s="529">
        <v>4.1693256233877908E-3</v>
      </c>
      <c r="T137" s="529">
        <v>3.0057962696983291</v>
      </c>
      <c r="U137" s="529"/>
      <c r="V137" s="520"/>
      <c r="W137" s="520"/>
      <c r="X137" s="520"/>
      <c r="Y137" s="529"/>
      <c r="Z137" s="604">
        <v>57.528599543766255</v>
      </c>
      <c r="AA137" s="554">
        <v>0</v>
      </c>
      <c r="AB137" s="621"/>
      <c r="AC137" s="529"/>
      <c r="AD137" s="529"/>
      <c r="AE137" s="529"/>
      <c r="AF137" s="529"/>
      <c r="AG137" s="529"/>
      <c r="AH137" s="630"/>
      <c r="AI137" s="520"/>
      <c r="AJ137" s="640"/>
      <c r="AK137" s="604">
        <v>257.5554058341836</v>
      </c>
      <c r="AL137" s="554"/>
      <c r="AM137" s="563">
        <v>419.43142623106007</v>
      </c>
    </row>
    <row r="138" spans="1:39" ht="13.5" thickBot="1">
      <c r="A138" s="668" t="s">
        <v>260</v>
      </c>
      <c r="B138" s="669"/>
      <c r="C138" s="671">
        <v>257.65437785433085</v>
      </c>
      <c r="D138" s="674">
        <v>183.13519529469272</v>
      </c>
      <c r="E138" s="666">
        <v>66.118821612900035</v>
      </c>
      <c r="F138" s="666">
        <v>0</v>
      </c>
      <c r="G138" s="666">
        <v>8.4003609467381786</v>
      </c>
      <c r="H138" s="676">
        <v>199.31419506885075</v>
      </c>
      <c r="I138" s="674">
        <v>0.37225106885080628</v>
      </c>
      <c r="J138" s="678">
        <v>127.70399999999999</v>
      </c>
      <c r="K138" s="666">
        <v>71.237943999999999</v>
      </c>
      <c r="L138" s="676">
        <v>7302.736484101757</v>
      </c>
      <c r="M138" s="666">
        <v>0</v>
      </c>
      <c r="N138" s="666">
        <v>0</v>
      </c>
      <c r="O138" s="666">
        <v>830.66219249999983</v>
      </c>
      <c r="P138" s="666">
        <v>962.00436969728003</v>
      </c>
      <c r="Q138" s="666">
        <v>1095.3569190907197</v>
      </c>
      <c r="R138" s="666">
        <v>15.469962346277839</v>
      </c>
      <c r="S138" s="666">
        <v>187.88084937540125</v>
      </c>
      <c r="T138" s="666">
        <v>3833.6812396704358</v>
      </c>
      <c r="U138" s="666">
        <v>145.4444052742318</v>
      </c>
      <c r="V138" s="666">
        <v>-5.5141208563533439E-2</v>
      </c>
      <c r="W138" s="666">
        <v>195.56026412750296</v>
      </c>
      <c r="X138" s="666">
        <v>1.2218380210726456</v>
      </c>
      <c r="Y138" s="666">
        <v>35.509585207400512</v>
      </c>
      <c r="Z138" s="676">
        <v>1921.4292269183238</v>
      </c>
      <c r="AA138" s="672">
        <v>453.90773416750153</v>
      </c>
      <c r="AB138" s="677">
        <v>0</v>
      </c>
      <c r="AC138" s="667">
        <v>0</v>
      </c>
      <c r="AD138" s="667">
        <v>237.04871700223623</v>
      </c>
      <c r="AE138" s="667">
        <v>0</v>
      </c>
      <c r="AF138" s="667">
        <v>9.7770611234061491</v>
      </c>
      <c r="AG138" s="667">
        <v>149.27283699801595</v>
      </c>
      <c r="AH138" s="673">
        <v>13.54608560366562</v>
      </c>
      <c r="AI138" s="675">
        <v>44.263033440177487</v>
      </c>
      <c r="AJ138" s="676">
        <v>54.722939604974087</v>
      </c>
      <c r="AK138" s="676">
        <v>2343.6109186821886</v>
      </c>
      <c r="AL138" s="672">
        <v>0</v>
      </c>
      <c r="AM138" s="670">
        <v>12533.375876397926</v>
      </c>
    </row>
  </sheetData>
  <pageMargins left="0.19685039370078741" right="0.19685039370078741" top="0.59055118110236227" bottom="0.78740157480314965" header="0.31496062992125984" footer="0.19685039370078741"/>
  <pageSetup paperSize="9" scale="42" fitToHeight="0" orientation="landscape" cellComments="asDisplayed" r:id="rId1"/>
  <headerFooter alignWithMargins="0">
    <oddHeader>&amp;C&amp;"Myriad Pro,Regular"&amp;14Ireland's Energy Balance &amp;A</oddHeader>
    <oddFooter>&amp;L&amp;G&amp;RPage &amp;P of &amp;N</oddFooter>
  </headerFooter>
  <legacyDrawingHF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F2DFA-A498-428E-8EBC-6735D731296E}">
  <sheetPr codeName="Sheet14">
    <tabColor theme="0" tint="-0.499984740745262"/>
  </sheetPr>
  <dimension ref="A1:C2"/>
  <sheetViews>
    <sheetView workbookViewId="0">
      <selection activeCell="N37" sqref="N37"/>
    </sheetView>
  </sheetViews>
  <sheetFormatPr defaultColWidth="9.140625" defaultRowHeight="15"/>
  <cols>
    <col min="1" max="16384" width="9.140625" style="237"/>
  </cols>
  <sheetData>
    <row r="1" spans="1:3">
      <c r="A1" s="152" t="s">
        <v>269</v>
      </c>
    </row>
    <row r="2" spans="1:3">
      <c r="A2" s="237" t="s">
        <v>116</v>
      </c>
      <c r="B2" s="237">
        <v>4.1868000000000002E-2</v>
      </c>
      <c r="C2" s="237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B2:L94"/>
  <sheetViews>
    <sheetView topLeftCell="A27" zoomScale="83" zoomScaleNormal="100" workbookViewId="0">
      <selection activeCell="H54" sqref="H54"/>
    </sheetView>
  </sheetViews>
  <sheetFormatPr defaultColWidth="9.140625" defaultRowHeight="15"/>
  <cols>
    <col min="1" max="1" width="9.140625" style="201"/>
    <col min="2" max="2" width="19" style="201" customWidth="1"/>
    <col min="3" max="3" width="18.28515625" style="201" bestFit="1" customWidth="1"/>
    <col min="4" max="4" width="49.85546875" style="201" customWidth="1"/>
    <col min="5" max="16384" width="9.140625" style="201"/>
  </cols>
  <sheetData>
    <row r="2" spans="2:10">
      <c r="B2" s="484" t="s">
        <v>14</v>
      </c>
      <c r="C2" s="485"/>
      <c r="D2" s="485"/>
      <c r="E2" s="485"/>
      <c r="F2" s="485"/>
      <c r="G2" s="485"/>
      <c r="H2" s="485"/>
      <c r="I2" s="485"/>
    </row>
    <row r="3" spans="2:10" ht="15.75" thickBot="1">
      <c r="B3" s="481" t="s">
        <v>15</v>
      </c>
      <c r="C3" s="481" t="s">
        <v>16</v>
      </c>
      <c r="D3" s="481" t="s">
        <v>17</v>
      </c>
      <c r="E3" s="481" t="s">
        <v>18</v>
      </c>
      <c r="F3" s="481" t="s">
        <v>19</v>
      </c>
      <c r="G3" s="481" t="s">
        <v>20</v>
      </c>
      <c r="H3" s="481" t="s">
        <v>21</v>
      </c>
      <c r="I3" s="481" t="s">
        <v>22</v>
      </c>
    </row>
    <row r="4" spans="2:10" ht="28.5" customHeight="1">
      <c r="B4" s="486" t="s">
        <v>423</v>
      </c>
      <c r="C4" s="486" t="s">
        <v>424</v>
      </c>
      <c r="D4" s="487" t="s">
        <v>357</v>
      </c>
      <c r="E4" s="487"/>
      <c r="F4" s="487"/>
      <c r="G4" s="487"/>
      <c r="H4" s="487"/>
      <c r="I4" s="487"/>
    </row>
    <row r="5" spans="2:10" ht="28.5" customHeight="1">
      <c r="B5" s="492" t="s">
        <v>425</v>
      </c>
      <c r="C5" s="492"/>
      <c r="D5" s="493"/>
      <c r="E5" s="493"/>
      <c r="F5" s="493"/>
      <c r="G5" s="493"/>
      <c r="H5" s="493"/>
      <c r="I5" s="493"/>
    </row>
    <row r="6" spans="2:10">
      <c r="B6" s="498" t="s">
        <v>23</v>
      </c>
      <c r="C6" s="495" t="str">
        <f>CONVENTIONS!B46</f>
        <v>COABIT</v>
      </c>
      <c r="D6" s="495" t="str">
        <f>CONVENTIONS!C46</f>
        <v xml:space="preserve">Bituminous Coal </v>
      </c>
      <c r="E6" s="489" t="s">
        <v>10</v>
      </c>
      <c r="F6" s="489"/>
      <c r="G6" s="489"/>
      <c r="H6" s="489"/>
      <c r="I6" s="489"/>
    </row>
    <row r="7" spans="2:10">
      <c r="B7" s="498" t="s">
        <v>23</v>
      </c>
      <c r="C7" s="495" t="str">
        <f>CONVENTIONS!B47</f>
        <v>COAHAR</v>
      </c>
      <c r="D7" s="495" t="str">
        <f>CONVENTIONS!C47</f>
        <v xml:space="preserve">Hard Coal / Antracite </v>
      </c>
      <c r="E7" s="489" t="s">
        <v>10</v>
      </c>
      <c r="F7" s="489"/>
      <c r="G7" s="489"/>
      <c r="H7" s="489"/>
      <c r="I7" s="489"/>
    </row>
    <row r="8" spans="2:10">
      <c r="B8" s="498" t="s">
        <v>23</v>
      </c>
      <c r="C8" s="495" t="str">
        <f>CONVENTIONS!B48</f>
        <v>COACOK</v>
      </c>
      <c r="D8" s="495" t="str">
        <f>CONVENTIONS!C48</f>
        <v xml:space="preserve">Coke Coal </v>
      </c>
      <c r="E8" s="489" t="s">
        <v>10</v>
      </c>
      <c r="F8" s="489"/>
      <c r="G8" s="489"/>
      <c r="H8" s="489"/>
      <c r="I8" s="489"/>
    </row>
    <row r="9" spans="2:10">
      <c r="B9" s="498" t="s">
        <v>23</v>
      </c>
      <c r="C9" s="495" t="str">
        <f>CONVENTIONS!B49</f>
        <v>COALIG</v>
      </c>
      <c r="D9" s="495" t="str">
        <f>CONVENTIONS!C49</f>
        <v xml:space="preserve">Lignite /  Brown Coal </v>
      </c>
      <c r="E9" s="489" t="s">
        <v>10</v>
      </c>
      <c r="F9" s="489"/>
      <c r="G9" s="489"/>
      <c r="H9" s="489"/>
      <c r="I9" s="489"/>
    </row>
    <row r="10" spans="2:10">
      <c r="B10" s="498" t="s">
        <v>23</v>
      </c>
      <c r="C10" s="495" t="str">
        <f>CONVENTIONS!B50</f>
        <v>PEAT</v>
      </c>
      <c r="D10" s="495" t="str">
        <f>CONVENTIONS!C50</f>
        <v xml:space="preserve">Peat </v>
      </c>
      <c r="E10" s="489" t="s">
        <v>10</v>
      </c>
      <c r="F10" s="489"/>
      <c r="G10" s="489"/>
      <c r="H10" s="489"/>
      <c r="I10" s="489"/>
    </row>
    <row r="11" spans="2:10">
      <c r="B11" s="498" t="s">
        <v>23</v>
      </c>
      <c r="C11" s="495" t="str">
        <f>CONVENTIONS!B51</f>
        <v>OILCRD</v>
      </c>
      <c r="D11" s="495" t="str">
        <f>CONVENTIONS!C51</f>
        <v xml:space="preserve">Crude Oil </v>
      </c>
      <c r="E11" s="489" t="s">
        <v>10</v>
      </c>
      <c r="F11" s="489"/>
      <c r="G11" s="489"/>
      <c r="H11" s="489"/>
      <c r="I11" s="489"/>
    </row>
    <row r="12" spans="2:10">
      <c r="B12" s="498" t="s">
        <v>23</v>
      </c>
      <c r="C12" s="495" t="str">
        <f>CONVENTIONS!B52</f>
        <v>OILRFG</v>
      </c>
      <c r="D12" s="495" t="str">
        <f>CONVENTIONS!C52</f>
        <v xml:space="preserve">Refinery Gas </v>
      </c>
      <c r="E12" s="489" t="s">
        <v>10</v>
      </c>
      <c r="F12" s="489"/>
      <c r="G12" s="489"/>
      <c r="H12" s="489"/>
      <c r="I12" s="489"/>
      <c r="J12" s="426"/>
    </row>
    <row r="13" spans="2:10">
      <c r="B13" s="498" t="s">
        <v>23</v>
      </c>
      <c r="C13" s="495" t="str">
        <f>CONVENTIONS!B53</f>
        <v>OILKER</v>
      </c>
      <c r="D13" s="495" t="str">
        <f>CONVENTIONS!C53</f>
        <v xml:space="preserve">Kerosene </v>
      </c>
      <c r="E13" s="489" t="s">
        <v>10</v>
      </c>
      <c r="F13" s="489"/>
      <c r="G13" s="489"/>
      <c r="H13" s="489"/>
      <c r="I13" s="489"/>
      <c r="J13" s="426"/>
    </row>
    <row r="14" spans="2:10">
      <c r="B14" s="498" t="s">
        <v>23</v>
      </c>
      <c r="C14" s="495" t="str">
        <f>CONVENTIONS!B54</f>
        <v>OILHFO</v>
      </c>
      <c r="D14" s="495" t="str">
        <f>CONVENTIONS!C54</f>
        <v xml:space="preserve">Heavy Fuel Oil </v>
      </c>
      <c r="E14" s="489" t="s">
        <v>10</v>
      </c>
      <c r="F14" s="489"/>
      <c r="G14" s="489"/>
      <c r="H14" s="489"/>
      <c r="I14" s="489"/>
    </row>
    <row r="15" spans="2:10">
      <c r="B15" s="498" t="s">
        <v>23</v>
      </c>
      <c r="C15" s="495" t="str">
        <f>CONVENTIONS!B55</f>
        <v>OILDST</v>
      </c>
      <c r="D15" s="495" t="str">
        <f>CONVENTIONS!C55</f>
        <v xml:space="preserve">Diesel Oil </v>
      </c>
      <c r="E15" s="489" t="s">
        <v>10</v>
      </c>
      <c r="F15" s="489"/>
      <c r="G15" s="489"/>
      <c r="H15" s="489"/>
      <c r="I15" s="489"/>
    </row>
    <row r="16" spans="2:10">
      <c r="B16" s="498" t="s">
        <v>23</v>
      </c>
      <c r="C16" s="495" t="str">
        <f>CONVENTIONS!B56</f>
        <v>OILLPG</v>
      </c>
      <c r="D16" s="495" t="str">
        <f>CONVENTIONS!C56</f>
        <v xml:space="preserve">Liquified Petroleum Gas </v>
      </c>
      <c r="E16" s="489" t="s">
        <v>10</v>
      </c>
      <c r="F16" s="489"/>
      <c r="G16" s="489"/>
      <c r="H16" s="489"/>
      <c r="I16" s="489"/>
    </row>
    <row r="17" spans="2:9">
      <c r="B17" s="498" t="s">
        <v>23</v>
      </c>
      <c r="C17" s="495" t="str">
        <f>CONVENTIONS!B57</f>
        <v>OILGSL</v>
      </c>
      <c r="D17" s="495" t="str">
        <f>CONVENTIONS!C57</f>
        <v xml:space="preserve">Gasoline </v>
      </c>
      <c r="E17" s="489" t="s">
        <v>10</v>
      </c>
      <c r="F17" s="489"/>
      <c r="G17" s="489"/>
      <c r="H17" s="489"/>
      <c r="I17" s="489"/>
    </row>
    <row r="18" spans="2:9">
      <c r="B18" s="498" t="s">
        <v>23</v>
      </c>
      <c r="C18" s="495" t="str">
        <f>CONVENTIONS!B58</f>
        <v>OILCOK</v>
      </c>
      <c r="D18" s="495" t="str">
        <f>CONVENTIONS!C58</f>
        <v xml:space="preserve">Petroleum Coke </v>
      </c>
      <c r="E18" s="489" t="s">
        <v>10</v>
      </c>
      <c r="F18" s="489"/>
      <c r="G18" s="489"/>
      <c r="H18" s="489"/>
      <c r="I18" s="489"/>
    </row>
    <row r="19" spans="2:9">
      <c r="B19" s="498" t="s">
        <v>23</v>
      </c>
      <c r="C19" s="495" t="str">
        <f>CONVENTIONS!B59</f>
        <v>OILNAP</v>
      </c>
      <c r="D19" s="495" t="str">
        <f>CONVENTIONS!C59</f>
        <v xml:space="preserve">Naphta </v>
      </c>
      <c r="E19" s="489" t="s">
        <v>10</v>
      </c>
      <c r="F19" s="489"/>
      <c r="G19" s="489"/>
      <c r="H19" s="489"/>
      <c r="I19" s="489"/>
    </row>
    <row r="20" spans="2:9">
      <c r="B20" s="498" t="s">
        <v>23</v>
      </c>
      <c r="C20" s="495" t="str">
        <f>CONVENTIONS!B60</f>
        <v>OILNEU</v>
      </c>
      <c r="D20" s="495" t="str">
        <f>CONVENTIONS!C60</f>
        <v>Oil for Non-Energy uses</v>
      </c>
      <c r="E20" s="489" t="s">
        <v>10</v>
      </c>
      <c r="F20" s="489"/>
      <c r="G20" s="489"/>
      <c r="H20" s="489"/>
      <c r="I20" s="489"/>
    </row>
    <row r="21" spans="2:9">
      <c r="B21" s="498" t="s">
        <v>23</v>
      </c>
      <c r="C21" s="495" t="str">
        <f>CONVENTIONS!B61</f>
        <v>GASNAT</v>
      </c>
      <c r="D21" s="495" t="str">
        <f>CONVENTIONS!C61</f>
        <v xml:space="preserve">Natural Gas </v>
      </c>
      <c r="E21" s="489" t="s">
        <v>10</v>
      </c>
      <c r="F21" s="489"/>
      <c r="G21" s="489" t="s">
        <v>73</v>
      </c>
      <c r="H21" s="489"/>
      <c r="I21" s="489"/>
    </row>
    <row r="22" spans="2:9">
      <c r="B22" s="498" t="s">
        <v>23</v>
      </c>
      <c r="C22" s="495" t="str">
        <f>CONVENTIONS!B62</f>
        <v>GASLNG</v>
      </c>
      <c r="D22" s="495" t="str">
        <f>CONVENTIONS!C62</f>
        <v xml:space="preserve">Liquified Natural Gas </v>
      </c>
      <c r="E22" s="489" t="s">
        <v>10</v>
      </c>
      <c r="F22" s="489"/>
      <c r="G22" s="489" t="s">
        <v>73</v>
      </c>
      <c r="H22" s="489"/>
      <c r="I22" s="489"/>
    </row>
    <row r="23" spans="2:9">
      <c r="B23" s="498" t="s">
        <v>23</v>
      </c>
      <c r="C23" s="495" t="str">
        <f>CONVENTIONS!B63</f>
        <v>NUCURM</v>
      </c>
      <c r="D23" s="495" t="str">
        <f>CONVENTIONS!C63</f>
        <v>Uranium</v>
      </c>
      <c r="E23" s="489" t="s">
        <v>10</v>
      </c>
      <c r="F23" s="489"/>
      <c r="G23" s="489"/>
      <c r="H23" s="489"/>
      <c r="I23" s="489"/>
    </row>
    <row r="24" spans="2:9">
      <c r="B24" s="498" t="s">
        <v>23</v>
      </c>
      <c r="C24" s="495" t="str">
        <f>CONVENTIONS!B64</f>
        <v>RENHYD</v>
      </c>
      <c r="D24" s="495" t="str">
        <f>CONVENTIONS!C64</f>
        <v xml:space="preserve">Hydro </v>
      </c>
      <c r="E24" s="489" t="s">
        <v>10</v>
      </c>
      <c r="F24" s="489"/>
      <c r="G24" s="489"/>
      <c r="H24" s="489"/>
      <c r="I24" s="489"/>
    </row>
    <row r="25" spans="2:9">
      <c r="B25" s="498" t="s">
        <v>23</v>
      </c>
      <c r="C25" s="495" t="str">
        <f>CONVENTIONS!B65</f>
        <v>RENWIN</v>
      </c>
      <c r="D25" s="495" t="str">
        <f>CONVENTIONS!C65</f>
        <v xml:space="preserve">Wind </v>
      </c>
      <c r="E25" s="489" t="s">
        <v>10</v>
      </c>
      <c r="F25" s="489"/>
      <c r="G25" s="489"/>
      <c r="H25" s="489"/>
      <c r="I25" s="489"/>
    </row>
    <row r="26" spans="2:9">
      <c r="B26" s="498" t="s">
        <v>23</v>
      </c>
      <c r="C26" s="495" t="str">
        <f>CONVENTIONS!B66</f>
        <v>RENSOL</v>
      </c>
      <c r="D26" s="495" t="str">
        <f>CONVENTIONS!C66</f>
        <v xml:space="preserve">Solar </v>
      </c>
      <c r="E26" s="489" t="s">
        <v>10</v>
      </c>
      <c r="F26" s="489"/>
      <c r="G26" s="489"/>
      <c r="H26" s="489"/>
      <c r="I26" s="489"/>
    </row>
    <row r="27" spans="2:9">
      <c r="B27" s="498" t="s">
        <v>23</v>
      </c>
      <c r="C27" s="495" t="str">
        <f>CONVENTIONS!B67</f>
        <v>MSWAS</v>
      </c>
      <c r="D27" s="495" t="str">
        <f>CONVENTIONS!C67</f>
        <v xml:space="preserve">Municipal Solid Waste </v>
      </c>
      <c r="E27" s="489" t="s">
        <v>10</v>
      </c>
      <c r="F27" s="489"/>
      <c r="G27" s="489"/>
      <c r="H27" s="489"/>
      <c r="I27" s="489"/>
    </row>
    <row r="28" spans="2:9">
      <c r="B28" s="498" t="s">
        <v>23</v>
      </c>
      <c r="C28" s="495" t="str">
        <f>CONVENTIONS!B68</f>
        <v>RENOCE</v>
      </c>
      <c r="D28" s="495" t="str">
        <f>CONVENTIONS!C68</f>
        <v xml:space="preserve">Ocean </v>
      </c>
      <c r="E28" s="489" t="s">
        <v>10</v>
      </c>
      <c r="F28" s="489"/>
      <c r="G28" s="489"/>
      <c r="H28" s="489"/>
      <c r="I28" s="489"/>
    </row>
    <row r="29" spans="2:9">
      <c r="B29" s="498" t="s">
        <v>23</v>
      </c>
      <c r="C29" s="495" t="str">
        <f>CONVENTIONS!B69</f>
        <v>RENGEO</v>
      </c>
      <c r="D29" s="495" t="str">
        <f>CONVENTIONS!C69</f>
        <v xml:space="preserve">Geothermal </v>
      </c>
      <c r="E29" s="489" t="s">
        <v>10</v>
      </c>
      <c r="F29" s="489"/>
      <c r="G29" s="489"/>
      <c r="H29" s="489"/>
      <c r="I29" s="489"/>
    </row>
    <row r="30" spans="2:9">
      <c r="B30" s="498" t="s">
        <v>23</v>
      </c>
      <c r="C30" s="495" t="str">
        <f>CONVENTIONS!B70</f>
        <v>BIOETH1G</v>
      </c>
      <c r="D30" s="495" t="str">
        <f>CONVENTIONS!C70</f>
        <v xml:space="preserve">Ethanol 1st generation </v>
      </c>
      <c r="E30" s="489" t="s">
        <v>10</v>
      </c>
      <c r="F30" s="489"/>
      <c r="G30" s="489"/>
      <c r="H30" s="489"/>
      <c r="I30" s="489"/>
    </row>
    <row r="31" spans="2:9">
      <c r="B31" s="498" t="s">
        <v>23</v>
      </c>
      <c r="C31" s="495" t="str">
        <f>CONVENTIONS!B71</f>
        <v>BIOETH2G</v>
      </c>
      <c r="D31" s="495" t="str">
        <f>CONVENTIONS!C71</f>
        <v xml:space="preserve">Ethanol 2nd generation </v>
      </c>
      <c r="E31" s="489" t="s">
        <v>10</v>
      </c>
      <c r="F31" s="489"/>
      <c r="G31" s="489"/>
      <c r="H31" s="489"/>
      <c r="I31" s="489"/>
    </row>
    <row r="32" spans="2:9">
      <c r="B32" s="498" t="s">
        <v>23</v>
      </c>
      <c r="C32" s="495" t="str">
        <f>CONVENTIONS!B72</f>
        <v>BIODST1G</v>
      </c>
      <c r="D32" s="495" t="str">
        <f>CONVENTIONS!C72</f>
        <v xml:space="preserve">Biodiesel 1st generation </v>
      </c>
      <c r="E32" s="489" t="s">
        <v>10</v>
      </c>
      <c r="F32" s="489"/>
      <c r="G32" s="489"/>
      <c r="H32" s="489"/>
      <c r="I32" s="489"/>
    </row>
    <row r="33" spans="2:9">
      <c r="B33" s="498" t="s">
        <v>23</v>
      </c>
      <c r="C33" s="495" t="str">
        <f>CONVENTIONS!B73</f>
        <v>BIODST2G</v>
      </c>
      <c r="D33" s="495" t="str">
        <f>CONVENTIONS!C73</f>
        <v xml:space="preserve">Biodiesel 1nd generation </v>
      </c>
      <c r="E33" s="489" t="s">
        <v>10</v>
      </c>
      <c r="F33" s="489"/>
      <c r="G33" s="489"/>
      <c r="H33" s="489"/>
      <c r="I33" s="489"/>
    </row>
    <row r="34" spans="2:9">
      <c r="B34" s="498" t="s">
        <v>23</v>
      </c>
      <c r="C34" s="495" t="str">
        <f>CONVENTIONS!B74</f>
        <v>BIOGAS1G</v>
      </c>
      <c r="D34" s="495" t="str">
        <f>CONVENTIONS!C74</f>
        <v xml:space="preserve">Biogas 1st generation </v>
      </c>
      <c r="E34" s="489" t="s">
        <v>10</v>
      </c>
      <c r="F34" s="489"/>
      <c r="G34" s="489"/>
      <c r="H34" s="489"/>
      <c r="I34" s="489"/>
    </row>
    <row r="35" spans="2:9">
      <c r="B35" s="498" t="s">
        <v>23</v>
      </c>
      <c r="C35" s="495" t="str">
        <f>CONVENTIONS!B75</f>
        <v>BIOGAS2G</v>
      </c>
      <c r="D35" s="495" t="str">
        <f>CONVENTIONS!C75</f>
        <v xml:space="preserve">Biogas 2nd generation </v>
      </c>
      <c r="E35" s="489" t="s">
        <v>10</v>
      </c>
      <c r="F35" s="489"/>
      <c r="G35" s="489"/>
      <c r="H35" s="489"/>
      <c r="I35" s="489"/>
    </row>
    <row r="36" spans="2:9">
      <c r="B36" s="498" t="s">
        <v>23</v>
      </c>
      <c r="C36" s="495" t="str">
        <f>CONVENTIONS!B76</f>
        <v>BIOWOO</v>
      </c>
      <c r="D36" s="495" t="str">
        <f>CONVENTIONS!C76</f>
        <v xml:space="preserve">Biomass - generic </v>
      </c>
      <c r="E36" s="489" t="s">
        <v>10</v>
      </c>
      <c r="F36" s="489"/>
      <c r="G36" s="489"/>
      <c r="H36" s="489"/>
      <c r="I36" s="489"/>
    </row>
    <row r="37" spans="2:9">
      <c r="B37" s="498" t="s">
        <v>23</v>
      </c>
      <c r="C37" s="495" t="str">
        <f>CONVENTIONS!B77</f>
        <v>BIOWOO1</v>
      </c>
      <c r="D37" s="495" t="str">
        <f>CONVENTIONS!C77</f>
        <v>Sawmill residues</v>
      </c>
      <c r="E37" s="489" t="s">
        <v>10</v>
      </c>
      <c r="F37" s="489"/>
      <c r="G37" s="489"/>
      <c r="H37" s="489"/>
      <c r="I37" s="489"/>
    </row>
    <row r="38" spans="2:9">
      <c r="B38" s="498" t="s">
        <v>23</v>
      </c>
      <c r="C38" s="495" t="str">
        <f>CONVENTIONS!B78</f>
        <v>BIOWOO2</v>
      </c>
      <c r="D38" s="495" t="str">
        <f>CONVENTIONS!C78</f>
        <v>Post-Consumer Recycled Wood</v>
      </c>
      <c r="E38" s="489" t="s">
        <v>10</v>
      </c>
      <c r="F38" s="489"/>
      <c r="G38" s="489"/>
      <c r="H38" s="489"/>
      <c r="I38" s="489"/>
    </row>
    <row r="39" spans="2:9">
      <c r="B39" s="498" t="s">
        <v>23</v>
      </c>
      <c r="C39" s="495" t="str">
        <f>CONVENTIONS!B79</f>
        <v>BIOWOO3</v>
      </c>
      <c r="D39" s="495" t="str">
        <f>CONVENTIONS!C79</f>
        <v>Straw</v>
      </c>
      <c r="E39" s="489" t="s">
        <v>10</v>
      </c>
      <c r="F39" s="489"/>
      <c r="G39" s="489"/>
      <c r="H39" s="489"/>
      <c r="I39" s="489"/>
    </row>
    <row r="40" spans="2:9">
      <c r="B40" s="498" t="s">
        <v>23</v>
      </c>
      <c r="C40" s="495" t="str">
        <f>CONVENTIONS!B80</f>
        <v>BIOWPE</v>
      </c>
      <c r="D40" s="495" t="str">
        <f>CONVENTIONS!C80</f>
        <v xml:space="preserve">Wood Pellets </v>
      </c>
      <c r="E40" s="489" t="s">
        <v>10</v>
      </c>
      <c r="F40" s="489"/>
      <c r="G40" s="489"/>
      <c r="H40" s="489"/>
      <c r="I40" s="489"/>
    </row>
    <row r="41" spans="2:9">
      <c r="B41" s="498" t="s">
        <v>23</v>
      </c>
      <c r="C41" s="495" t="str">
        <f>CONVENTIONS!B81</f>
        <v>BIOWCH</v>
      </c>
      <c r="D41" s="495" t="str">
        <f>CONVENTIONS!C81</f>
        <v xml:space="preserve">Wood Chip </v>
      </c>
      <c r="E41" s="489" t="s">
        <v>10</v>
      </c>
      <c r="F41" s="489"/>
      <c r="G41" s="489"/>
      <c r="H41" s="489"/>
      <c r="I41" s="489"/>
    </row>
    <row r="42" spans="2:9">
      <c r="B42" s="498" t="s">
        <v>23</v>
      </c>
      <c r="C42" s="495" t="str">
        <f>CONVENTIONS!B82</f>
        <v>BIOMSW1</v>
      </c>
      <c r="D42" s="495" t="str">
        <f>CONVENTIONS!C82</f>
        <v xml:space="preserve">Biodegradable Municipal Solid Waste potential - Solid </v>
      </c>
      <c r="E42" s="489" t="s">
        <v>10</v>
      </c>
      <c r="F42" s="489"/>
      <c r="G42" s="489"/>
      <c r="H42" s="489"/>
      <c r="I42" s="489"/>
    </row>
    <row r="43" spans="2:9">
      <c r="B43" s="498" t="s">
        <v>23</v>
      </c>
      <c r="C43" s="495" t="str">
        <f>CONVENTIONS!B83</f>
        <v>BIOMSW2</v>
      </c>
      <c r="D43" s="495" t="str">
        <f>CONVENTIONS!C83</f>
        <v xml:space="preserve">Biodegradable Municipal Solid Waste </v>
      </c>
      <c r="E43" s="489" t="s">
        <v>10</v>
      </c>
      <c r="F43" s="489"/>
      <c r="G43" s="489"/>
      <c r="H43" s="489"/>
      <c r="I43" s="489"/>
    </row>
    <row r="44" spans="2:9">
      <c r="B44" s="498" t="s">
        <v>23</v>
      </c>
      <c r="C44" s="495" t="str">
        <f>CONVENTIONS!B84</f>
        <v>BIOTLW</v>
      </c>
      <c r="D44" s="495" t="str">
        <f>CONVENTIONS!C84</f>
        <v xml:space="preserve">Tallow </v>
      </c>
      <c r="E44" s="489" t="s">
        <v>10</v>
      </c>
      <c r="F44" s="489"/>
      <c r="G44" s="489"/>
      <c r="H44" s="489"/>
      <c r="I44" s="489"/>
    </row>
    <row r="45" spans="2:9">
      <c r="B45" s="498" t="s">
        <v>23</v>
      </c>
      <c r="C45" s="495" t="str">
        <f>CONVENTIONS!B85</f>
        <v>BIORVO</v>
      </c>
      <c r="D45" s="495" t="str">
        <f>CONVENTIONS!C85</f>
        <v xml:space="preserve">Recovered Vegetable Oil </v>
      </c>
      <c r="E45" s="489" t="s">
        <v>10</v>
      </c>
      <c r="F45" s="489"/>
      <c r="G45" s="489"/>
      <c r="H45" s="489"/>
      <c r="I45" s="489"/>
    </row>
    <row r="46" spans="2:9" s="458" customFormat="1">
      <c r="B46" s="498" t="s">
        <v>23</v>
      </c>
      <c r="C46" s="495" t="str">
        <f>CONVENTIONS!B86</f>
        <v>BIOCATW</v>
      </c>
      <c r="D46" s="495" t="str">
        <f>CONVENTIONS!C86</f>
        <v xml:space="preserve">Cattle Waste </v>
      </c>
      <c r="E46" s="489" t="s">
        <v>10</v>
      </c>
      <c r="F46" s="489"/>
      <c r="G46" s="489"/>
      <c r="H46" s="489"/>
      <c r="I46" s="489"/>
    </row>
    <row r="47" spans="2:9" s="458" customFormat="1">
      <c r="B47" s="498" t="s">
        <v>23</v>
      </c>
      <c r="C47" s="495" t="str">
        <f>CONVENTIONS!B87</f>
        <v>BIOPIGW</v>
      </c>
      <c r="D47" s="495" t="str">
        <f>CONVENTIONS!C87</f>
        <v xml:space="preserve">Pig Waste </v>
      </c>
      <c r="E47" s="489" t="s">
        <v>10</v>
      </c>
      <c r="F47" s="489"/>
      <c r="G47" s="489"/>
      <c r="H47" s="489"/>
      <c r="I47" s="489"/>
    </row>
    <row r="48" spans="2:9">
      <c r="B48" s="498" t="s">
        <v>23</v>
      </c>
      <c r="C48" s="504" t="str">
        <f>CONVENTIONS!B88</f>
        <v>BIOINDF</v>
      </c>
      <c r="D48" s="504" t="str">
        <f>CONVENTIONS!C88</f>
        <v xml:space="preserve">Industrial Food Waste </v>
      </c>
      <c r="E48" s="498" t="s">
        <v>10</v>
      </c>
      <c r="F48" s="498"/>
      <c r="G48" s="498"/>
      <c r="H48" s="498"/>
      <c r="I48" s="498"/>
    </row>
    <row r="49" spans="2:12">
      <c r="B49" s="498" t="s">
        <v>23</v>
      </c>
      <c r="C49" s="495" t="str">
        <f>CONVENTIONS!$B$4&amp;CONVENTIONS!B13</f>
        <v>SUPCOA</v>
      </c>
      <c r="D49" s="495" t="str">
        <f>CONVENTIONS!C13 &amp; " (" &amp; CONVENTIONS!$B$4 &amp; ")"</f>
        <v>Coal (SUP)</v>
      </c>
      <c r="E49" s="489" t="s">
        <v>10</v>
      </c>
      <c r="F49" s="489"/>
      <c r="G49" s="489"/>
      <c r="H49" s="489"/>
      <c r="I49" s="489"/>
    </row>
    <row r="50" spans="2:12">
      <c r="B50" s="498" t="s">
        <v>23</v>
      </c>
      <c r="C50" s="495" t="str">
        <f>CONVENTIONS!$B$4&amp;CONVENTIONS!B20</f>
        <v>SUPNGA</v>
      </c>
      <c r="D50" s="495" t="str">
        <f>CONVENTIONS!C20 &amp; " (" &amp; CONVENTIONS!$B$4 &amp; ")"</f>
        <v>Natural Gas (SUP)</v>
      </c>
      <c r="E50" s="489" t="s">
        <v>10</v>
      </c>
      <c r="F50" s="489"/>
      <c r="G50" s="489"/>
      <c r="H50" s="489"/>
      <c r="I50" s="489"/>
    </row>
    <row r="51" spans="2:12">
      <c r="B51" s="498" t="s">
        <v>23</v>
      </c>
      <c r="C51" s="495" t="str">
        <f>CONVENTIONS!$B$4&amp;CONVENTIONS!B21</f>
        <v>SUPBIO</v>
      </c>
      <c r="D51" s="495" t="str">
        <f>CONVENTIONS!C21 &amp; " (" &amp; CONVENTIONS!$B$4 &amp; ")"</f>
        <v>Biomass (SUP)</v>
      </c>
      <c r="E51" s="489" t="s">
        <v>10</v>
      </c>
      <c r="F51" s="489"/>
      <c r="G51" s="489"/>
      <c r="H51" s="489"/>
      <c r="I51" s="489"/>
    </row>
    <row r="52" spans="2:12">
      <c r="B52" s="498" t="s">
        <v>23</v>
      </c>
      <c r="C52" s="495" t="str">
        <f>CONVENTIONS!$B$4&amp;CONVENTIONS!B43</f>
        <v>SUPELC</v>
      </c>
      <c r="D52" s="495" t="str">
        <f>CONVENTIONS!C43 &amp; " (" &amp; CONVENTIONS!$B$4 &amp; ")"</f>
        <v>Electricity (SUP)</v>
      </c>
      <c r="E52" s="489" t="s">
        <v>10</v>
      </c>
      <c r="F52" s="489"/>
      <c r="G52" s="489"/>
      <c r="H52" s="489"/>
      <c r="I52" s="489"/>
    </row>
    <row r="53" spans="2:12">
      <c r="B53" s="498" t="s">
        <v>23</v>
      </c>
      <c r="C53" s="495" t="str">
        <f>CONVENTIONS!$B$4&amp;CONVENTIONS!B45</f>
        <v>SUPWAS</v>
      </c>
      <c r="D53" s="495" t="str">
        <f>CONVENTIONS!C45 &amp; " (" &amp; CONVENTIONS!$B$4 &amp; ")"</f>
        <v>Waste (SUP)</v>
      </c>
      <c r="E53" s="489" t="s">
        <v>10</v>
      </c>
      <c r="F53" s="489"/>
      <c r="G53" s="489"/>
      <c r="H53" s="489"/>
      <c r="I53" s="489"/>
    </row>
    <row r="54" spans="2:12" s="458" customFormat="1">
      <c r="B54" s="498" t="s">
        <v>23</v>
      </c>
      <c r="C54" s="495" t="str">
        <f>CONVENTIONS!$B$43&amp;CONVENTIONS!P4</f>
        <v>ELCC</v>
      </c>
      <c r="D54" s="495" t="str">
        <f>CONVENTIONS!$C$43 &amp;  " - " &amp; CONVENTIONS!Q4</f>
        <v>Electricity - centralised</v>
      </c>
      <c r="E54" s="489" t="s">
        <v>10</v>
      </c>
      <c r="F54" s="489"/>
      <c r="G54" s="489"/>
      <c r="H54" s="489"/>
      <c r="I54" s="489"/>
    </row>
    <row r="55" spans="2:12">
      <c r="B55" s="498" t="s">
        <v>23</v>
      </c>
      <c r="C55" s="495" t="str">
        <f>CONVENTIONS!$B$4&amp;CONVENTIONS!$B$89&amp;CONVENTIONS!M4&amp;CONVENTIONS!P4</f>
        <v>SUPH2GC</v>
      </c>
      <c r="D55" s="495" t="str">
        <f>CONVENTIONS!$C$89 &amp; " " &amp; CONVENTIONS!N4 &amp; " - " &amp; CONVENTIONS!Q4&amp; " (" &amp; CONVENTIONS!$B$4 &amp; ")"</f>
        <v>Hydrogen gaseous - centralised (SUP)</v>
      </c>
      <c r="E55" s="489" t="s">
        <v>10</v>
      </c>
      <c r="F55" s="489"/>
      <c r="G55" s="489" t="s">
        <v>73</v>
      </c>
      <c r="H55" s="489"/>
      <c r="I55" s="489"/>
    </row>
    <row r="56" spans="2:12">
      <c r="B56" s="498" t="s">
        <v>23</v>
      </c>
      <c r="C56" s="495" t="str">
        <f>CONVENTIONS!$B$4&amp;CONVENTIONS!$B$89&amp;CONVENTIONS!M5&amp;CONVENTIONS!P4</f>
        <v>SUPH2LC</v>
      </c>
      <c r="D56" s="495" t="str">
        <f>CONVENTIONS!$C$89 &amp; " " &amp; CONVENTIONS!N5 &amp; " - " &amp; CONVENTIONS!Q4&amp; " (" &amp; CONVENTIONS!$B$4 &amp; ")"</f>
        <v>Hydrogen liquid - centralised (SUP)</v>
      </c>
      <c r="E56" s="489" t="s">
        <v>10</v>
      </c>
      <c r="F56" s="489"/>
      <c r="G56" s="489" t="s">
        <v>73</v>
      </c>
      <c r="H56" s="489"/>
      <c r="I56" s="489"/>
    </row>
    <row r="57" spans="2:12">
      <c r="B57" s="498" t="s">
        <v>23</v>
      </c>
      <c r="C57" s="495" t="str">
        <f>CONVENTIONS!$B$4&amp;CONVENTIONS!$B$89&amp;CONVENTIONS!M4&amp;CONVENTIONS!P5</f>
        <v>SUPH2GD</v>
      </c>
      <c r="D57" s="495" t="str">
        <f>CONVENTIONS!$C$89 &amp; " " &amp; CONVENTIONS!N4 &amp; " - " &amp; CONVENTIONS!Q5 &amp; " (" &amp; CONVENTIONS!$B$4 &amp; ")"</f>
        <v>Hydrogen gaseous - decentralised (SUP)</v>
      </c>
      <c r="E57" s="489" t="s">
        <v>10</v>
      </c>
      <c r="F57" s="489"/>
      <c r="G57" s="489" t="s">
        <v>73</v>
      </c>
      <c r="H57" s="489"/>
      <c r="I57" s="489"/>
    </row>
    <row r="58" spans="2:12">
      <c r="B58" s="498" t="s">
        <v>23</v>
      </c>
      <c r="C58" s="495" t="str">
        <f>CONVENTIONS!$B$4&amp;CONVENTIONS!$B$89&amp;CONVENTIONS!M5&amp;CONVENTIONS!P5</f>
        <v>SUPH2LD</v>
      </c>
      <c r="D58" s="495" t="str">
        <f>CONVENTIONS!$C$89 &amp; " " &amp; CONVENTIONS!N5 &amp; " - " &amp; CONVENTIONS!Q5 &amp; " (" &amp; CONVENTIONS!$B$4 &amp; ")"</f>
        <v>Hydrogen liquid - decentralised (SUP)</v>
      </c>
      <c r="E58" s="489" t="s">
        <v>10</v>
      </c>
      <c r="F58" s="489"/>
      <c r="G58" s="489" t="s">
        <v>73</v>
      </c>
      <c r="H58" s="489"/>
      <c r="I58" s="489"/>
    </row>
    <row r="59" spans="2:12">
      <c r="B59" s="505" t="s">
        <v>426</v>
      </c>
      <c r="C59" s="505"/>
      <c r="D59" s="505"/>
      <c r="E59" s="505"/>
      <c r="F59" s="505"/>
      <c r="G59" s="505"/>
      <c r="H59" s="505"/>
      <c r="I59" s="505"/>
    </row>
    <row r="60" spans="2:12">
      <c r="B60" s="498" t="s">
        <v>347</v>
      </c>
      <c r="C60" s="495" t="str">
        <f>CONVENTIONS!$B$4&amp;CONVENTIONS!M13</f>
        <v>SUPCH4N</v>
      </c>
      <c r="D60" s="495" t="str">
        <f>CONVENTIONS!N13 &amp; " (" &amp; CONVENTIONS!$B$4 &amp; ")"</f>
        <v>Methane - eNergy Emissions (SUP)</v>
      </c>
      <c r="E60" s="489" t="s">
        <v>348</v>
      </c>
      <c r="F60" s="489"/>
      <c r="G60" s="489"/>
      <c r="H60" s="489"/>
      <c r="I60" s="489"/>
    </row>
    <row r="61" spans="2:12">
      <c r="B61" s="498" t="s">
        <v>347</v>
      </c>
      <c r="C61" s="495" t="str">
        <f>CONVENTIONS!$B$4&amp;CONVENTIONS!M14</f>
        <v>SUPCH4P</v>
      </c>
      <c r="D61" s="495" t="str">
        <f>CONVENTIONS!N14 &amp; " (" &amp; CONVENTIONS!$B$4 &amp; ")"</f>
        <v>Methane Emissions - Process Emissions (SUP)</v>
      </c>
      <c r="E61" s="489" t="s">
        <v>348</v>
      </c>
      <c r="F61" s="489"/>
      <c r="G61" s="489"/>
      <c r="H61" s="489"/>
      <c r="I61" s="489"/>
    </row>
    <row r="62" spans="2:12">
      <c r="B62" s="498" t="s">
        <v>347</v>
      </c>
      <c r="C62" s="495" t="str">
        <f>CONVENTIONS!$B$4&amp;CONVENTIONS!M15</f>
        <v>SUPN2ON</v>
      </c>
      <c r="D62" s="495" t="str">
        <f>CONVENTIONS!N15 &amp; " (" &amp; CONVENTIONS!$B$4 &amp; ")"</f>
        <v>N2O Emissions - eNergy Emissions (SUP)</v>
      </c>
      <c r="E62" s="489" t="s">
        <v>348</v>
      </c>
      <c r="F62" s="489"/>
      <c r="G62" s="489"/>
      <c r="H62" s="489"/>
      <c r="I62" s="489"/>
    </row>
    <row r="63" spans="2:12">
      <c r="B63" s="498" t="s">
        <v>347</v>
      </c>
      <c r="C63" s="495" t="str">
        <f>CONVENTIONS!$B$4&amp;CONVENTIONS!M16</f>
        <v>SUPSO2N</v>
      </c>
      <c r="D63" s="495" t="str">
        <f>CONVENTIONS!N16 &amp; " (" &amp; CONVENTIONS!$B$4 &amp; ")"</f>
        <v>Sulfur dioxide - eNergy Emissions (SUP)</v>
      </c>
      <c r="E63" s="489" t="s">
        <v>348</v>
      </c>
      <c r="F63" s="489"/>
      <c r="G63" s="489"/>
      <c r="H63" s="489"/>
      <c r="I63" s="489"/>
      <c r="J63" s="458"/>
      <c r="K63" s="458"/>
      <c r="L63" s="458"/>
    </row>
    <row r="64" spans="2:12">
      <c r="B64" s="498" t="s">
        <v>347</v>
      </c>
      <c r="C64" s="495" t="str">
        <f>CONVENTIONS!$B$4&amp;CONVENTIONS!M17</f>
        <v>SUPCO2N</v>
      </c>
      <c r="D64" s="495" t="str">
        <f>CONVENTIONS!N17 &amp; " (" &amp; CONVENTIONS!$B$4 &amp; ")"</f>
        <v>Carbon Dioxide - eNergy Emissions (SUP)</v>
      </c>
      <c r="E64" s="489" t="s">
        <v>348</v>
      </c>
      <c r="F64" s="489"/>
      <c r="G64" s="489"/>
      <c r="H64" s="489"/>
      <c r="I64" s="489"/>
      <c r="J64" s="458"/>
      <c r="K64" s="458"/>
      <c r="L64" s="458"/>
    </row>
    <row r="65" spans="2:12">
      <c r="B65" s="498" t="s">
        <v>347</v>
      </c>
      <c r="C65" s="495" t="str">
        <f>CONVENTIONS!$B$4&amp;CONVENTIONS!M18</f>
        <v>SUPCO2P</v>
      </c>
      <c r="D65" s="495" t="str">
        <f>CONVENTIONS!N18 &amp; " (" &amp; CONVENTIONS!$B$4 &amp; ")"</f>
        <v>Carbon Dioxide - Process Emissions (SUP)</v>
      </c>
      <c r="E65" s="489" t="s">
        <v>348</v>
      </c>
      <c r="F65" s="489"/>
      <c r="G65" s="489"/>
      <c r="H65" s="489"/>
      <c r="I65" s="489"/>
      <c r="J65" s="458"/>
      <c r="K65" s="458"/>
      <c r="L65" s="458"/>
    </row>
    <row r="66" spans="2:12">
      <c r="B66" s="498" t="s">
        <v>347</v>
      </c>
      <c r="C66" s="495" t="str">
        <f>CONVENTIONS!$B$4&amp;CONVENTIONS!M19</f>
        <v>SUPCO2S</v>
      </c>
      <c r="D66" s="495" t="str">
        <f>CONVENTIONS!N19 &amp; " (" &amp; CONVENTIONS!$B$4 &amp; ")"</f>
        <v>Carbon Dioxide - Sequestered (SUP)</v>
      </c>
      <c r="E66" s="489" t="s">
        <v>348</v>
      </c>
      <c r="F66" s="489"/>
      <c r="G66" s="489"/>
      <c r="H66" s="489"/>
      <c r="I66" s="489"/>
      <c r="J66" s="458"/>
      <c r="K66" s="458"/>
      <c r="L66" s="458"/>
    </row>
    <row r="67" spans="2:12">
      <c r="B67" s="498" t="s">
        <v>347</v>
      </c>
      <c r="C67" s="495" t="str">
        <f>CONVENTIONS!$B$4&amp;CONVENTIONS!M20</f>
        <v>SUPNOXN</v>
      </c>
      <c r="D67" s="495" t="str">
        <f>CONVENTIONS!N20 &amp; " (" &amp; CONVENTIONS!$B$4 &amp; ")"</f>
        <v>Nitrogen Oxide  - eNergy Emissions (SUP)</v>
      </c>
      <c r="E67" s="489" t="s">
        <v>348</v>
      </c>
      <c r="F67" s="489"/>
      <c r="G67" s="489"/>
      <c r="H67" s="489"/>
      <c r="I67" s="489"/>
      <c r="J67" s="458"/>
      <c r="K67" s="458"/>
      <c r="L67" s="458"/>
    </row>
    <row r="68" spans="2:12">
      <c r="B68" s="498" t="s">
        <v>347</v>
      </c>
      <c r="C68" s="495" t="str">
        <f>CONVENTIONS!$B$4&amp;CONVENTIONS!M21</f>
        <v>SUPPM10</v>
      </c>
      <c r="D68" s="495" t="str">
        <f>CONVENTIONS!N21 &amp; " (" &amp; CONVENTIONS!$B$4 &amp; ")"</f>
        <v>Particulate Matter &lt;10 µm (SUP)</v>
      </c>
      <c r="E68" s="489" t="s">
        <v>348</v>
      </c>
      <c r="F68" s="489"/>
      <c r="G68" s="489"/>
      <c r="H68" s="489"/>
      <c r="I68" s="489"/>
    </row>
    <row r="69" spans="2:12">
      <c r="B69" s="498" t="s">
        <v>347</v>
      </c>
      <c r="C69" s="495" t="str">
        <f>CONVENTIONS!$B$4&amp;CONVENTIONS!M22</f>
        <v>SUPPM25</v>
      </c>
      <c r="D69" s="495" t="str">
        <f>CONVENTIONS!N22 &amp; " (" &amp; CONVENTIONS!$B$4 &amp; ")"</f>
        <v>Particulate Matter &lt;2.5 µm (SUP)</v>
      </c>
      <c r="E69" s="489" t="s">
        <v>348</v>
      </c>
      <c r="F69" s="489"/>
      <c r="G69" s="489"/>
      <c r="H69" s="489"/>
      <c r="I69" s="489"/>
    </row>
    <row r="71" spans="2:12">
      <c r="B71"/>
      <c r="C71"/>
      <c r="D71"/>
      <c r="E71"/>
      <c r="F71"/>
      <c r="G71"/>
      <c r="H71"/>
      <c r="I71"/>
    </row>
    <row r="72" spans="2:12">
      <c r="B72"/>
      <c r="C72"/>
      <c r="D72"/>
      <c r="E72"/>
      <c r="F72"/>
      <c r="G72"/>
      <c r="H72"/>
      <c r="I72"/>
    </row>
    <row r="73" spans="2:12">
      <c r="B73"/>
      <c r="C73"/>
      <c r="D73"/>
      <c r="E73"/>
      <c r="F73"/>
      <c r="G73"/>
      <c r="H73"/>
      <c r="I73"/>
    </row>
    <row r="74" spans="2:12">
      <c r="B74"/>
      <c r="C74"/>
      <c r="D74"/>
      <c r="E74"/>
      <c r="F74"/>
      <c r="G74"/>
      <c r="H74"/>
      <c r="I74"/>
    </row>
    <row r="75" spans="2:12">
      <c r="B75"/>
      <c r="C75"/>
      <c r="D75"/>
      <c r="E75"/>
      <c r="F75"/>
      <c r="G75"/>
      <c r="H75"/>
      <c r="I75"/>
    </row>
    <row r="76" spans="2:12">
      <c r="B76"/>
      <c r="C76"/>
      <c r="D76"/>
      <c r="E76"/>
      <c r="F76"/>
      <c r="G76"/>
      <c r="H76"/>
      <c r="I76"/>
    </row>
    <row r="77" spans="2:12">
      <c r="B77"/>
      <c r="C77"/>
      <c r="D77"/>
      <c r="E77"/>
      <c r="F77"/>
      <c r="G77"/>
      <c r="H77"/>
      <c r="I77"/>
    </row>
    <row r="78" spans="2:12">
      <c r="B78"/>
      <c r="C78"/>
      <c r="D78"/>
      <c r="E78"/>
      <c r="F78"/>
      <c r="G78"/>
      <c r="H78"/>
      <c r="I78"/>
    </row>
    <row r="79" spans="2:12">
      <c r="B79"/>
      <c r="C79"/>
      <c r="D79"/>
      <c r="E79"/>
      <c r="F79"/>
      <c r="G79"/>
      <c r="H79"/>
      <c r="I79"/>
    </row>
    <row r="80" spans="2:12">
      <c r="B80"/>
      <c r="C80"/>
      <c r="D80"/>
      <c r="E80"/>
      <c r="F80"/>
      <c r="G80"/>
      <c r="H80"/>
      <c r="I80"/>
    </row>
    <row r="81" spans="2:9">
      <c r="B81"/>
      <c r="C81"/>
      <c r="D81"/>
      <c r="E81"/>
      <c r="F81"/>
      <c r="G81"/>
      <c r="H81"/>
      <c r="I81"/>
    </row>
    <row r="82" spans="2:9">
      <c r="B82"/>
      <c r="C82"/>
      <c r="D82"/>
      <c r="E82"/>
      <c r="F82"/>
      <c r="G82"/>
      <c r="H82"/>
      <c r="I82"/>
    </row>
    <row r="83" spans="2:9">
      <c r="B83"/>
      <c r="C83"/>
      <c r="D83"/>
      <c r="E83"/>
      <c r="F83"/>
      <c r="G83"/>
      <c r="H83"/>
      <c r="I83"/>
    </row>
    <row r="84" spans="2:9">
      <c r="B84"/>
      <c r="C84"/>
      <c r="D84"/>
      <c r="E84"/>
      <c r="F84"/>
      <c r="G84"/>
      <c r="H84"/>
      <c r="I84"/>
    </row>
    <row r="85" spans="2:9">
      <c r="B85"/>
      <c r="C85"/>
      <c r="D85"/>
      <c r="E85"/>
      <c r="F85"/>
      <c r="G85"/>
      <c r="H85"/>
      <c r="I85"/>
    </row>
    <row r="86" spans="2:9">
      <c r="B86"/>
      <c r="C86"/>
      <c r="D86"/>
      <c r="E86"/>
      <c r="F86"/>
      <c r="G86"/>
      <c r="H86"/>
      <c r="I86"/>
    </row>
    <row r="87" spans="2:9">
      <c r="B87"/>
      <c r="C87"/>
      <c r="D87"/>
      <c r="E87"/>
      <c r="F87"/>
      <c r="G87"/>
      <c r="H87"/>
      <c r="I87"/>
    </row>
    <row r="88" spans="2:9">
      <c r="B88"/>
      <c r="C88"/>
      <c r="D88"/>
      <c r="E88"/>
      <c r="F88"/>
      <c r="G88"/>
      <c r="H88"/>
      <c r="I88"/>
    </row>
    <row r="89" spans="2:9">
      <c r="B89"/>
      <c r="C89"/>
      <c r="D89"/>
      <c r="E89"/>
      <c r="F89"/>
      <c r="G89"/>
      <c r="H89"/>
      <c r="I89"/>
    </row>
    <row r="90" spans="2:9">
      <c r="B90"/>
      <c r="C90"/>
      <c r="D90"/>
      <c r="E90"/>
      <c r="F90"/>
      <c r="G90"/>
      <c r="H90"/>
      <c r="I90"/>
    </row>
    <row r="91" spans="2:9">
      <c r="B91"/>
      <c r="C91"/>
      <c r="D91"/>
      <c r="E91"/>
      <c r="F91"/>
      <c r="G91"/>
      <c r="H91"/>
      <c r="I91"/>
    </row>
    <row r="92" spans="2:9">
      <c r="B92"/>
      <c r="C92"/>
      <c r="D92"/>
      <c r="E92"/>
      <c r="F92"/>
      <c r="G92"/>
      <c r="H92"/>
      <c r="I92"/>
    </row>
    <row r="93" spans="2:9">
      <c r="B93"/>
      <c r="C93"/>
      <c r="D93"/>
      <c r="E93"/>
      <c r="F93"/>
      <c r="G93"/>
      <c r="H93"/>
      <c r="I93"/>
    </row>
    <row r="94" spans="2:9">
      <c r="B94"/>
      <c r="C94"/>
      <c r="D94"/>
      <c r="E94"/>
      <c r="F94"/>
      <c r="G94"/>
      <c r="H94"/>
      <c r="I94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BBFF4F-A0CF-43AC-AC4F-5B8E72D4ACA3}">
  <sheetPr codeName="Sheet3"/>
  <dimension ref="B1:V89"/>
  <sheetViews>
    <sheetView zoomScaleNormal="100" workbookViewId="0">
      <selection activeCell="C99" sqref="C99"/>
    </sheetView>
  </sheetViews>
  <sheetFormatPr defaultRowHeight="15"/>
  <cols>
    <col min="2" max="2" width="34.85546875" bestFit="1" customWidth="1"/>
    <col min="3" max="3" width="16" bestFit="1" customWidth="1"/>
    <col min="4" max="4" width="58.85546875" bestFit="1" customWidth="1"/>
    <col min="5" max="5" width="10.42578125" bestFit="1" customWidth="1"/>
    <col min="6" max="6" width="11.42578125" bestFit="1" customWidth="1"/>
    <col min="7" max="7" width="28" bestFit="1" customWidth="1"/>
    <col min="8" max="8" width="22.28515625" bestFit="1" customWidth="1"/>
    <col min="9" max="9" width="14.140625" bestFit="1" customWidth="1"/>
    <col min="13" max="13" width="23.28515625" bestFit="1" customWidth="1"/>
    <col min="14" max="14" width="26.5703125" bestFit="1" customWidth="1"/>
    <col min="15" max="15" width="4.140625" customWidth="1"/>
  </cols>
  <sheetData>
    <row r="1" spans="2:20" ht="26.25">
      <c r="B1" s="490" t="s">
        <v>427</v>
      </c>
      <c r="C1" s="491"/>
      <c r="D1" s="491"/>
      <c r="E1" s="491"/>
      <c r="F1" s="491"/>
      <c r="G1" s="491"/>
      <c r="H1" s="491"/>
      <c r="I1" s="491"/>
    </row>
    <row r="3" spans="2:20">
      <c r="B3" s="484" t="s">
        <v>0</v>
      </c>
      <c r="C3" s="485"/>
      <c r="D3" s="485"/>
      <c r="E3" s="485"/>
      <c r="F3" s="485"/>
      <c r="G3" s="485"/>
      <c r="H3" s="485"/>
      <c r="I3" s="485"/>
    </row>
    <row r="4" spans="2:20" ht="15.75" thickBot="1">
      <c r="B4" s="481" t="s">
        <v>1</v>
      </c>
      <c r="C4" s="481" t="s">
        <v>2</v>
      </c>
      <c r="D4" s="481" t="s">
        <v>3</v>
      </c>
      <c r="E4" s="481" t="s">
        <v>4</v>
      </c>
      <c r="F4" s="481" t="s">
        <v>5</v>
      </c>
      <c r="G4" s="481" t="s">
        <v>6</v>
      </c>
      <c r="H4" s="481" t="s">
        <v>7</v>
      </c>
      <c r="I4" s="481" t="s">
        <v>8</v>
      </c>
    </row>
    <row r="5" spans="2:20" s="476" customFormat="1">
      <c r="B5" s="486" t="s">
        <v>169</v>
      </c>
      <c r="C5" s="486" t="s">
        <v>428</v>
      </c>
      <c r="D5" s="486" t="s">
        <v>357</v>
      </c>
      <c r="E5" s="486" t="s">
        <v>429</v>
      </c>
      <c r="F5" s="486" t="s">
        <v>430</v>
      </c>
      <c r="G5" s="486" t="s">
        <v>431</v>
      </c>
      <c r="H5" s="488" t="s">
        <v>432</v>
      </c>
      <c r="I5" s="488" t="s">
        <v>170</v>
      </c>
      <c r="K5"/>
      <c r="L5"/>
      <c r="M5"/>
      <c r="N5"/>
      <c r="O5"/>
      <c r="P5"/>
      <c r="Q5"/>
      <c r="R5"/>
      <c r="S5"/>
      <c r="T5"/>
    </row>
    <row r="6" spans="2:20" s="476" customFormat="1">
      <c r="B6" s="492" t="s">
        <v>483</v>
      </c>
      <c r="C6" s="492"/>
      <c r="D6" s="493"/>
      <c r="E6" s="493"/>
      <c r="F6" s="493"/>
      <c r="G6" s="493"/>
      <c r="H6" s="493"/>
      <c r="I6" s="493"/>
      <c r="K6"/>
      <c r="L6"/>
      <c r="M6"/>
      <c r="N6"/>
      <c r="O6"/>
      <c r="P6"/>
      <c r="Q6"/>
      <c r="R6"/>
      <c r="S6"/>
      <c r="T6"/>
    </row>
    <row r="7" spans="2:20">
      <c r="B7" s="495" t="str">
        <f>CONVENTIONS!K13</f>
        <v>IMP</v>
      </c>
      <c r="C7" s="495" t="str">
        <f>CONVENTIONS!E13</f>
        <v>IMPCOABIT</v>
      </c>
      <c r="D7" s="495" t="str">
        <f>CONVENTIONS!F13</f>
        <v xml:space="preserve">Import of Bituminous Coal </v>
      </c>
      <c r="E7" s="506" t="s">
        <v>10</v>
      </c>
      <c r="F7" s="482" t="s">
        <v>434</v>
      </c>
      <c r="G7" s="482"/>
      <c r="H7" s="507"/>
      <c r="I7" s="482"/>
    </row>
    <row r="8" spans="2:20">
      <c r="B8" s="495" t="str">
        <f>CONVENTIONS!K14</f>
        <v>IMP</v>
      </c>
      <c r="C8" s="495" t="str">
        <f>CONVENTIONS!E14</f>
        <v>IMPCOAHAR</v>
      </c>
      <c r="D8" s="495" t="str">
        <f>CONVENTIONS!F14</f>
        <v xml:space="preserve">Import of Hard Coal / Antracite </v>
      </c>
      <c r="E8" s="506" t="s">
        <v>10</v>
      </c>
      <c r="F8" s="482" t="s">
        <v>434</v>
      </c>
      <c r="G8" s="508"/>
      <c r="H8" s="507"/>
      <c r="I8" s="482"/>
    </row>
    <row r="9" spans="2:20">
      <c r="B9" s="495" t="str">
        <f>CONVENTIONS!K15</f>
        <v>IMP</v>
      </c>
      <c r="C9" s="495" t="str">
        <f>CONVENTIONS!E15</f>
        <v>IMPCOACOK</v>
      </c>
      <c r="D9" s="495" t="str">
        <f>CONVENTIONS!F15</f>
        <v xml:space="preserve">Import of Coke Coal </v>
      </c>
      <c r="E9" s="506" t="s">
        <v>10</v>
      </c>
      <c r="F9" s="482" t="s">
        <v>434</v>
      </c>
      <c r="G9" s="508"/>
      <c r="H9" s="507"/>
      <c r="I9" s="482"/>
    </row>
    <row r="10" spans="2:20">
      <c r="B10" s="495" t="str">
        <f>CONVENTIONS!K16</f>
        <v>IMP</v>
      </c>
      <c r="C10" s="495" t="str">
        <f>CONVENTIONS!E16</f>
        <v>IMPCOALIG</v>
      </c>
      <c r="D10" s="495" t="str">
        <f>CONVENTIONS!F16</f>
        <v xml:space="preserve">Import of Lignite /  Brown Coal </v>
      </c>
      <c r="E10" s="506" t="s">
        <v>10</v>
      </c>
      <c r="F10" s="482" t="s">
        <v>434</v>
      </c>
      <c r="G10" s="508"/>
      <c r="H10" s="507"/>
      <c r="I10" s="482"/>
    </row>
    <row r="11" spans="2:20">
      <c r="B11" s="495" t="str">
        <f>CONVENTIONS!K17</f>
        <v>IMP</v>
      </c>
      <c r="C11" s="495" t="str">
        <f>CONVENTIONS!E17</f>
        <v>IMPOILCRD</v>
      </c>
      <c r="D11" s="495" t="str">
        <f>CONVENTIONS!F17</f>
        <v xml:space="preserve">Import of Crude Oil </v>
      </c>
      <c r="E11" s="506" t="s">
        <v>10</v>
      </c>
      <c r="F11" s="482" t="s">
        <v>434</v>
      </c>
      <c r="G11" s="508"/>
      <c r="H11" s="507"/>
      <c r="I11" s="482"/>
    </row>
    <row r="12" spans="2:20">
      <c r="B12" s="495" t="str">
        <f>CONVENTIONS!K18</f>
        <v>IMP</v>
      </c>
      <c r="C12" s="495" t="str">
        <f>CONVENTIONS!E18</f>
        <v>IMPOILKER</v>
      </c>
      <c r="D12" s="495" t="str">
        <f>CONVENTIONS!F18</f>
        <v xml:space="preserve">Import of Kerosene </v>
      </c>
      <c r="E12" s="506" t="s">
        <v>10</v>
      </c>
      <c r="F12" s="482" t="s">
        <v>434</v>
      </c>
      <c r="G12" s="508"/>
      <c r="H12" s="507"/>
      <c r="I12" s="482"/>
    </row>
    <row r="13" spans="2:20">
      <c r="B13" s="495" t="str">
        <f>CONVENTIONS!K19</f>
        <v>IMP</v>
      </c>
      <c r="C13" s="495" t="str">
        <f>CONVENTIONS!E19</f>
        <v>IMPOILHFO</v>
      </c>
      <c r="D13" s="495" t="str">
        <f>CONVENTIONS!F19</f>
        <v xml:space="preserve">Import of Heavy Fuel Oil </v>
      </c>
      <c r="E13" s="506" t="s">
        <v>10</v>
      </c>
      <c r="F13" s="482" t="s">
        <v>434</v>
      </c>
      <c r="G13" s="508"/>
      <c r="H13" s="507"/>
      <c r="I13" s="482"/>
    </row>
    <row r="14" spans="2:20">
      <c r="B14" s="495" t="str">
        <f>CONVENTIONS!K20</f>
        <v>IMP</v>
      </c>
      <c r="C14" s="495" t="str">
        <f>CONVENTIONS!E20</f>
        <v>IMPOILDST</v>
      </c>
      <c r="D14" s="495" t="str">
        <f>CONVENTIONS!F20</f>
        <v xml:space="preserve">Import of Diesel Oil </v>
      </c>
      <c r="E14" s="506" t="s">
        <v>10</v>
      </c>
      <c r="F14" s="482" t="s">
        <v>434</v>
      </c>
      <c r="G14" s="508"/>
      <c r="H14" s="507"/>
      <c r="I14" s="482"/>
    </row>
    <row r="15" spans="2:20">
      <c r="B15" s="495" t="str">
        <f>CONVENTIONS!K21</f>
        <v>IMP</v>
      </c>
      <c r="C15" s="495" t="str">
        <f>CONVENTIONS!E21</f>
        <v>IMPOILLPG</v>
      </c>
      <c r="D15" s="495" t="str">
        <f>CONVENTIONS!F21</f>
        <v xml:space="preserve">Import of Liquified Petroleum Gas </v>
      </c>
      <c r="E15" s="509" t="s">
        <v>10</v>
      </c>
      <c r="F15" s="482" t="s">
        <v>434</v>
      </c>
      <c r="G15" s="508"/>
      <c r="H15" s="507"/>
      <c r="I15" s="482"/>
    </row>
    <row r="16" spans="2:20">
      <c r="B16" s="495" t="str">
        <f>CONVENTIONS!K22</f>
        <v>IMP</v>
      </c>
      <c r="C16" s="495" t="str">
        <f>CONVENTIONS!E22</f>
        <v>IMPOILGSL</v>
      </c>
      <c r="D16" s="495" t="str">
        <f>CONVENTIONS!F22</f>
        <v xml:space="preserve">Import of Gasoline </v>
      </c>
      <c r="E16" s="506" t="s">
        <v>10</v>
      </c>
      <c r="F16" s="482" t="s">
        <v>434</v>
      </c>
      <c r="G16" s="508"/>
      <c r="H16" s="507"/>
      <c r="I16" s="482"/>
    </row>
    <row r="17" spans="2:12">
      <c r="B17" s="495" t="str">
        <f>CONVENTIONS!K23</f>
        <v>IMP</v>
      </c>
      <c r="C17" s="495" t="str">
        <f>CONVENTIONS!E23</f>
        <v>IMPOILCOK</v>
      </c>
      <c r="D17" s="495" t="str">
        <f>CONVENTIONS!F23</f>
        <v xml:space="preserve">Import of Petroleum Coke </v>
      </c>
      <c r="E17" s="509" t="s">
        <v>10</v>
      </c>
      <c r="F17" s="482" t="s">
        <v>434</v>
      </c>
      <c r="G17" s="482"/>
      <c r="H17" s="482"/>
      <c r="I17" s="482"/>
    </row>
    <row r="18" spans="2:12">
      <c r="B18" s="495" t="str">
        <f>CONVENTIONS!K24</f>
        <v>IMP</v>
      </c>
      <c r="C18" s="495" t="str">
        <f>CONVENTIONS!E24</f>
        <v>IMPOILNEU</v>
      </c>
      <c r="D18" s="495" t="str">
        <f>CONVENTIONS!F24</f>
        <v>Import of Oil for Non-Energy uses</v>
      </c>
      <c r="E18" s="503" t="s">
        <v>10</v>
      </c>
      <c r="F18" s="482" t="s">
        <v>434</v>
      </c>
      <c r="G18" s="507"/>
      <c r="H18" s="507"/>
      <c r="I18" s="510"/>
    </row>
    <row r="19" spans="2:12">
      <c r="B19" s="495" t="str">
        <f>CONVENTIONS!K25</f>
        <v>IMP</v>
      </c>
      <c r="C19" s="495" t="str">
        <f>CONVENTIONS!E25</f>
        <v>IMPGASNAT_UK</v>
      </c>
      <c r="D19" s="495" t="str">
        <f>CONVENTIONS!F25</f>
        <v>Import of Natural Gas  - UK</v>
      </c>
      <c r="E19" s="509" t="s">
        <v>10</v>
      </c>
      <c r="F19" s="482" t="s">
        <v>434</v>
      </c>
      <c r="G19" s="508" t="s">
        <v>73</v>
      </c>
      <c r="H19" s="507"/>
      <c r="I19" s="510"/>
    </row>
    <row r="20" spans="2:12">
      <c r="B20" s="495" t="str">
        <f>CONVENTIONS!K26</f>
        <v>IMP</v>
      </c>
      <c r="C20" s="495" t="str">
        <f>CONVENTIONS!E26</f>
        <v>IMPGASLNG_GLOBAL</v>
      </c>
      <c r="D20" s="495" t="str">
        <f>CONVENTIONS!F26</f>
        <v xml:space="preserve">Import of Liquified Natural Gas </v>
      </c>
      <c r="E20" s="509" t="s">
        <v>10</v>
      </c>
      <c r="F20" s="482" t="s">
        <v>434</v>
      </c>
      <c r="G20" s="508" t="s">
        <v>73</v>
      </c>
      <c r="H20" s="507"/>
      <c r="I20" s="482"/>
    </row>
    <row r="21" spans="2:12">
      <c r="B21" s="495" t="str">
        <f>CONVENTIONS!K27</f>
        <v>IMP</v>
      </c>
      <c r="C21" s="495" t="str">
        <f>CONVENTIONS!E27</f>
        <v>IMPNUCURM</v>
      </c>
      <c r="D21" s="495" t="str">
        <f>CONVENTIONS!F27</f>
        <v>Import of Uranium</v>
      </c>
      <c r="E21" s="509" t="s">
        <v>10</v>
      </c>
      <c r="F21" s="482" t="s">
        <v>434</v>
      </c>
      <c r="G21" s="507"/>
      <c r="H21" s="507"/>
      <c r="I21" s="510"/>
      <c r="L21" s="480"/>
    </row>
    <row r="22" spans="2:12">
      <c r="B22" s="492" t="s">
        <v>484</v>
      </c>
      <c r="C22" s="492"/>
      <c r="D22" s="493"/>
      <c r="E22" s="493"/>
      <c r="F22" s="493"/>
      <c r="G22" s="493"/>
      <c r="H22" s="493"/>
      <c r="I22" s="493"/>
    </row>
    <row r="23" spans="2:12" s="480" customFormat="1">
      <c r="B23" s="495" t="str">
        <f>CONVENTIONS!K28</f>
        <v>IMP</v>
      </c>
      <c r="C23" s="495" t="str">
        <f>CONVENTIONS!E28</f>
        <v>IMPBIOETH1G_S1</v>
      </c>
      <c r="D23" s="495" t="str">
        <f>CONVENTIONS!F28</f>
        <v>Import of Ethanol 1st generation  - Step 1</v>
      </c>
      <c r="E23" s="506" t="s">
        <v>10</v>
      </c>
      <c r="F23" s="482" t="s">
        <v>434</v>
      </c>
      <c r="G23" s="511"/>
      <c r="H23" s="512"/>
      <c r="I23" s="513"/>
    </row>
    <row r="24" spans="2:12" s="480" customFormat="1">
      <c r="B24" s="495" t="str">
        <f>CONVENTIONS!K29</f>
        <v>IMP</v>
      </c>
      <c r="C24" s="495" t="str">
        <f>CONVENTIONS!E29</f>
        <v>IMPBIOETH1G_S2</v>
      </c>
      <c r="D24" s="495" t="str">
        <f>CONVENTIONS!F29</f>
        <v>Import of Ethanol 1st generation  - Step 2</v>
      </c>
      <c r="E24" s="506" t="s">
        <v>10</v>
      </c>
      <c r="F24" s="482" t="s">
        <v>434</v>
      </c>
      <c r="G24" s="511"/>
      <c r="H24" s="512"/>
      <c r="I24" s="513"/>
    </row>
    <row r="25" spans="2:12" s="480" customFormat="1">
      <c r="B25" s="495" t="str">
        <f>CONVENTIONS!K30</f>
        <v>IMP</v>
      </c>
      <c r="C25" s="495" t="str">
        <f>CONVENTIONS!E30</f>
        <v>IMPBIOETH1G_S3</v>
      </c>
      <c r="D25" s="495" t="str">
        <f>CONVENTIONS!F30</f>
        <v>Import of Ethanol 1st generation  - Step 3</v>
      </c>
      <c r="E25" s="506" t="s">
        <v>10</v>
      </c>
      <c r="F25" s="482" t="s">
        <v>434</v>
      </c>
      <c r="G25" s="511"/>
      <c r="H25" s="512"/>
      <c r="I25" s="513"/>
    </row>
    <row r="26" spans="2:12" s="480" customFormat="1">
      <c r="B26" s="495" t="str">
        <f>CONVENTIONS!K31</f>
        <v>IMP</v>
      </c>
      <c r="C26" s="495" t="str">
        <f>CONVENTIONS!E31</f>
        <v>IMPBIOETH1G_S4</v>
      </c>
      <c r="D26" s="495" t="str">
        <f>CONVENTIONS!F31</f>
        <v>Import of Ethanol 1st generation  - Step 4</v>
      </c>
      <c r="E26" s="506" t="s">
        <v>10</v>
      </c>
      <c r="F26" s="482" t="s">
        <v>434</v>
      </c>
      <c r="G26" s="502"/>
      <c r="H26" s="512"/>
      <c r="I26" s="502"/>
    </row>
    <row r="27" spans="2:12" s="480" customFormat="1">
      <c r="B27" s="495" t="str">
        <f>CONVENTIONS!K32</f>
        <v>IMP</v>
      </c>
      <c r="C27" s="495" t="str">
        <f>CONVENTIONS!E32</f>
        <v>IMPBIODST1G_S1</v>
      </c>
      <c r="D27" s="495" t="str">
        <f>CONVENTIONS!F32</f>
        <v>Import of Biodiesel 1st generation  - Step 1</v>
      </c>
      <c r="E27" s="506" t="s">
        <v>10</v>
      </c>
      <c r="F27" s="482" t="s">
        <v>434</v>
      </c>
      <c r="G27" s="502"/>
      <c r="H27" s="512"/>
      <c r="I27" s="502"/>
    </row>
    <row r="28" spans="2:12" s="480" customFormat="1">
      <c r="B28" s="495" t="str">
        <f>CONVENTIONS!K33</f>
        <v>IMP</v>
      </c>
      <c r="C28" s="495" t="str">
        <f>CONVENTIONS!E33</f>
        <v>IMPBIODST1G_S2</v>
      </c>
      <c r="D28" s="495" t="str">
        <f>CONVENTIONS!F33</f>
        <v>Import of Biodiesel 1st generation  - Step 2</v>
      </c>
      <c r="E28" s="506" t="s">
        <v>10</v>
      </c>
      <c r="F28" s="482" t="s">
        <v>434</v>
      </c>
      <c r="G28" s="502"/>
      <c r="H28" s="512"/>
      <c r="I28" s="502"/>
    </row>
    <row r="29" spans="2:12" s="480" customFormat="1">
      <c r="B29" s="495" t="str">
        <f>CONVENTIONS!K34</f>
        <v>IMP</v>
      </c>
      <c r="C29" s="495" t="str">
        <f>CONVENTIONS!E34</f>
        <v>IMPBIODST1G_S3</v>
      </c>
      <c r="D29" s="495" t="str">
        <f>CONVENTIONS!F34</f>
        <v>Import of Biodiesel 1st generation  - Step 3</v>
      </c>
      <c r="E29" s="506" t="s">
        <v>10</v>
      </c>
      <c r="F29" s="482" t="s">
        <v>434</v>
      </c>
      <c r="G29" s="502"/>
      <c r="H29" s="512"/>
      <c r="I29" s="502"/>
    </row>
    <row r="30" spans="2:12" s="480" customFormat="1">
      <c r="B30" s="495" t="str">
        <f>CONVENTIONS!K35</f>
        <v>IMP</v>
      </c>
      <c r="C30" s="495" t="str">
        <f>CONVENTIONS!E35</f>
        <v>IMPBIODST1G_S4</v>
      </c>
      <c r="D30" s="495" t="str">
        <f>CONVENTIONS!F35</f>
        <v>Import of Biodiesel 1st generation  - Step 4</v>
      </c>
      <c r="E30" s="506" t="s">
        <v>10</v>
      </c>
      <c r="F30" s="482" t="s">
        <v>434</v>
      </c>
      <c r="G30" s="502"/>
      <c r="H30" s="512"/>
      <c r="I30" s="502"/>
    </row>
    <row r="31" spans="2:12" s="480" customFormat="1">
      <c r="B31" s="495" t="str">
        <f>CONVENTIONS!K36</f>
        <v>IMP</v>
      </c>
      <c r="C31" s="495" t="str">
        <f>CONVENTIONS!E36</f>
        <v>IMPBIOWPE_S1</v>
      </c>
      <c r="D31" s="495" t="str">
        <f>CONVENTIONS!F36</f>
        <v>Import of Wood Pellets  - Step 1</v>
      </c>
      <c r="E31" s="506" t="s">
        <v>10</v>
      </c>
      <c r="F31" s="482" t="s">
        <v>434</v>
      </c>
      <c r="G31" s="502"/>
      <c r="H31" s="512"/>
      <c r="I31" s="502"/>
    </row>
    <row r="32" spans="2:12" s="480" customFormat="1">
      <c r="B32" s="495" t="str">
        <f>CONVENTIONS!K37</f>
        <v>IMP</v>
      </c>
      <c r="C32" s="495" t="str">
        <f>CONVENTIONS!E37</f>
        <v>IMPBIOWPE_S2</v>
      </c>
      <c r="D32" s="495" t="str">
        <f>CONVENTIONS!F37</f>
        <v>Import of Wood Pellets  - Step 2</v>
      </c>
      <c r="E32" s="509" t="s">
        <v>10</v>
      </c>
      <c r="F32" s="482" t="s">
        <v>434</v>
      </c>
      <c r="G32" s="502"/>
      <c r="H32" s="512"/>
      <c r="I32" s="502"/>
    </row>
    <row r="33" spans="2:22" s="480" customFormat="1">
      <c r="B33" s="495" t="str">
        <f>CONVENTIONS!K38</f>
        <v>IMP</v>
      </c>
      <c r="C33" s="495" t="str">
        <f>CONVENTIONS!E38</f>
        <v>IMPBIOWPE_S3</v>
      </c>
      <c r="D33" s="495" t="str">
        <f>CONVENTIONS!F38</f>
        <v>Import of Wood Pellets  - Step 3</v>
      </c>
      <c r="E33" s="506" t="s">
        <v>10</v>
      </c>
      <c r="F33" s="482" t="s">
        <v>434</v>
      </c>
      <c r="G33" s="502"/>
      <c r="H33" s="512"/>
      <c r="I33" s="502"/>
    </row>
    <row r="34" spans="2:22" s="480" customFormat="1">
      <c r="B34" s="495" t="str">
        <f>CONVENTIONS!K39</f>
        <v>IMP</v>
      </c>
      <c r="C34" s="495" t="str">
        <f>CONVENTIONS!E39</f>
        <v>IMPBIOWPE_S4</v>
      </c>
      <c r="D34" s="495" t="str">
        <f>CONVENTIONS!F39</f>
        <v>Import of Wood Pellets  - Step 4</v>
      </c>
      <c r="E34" s="509" t="s">
        <v>10</v>
      </c>
      <c r="F34" s="482" t="s">
        <v>434</v>
      </c>
      <c r="G34" s="503"/>
      <c r="H34" s="512"/>
      <c r="I34" s="503"/>
      <c r="K34"/>
      <c r="L34"/>
      <c r="M34"/>
      <c r="N34"/>
      <c r="O34"/>
      <c r="P34"/>
      <c r="Q34"/>
      <c r="R34"/>
      <c r="S34"/>
      <c r="T34"/>
      <c r="U34"/>
      <c r="V34"/>
    </row>
    <row r="35" spans="2:22" s="480" customFormat="1">
      <c r="B35" s="495" t="str">
        <f>CONVENTIONS!K40</f>
        <v>IMP</v>
      </c>
      <c r="C35" s="495" t="str">
        <f>CONVENTIONS!E40</f>
        <v>IMPBIOWCH_S1</v>
      </c>
      <c r="D35" s="495" t="str">
        <f>CONVENTIONS!F40</f>
        <v>Import of Wood Chip  - Step 1</v>
      </c>
      <c r="E35" s="503" t="s">
        <v>10</v>
      </c>
      <c r="F35" s="482" t="s">
        <v>434</v>
      </c>
      <c r="G35" s="503"/>
      <c r="H35" s="512"/>
      <c r="I35" s="503"/>
      <c r="K35"/>
      <c r="L35"/>
      <c r="M35"/>
      <c r="N35"/>
      <c r="O35"/>
      <c r="P35"/>
      <c r="Q35"/>
      <c r="R35"/>
      <c r="S35"/>
      <c r="T35"/>
      <c r="U35"/>
      <c r="V35"/>
    </row>
    <row r="36" spans="2:22" s="480" customFormat="1">
      <c r="B36" s="495" t="str">
        <f>CONVENTIONS!K41</f>
        <v>IMP</v>
      </c>
      <c r="C36" s="495" t="str">
        <f>CONVENTIONS!E41</f>
        <v>IMPBIOWCH_S2</v>
      </c>
      <c r="D36" s="495" t="str">
        <f>CONVENTIONS!F41</f>
        <v>Import of Wood Chip  - Step 2</v>
      </c>
      <c r="E36" s="509" t="s">
        <v>10</v>
      </c>
      <c r="F36" s="482" t="s">
        <v>434</v>
      </c>
      <c r="G36" s="503"/>
      <c r="H36" s="512"/>
      <c r="I36" s="503"/>
      <c r="K36"/>
      <c r="L36"/>
      <c r="M36"/>
      <c r="N36"/>
      <c r="O36"/>
      <c r="P36"/>
      <c r="Q36"/>
      <c r="R36"/>
      <c r="S36"/>
      <c r="T36"/>
      <c r="U36"/>
      <c r="V36"/>
    </row>
    <row r="37" spans="2:22" s="480" customFormat="1">
      <c r="B37" s="495" t="str">
        <f>CONVENTIONS!K42</f>
        <v>IMP</v>
      </c>
      <c r="C37" s="495" t="str">
        <f>CONVENTIONS!E42</f>
        <v>IMPBIOWCH_S3</v>
      </c>
      <c r="D37" s="495" t="str">
        <f>CONVENTIONS!F42</f>
        <v>Import of Wood Chip  - Step 3</v>
      </c>
      <c r="E37" s="509" t="s">
        <v>10</v>
      </c>
      <c r="F37" s="482" t="s">
        <v>434</v>
      </c>
      <c r="G37" s="503"/>
      <c r="H37" s="512"/>
      <c r="I37" s="503"/>
      <c r="K37"/>
      <c r="L37"/>
      <c r="M37"/>
      <c r="N37"/>
      <c r="O37"/>
      <c r="P37"/>
      <c r="Q37"/>
      <c r="R37"/>
      <c r="S37"/>
      <c r="T37"/>
      <c r="U37"/>
      <c r="V37"/>
    </row>
    <row r="38" spans="2:22">
      <c r="B38" s="495" t="str">
        <f>CONVENTIONS!K43</f>
        <v>IMP</v>
      </c>
      <c r="C38" s="495" t="str">
        <f>CONVENTIONS!E43</f>
        <v>IMPBIOWCH_S4</v>
      </c>
      <c r="D38" s="495" t="str">
        <f>CONVENTIONS!F43</f>
        <v>Import of Wood Chip  - Step 4</v>
      </c>
      <c r="E38" s="509" t="s">
        <v>10</v>
      </c>
      <c r="F38" s="482" t="s">
        <v>434</v>
      </c>
      <c r="G38" s="503"/>
      <c r="H38" s="514"/>
      <c r="I38" s="503"/>
    </row>
    <row r="39" spans="2:22" s="480" customFormat="1">
      <c r="B39" s="492" t="s">
        <v>485</v>
      </c>
      <c r="C39" s="492"/>
      <c r="D39" s="493"/>
      <c r="E39" s="493"/>
      <c r="F39" s="493"/>
      <c r="G39" s="493"/>
      <c r="H39" s="493"/>
      <c r="I39" s="493"/>
      <c r="K39"/>
      <c r="L39"/>
      <c r="M39"/>
      <c r="N39"/>
      <c r="O39"/>
      <c r="P39"/>
      <c r="Q39"/>
      <c r="R39"/>
      <c r="S39"/>
      <c r="T39"/>
      <c r="U39"/>
      <c r="V39"/>
    </row>
    <row r="40" spans="2:22" s="480" customFormat="1">
      <c r="B40" s="495" t="str">
        <f>CONVENTIONS!K44</f>
        <v>MIN</v>
      </c>
      <c r="C40" s="495" t="str">
        <f>CONVENTIONS!E44</f>
        <v>MINGASNAT_S1</v>
      </c>
      <c r="D40" s="495" t="str">
        <f>CONVENTIONS!F44</f>
        <v>Domestic Potential of Natural Gas  - Step 1</v>
      </c>
      <c r="E40" s="506" t="s">
        <v>10</v>
      </c>
      <c r="F40" s="482" t="s">
        <v>434</v>
      </c>
      <c r="G40" s="502" t="s">
        <v>73</v>
      </c>
      <c r="H40" s="512"/>
      <c r="I40" s="502"/>
      <c r="K40"/>
      <c r="L40"/>
      <c r="M40"/>
      <c r="N40"/>
      <c r="O40"/>
      <c r="P40"/>
      <c r="Q40"/>
      <c r="R40"/>
      <c r="S40"/>
      <c r="T40"/>
      <c r="U40"/>
      <c r="V40"/>
    </row>
    <row r="41" spans="2:22" s="480" customFormat="1">
      <c r="B41" s="495" t="str">
        <f>CONVENTIONS!K45</f>
        <v>MIN</v>
      </c>
      <c r="C41" s="495" t="str">
        <f>CONVENTIONS!E45</f>
        <v>MINGASNAT_S2</v>
      </c>
      <c r="D41" s="495" t="str">
        <f>CONVENTIONS!F45</f>
        <v>Domestic Potential of Natural Gas  - Step 2</v>
      </c>
      <c r="E41" s="506" t="s">
        <v>10</v>
      </c>
      <c r="F41" s="482" t="s">
        <v>434</v>
      </c>
      <c r="G41" s="502" t="s">
        <v>73</v>
      </c>
      <c r="H41" s="512"/>
      <c r="I41" s="502"/>
      <c r="K41"/>
      <c r="L41"/>
      <c r="M41"/>
      <c r="N41"/>
      <c r="O41"/>
      <c r="P41"/>
      <c r="Q41"/>
      <c r="R41"/>
      <c r="S41"/>
      <c r="T41"/>
      <c r="U41"/>
      <c r="V41"/>
    </row>
    <row r="42" spans="2:22" s="480" customFormat="1">
      <c r="B42" s="495" t="str">
        <f>CONVENTIONS!K46</f>
        <v>MIN</v>
      </c>
      <c r="C42" s="495" t="str">
        <f>CONVENTIONS!E46</f>
        <v>MINPEAT_S1</v>
      </c>
      <c r="D42" s="495" t="str">
        <f>CONVENTIONS!F46</f>
        <v>Domestic Potential of Peat  - Step 1</v>
      </c>
      <c r="E42" s="506" t="s">
        <v>10</v>
      </c>
      <c r="F42" s="482" t="s">
        <v>434</v>
      </c>
      <c r="G42" s="502"/>
      <c r="H42" s="512"/>
      <c r="I42" s="502"/>
      <c r="K42"/>
      <c r="L42"/>
      <c r="M42"/>
      <c r="N42"/>
      <c r="O42"/>
      <c r="P42"/>
      <c r="Q42"/>
      <c r="R42"/>
      <c r="S42"/>
      <c r="T42"/>
      <c r="U42"/>
      <c r="V42"/>
    </row>
    <row r="43" spans="2:22" s="480" customFormat="1">
      <c r="B43" s="495" t="str">
        <f>CONVENTIONS!K47</f>
        <v>MIN</v>
      </c>
      <c r="C43" s="495" t="str">
        <f>CONVENTIONS!E47</f>
        <v>MINPEAT_S2</v>
      </c>
      <c r="D43" s="495" t="str">
        <f>CONVENTIONS!F47</f>
        <v>Domestic Potential of Peat  - Step 2</v>
      </c>
      <c r="E43" s="509" t="s">
        <v>10</v>
      </c>
      <c r="F43" s="482" t="s">
        <v>434</v>
      </c>
      <c r="G43" s="502"/>
      <c r="H43" s="512"/>
      <c r="I43" s="502"/>
      <c r="K43"/>
      <c r="L43"/>
      <c r="M43"/>
      <c r="N43"/>
      <c r="O43"/>
      <c r="P43"/>
      <c r="Q43"/>
      <c r="R43"/>
      <c r="S43"/>
      <c r="T43"/>
      <c r="U43"/>
      <c r="V43"/>
    </row>
    <row r="44" spans="2:22" s="480" customFormat="1">
      <c r="B44" s="495" t="str">
        <f>CONVENTIONS!K48</f>
        <v>MIN</v>
      </c>
      <c r="C44" s="495" t="str">
        <f>CONVENTIONS!E48</f>
        <v>MINRENHYD</v>
      </c>
      <c r="D44" s="495" t="str">
        <f>CONVENTIONS!F48</f>
        <v xml:space="preserve">Domestic Potential of Hydro </v>
      </c>
      <c r="E44" s="506" t="s">
        <v>10</v>
      </c>
      <c r="F44" s="482" t="s">
        <v>434</v>
      </c>
      <c r="G44" s="502"/>
      <c r="H44" s="512"/>
      <c r="I44" s="502"/>
      <c r="K44"/>
      <c r="L44"/>
      <c r="M44"/>
      <c r="N44"/>
      <c r="O44"/>
      <c r="P44"/>
      <c r="Q44"/>
      <c r="R44"/>
      <c r="S44"/>
      <c r="T44"/>
      <c r="U44"/>
      <c r="V44"/>
    </row>
    <row r="45" spans="2:22" s="480" customFormat="1">
      <c r="B45" s="495" t="str">
        <f>CONVENTIONS!K49</f>
        <v>MIN</v>
      </c>
      <c r="C45" s="495" t="str">
        <f>CONVENTIONS!E49</f>
        <v>MINRENWIN</v>
      </c>
      <c r="D45" s="495" t="str">
        <f>CONVENTIONS!F49</f>
        <v xml:space="preserve">Domestic Potential of Wind </v>
      </c>
      <c r="E45" s="509" t="s">
        <v>10</v>
      </c>
      <c r="F45" s="482" t="s">
        <v>434</v>
      </c>
      <c r="G45" s="503"/>
      <c r="H45" s="512"/>
      <c r="I45" s="503"/>
      <c r="K45"/>
      <c r="L45"/>
      <c r="M45"/>
      <c r="N45"/>
      <c r="O45"/>
      <c r="P45"/>
      <c r="Q45"/>
      <c r="R45"/>
      <c r="S45"/>
      <c r="T45"/>
      <c r="U45"/>
      <c r="V45"/>
    </row>
    <row r="46" spans="2:22" s="480" customFormat="1">
      <c r="B46" s="495" t="str">
        <f>CONVENTIONS!K50</f>
        <v>MIN</v>
      </c>
      <c r="C46" s="495" t="str">
        <f>CONVENTIONS!E50</f>
        <v>MINRENSOL</v>
      </c>
      <c r="D46" s="495" t="str">
        <f>CONVENTIONS!F50</f>
        <v xml:space="preserve">Domestic Potential of Solar </v>
      </c>
      <c r="E46" s="503" t="s">
        <v>10</v>
      </c>
      <c r="F46" s="482" t="s">
        <v>434</v>
      </c>
      <c r="G46" s="503"/>
      <c r="H46" s="512"/>
      <c r="I46" s="503"/>
    </row>
    <row r="47" spans="2:22" s="480" customFormat="1">
      <c r="B47" s="495" t="str">
        <f>CONVENTIONS!K51</f>
        <v>MIN</v>
      </c>
      <c r="C47" s="495" t="str">
        <f>CONVENTIONS!E51</f>
        <v>MINMSWAS</v>
      </c>
      <c r="D47" s="495" t="str">
        <f>CONVENTIONS!F51</f>
        <v xml:space="preserve">Domestic Potential of Municipal Solid Waste </v>
      </c>
      <c r="E47" s="509" t="s">
        <v>10</v>
      </c>
      <c r="F47" s="482" t="s">
        <v>434</v>
      </c>
      <c r="G47" s="503"/>
      <c r="H47" s="512"/>
      <c r="I47" s="503"/>
    </row>
    <row r="48" spans="2:22" s="480" customFormat="1">
      <c r="B48" s="495" t="str">
        <f>CONVENTIONS!K52</f>
        <v>MIN</v>
      </c>
      <c r="C48" s="495" t="str">
        <f>CONVENTIONS!E52</f>
        <v>MINRENOCE</v>
      </c>
      <c r="D48" s="495" t="str">
        <f>CONVENTIONS!F52</f>
        <v xml:space="preserve">Domestic Potential of Ocean </v>
      </c>
      <c r="E48" s="509" t="s">
        <v>10</v>
      </c>
      <c r="F48" s="482" t="s">
        <v>434</v>
      </c>
      <c r="G48" s="503"/>
      <c r="H48" s="512"/>
      <c r="I48" s="503"/>
      <c r="L48"/>
      <c r="M48"/>
      <c r="N48"/>
      <c r="O48"/>
      <c r="P48"/>
      <c r="Q48"/>
      <c r="R48"/>
      <c r="S48"/>
    </row>
    <row r="49" spans="2:19" s="480" customFormat="1">
      <c r="B49" s="495" t="str">
        <f>CONVENTIONS!K53</f>
        <v>MIN</v>
      </c>
      <c r="C49" s="495" t="str">
        <f>CONVENTIONS!E53</f>
        <v>MINRENGEO</v>
      </c>
      <c r="D49" s="495" t="str">
        <f>CONVENTIONS!F53</f>
        <v xml:space="preserve">Domestic Potential of Geothermal </v>
      </c>
      <c r="E49" s="509" t="s">
        <v>10</v>
      </c>
      <c r="F49" s="482" t="s">
        <v>434</v>
      </c>
      <c r="G49" s="503"/>
      <c r="H49" s="514"/>
      <c r="I49" s="503"/>
      <c r="L49"/>
      <c r="M49"/>
      <c r="N49"/>
      <c r="O49"/>
      <c r="P49"/>
      <c r="Q49"/>
      <c r="R49"/>
      <c r="S49"/>
    </row>
    <row r="50" spans="2:19">
      <c r="B50" s="495" t="str">
        <f>CONVENTIONS!K54</f>
        <v>MIN</v>
      </c>
      <c r="C50" s="495" t="str">
        <f>CONVENTIONS!E54</f>
        <v>MINBIOWOO1_S1</v>
      </c>
      <c r="D50" s="495" t="str">
        <f>CONVENTIONS!F54</f>
        <v>Domestic Potential of Sawmill residues - Step 1</v>
      </c>
      <c r="E50" s="509" t="s">
        <v>10</v>
      </c>
      <c r="F50" s="482" t="s">
        <v>434</v>
      </c>
      <c r="G50" s="482"/>
      <c r="H50" s="482"/>
      <c r="I50" s="482"/>
    </row>
    <row r="51" spans="2:19">
      <c r="B51" s="495" t="str">
        <f>CONVENTIONS!K55</f>
        <v>MIN</v>
      </c>
      <c r="C51" s="495" t="str">
        <f>CONVENTIONS!E55</f>
        <v>MINBIOWOO1_S2</v>
      </c>
      <c r="D51" s="495" t="str">
        <f>CONVENTIONS!F55</f>
        <v>Domestic Potential of Sawmill residues - Step 2</v>
      </c>
      <c r="E51" s="509" t="s">
        <v>10</v>
      </c>
      <c r="F51" s="482" t="s">
        <v>434</v>
      </c>
      <c r="G51" s="482"/>
      <c r="H51" s="482"/>
      <c r="I51" s="482"/>
      <c r="L51" s="200"/>
      <c r="P51" s="200"/>
      <c r="Q51" s="200"/>
      <c r="R51" s="200"/>
      <c r="S51" s="200"/>
    </row>
    <row r="52" spans="2:19">
      <c r="B52" s="495" t="str">
        <f>CONVENTIONS!K56</f>
        <v>MIN</v>
      </c>
      <c r="C52" s="495" t="str">
        <f>CONVENTIONS!E56</f>
        <v>MINBIOWOO1_S3</v>
      </c>
      <c r="D52" s="495" t="str">
        <f>CONVENTIONS!F56</f>
        <v>Domestic Potential of Sawmill residues - Step 3</v>
      </c>
      <c r="E52" s="509" t="s">
        <v>10</v>
      </c>
      <c r="F52" s="482" t="s">
        <v>434</v>
      </c>
      <c r="G52" s="482"/>
      <c r="H52" s="482"/>
      <c r="I52" s="482"/>
      <c r="L52" s="39"/>
      <c r="P52" s="200"/>
      <c r="Q52" s="200"/>
      <c r="R52" s="200"/>
      <c r="S52" s="200"/>
    </row>
    <row r="53" spans="2:19">
      <c r="B53" s="495" t="str">
        <f>CONVENTIONS!K57</f>
        <v>MIN</v>
      </c>
      <c r="C53" s="495" t="str">
        <f>CONVENTIONS!E57</f>
        <v>MINBIOWOO2_S1</v>
      </c>
      <c r="D53" s="495" t="str">
        <f>CONVENTIONS!F57</f>
        <v>Domestic Potential of Post-Consumer Recycled Wood - Step 1</v>
      </c>
      <c r="E53" s="509" t="s">
        <v>10</v>
      </c>
      <c r="F53" s="482" t="s">
        <v>434</v>
      </c>
      <c r="G53" s="482"/>
      <c r="H53" s="482"/>
      <c r="I53" s="482"/>
      <c r="L53" s="39"/>
      <c r="P53" s="200"/>
      <c r="Q53" s="200"/>
      <c r="R53" s="199"/>
      <c r="S53" s="199"/>
    </row>
    <row r="54" spans="2:19">
      <c r="B54" s="495" t="str">
        <f>CONVENTIONS!K58</f>
        <v>MIN</v>
      </c>
      <c r="C54" s="495" t="str">
        <f>CONVENTIONS!E58</f>
        <v>MINBIOWOO2_S2</v>
      </c>
      <c r="D54" s="495" t="str">
        <f>CONVENTIONS!F58</f>
        <v>Domestic Potential of Post-Consumer Recycled Wood - Step 2</v>
      </c>
      <c r="E54" s="509" t="s">
        <v>10</v>
      </c>
      <c r="F54" s="482" t="s">
        <v>434</v>
      </c>
      <c r="G54" s="482"/>
      <c r="H54" s="482"/>
      <c r="I54" s="482"/>
      <c r="L54" s="200"/>
      <c r="P54" s="200"/>
      <c r="Q54" s="200"/>
      <c r="R54" s="199"/>
      <c r="S54" s="199"/>
    </row>
    <row r="55" spans="2:19">
      <c r="B55" s="495" t="str">
        <f>CONVENTIONS!K59</f>
        <v>MIN</v>
      </c>
      <c r="C55" s="495" t="str">
        <f>CONVENTIONS!E59</f>
        <v>MINBIOWOO2_S3</v>
      </c>
      <c r="D55" s="495" t="str">
        <f>CONVENTIONS!F59</f>
        <v>Domestic Potential of Post-Consumer Recycled Wood - Step 3</v>
      </c>
      <c r="E55" s="509" t="s">
        <v>10</v>
      </c>
      <c r="F55" s="482" t="s">
        <v>434</v>
      </c>
      <c r="G55" s="482"/>
      <c r="H55" s="482"/>
      <c r="I55" s="482"/>
    </row>
    <row r="56" spans="2:19">
      <c r="B56" s="495" t="str">
        <f>CONVENTIONS!K60</f>
        <v>MIN</v>
      </c>
      <c r="C56" s="495" t="str">
        <f>CONVENTIONS!E60</f>
        <v>MINBIOWOO3_S1</v>
      </c>
      <c r="D56" s="495" t="str">
        <f>CONVENTIONS!F60</f>
        <v>Domestic Potential of Straw - Step 1</v>
      </c>
      <c r="E56" s="509" t="s">
        <v>10</v>
      </c>
      <c r="F56" s="482" t="s">
        <v>434</v>
      </c>
      <c r="G56" s="482"/>
      <c r="H56" s="482"/>
      <c r="I56" s="482"/>
    </row>
    <row r="57" spans="2:19">
      <c r="B57" s="495" t="str">
        <f>CONVENTIONS!K61</f>
        <v>MIN</v>
      </c>
      <c r="C57" s="495" t="str">
        <f>CONVENTIONS!E61</f>
        <v>MINBIOWOO3_S2</v>
      </c>
      <c r="D57" s="495" t="str">
        <f>CONVENTIONS!F61</f>
        <v>Domestic Potential of Straw - Step 2</v>
      </c>
      <c r="E57" s="509" t="s">
        <v>10</v>
      </c>
      <c r="F57" s="482" t="s">
        <v>434</v>
      </c>
      <c r="G57" s="482"/>
      <c r="H57" s="482"/>
      <c r="I57" s="482"/>
    </row>
    <row r="58" spans="2:19">
      <c r="B58" s="495" t="str">
        <f>CONVENTIONS!K62</f>
        <v>MIN</v>
      </c>
      <c r="C58" s="495" t="str">
        <f>CONVENTIONS!E62</f>
        <v>MINBIOWOO3_S3</v>
      </c>
      <c r="D58" s="495" t="str">
        <f>CONVENTIONS!F62</f>
        <v>Domestic Potential of Straw - Step 3</v>
      </c>
      <c r="E58" s="509" t="s">
        <v>10</v>
      </c>
      <c r="F58" s="482" t="s">
        <v>434</v>
      </c>
      <c r="G58" s="482"/>
      <c r="H58" s="482"/>
      <c r="I58" s="482"/>
    </row>
    <row r="59" spans="2:19">
      <c r="B59" s="495" t="str">
        <f>CONVENTIONS!K63</f>
        <v>MIN</v>
      </c>
      <c r="C59" s="495" t="str">
        <f>CONVENTIONS!E63</f>
        <v>MINBIOMSW1_S1</v>
      </c>
      <c r="D59" s="495" t="str">
        <f>CONVENTIONS!F63</f>
        <v>Domestic Potential of Biodegradable Municipal Solid Waste potential - Solid  - Step 1</v>
      </c>
      <c r="E59" s="509" t="s">
        <v>10</v>
      </c>
      <c r="F59" s="482" t="s">
        <v>434</v>
      </c>
      <c r="G59" s="482"/>
      <c r="H59" s="482"/>
      <c r="I59" s="482"/>
    </row>
    <row r="60" spans="2:19">
      <c r="B60" s="495" t="str">
        <f>CONVENTIONS!K64</f>
        <v>MIN</v>
      </c>
      <c r="C60" s="495" t="str">
        <f>CONVENTIONS!E64</f>
        <v>MINBIOMSW1_S2</v>
      </c>
      <c r="D60" s="495" t="str">
        <f>CONVENTIONS!F64</f>
        <v>Domestic Potential of Biodegradable Municipal Solid Waste potential - Solid  - Step 2</v>
      </c>
      <c r="E60" s="509" t="s">
        <v>10</v>
      </c>
      <c r="F60" s="482" t="s">
        <v>434</v>
      </c>
      <c r="G60" s="482"/>
      <c r="H60" s="482"/>
      <c r="I60" s="482"/>
    </row>
    <row r="61" spans="2:19">
      <c r="B61" s="495" t="str">
        <f>CONVENTIONS!K65</f>
        <v>MIN</v>
      </c>
      <c r="C61" s="495" t="str">
        <f>CONVENTIONS!E65</f>
        <v>MINBIOMSW1_S3</v>
      </c>
      <c r="D61" s="495" t="str">
        <f>CONVENTIONS!F65</f>
        <v>Domestic Potential of Biodegradable Municipal Solid Waste potential - Solid  - Step 3</v>
      </c>
      <c r="E61" s="509" t="s">
        <v>10</v>
      </c>
      <c r="F61" s="482" t="s">
        <v>434</v>
      </c>
      <c r="G61" s="482"/>
      <c r="H61" s="482"/>
      <c r="I61" s="482"/>
    </row>
    <row r="62" spans="2:19">
      <c r="B62" s="495" t="str">
        <f>CONVENTIONS!K66</f>
        <v>MIN</v>
      </c>
      <c r="C62" s="495" t="str">
        <f>CONVENTIONS!E66</f>
        <v>MINBIOMSW2_S1</v>
      </c>
      <c r="D62" s="495" t="str">
        <f>CONVENTIONS!F66</f>
        <v>Domestic Potential of Biodegradable Municipal Solid Waste  - Step 1</v>
      </c>
      <c r="E62" s="509" t="s">
        <v>10</v>
      </c>
      <c r="F62" s="482" t="s">
        <v>434</v>
      </c>
      <c r="G62" s="482"/>
      <c r="H62" s="482"/>
      <c r="I62" s="482"/>
    </row>
    <row r="63" spans="2:19">
      <c r="B63" s="495" t="str">
        <f>CONVENTIONS!K67</f>
        <v>MIN</v>
      </c>
      <c r="C63" s="495" t="str">
        <f>CONVENTIONS!E67</f>
        <v>MINBIOMSW2_S2</v>
      </c>
      <c r="D63" s="495" t="str">
        <f>CONVENTIONS!F67</f>
        <v>Domestic Potential of Biodegradable Municipal Solid Waste  - Step 2</v>
      </c>
      <c r="E63" s="509" t="s">
        <v>10</v>
      </c>
      <c r="F63" s="482" t="s">
        <v>434</v>
      </c>
      <c r="G63" s="482"/>
      <c r="H63" s="482"/>
      <c r="I63" s="482"/>
    </row>
    <row r="64" spans="2:19">
      <c r="B64" s="495" t="str">
        <f>CONVENTIONS!K68</f>
        <v>MIN</v>
      </c>
      <c r="C64" s="495" t="str">
        <f>CONVENTIONS!E68</f>
        <v>MINBIOMSW2_S3</v>
      </c>
      <c r="D64" s="495" t="str">
        <f>CONVENTIONS!F68</f>
        <v>Domestic Potential of Biodegradable Municipal Solid Waste  - Step 3</v>
      </c>
      <c r="E64" s="509" t="s">
        <v>10</v>
      </c>
      <c r="F64" s="482" t="s">
        <v>434</v>
      </c>
      <c r="G64" s="482"/>
      <c r="H64" s="482"/>
      <c r="I64" s="482"/>
    </row>
    <row r="65" spans="2:9">
      <c r="B65" s="495" t="str">
        <f>CONVENTIONS!K69</f>
        <v>MIN</v>
      </c>
      <c r="C65" s="495" t="str">
        <f>CONVENTIONS!E69</f>
        <v>MINBIOTLW_S1</v>
      </c>
      <c r="D65" s="495" t="str">
        <f>CONVENTIONS!F69</f>
        <v>Domestic Potential of Tallow  - Step 1</v>
      </c>
      <c r="E65" s="509" t="s">
        <v>10</v>
      </c>
      <c r="F65" s="482" t="s">
        <v>434</v>
      </c>
      <c r="G65" s="482"/>
      <c r="H65" s="482"/>
      <c r="I65" s="482"/>
    </row>
    <row r="66" spans="2:9">
      <c r="B66" s="495" t="str">
        <f>CONVENTIONS!K70</f>
        <v>MIN</v>
      </c>
      <c r="C66" s="495" t="str">
        <f>CONVENTIONS!E70</f>
        <v>MINBIOTLW_S2</v>
      </c>
      <c r="D66" s="495" t="str">
        <f>CONVENTIONS!F70</f>
        <v>Domestic Potential of Tallow  - Step 2</v>
      </c>
      <c r="E66" s="509" t="s">
        <v>10</v>
      </c>
      <c r="F66" s="482" t="s">
        <v>434</v>
      </c>
      <c r="G66" s="482"/>
      <c r="H66" s="482"/>
      <c r="I66" s="482"/>
    </row>
    <row r="67" spans="2:9">
      <c r="B67" s="495" t="str">
        <f>CONVENTIONS!K71</f>
        <v>MIN</v>
      </c>
      <c r="C67" s="495" t="str">
        <f>CONVENTIONS!E71</f>
        <v>MINBIOTLW_S3</v>
      </c>
      <c r="D67" s="495" t="str">
        <f>CONVENTIONS!F71</f>
        <v>Domestic Potential of Tallow  - Step 3</v>
      </c>
      <c r="E67" s="509" t="s">
        <v>10</v>
      </c>
      <c r="F67" s="482" t="s">
        <v>434</v>
      </c>
      <c r="G67" s="482"/>
      <c r="H67" s="482"/>
      <c r="I67" s="482"/>
    </row>
    <row r="68" spans="2:9">
      <c r="B68" s="495" t="str">
        <f>CONVENTIONS!K72</f>
        <v>MIN</v>
      </c>
      <c r="C68" s="495" t="str">
        <f>CONVENTIONS!E72</f>
        <v>MINBIORVO_S1</v>
      </c>
      <c r="D68" s="495" t="str">
        <f>CONVENTIONS!F72</f>
        <v>Domestic Potential of Recovered Vegetable Oil  - Step 1</v>
      </c>
      <c r="E68" s="509" t="s">
        <v>10</v>
      </c>
      <c r="F68" s="482" t="s">
        <v>434</v>
      </c>
      <c r="G68" s="482"/>
      <c r="H68" s="482"/>
      <c r="I68" s="482"/>
    </row>
    <row r="69" spans="2:9">
      <c r="B69" s="495" t="str">
        <f>CONVENTIONS!K73</f>
        <v>MIN</v>
      </c>
      <c r="C69" s="495" t="str">
        <f>CONVENTIONS!E73</f>
        <v>MINBIORVO_S2</v>
      </c>
      <c r="D69" s="495" t="str">
        <f>CONVENTIONS!F73</f>
        <v>Domestic Potential of Recovered Vegetable Oil  - Step 2</v>
      </c>
      <c r="E69" s="509" t="s">
        <v>10</v>
      </c>
      <c r="F69" s="482" t="s">
        <v>434</v>
      </c>
      <c r="G69" s="482"/>
      <c r="H69" s="482"/>
      <c r="I69" s="482"/>
    </row>
    <row r="70" spans="2:9">
      <c r="B70" s="495" t="str">
        <f>CONVENTIONS!K74</f>
        <v>MIN</v>
      </c>
      <c r="C70" s="495" t="str">
        <f>CONVENTIONS!E74</f>
        <v>MINBIORVO_S3</v>
      </c>
      <c r="D70" s="495" t="str">
        <f>CONVENTIONS!F74</f>
        <v>Domestic Potential of Recovered Vegetable Oil  - Step 3</v>
      </c>
      <c r="E70" s="509" t="s">
        <v>10</v>
      </c>
      <c r="F70" s="482" t="s">
        <v>434</v>
      </c>
      <c r="G70" s="482"/>
      <c r="H70" s="482"/>
      <c r="I70" s="482"/>
    </row>
    <row r="71" spans="2:9">
      <c r="B71" s="495" t="str">
        <f>CONVENTIONS!K75</f>
        <v>MIN</v>
      </c>
      <c r="C71" s="495" t="str">
        <f>CONVENTIONS!E75</f>
        <v>MINBIOCATW_S1</v>
      </c>
      <c r="D71" s="495" t="str">
        <f>CONVENTIONS!F75</f>
        <v>Domestic Potential of Cattle Waste  - Step 1</v>
      </c>
      <c r="E71" s="509" t="s">
        <v>10</v>
      </c>
      <c r="F71" s="482" t="s">
        <v>434</v>
      </c>
      <c r="G71" s="482"/>
      <c r="H71" s="482"/>
      <c r="I71" s="482"/>
    </row>
    <row r="72" spans="2:9">
      <c r="B72" s="495" t="str">
        <f>CONVENTIONS!K76</f>
        <v>MIN</v>
      </c>
      <c r="C72" s="495" t="str">
        <f>CONVENTIONS!E76</f>
        <v>MINBIOCATW_S2</v>
      </c>
      <c r="D72" s="495" t="str">
        <f>CONVENTIONS!F76</f>
        <v>Domestic Potential of Cattle Waste  - Step 2</v>
      </c>
      <c r="E72" s="509" t="s">
        <v>10</v>
      </c>
      <c r="F72" s="482" t="s">
        <v>434</v>
      </c>
      <c r="G72" s="482"/>
      <c r="H72" s="482"/>
      <c r="I72" s="482"/>
    </row>
    <row r="73" spans="2:9">
      <c r="B73" s="495" t="str">
        <f>CONVENTIONS!K77</f>
        <v>MIN</v>
      </c>
      <c r="C73" s="495" t="str">
        <f>CONVENTIONS!E77</f>
        <v>MINBIOCATW_S3</v>
      </c>
      <c r="D73" s="495" t="str">
        <f>CONVENTIONS!F77</f>
        <v>Domestic Potential of Cattle Waste  - Step 3</v>
      </c>
      <c r="E73" s="509" t="s">
        <v>10</v>
      </c>
      <c r="F73" s="482" t="s">
        <v>434</v>
      </c>
      <c r="G73" s="482"/>
      <c r="H73" s="482"/>
      <c r="I73" s="482"/>
    </row>
    <row r="74" spans="2:9">
      <c r="B74" s="495" t="str">
        <f>CONVENTIONS!K78</f>
        <v>MIN</v>
      </c>
      <c r="C74" s="495" t="str">
        <f>CONVENTIONS!E78</f>
        <v>MINBIOPIGW_S1</v>
      </c>
      <c r="D74" s="495" t="str">
        <f>CONVENTIONS!F78</f>
        <v>Domestic Potential of Pig Waste  - Step 1</v>
      </c>
      <c r="E74" s="509" t="s">
        <v>10</v>
      </c>
      <c r="F74" s="482" t="s">
        <v>434</v>
      </c>
      <c r="G74" s="482"/>
      <c r="H74" s="482"/>
      <c r="I74" s="482"/>
    </row>
    <row r="75" spans="2:9">
      <c r="B75" s="495" t="str">
        <f>CONVENTIONS!K79</f>
        <v>MIN</v>
      </c>
      <c r="C75" s="495" t="str">
        <f>CONVENTIONS!E79</f>
        <v>MINBIOPIGW_S2</v>
      </c>
      <c r="D75" s="495" t="str">
        <f>CONVENTIONS!F79</f>
        <v>Domestic Potential of Pig Waste  - Step 2</v>
      </c>
      <c r="E75" s="509" t="s">
        <v>10</v>
      </c>
      <c r="F75" s="482" t="s">
        <v>434</v>
      </c>
      <c r="G75" s="482"/>
      <c r="H75" s="482"/>
      <c r="I75" s="482"/>
    </row>
    <row r="76" spans="2:9">
      <c r="B76" s="495" t="str">
        <f>CONVENTIONS!K80</f>
        <v>MIN</v>
      </c>
      <c r="C76" s="495" t="str">
        <f>CONVENTIONS!E80</f>
        <v>MINBIOPIGW_S3</v>
      </c>
      <c r="D76" s="495" t="str">
        <f>CONVENTIONS!F80</f>
        <v>Domestic Potential of Pig Waste  - Step 3</v>
      </c>
      <c r="E76" s="509" t="s">
        <v>10</v>
      </c>
      <c r="F76" s="482" t="s">
        <v>434</v>
      </c>
      <c r="G76" s="482"/>
      <c r="H76" s="482"/>
      <c r="I76" s="482"/>
    </row>
    <row r="77" spans="2:9">
      <c r="B77" s="495" t="str">
        <f>CONVENTIONS!K81</f>
        <v>MIN</v>
      </c>
      <c r="C77" s="495" t="str">
        <f>CONVENTIONS!E81</f>
        <v>MINBIOINDF_S1</v>
      </c>
      <c r="D77" s="495" t="str">
        <f>CONVENTIONS!F81</f>
        <v>Domestic Potential of Industrial Food Waste  - Step 1</v>
      </c>
      <c r="E77" s="509" t="s">
        <v>10</v>
      </c>
      <c r="F77" s="482" t="s">
        <v>434</v>
      </c>
      <c r="G77" s="482"/>
      <c r="H77" s="482"/>
      <c r="I77" s="482"/>
    </row>
    <row r="78" spans="2:9">
      <c r="B78" s="495" t="str">
        <f>CONVENTIONS!K82</f>
        <v>MIN</v>
      </c>
      <c r="C78" s="495" t="str">
        <f>CONVENTIONS!E82</f>
        <v>MINBIOINDF_S2</v>
      </c>
      <c r="D78" s="495" t="str">
        <f>CONVENTIONS!F82</f>
        <v>Domestic Potential of Industrial Food Waste  - Step 2</v>
      </c>
      <c r="E78" s="509" t="s">
        <v>10</v>
      </c>
      <c r="F78" s="482" t="s">
        <v>434</v>
      </c>
      <c r="G78" s="482"/>
      <c r="H78" s="482"/>
      <c r="I78" s="482"/>
    </row>
    <row r="79" spans="2:9">
      <c r="B79" s="495" t="str">
        <f>CONVENTIONS!K83</f>
        <v>MIN</v>
      </c>
      <c r="C79" s="495" t="str">
        <f>CONVENTIONS!E83</f>
        <v>MINBIOINDF_S3</v>
      </c>
      <c r="D79" s="495" t="str">
        <f>CONVENTIONS!F83</f>
        <v>Domestic Potential of Industrial Food Waste  - Step 3</v>
      </c>
      <c r="E79" s="509" t="s">
        <v>10</v>
      </c>
      <c r="F79" s="482" t="s">
        <v>434</v>
      </c>
      <c r="G79" s="482"/>
      <c r="H79" s="482"/>
      <c r="I79" s="482"/>
    </row>
    <row r="80" spans="2:9" s="480" customFormat="1">
      <c r="B80" s="495" t="str">
        <f>CONVENTIONS!K84</f>
        <v>IMP</v>
      </c>
      <c r="C80" s="495" t="str">
        <f>CONVENTIONS!E84</f>
        <v>IMPELC_UK</v>
      </c>
      <c r="D80" s="495" t="str">
        <f>CONVENTIONS!F84</f>
        <v>Import of Electricity - UK</v>
      </c>
      <c r="E80" s="509" t="s">
        <v>10</v>
      </c>
      <c r="F80" s="482" t="s">
        <v>434</v>
      </c>
      <c r="G80" s="482" t="s">
        <v>65</v>
      </c>
      <c r="H80" s="482"/>
      <c r="I80" s="482"/>
    </row>
    <row r="81" spans="2:9" s="480" customFormat="1">
      <c r="B81" s="495" t="str">
        <f>CONVENTIONS!K85</f>
        <v>EXP</v>
      </c>
      <c r="C81" s="495" t="str">
        <f>CONVENTIONS!E85</f>
        <v>EXPELC_UK</v>
      </c>
      <c r="D81" s="495" t="str">
        <f>CONVENTIONS!F85</f>
        <v>Export of Electricity - UK</v>
      </c>
      <c r="E81" s="509" t="s">
        <v>10</v>
      </c>
      <c r="F81" s="482" t="s">
        <v>434</v>
      </c>
      <c r="G81" s="482" t="s">
        <v>65</v>
      </c>
      <c r="H81" s="482"/>
      <c r="I81" s="482"/>
    </row>
    <row r="82" spans="2:9">
      <c r="B82" s="495" t="str">
        <f>CONVENTIONS!K86</f>
        <v>PRE</v>
      </c>
      <c r="C82" s="495" t="str">
        <f>CONVENTIONS!E86</f>
        <v>BDNBIOWOO</v>
      </c>
      <c r="D82" s="495" t="str">
        <f>CONVENTIONS!F86</f>
        <v xml:space="preserve">Blending of Biomass - generic </v>
      </c>
      <c r="E82" s="509" t="s">
        <v>10</v>
      </c>
      <c r="F82" s="482" t="s">
        <v>434</v>
      </c>
      <c r="G82" s="482"/>
      <c r="H82" s="514"/>
      <c r="I82" s="503"/>
    </row>
    <row r="83" spans="2:9">
      <c r="B83" s="495" t="str">
        <f>CONVENTIONS!K87</f>
        <v>PRE</v>
      </c>
      <c r="C83" s="495" t="str">
        <f>CONVENTIONS!E87</f>
        <v>SREFOILCRD_Whitegate</v>
      </c>
      <c r="D83" s="495" t="str">
        <f>CONVENTIONS!F87</f>
        <v>Refinery of Crude Oil  - Whitegate</v>
      </c>
      <c r="E83" s="509" t="s">
        <v>10</v>
      </c>
      <c r="F83" s="482" t="s">
        <v>434</v>
      </c>
      <c r="G83" s="503"/>
      <c r="H83" s="514" t="str">
        <f>Commodities!C11</f>
        <v>OILCRD</v>
      </c>
      <c r="I83" s="503"/>
    </row>
    <row r="84" spans="2:9">
      <c r="B84" s="488" t="s">
        <v>433</v>
      </c>
      <c r="C84" s="492"/>
      <c r="D84" s="493"/>
      <c r="E84" s="493"/>
      <c r="F84" s="493"/>
      <c r="G84" s="494"/>
      <c r="H84" s="494"/>
      <c r="I84" s="494"/>
    </row>
    <row r="85" spans="2:9">
      <c r="B85" s="495" t="str">
        <f>CONVENTIONS!K88</f>
        <v>PRE</v>
      </c>
      <c r="C85" s="495" t="str">
        <f>CONVENTIONS!E88</f>
        <v>FT-SUPNGA</v>
      </c>
      <c r="D85" s="495" t="str">
        <f>CONVENTIONS!F88</f>
        <v>Fuel Tech - Natural Gas (SUP)</v>
      </c>
      <c r="E85" s="470" t="s">
        <v>10</v>
      </c>
      <c r="F85" s="482" t="s">
        <v>434</v>
      </c>
      <c r="G85" s="503" t="s">
        <v>73</v>
      </c>
      <c r="H85" s="514"/>
      <c r="I85" s="503"/>
    </row>
    <row r="86" spans="2:9">
      <c r="B86" s="495" t="str">
        <f>CONVENTIONS!K89</f>
        <v>PRE</v>
      </c>
      <c r="C86" s="495" t="str">
        <f>CONVENTIONS!E89</f>
        <v>FT-SUPCOA</v>
      </c>
      <c r="D86" s="495" t="str">
        <f>CONVENTIONS!F89</f>
        <v>Fuel Tech - Coal (SUP)</v>
      </c>
      <c r="E86" s="517" t="s">
        <v>10</v>
      </c>
      <c r="F86" s="482" t="s">
        <v>434</v>
      </c>
      <c r="G86" s="496"/>
      <c r="H86" s="496"/>
      <c r="I86" s="496"/>
    </row>
    <row r="87" spans="2:9">
      <c r="B87" s="495" t="str">
        <f>CONVENTIONS!K90</f>
        <v>PRE</v>
      </c>
      <c r="C87" s="495" t="str">
        <f>CONVENTIONS!E90</f>
        <v>FT-SUPWAS</v>
      </c>
      <c r="D87" s="495" t="str">
        <f>CONVENTIONS!F90</f>
        <v>Fuel Tech - Waste (SUP)</v>
      </c>
      <c r="E87" s="517" t="s">
        <v>10</v>
      </c>
      <c r="F87" s="482" t="s">
        <v>434</v>
      </c>
      <c r="G87" s="496"/>
      <c r="H87" s="496"/>
      <c r="I87" s="496"/>
    </row>
    <row r="88" spans="2:9">
      <c r="B88" s="495" t="str">
        <f>CONVENTIONS!K91</f>
        <v>PRE</v>
      </c>
      <c r="C88" s="495" t="str">
        <f>CONVENTIONS!E91</f>
        <v>FT-SUPBIO</v>
      </c>
      <c r="D88" s="495" t="str">
        <f>CONVENTIONS!F91</f>
        <v>Fuel Tech - Biomass (SUP)</v>
      </c>
      <c r="E88" s="517" t="s">
        <v>10</v>
      </c>
      <c r="F88" s="482" t="s">
        <v>434</v>
      </c>
      <c r="G88" s="496"/>
      <c r="H88" s="496"/>
      <c r="I88" s="496"/>
    </row>
    <row r="89" spans="2:9">
      <c r="B89" s="495" t="str">
        <f>CONVENTIONS!K92</f>
        <v>PRE</v>
      </c>
      <c r="C89" s="495" t="str">
        <f>CONVENTIONS!E92</f>
        <v>FT-SUPELC</v>
      </c>
      <c r="D89" s="495" t="str">
        <f>CONVENTIONS!F92</f>
        <v>Fuel Tech - Electricity (SUP)</v>
      </c>
      <c r="E89" s="470" t="s">
        <v>10</v>
      </c>
      <c r="F89" s="482" t="s">
        <v>434</v>
      </c>
      <c r="G89" s="496" t="s">
        <v>65</v>
      </c>
      <c r="H89" s="496"/>
      <c r="I89" s="496"/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4B577-4D89-4799-9E6A-0D10D8F4A4E3}">
  <sheetPr codeName="Sheet4"/>
  <dimension ref="B1:R21"/>
  <sheetViews>
    <sheetView workbookViewId="0">
      <selection activeCell="K8" sqref="K8"/>
    </sheetView>
  </sheetViews>
  <sheetFormatPr defaultRowHeight="15"/>
  <cols>
    <col min="1" max="1" width="9.140625" style="459"/>
    <col min="2" max="2" width="14.7109375" style="459" customWidth="1"/>
    <col min="3" max="3" width="26" style="459" bestFit="1" customWidth="1"/>
    <col min="4" max="4" width="11.140625" style="459" bestFit="1" customWidth="1"/>
    <col min="5" max="7" width="9.140625" style="459"/>
    <col min="8" max="8" width="10.28515625" style="459" bestFit="1" customWidth="1"/>
    <col min="9" max="9" width="8.85546875" style="427" bestFit="1" customWidth="1"/>
    <col min="10" max="10" width="16.85546875" style="459" customWidth="1"/>
    <col min="11" max="11" width="9.140625" style="459"/>
    <col min="12" max="12" width="11.28515625" style="459" bestFit="1" customWidth="1"/>
    <col min="13" max="13" width="14.7109375" style="459" bestFit="1" customWidth="1"/>
    <col min="14" max="14" width="37" style="459" bestFit="1" customWidth="1"/>
    <col min="15" max="16" width="9.85546875" style="459" customWidth="1"/>
    <col min="17" max="261" width="9.140625" style="459"/>
    <col min="262" max="262" width="10.5703125" style="459" bestFit="1" customWidth="1"/>
    <col min="263" max="263" width="14.85546875" style="459" bestFit="1" customWidth="1"/>
    <col min="264" max="264" width="11.140625" style="459" bestFit="1" customWidth="1"/>
    <col min="265" max="517" width="9.140625" style="459"/>
    <col min="518" max="518" width="10.5703125" style="459" bestFit="1" customWidth="1"/>
    <col min="519" max="519" width="14.85546875" style="459" bestFit="1" customWidth="1"/>
    <col min="520" max="520" width="11.140625" style="459" bestFit="1" customWidth="1"/>
    <col min="521" max="773" width="9.140625" style="459"/>
    <col min="774" max="774" width="10.5703125" style="459" bestFit="1" customWidth="1"/>
    <col min="775" max="775" width="14.85546875" style="459" bestFit="1" customWidth="1"/>
    <col min="776" max="776" width="11.140625" style="459" bestFit="1" customWidth="1"/>
    <col min="777" max="1029" width="9.140625" style="459"/>
    <col min="1030" max="1030" width="10.5703125" style="459" bestFit="1" customWidth="1"/>
    <col min="1031" max="1031" width="14.85546875" style="459" bestFit="1" customWidth="1"/>
    <col min="1032" max="1032" width="11.140625" style="459" bestFit="1" customWidth="1"/>
    <col min="1033" max="1285" width="9.140625" style="459"/>
    <col min="1286" max="1286" width="10.5703125" style="459" bestFit="1" customWidth="1"/>
    <col min="1287" max="1287" width="14.85546875" style="459" bestFit="1" customWidth="1"/>
    <col min="1288" max="1288" width="11.140625" style="459" bestFit="1" customWidth="1"/>
    <col min="1289" max="1541" width="9.140625" style="459"/>
    <col min="1542" max="1542" width="10.5703125" style="459" bestFit="1" customWidth="1"/>
    <col min="1543" max="1543" width="14.85546875" style="459" bestFit="1" customWidth="1"/>
    <col min="1544" max="1544" width="11.140625" style="459" bestFit="1" customWidth="1"/>
    <col min="1545" max="1797" width="9.140625" style="459"/>
    <col min="1798" max="1798" width="10.5703125" style="459" bestFit="1" customWidth="1"/>
    <col min="1799" max="1799" width="14.85546875" style="459" bestFit="1" customWidth="1"/>
    <col min="1800" max="1800" width="11.140625" style="459" bestFit="1" customWidth="1"/>
    <col min="1801" max="2053" width="9.140625" style="459"/>
    <col min="2054" max="2054" width="10.5703125" style="459" bestFit="1" customWidth="1"/>
    <col min="2055" max="2055" width="14.85546875" style="459" bestFit="1" customWidth="1"/>
    <col min="2056" max="2056" width="11.140625" style="459" bestFit="1" customWidth="1"/>
    <col min="2057" max="2309" width="9.140625" style="459"/>
    <col min="2310" max="2310" width="10.5703125" style="459" bestFit="1" customWidth="1"/>
    <col min="2311" max="2311" width="14.85546875" style="459" bestFit="1" customWidth="1"/>
    <col min="2312" max="2312" width="11.140625" style="459" bestFit="1" customWidth="1"/>
    <col min="2313" max="2565" width="9.140625" style="459"/>
    <col min="2566" max="2566" width="10.5703125" style="459" bestFit="1" customWidth="1"/>
    <col min="2567" max="2567" width="14.85546875" style="459" bestFit="1" customWidth="1"/>
    <col min="2568" max="2568" width="11.140625" style="459" bestFit="1" customWidth="1"/>
    <col min="2569" max="2821" width="9.140625" style="459"/>
    <col min="2822" max="2822" width="10.5703125" style="459" bestFit="1" customWidth="1"/>
    <col min="2823" max="2823" width="14.85546875" style="459" bestFit="1" customWidth="1"/>
    <col min="2824" max="2824" width="11.140625" style="459" bestFit="1" customWidth="1"/>
    <col min="2825" max="3077" width="9.140625" style="459"/>
    <col min="3078" max="3078" width="10.5703125" style="459" bestFit="1" customWidth="1"/>
    <col min="3079" max="3079" width="14.85546875" style="459" bestFit="1" customWidth="1"/>
    <col min="3080" max="3080" width="11.140625" style="459" bestFit="1" customWidth="1"/>
    <col min="3081" max="3333" width="9.140625" style="459"/>
    <col min="3334" max="3334" width="10.5703125" style="459" bestFit="1" customWidth="1"/>
    <col min="3335" max="3335" width="14.85546875" style="459" bestFit="1" customWidth="1"/>
    <col min="3336" max="3336" width="11.140625" style="459" bestFit="1" customWidth="1"/>
    <col min="3337" max="3589" width="9.140625" style="459"/>
    <col min="3590" max="3590" width="10.5703125" style="459" bestFit="1" customWidth="1"/>
    <col min="3591" max="3591" width="14.85546875" style="459" bestFit="1" customWidth="1"/>
    <col min="3592" max="3592" width="11.140625" style="459" bestFit="1" customWidth="1"/>
    <col min="3593" max="3845" width="9.140625" style="459"/>
    <col min="3846" max="3846" width="10.5703125" style="459" bestFit="1" customWidth="1"/>
    <col min="3847" max="3847" width="14.85546875" style="459" bestFit="1" customWidth="1"/>
    <col min="3848" max="3848" width="11.140625" style="459" bestFit="1" customWidth="1"/>
    <col min="3849" max="4101" width="9.140625" style="459"/>
    <col min="4102" max="4102" width="10.5703125" style="459" bestFit="1" customWidth="1"/>
    <col min="4103" max="4103" width="14.85546875" style="459" bestFit="1" customWidth="1"/>
    <col min="4104" max="4104" width="11.140625" style="459" bestFit="1" customWidth="1"/>
    <col min="4105" max="4357" width="9.140625" style="459"/>
    <col min="4358" max="4358" width="10.5703125" style="459" bestFit="1" customWidth="1"/>
    <col min="4359" max="4359" width="14.85546875" style="459" bestFit="1" customWidth="1"/>
    <col min="4360" max="4360" width="11.140625" style="459" bestFit="1" customWidth="1"/>
    <col min="4361" max="4613" width="9.140625" style="459"/>
    <col min="4614" max="4614" width="10.5703125" style="459" bestFit="1" customWidth="1"/>
    <col min="4615" max="4615" width="14.85546875" style="459" bestFit="1" customWidth="1"/>
    <col min="4616" max="4616" width="11.140625" style="459" bestFit="1" customWidth="1"/>
    <col min="4617" max="4869" width="9.140625" style="459"/>
    <col min="4870" max="4870" width="10.5703125" style="459" bestFit="1" customWidth="1"/>
    <col min="4871" max="4871" width="14.85546875" style="459" bestFit="1" customWidth="1"/>
    <col min="4872" max="4872" width="11.140625" style="459" bestFit="1" customWidth="1"/>
    <col min="4873" max="5125" width="9.140625" style="459"/>
    <col min="5126" max="5126" width="10.5703125" style="459" bestFit="1" customWidth="1"/>
    <col min="5127" max="5127" width="14.85546875" style="459" bestFit="1" customWidth="1"/>
    <col min="5128" max="5128" width="11.140625" style="459" bestFit="1" customWidth="1"/>
    <col min="5129" max="5381" width="9.140625" style="459"/>
    <col min="5382" max="5382" width="10.5703125" style="459" bestFit="1" customWidth="1"/>
    <col min="5383" max="5383" width="14.85546875" style="459" bestFit="1" customWidth="1"/>
    <col min="5384" max="5384" width="11.140625" style="459" bestFit="1" customWidth="1"/>
    <col min="5385" max="5637" width="9.140625" style="459"/>
    <col min="5638" max="5638" width="10.5703125" style="459" bestFit="1" customWidth="1"/>
    <col min="5639" max="5639" width="14.85546875" style="459" bestFit="1" customWidth="1"/>
    <col min="5640" max="5640" width="11.140625" style="459" bestFit="1" customWidth="1"/>
    <col min="5641" max="5893" width="9.140625" style="459"/>
    <col min="5894" max="5894" width="10.5703125" style="459" bestFit="1" customWidth="1"/>
    <col min="5895" max="5895" width="14.85546875" style="459" bestFit="1" customWidth="1"/>
    <col min="5896" max="5896" width="11.140625" style="459" bestFit="1" customWidth="1"/>
    <col min="5897" max="6149" width="9.140625" style="459"/>
    <col min="6150" max="6150" width="10.5703125" style="459" bestFit="1" customWidth="1"/>
    <col min="6151" max="6151" width="14.85546875" style="459" bestFit="1" customWidth="1"/>
    <col min="6152" max="6152" width="11.140625" style="459" bestFit="1" customWidth="1"/>
    <col min="6153" max="6405" width="9.140625" style="459"/>
    <col min="6406" max="6406" width="10.5703125" style="459" bestFit="1" customWidth="1"/>
    <col min="6407" max="6407" width="14.85546875" style="459" bestFit="1" customWidth="1"/>
    <col min="6408" max="6408" width="11.140625" style="459" bestFit="1" customWidth="1"/>
    <col min="6409" max="6661" width="9.140625" style="459"/>
    <col min="6662" max="6662" width="10.5703125" style="459" bestFit="1" customWidth="1"/>
    <col min="6663" max="6663" width="14.85546875" style="459" bestFit="1" customWidth="1"/>
    <col min="6664" max="6664" width="11.140625" style="459" bestFit="1" customWidth="1"/>
    <col min="6665" max="6917" width="9.140625" style="459"/>
    <col min="6918" max="6918" width="10.5703125" style="459" bestFit="1" customWidth="1"/>
    <col min="6919" max="6919" width="14.85546875" style="459" bestFit="1" customWidth="1"/>
    <col min="6920" max="6920" width="11.140625" style="459" bestFit="1" customWidth="1"/>
    <col min="6921" max="7173" width="9.140625" style="459"/>
    <col min="7174" max="7174" width="10.5703125" style="459" bestFit="1" customWidth="1"/>
    <col min="7175" max="7175" width="14.85546875" style="459" bestFit="1" customWidth="1"/>
    <col min="7176" max="7176" width="11.140625" style="459" bestFit="1" customWidth="1"/>
    <col min="7177" max="7429" width="9.140625" style="459"/>
    <col min="7430" max="7430" width="10.5703125" style="459" bestFit="1" customWidth="1"/>
    <col min="7431" max="7431" width="14.85546875" style="459" bestFit="1" customWidth="1"/>
    <col min="7432" max="7432" width="11.140625" style="459" bestFit="1" customWidth="1"/>
    <col min="7433" max="7685" width="9.140625" style="459"/>
    <col min="7686" max="7686" width="10.5703125" style="459" bestFit="1" customWidth="1"/>
    <col min="7687" max="7687" width="14.85546875" style="459" bestFit="1" customWidth="1"/>
    <col min="7688" max="7688" width="11.140625" style="459" bestFit="1" customWidth="1"/>
    <col min="7689" max="7941" width="9.140625" style="459"/>
    <col min="7942" max="7942" width="10.5703125" style="459" bestFit="1" customWidth="1"/>
    <col min="7943" max="7943" width="14.85546875" style="459" bestFit="1" customWidth="1"/>
    <col min="7944" max="7944" width="11.140625" style="459" bestFit="1" customWidth="1"/>
    <col min="7945" max="8197" width="9.140625" style="459"/>
    <col min="8198" max="8198" width="10.5703125" style="459" bestFit="1" customWidth="1"/>
    <col min="8199" max="8199" width="14.85546875" style="459" bestFit="1" customWidth="1"/>
    <col min="8200" max="8200" width="11.140625" style="459" bestFit="1" customWidth="1"/>
    <col min="8201" max="8453" width="9.140625" style="459"/>
    <col min="8454" max="8454" width="10.5703125" style="459" bestFit="1" customWidth="1"/>
    <col min="8455" max="8455" width="14.85546875" style="459" bestFit="1" customWidth="1"/>
    <col min="8456" max="8456" width="11.140625" style="459" bestFit="1" customWidth="1"/>
    <col min="8457" max="8709" width="9.140625" style="459"/>
    <col min="8710" max="8710" width="10.5703125" style="459" bestFit="1" customWidth="1"/>
    <col min="8711" max="8711" width="14.85546875" style="459" bestFit="1" customWidth="1"/>
    <col min="8712" max="8712" width="11.140625" style="459" bestFit="1" customWidth="1"/>
    <col min="8713" max="8965" width="9.140625" style="459"/>
    <col min="8966" max="8966" width="10.5703125" style="459" bestFit="1" customWidth="1"/>
    <col min="8967" max="8967" width="14.85546875" style="459" bestFit="1" customWidth="1"/>
    <col min="8968" max="8968" width="11.140625" style="459" bestFit="1" customWidth="1"/>
    <col min="8969" max="9221" width="9.140625" style="459"/>
    <col min="9222" max="9222" width="10.5703125" style="459" bestFit="1" customWidth="1"/>
    <col min="9223" max="9223" width="14.85546875" style="459" bestFit="1" customWidth="1"/>
    <col min="9224" max="9224" width="11.140625" style="459" bestFit="1" customWidth="1"/>
    <col min="9225" max="9477" width="9.140625" style="459"/>
    <col min="9478" max="9478" width="10.5703125" style="459" bestFit="1" customWidth="1"/>
    <col min="9479" max="9479" width="14.85546875" style="459" bestFit="1" customWidth="1"/>
    <col min="9480" max="9480" width="11.140625" style="459" bestFit="1" customWidth="1"/>
    <col min="9481" max="9733" width="9.140625" style="459"/>
    <col min="9734" max="9734" width="10.5703125" style="459" bestFit="1" customWidth="1"/>
    <col min="9735" max="9735" width="14.85546875" style="459" bestFit="1" customWidth="1"/>
    <col min="9736" max="9736" width="11.140625" style="459" bestFit="1" customWidth="1"/>
    <col min="9737" max="9989" width="9.140625" style="459"/>
    <col min="9990" max="9990" width="10.5703125" style="459" bestFit="1" customWidth="1"/>
    <col min="9991" max="9991" width="14.85546875" style="459" bestFit="1" customWidth="1"/>
    <col min="9992" max="9992" width="11.140625" style="459" bestFit="1" customWidth="1"/>
    <col min="9993" max="10245" width="9.140625" style="459"/>
    <col min="10246" max="10246" width="10.5703125" style="459" bestFit="1" customWidth="1"/>
    <col min="10247" max="10247" width="14.85546875" style="459" bestFit="1" customWidth="1"/>
    <col min="10248" max="10248" width="11.140625" style="459" bestFit="1" customWidth="1"/>
    <col min="10249" max="10501" width="9.140625" style="459"/>
    <col min="10502" max="10502" width="10.5703125" style="459" bestFit="1" customWidth="1"/>
    <col min="10503" max="10503" width="14.85546875" style="459" bestFit="1" customWidth="1"/>
    <col min="10504" max="10504" width="11.140625" style="459" bestFit="1" customWidth="1"/>
    <col min="10505" max="10757" width="9.140625" style="459"/>
    <col min="10758" max="10758" width="10.5703125" style="459" bestFit="1" customWidth="1"/>
    <col min="10759" max="10759" width="14.85546875" style="459" bestFit="1" customWidth="1"/>
    <col min="10760" max="10760" width="11.140625" style="459" bestFit="1" customWidth="1"/>
    <col min="10761" max="11013" width="9.140625" style="459"/>
    <col min="11014" max="11014" width="10.5703125" style="459" bestFit="1" customWidth="1"/>
    <col min="11015" max="11015" width="14.85546875" style="459" bestFit="1" customWidth="1"/>
    <col min="11016" max="11016" width="11.140625" style="459" bestFit="1" customWidth="1"/>
    <col min="11017" max="11269" width="9.140625" style="459"/>
    <col min="11270" max="11270" width="10.5703125" style="459" bestFit="1" customWidth="1"/>
    <col min="11271" max="11271" width="14.85546875" style="459" bestFit="1" customWidth="1"/>
    <col min="11272" max="11272" width="11.140625" style="459" bestFit="1" customWidth="1"/>
    <col min="11273" max="11525" width="9.140625" style="459"/>
    <col min="11526" max="11526" width="10.5703125" style="459" bestFit="1" customWidth="1"/>
    <col min="11527" max="11527" width="14.85546875" style="459" bestFit="1" customWidth="1"/>
    <col min="11528" max="11528" width="11.140625" style="459" bestFit="1" customWidth="1"/>
    <col min="11529" max="11781" width="9.140625" style="459"/>
    <col min="11782" max="11782" width="10.5703125" style="459" bestFit="1" customWidth="1"/>
    <col min="11783" max="11783" width="14.85546875" style="459" bestFit="1" customWidth="1"/>
    <col min="11784" max="11784" width="11.140625" style="459" bestFit="1" customWidth="1"/>
    <col min="11785" max="12037" width="9.140625" style="459"/>
    <col min="12038" max="12038" width="10.5703125" style="459" bestFit="1" customWidth="1"/>
    <col min="12039" max="12039" width="14.85546875" style="459" bestFit="1" customWidth="1"/>
    <col min="12040" max="12040" width="11.140625" style="459" bestFit="1" customWidth="1"/>
    <col min="12041" max="12293" width="9.140625" style="459"/>
    <col min="12294" max="12294" width="10.5703125" style="459" bestFit="1" customWidth="1"/>
    <col min="12295" max="12295" width="14.85546875" style="459" bestFit="1" customWidth="1"/>
    <col min="12296" max="12296" width="11.140625" style="459" bestFit="1" customWidth="1"/>
    <col min="12297" max="12549" width="9.140625" style="459"/>
    <col min="12550" max="12550" width="10.5703125" style="459" bestFit="1" customWidth="1"/>
    <col min="12551" max="12551" width="14.85546875" style="459" bestFit="1" customWidth="1"/>
    <col min="12552" max="12552" width="11.140625" style="459" bestFit="1" customWidth="1"/>
    <col min="12553" max="12805" width="9.140625" style="459"/>
    <col min="12806" max="12806" width="10.5703125" style="459" bestFit="1" customWidth="1"/>
    <col min="12807" max="12807" width="14.85546875" style="459" bestFit="1" customWidth="1"/>
    <col min="12808" max="12808" width="11.140625" style="459" bestFit="1" customWidth="1"/>
    <col min="12809" max="13061" width="9.140625" style="459"/>
    <col min="13062" max="13062" width="10.5703125" style="459" bestFit="1" customWidth="1"/>
    <col min="13063" max="13063" width="14.85546875" style="459" bestFit="1" customWidth="1"/>
    <col min="13064" max="13064" width="11.140625" style="459" bestFit="1" customWidth="1"/>
    <col min="13065" max="13317" width="9.140625" style="459"/>
    <col min="13318" max="13318" width="10.5703125" style="459" bestFit="1" customWidth="1"/>
    <col min="13319" max="13319" width="14.85546875" style="459" bestFit="1" customWidth="1"/>
    <col min="13320" max="13320" width="11.140625" style="459" bestFit="1" customWidth="1"/>
    <col min="13321" max="13573" width="9.140625" style="459"/>
    <col min="13574" max="13574" width="10.5703125" style="459" bestFit="1" customWidth="1"/>
    <col min="13575" max="13575" width="14.85546875" style="459" bestFit="1" customWidth="1"/>
    <col min="13576" max="13576" width="11.140625" style="459" bestFit="1" customWidth="1"/>
    <col min="13577" max="13829" width="9.140625" style="459"/>
    <col min="13830" max="13830" width="10.5703125" style="459" bestFit="1" customWidth="1"/>
    <col min="13831" max="13831" width="14.85546875" style="459" bestFit="1" customWidth="1"/>
    <col min="13832" max="13832" width="11.140625" style="459" bestFit="1" customWidth="1"/>
    <col min="13833" max="14085" width="9.140625" style="459"/>
    <col min="14086" max="14086" width="10.5703125" style="459" bestFit="1" customWidth="1"/>
    <col min="14087" max="14087" width="14.85546875" style="459" bestFit="1" customWidth="1"/>
    <col min="14088" max="14088" width="11.140625" style="459" bestFit="1" customWidth="1"/>
    <col min="14089" max="14341" width="9.140625" style="459"/>
    <col min="14342" max="14342" width="10.5703125" style="459" bestFit="1" customWidth="1"/>
    <col min="14343" max="14343" width="14.85546875" style="459" bestFit="1" customWidth="1"/>
    <col min="14344" max="14344" width="11.140625" style="459" bestFit="1" customWidth="1"/>
    <col min="14345" max="14597" width="9.140625" style="459"/>
    <col min="14598" max="14598" width="10.5703125" style="459" bestFit="1" customWidth="1"/>
    <col min="14599" max="14599" width="14.85546875" style="459" bestFit="1" customWidth="1"/>
    <col min="14600" max="14600" width="11.140625" style="459" bestFit="1" customWidth="1"/>
    <col min="14601" max="14853" width="9.140625" style="459"/>
    <col min="14854" max="14854" width="10.5703125" style="459" bestFit="1" customWidth="1"/>
    <col min="14855" max="14855" width="14.85546875" style="459" bestFit="1" customWidth="1"/>
    <col min="14856" max="14856" width="11.140625" style="459" bestFit="1" customWidth="1"/>
    <col min="14857" max="15109" width="9.140625" style="459"/>
    <col min="15110" max="15110" width="10.5703125" style="459" bestFit="1" customWidth="1"/>
    <col min="15111" max="15111" width="14.85546875" style="459" bestFit="1" customWidth="1"/>
    <col min="15112" max="15112" width="11.140625" style="459" bestFit="1" customWidth="1"/>
    <col min="15113" max="15365" width="9.140625" style="459"/>
    <col min="15366" max="15366" width="10.5703125" style="459" bestFit="1" customWidth="1"/>
    <col min="15367" max="15367" width="14.85546875" style="459" bestFit="1" customWidth="1"/>
    <col min="15368" max="15368" width="11.140625" style="459" bestFit="1" customWidth="1"/>
    <col min="15369" max="15621" width="9.140625" style="459"/>
    <col min="15622" max="15622" width="10.5703125" style="459" bestFit="1" customWidth="1"/>
    <col min="15623" max="15623" width="14.85546875" style="459" bestFit="1" customWidth="1"/>
    <col min="15624" max="15624" width="11.140625" style="459" bestFit="1" customWidth="1"/>
    <col min="15625" max="15877" width="9.140625" style="459"/>
    <col min="15878" max="15878" width="10.5703125" style="459" bestFit="1" customWidth="1"/>
    <col min="15879" max="15879" width="14.85546875" style="459" bestFit="1" customWidth="1"/>
    <col min="15880" max="15880" width="11.140625" style="459" bestFit="1" customWidth="1"/>
    <col min="15881" max="16133" width="9.140625" style="459"/>
    <col min="16134" max="16134" width="10.5703125" style="459" bestFit="1" customWidth="1"/>
    <col min="16135" max="16135" width="14.85546875" style="459" bestFit="1" customWidth="1"/>
    <col min="16136" max="16136" width="11.140625" style="459" bestFit="1" customWidth="1"/>
    <col min="16137" max="16384" width="9.140625" style="459"/>
  </cols>
  <sheetData>
    <row r="1" spans="2:18" ht="18.75">
      <c r="B1" s="463" t="s">
        <v>299</v>
      </c>
      <c r="C1" s="464"/>
      <c r="D1" s="465"/>
      <c r="E1" s="465"/>
      <c r="I1" s="459"/>
    </row>
    <row r="3" spans="2:18">
      <c r="D3" s="2" t="s">
        <v>60</v>
      </c>
    </row>
    <row r="4" spans="2:18">
      <c r="B4" s="466" t="s">
        <v>2</v>
      </c>
      <c r="C4" s="466" t="s">
        <v>69</v>
      </c>
      <c r="D4" s="466" t="s">
        <v>40</v>
      </c>
      <c r="E4" s="467" t="s">
        <v>151</v>
      </c>
      <c r="F4" s="468" t="s">
        <v>182</v>
      </c>
      <c r="G4" s="467" t="s">
        <v>300</v>
      </c>
      <c r="H4" s="468" t="s">
        <v>513</v>
      </c>
      <c r="I4" s="468" t="s">
        <v>301</v>
      </c>
      <c r="J4" s="468" t="s">
        <v>302</v>
      </c>
    </row>
    <row r="5" spans="2:18" ht="15.75" thickBot="1">
      <c r="B5" s="469" t="s">
        <v>267</v>
      </c>
      <c r="C5" s="469"/>
      <c r="D5" s="469"/>
      <c r="E5" s="469"/>
      <c r="F5" s="469"/>
      <c r="G5" s="469"/>
      <c r="H5" s="469" t="s">
        <v>188</v>
      </c>
      <c r="I5" s="469" t="s">
        <v>303</v>
      </c>
      <c r="J5" s="469" t="s">
        <v>304</v>
      </c>
    </row>
    <row r="6" spans="2:18">
      <c r="B6" s="459" t="str">
        <f>Processes!C85</f>
        <v>FT-SUPNGA</v>
      </c>
      <c r="C6" s="459" t="str">
        <f>Commodities!C21</f>
        <v>GASNAT</v>
      </c>
      <c r="D6" s="459" t="str">
        <f>Commodities!C50</f>
        <v>SUPNGA</v>
      </c>
      <c r="E6" s="47">
        <f>$C$20</f>
        <v>1</v>
      </c>
      <c r="F6" s="47">
        <f>$C$21</f>
        <v>100</v>
      </c>
      <c r="G6" s="47"/>
      <c r="H6" s="196"/>
      <c r="J6" s="47"/>
    </row>
    <row r="7" spans="2:18">
      <c r="B7" s="459" t="str">
        <f>Processes!C86</f>
        <v>FT-SUPCOA</v>
      </c>
      <c r="C7" s="459" t="str">
        <f>Commodities!C7</f>
        <v>COAHAR</v>
      </c>
      <c r="D7" s="459" t="str">
        <f>Commodities!C49</f>
        <v>SUPCOA</v>
      </c>
      <c r="E7" s="47">
        <f t="shared" ref="E7:E10" si="0">$C$20</f>
        <v>1</v>
      </c>
      <c r="F7" s="47">
        <f t="shared" ref="F7:F10" si="1">$C$21</f>
        <v>100</v>
      </c>
      <c r="G7" s="47"/>
      <c r="H7" s="196"/>
      <c r="J7" s="47"/>
    </row>
    <row r="8" spans="2:18">
      <c r="B8" s="459" t="str">
        <f>Processes!C87</f>
        <v>FT-SUPWAS</v>
      </c>
      <c r="C8" s="459" t="str">
        <f>Commodities!C27</f>
        <v>MSWAS</v>
      </c>
      <c r="D8" s="459" t="str">
        <f>Commodities!C53</f>
        <v>SUPWAS</v>
      </c>
      <c r="E8" s="47">
        <f t="shared" si="0"/>
        <v>1</v>
      </c>
      <c r="F8" s="47">
        <f t="shared" si="1"/>
        <v>100</v>
      </c>
      <c r="G8" s="47"/>
      <c r="H8" s="196"/>
      <c r="J8" s="47"/>
    </row>
    <row r="9" spans="2:18">
      <c r="B9" s="459" t="str">
        <f>Processes!C88</f>
        <v>FT-SUPBIO</v>
      </c>
      <c r="C9" s="459" t="str">
        <f>_xlfn.TEXTJOIN(", ",TRUE,Commodities!C36,Commodities!C40,Commodities!C41)</f>
        <v>BIOWOO, BIOWPE, BIOWCH</v>
      </c>
      <c r="D9" s="459" t="str">
        <f>Commodities!C51</f>
        <v>SUPBIO</v>
      </c>
      <c r="E9" s="47">
        <f t="shared" si="0"/>
        <v>1</v>
      </c>
      <c r="F9" s="47">
        <f t="shared" si="1"/>
        <v>100</v>
      </c>
      <c r="G9" s="47"/>
      <c r="H9" s="196"/>
      <c r="J9" s="47"/>
    </row>
    <row r="10" spans="2:18">
      <c r="B10" s="459" t="str">
        <f>Processes!C89</f>
        <v>FT-SUPELC</v>
      </c>
      <c r="C10" s="459" t="s">
        <v>70</v>
      </c>
      <c r="D10" s="459" t="str">
        <f>Commodities!C52</f>
        <v>SUPELC</v>
      </c>
      <c r="E10" s="47">
        <f t="shared" si="0"/>
        <v>1</v>
      </c>
      <c r="F10" s="47">
        <f t="shared" si="1"/>
        <v>100</v>
      </c>
      <c r="G10" s="47"/>
      <c r="H10" s="196"/>
      <c r="J10" s="47"/>
    </row>
    <row r="11" spans="2:18">
      <c r="E11" s="47"/>
      <c r="F11" s="47"/>
      <c r="G11" s="47"/>
      <c r="H11" s="196"/>
      <c r="J11" s="47"/>
      <c r="L11" s="427"/>
      <c r="M11" s="427"/>
      <c r="N11" s="458"/>
      <c r="O11" s="470"/>
      <c r="P11" s="470"/>
      <c r="Q11" s="470"/>
      <c r="R11" s="453"/>
    </row>
    <row r="12" spans="2:18">
      <c r="E12" s="47"/>
      <c r="F12" s="47"/>
      <c r="G12" s="471"/>
      <c r="H12" s="196"/>
      <c r="J12" s="471"/>
      <c r="L12" s="427"/>
      <c r="M12" s="427"/>
      <c r="N12" s="458"/>
      <c r="O12" s="470"/>
      <c r="P12" s="470"/>
      <c r="Q12" s="470"/>
      <c r="R12" s="453"/>
    </row>
    <row r="13" spans="2:18">
      <c r="F13" s="471"/>
      <c r="G13" s="471"/>
      <c r="H13" s="471"/>
      <c r="J13" s="471"/>
      <c r="L13" s="427"/>
      <c r="M13" s="427"/>
      <c r="N13" s="458"/>
      <c r="O13" s="470"/>
      <c r="P13" s="470"/>
      <c r="Q13" s="427"/>
      <c r="R13" s="453"/>
    </row>
    <row r="14" spans="2:18">
      <c r="E14" s="47"/>
      <c r="F14" s="47"/>
      <c r="G14" s="47"/>
      <c r="H14" s="196"/>
      <c r="J14" s="47"/>
      <c r="L14" s="427"/>
      <c r="M14" s="427"/>
      <c r="N14" s="458"/>
      <c r="O14" s="470"/>
      <c r="P14" s="470"/>
      <c r="Q14" s="470"/>
      <c r="R14" s="453"/>
    </row>
    <row r="19" spans="2:3">
      <c r="B19" s="459" t="s">
        <v>475</v>
      </c>
    </row>
    <row r="20" spans="2:3">
      <c r="B20" s="459" t="s">
        <v>151</v>
      </c>
      <c r="C20" s="459">
        <v>1</v>
      </c>
    </row>
    <row r="21" spans="2:3">
      <c r="B21" s="459" t="s">
        <v>182</v>
      </c>
      <c r="C21" s="459">
        <v>100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5"/>
  <dimension ref="B2:T62"/>
  <sheetViews>
    <sheetView tabSelected="1" workbookViewId="0">
      <selection activeCell="P17" sqref="P17"/>
    </sheetView>
  </sheetViews>
  <sheetFormatPr defaultColWidth="9.140625" defaultRowHeight="15"/>
  <cols>
    <col min="1" max="1" width="9.140625" style="42"/>
    <col min="2" max="2" width="23.5703125" style="42" bestFit="1" customWidth="1"/>
    <col min="3" max="3" width="34.140625" style="42" bestFit="1" customWidth="1"/>
    <col min="4" max="4" width="10.85546875" style="42" bestFit="1" customWidth="1"/>
    <col min="5" max="14" width="10.5703125" style="42" customWidth="1"/>
    <col min="15" max="21" width="9.140625" style="42"/>
    <col min="22" max="22" width="16" style="42" bestFit="1" customWidth="1"/>
    <col min="23" max="23" width="19.42578125" style="42" customWidth="1"/>
    <col min="24" max="24" width="38.5703125" style="42" bestFit="1" customWidth="1"/>
    <col min="25" max="16384" width="9.140625" style="42"/>
  </cols>
  <sheetData>
    <row r="2" spans="2:17" ht="18.75">
      <c r="B2" s="4" t="s">
        <v>101</v>
      </c>
      <c r="C2" s="5"/>
      <c r="D2" s="6" t="s">
        <v>196</v>
      </c>
      <c r="E2" s="7"/>
      <c r="F2" s="7"/>
      <c r="G2" s="3"/>
      <c r="H2" s="3"/>
      <c r="I2" s="3"/>
      <c r="J2" s="3"/>
      <c r="K2" s="3"/>
      <c r="L2" s="3"/>
      <c r="M2" s="3"/>
      <c r="N2" s="3"/>
      <c r="O2" s="3"/>
      <c r="P2" s="3"/>
      <c r="Q2" s="3"/>
    </row>
    <row r="3" spans="2:17">
      <c r="B3" s="8" t="s">
        <v>2</v>
      </c>
      <c r="C3" s="8" t="s">
        <v>3</v>
      </c>
      <c r="D3" s="22" t="s">
        <v>40</v>
      </c>
      <c r="E3" s="9" t="s">
        <v>42</v>
      </c>
      <c r="F3" s="9" t="s">
        <v>43</v>
      </c>
      <c r="G3" s="9" t="s">
        <v>45</v>
      </c>
      <c r="H3" s="9" t="s">
        <v>46</v>
      </c>
      <c r="I3" s="9" t="s">
        <v>47</v>
      </c>
      <c r="J3" s="110" t="s">
        <v>98</v>
      </c>
      <c r="K3" s="9"/>
      <c r="L3" s="9"/>
      <c r="M3" s="1"/>
      <c r="N3" s="1"/>
    </row>
    <row r="4" spans="2:17" ht="26.25" thickBot="1">
      <c r="B4" s="13" t="s">
        <v>48</v>
      </c>
      <c r="C4" s="13" t="s">
        <v>49</v>
      </c>
      <c r="D4" s="13" t="s">
        <v>50</v>
      </c>
      <c r="E4" s="10" t="s">
        <v>51</v>
      </c>
      <c r="F4" s="10" t="s">
        <v>51</v>
      </c>
      <c r="G4" s="10" t="s">
        <v>51</v>
      </c>
      <c r="H4" s="10" t="s">
        <v>51</v>
      </c>
      <c r="I4" s="10" t="s">
        <v>51</v>
      </c>
      <c r="J4" s="10"/>
      <c r="K4" s="10"/>
      <c r="L4" s="10"/>
      <c r="M4" s="3"/>
      <c r="N4" s="3"/>
    </row>
    <row r="5" spans="2:17">
      <c r="B5" s="11" t="str">
        <f>Processes!C11</f>
        <v>IMPOILCRD</v>
      </c>
      <c r="C5" s="3" t="str">
        <f>Processes!D11</f>
        <v xml:space="preserve">Import of Crude Oil </v>
      </c>
      <c r="D5" s="3" t="str">
        <f>Commodities!C11</f>
        <v>OILCRD</v>
      </c>
      <c r="E5" s="12">
        <f>Imports_Fossil!G31</f>
        <v>6.8347633154600382</v>
      </c>
      <c r="F5" s="12">
        <f>Imports_Fossil!L31</f>
        <v>10.989227291523985</v>
      </c>
      <c r="G5" s="12">
        <f>Imports_Fossil!M31</f>
        <v>17.019900805165197</v>
      </c>
      <c r="H5" s="12">
        <f>Imports_Fossil!N31</f>
        <v>19.566185177591485</v>
      </c>
      <c r="I5" s="12">
        <f>Imports_Fossil!O31</f>
        <v>22.493409731719346</v>
      </c>
      <c r="J5" s="111" t="s">
        <v>272</v>
      </c>
      <c r="K5" s="112"/>
      <c r="L5" s="112"/>
      <c r="M5" s="3"/>
      <c r="N5" s="1"/>
    </row>
    <row r="6" spans="2:17">
      <c r="B6" s="11" t="str">
        <f>Processes!C19</f>
        <v>IMPGASNAT_UK</v>
      </c>
      <c r="C6" s="11" t="str">
        <f>Processes!D19</f>
        <v>Import of Natural Gas  - UK</v>
      </c>
      <c r="D6" s="11" t="str">
        <f>Commodities!C21</f>
        <v>GASNAT</v>
      </c>
      <c r="E6" s="12">
        <f>Imports_Fossil!G32</f>
        <v>5.6772421955803125</v>
      </c>
      <c r="F6" s="12">
        <f>Imports_Fossil!L32</f>
        <v>5.9205525753908965</v>
      </c>
      <c r="G6" s="12">
        <f>Imports_Fossil!M32</f>
        <v>9.0024840529916368</v>
      </c>
      <c r="H6" s="12">
        <f>Imports_Fossil!N32</f>
        <v>10.543449791792009</v>
      </c>
      <c r="I6" s="12">
        <f>Imports_Fossil!O32</f>
        <v>12.348184440837489</v>
      </c>
      <c r="J6" s="111" t="s">
        <v>272</v>
      </c>
      <c r="K6" s="112"/>
      <c r="L6" s="112"/>
      <c r="M6" s="3"/>
      <c r="N6" s="3"/>
    </row>
    <row r="7" spans="2:17">
      <c r="B7" s="108" t="str">
        <f>Processes!C8</f>
        <v>IMPCOAHAR</v>
      </c>
      <c r="C7" s="108" t="str">
        <f>Processes!D8</f>
        <v xml:space="preserve">Import of Hard Coal / Antracite </v>
      </c>
      <c r="D7" s="108" t="str">
        <f>Commodities!C7</f>
        <v>COAHAR</v>
      </c>
      <c r="E7" s="109">
        <f>Imports_Fossil!G33</f>
        <v>1.8332979002949681</v>
      </c>
      <c r="F7" s="109">
        <f>Imports_Fossil!L33</f>
        <v>2.0906028687574199</v>
      </c>
      <c r="G7" s="109">
        <f>Imports_Fossil!M33</f>
        <v>2.5730496846245168</v>
      </c>
      <c r="H7" s="109">
        <f>Imports_Fossil!N33</f>
        <v>2.8303546530869679</v>
      </c>
      <c r="I7" s="109">
        <f>Imports_Fossil!O33</f>
        <v>3.1133901183956652</v>
      </c>
      <c r="J7" s="113" t="s">
        <v>272</v>
      </c>
      <c r="K7" s="114"/>
      <c r="L7" s="114"/>
      <c r="M7" s="3"/>
      <c r="N7" s="3"/>
    </row>
    <row r="8" spans="2:17">
      <c r="B8" s="11" t="str">
        <f>Processes!C7</f>
        <v>IMPCOABIT</v>
      </c>
      <c r="C8" s="3" t="str">
        <f>Processes!D7</f>
        <v xml:space="preserve">Import of Bituminous Coal </v>
      </c>
      <c r="D8" s="3" t="str">
        <f>Commodities!C6</f>
        <v>COABIT</v>
      </c>
      <c r="E8" s="12">
        <f>E$7*$J$8</f>
        <v>1.7416330052802285</v>
      </c>
      <c r="F8" s="12">
        <f>F$7*$J$8</f>
        <v>1.9860727253195589</v>
      </c>
      <c r="G8" s="12">
        <f>G$7*$J$8</f>
        <v>2.4443972003933032</v>
      </c>
      <c r="H8" s="12">
        <f>H$7*$J$8</f>
        <v>2.688836920432633</v>
      </c>
      <c r="I8" s="12">
        <f>I$7*$J$8</f>
        <v>2.9577206124758968</v>
      </c>
      <c r="J8" s="117">
        <v>0.95000000000000484</v>
      </c>
      <c r="K8" s="112"/>
      <c r="L8" s="112"/>
      <c r="M8" s="3"/>
    </row>
    <row r="9" spans="2:17">
      <c r="B9" s="11" t="str">
        <f>Processes!C9</f>
        <v>IMPCOACOK</v>
      </c>
      <c r="C9" s="3" t="str">
        <f>Processes!D9</f>
        <v xml:space="preserve">Import of Coke Coal </v>
      </c>
      <c r="D9" s="3" t="str">
        <f>Commodities!C8</f>
        <v>COACOK</v>
      </c>
      <c r="E9" s="12">
        <f>E$7*$J9</f>
        <v>2.3282883333746209</v>
      </c>
      <c r="F9" s="12">
        <f>F$7*$J9</f>
        <v>2.6550656433219362</v>
      </c>
      <c r="G9" s="12">
        <f>G$7*$J9</f>
        <v>3.2677730994731524</v>
      </c>
      <c r="H9" s="12">
        <f>H$7*$J9</f>
        <v>3.5945504094204668</v>
      </c>
      <c r="I9" s="12">
        <f>I$7*$J9</f>
        <v>3.9540054503625139</v>
      </c>
      <c r="J9" s="117">
        <v>1.2700000000000062</v>
      </c>
      <c r="K9" s="112"/>
      <c r="L9" s="112"/>
      <c r="M9" s="12"/>
    </row>
    <row r="10" spans="2:17">
      <c r="B10" s="11" t="str">
        <f>Processes!C10</f>
        <v>IMPCOALIG</v>
      </c>
      <c r="C10" s="3" t="str">
        <f>Processes!D10</f>
        <v xml:space="preserve">Import of Lignite /  Brown Coal </v>
      </c>
      <c r="D10" s="3" t="str">
        <f>Commodities!C9</f>
        <v>COALIG</v>
      </c>
      <c r="E10" s="12">
        <f>E$7*$J10</f>
        <v>1.6051917099356978</v>
      </c>
      <c r="F10" s="12">
        <f>F$7*$J10</f>
        <v>1.8304817744880766</v>
      </c>
      <c r="G10" s="12">
        <f>G$7*$J10</f>
        <v>2.2529006455237868</v>
      </c>
      <c r="H10" s="12">
        <f>H$7*$J10</f>
        <v>2.4781907100761646</v>
      </c>
      <c r="I10" s="12">
        <f>I$7*$J10</f>
        <v>2.7260097810837816</v>
      </c>
      <c r="J10" s="117">
        <v>0.87557603686636576</v>
      </c>
      <c r="K10" s="112"/>
      <c r="L10" s="112"/>
      <c r="M10" s="3"/>
    </row>
    <row r="11" spans="2:17">
      <c r="B11" s="11" t="str">
        <f>Processes!C20</f>
        <v>IMPGASLNG_GLOBAL</v>
      </c>
      <c r="C11" s="3" t="str">
        <f>Processes!D20</f>
        <v xml:space="preserve">Import of Liquified Natural Gas </v>
      </c>
      <c r="D11" s="3" t="str">
        <f>Commodities!C22</f>
        <v>GASLNG</v>
      </c>
      <c r="E11" s="12">
        <f>E$6*$J11</f>
        <v>6.0573818829465766</v>
      </c>
      <c r="F11" s="12">
        <f>F$6*$J11</f>
        <v>6.3169839636442857</v>
      </c>
      <c r="G11" s="12">
        <f>G$6*$J11</f>
        <v>9.6052769858152836</v>
      </c>
      <c r="H11" s="12">
        <f>H$6*$J11</f>
        <v>11.249423496900784</v>
      </c>
      <c r="I11" s="12">
        <f>I$6*$J11</f>
        <v>13.175000491865784</v>
      </c>
      <c r="J11" s="117">
        <v>1.0669585115925122</v>
      </c>
      <c r="K11" s="112"/>
      <c r="L11" s="112"/>
      <c r="M11" s="3"/>
    </row>
    <row r="12" spans="2:17">
      <c r="B12" s="11" t="str">
        <f>Processes!C14</f>
        <v>IMPOILDST</v>
      </c>
      <c r="C12" s="3" t="str">
        <f>Processes!D14</f>
        <v xml:space="preserve">Import of Diesel Oil </v>
      </c>
      <c r="D12" s="3" t="str">
        <f>Commodities!C15</f>
        <v>OILDST</v>
      </c>
      <c r="E12" s="12">
        <f>E$5*$J12</f>
        <v>10.453167423644777</v>
      </c>
      <c r="F12" s="12">
        <f>F$5*$J12</f>
        <v>16.807053504683761</v>
      </c>
      <c r="G12" s="12">
        <f>G$5*$J12</f>
        <v>26.030436525546804</v>
      </c>
      <c r="H12" s="12">
        <f>H$5*$J12</f>
        <v>29.924753801022309</v>
      </c>
      <c r="I12" s="12">
        <f>I$5*$J12</f>
        <v>34.401685472041393</v>
      </c>
      <c r="J12" s="118">
        <v>1.5294117647058842</v>
      </c>
      <c r="K12" s="112"/>
      <c r="L12" s="112"/>
      <c r="M12" s="3"/>
    </row>
    <row r="13" spans="2:17">
      <c r="B13" s="11" t="str">
        <f>Processes!C16</f>
        <v>IMPOILGSL</v>
      </c>
      <c r="C13" s="3" t="str">
        <f>Processes!D16</f>
        <v xml:space="preserve">Import of Gasoline </v>
      </c>
      <c r="D13" s="3" t="str">
        <f>Commodities!C17</f>
        <v>OILGSL</v>
      </c>
      <c r="E13" s="12">
        <f>E$5*$J13</f>
        <v>11.257257225463581</v>
      </c>
      <c r="F13" s="12">
        <f>F$5*$J13</f>
        <v>18.099903774274782</v>
      </c>
      <c r="G13" s="12">
        <f>G$5*$J13</f>
        <v>28.03277779674265</v>
      </c>
      <c r="H13" s="12">
        <f>H$5*$J13</f>
        <v>32.226657939562415</v>
      </c>
      <c r="I13" s="12">
        <f>I$5*$J13</f>
        <v>37.047968969890654</v>
      </c>
      <c r="J13" s="118">
        <v>1.6470588235294101</v>
      </c>
      <c r="K13" s="112"/>
      <c r="L13" s="112"/>
      <c r="M13" s="3"/>
    </row>
    <row r="14" spans="2:17">
      <c r="B14" s="11" t="str">
        <f>Processes!C13</f>
        <v>IMPOILHFO</v>
      </c>
      <c r="C14" s="3" t="str">
        <f>Processes!D13</f>
        <v xml:space="preserve">Import of Heavy Fuel Oil </v>
      </c>
      <c r="D14" s="3" t="str">
        <f>Commodities!C14</f>
        <v>OILHFO</v>
      </c>
      <c r="E14" s="12">
        <f>E$5*$J14</f>
        <v>5.5361582855226219</v>
      </c>
      <c r="F14" s="12">
        <f>F$5*$J14</f>
        <v>8.9012741061344141</v>
      </c>
      <c r="G14" s="12">
        <f>G$5*$J14</f>
        <v>13.786119652183787</v>
      </c>
      <c r="H14" s="12">
        <f>H$5*$J14</f>
        <v>15.848609993849077</v>
      </c>
      <c r="I14" s="12">
        <f>I$5*$J14</f>
        <v>18.219661882692641</v>
      </c>
      <c r="J14" s="118">
        <v>0.80999999999999872</v>
      </c>
      <c r="K14" s="112"/>
      <c r="L14" s="112"/>
      <c r="M14" s="3"/>
    </row>
    <row r="15" spans="2:17">
      <c r="B15" s="11" t="str">
        <f>Processes!C12</f>
        <v>IMPOILKER</v>
      </c>
      <c r="C15" s="3" t="str">
        <f>Processes!D12</f>
        <v xml:space="preserve">Import of Kerosene </v>
      </c>
      <c r="D15" s="3" t="str">
        <f>Commodities!C13</f>
        <v>OILKER</v>
      </c>
      <c r="E15" s="12">
        <f>E$5*$J15</f>
        <v>11.257257225463581</v>
      </c>
      <c r="F15" s="12">
        <f>F$5*$J15</f>
        <v>18.099903774274782</v>
      </c>
      <c r="G15" s="12">
        <f>G$5*$J15</f>
        <v>28.03277779674265</v>
      </c>
      <c r="H15" s="12">
        <f>H$5*$J15</f>
        <v>32.226657939562415</v>
      </c>
      <c r="I15" s="12">
        <f>I$5*$J15</f>
        <v>37.047968969890654</v>
      </c>
      <c r="J15" s="118">
        <v>1.6470588235294101</v>
      </c>
      <c r="K15" s="112"/>
      <c r="L15" s="112"/>
      <c r="M15" s="3"/>
    </row>
    <row r="16" spans="2:17" s="46" customFormat="1">
      <c r="B16" s="11" t="str">
        <f>Processes!C15</f>
        <v>IMPOILLPG</v>
      </c>
      <c r="C16" s="11" t="str">
        <f>Processes!D15</f>
        <v xml:space="preserve">Import of Liquified Petroleum Gas </v>
      </c>
      <c r="D16" s="11" t="str">
        <f>Commodities!C16</f>
        <v>OILLPG</v>
      </c>
      <c r="E16" s="59">
        <f>E$5*$J16</f>
        <v>8.8449878200070895</v>
      </c>
      <c r="F16" s="59">
        <f>F$5*$J16</f>
        <v>14.221352965501596</v>
      </c>
      <c r="G16" s="59">
        <f>G$5*$J16</f>
        <v>22.025753983154914</v>
      </c>
      <c r="H16" s="59">
        <f>H$5*$J16</f>
        <v>25.320945523941866</v>
      </c>
      <c r="I16" s="59">
        <f>I$5*$J16</f>
        <v>29.109118476342619</v>
      </c>
      <c r="J16" s="132">
        <v>1.2941176470588207</v>
      </c>
      <c r="K16" s="115"/>
      <c r="L16" s="115"/>
      <c r="M16" s="11"/>
    </row>
    <row r="17" spans="2:20">
      <c r="B17" s="11" t="str">
        <f>Processes!C17</f>
        <v>IMPOILCOK</v>
      </c>
      <c r="C17" s="11" t="str">
        <f>Processes!D17</f>
        <v xml:space="preserve">Import of Petroleum Coke </v>
      </c>
      <c r="D17" s="11" t="str">
        <f>Commodities!C18</f>
        <v>OILCOK</v>
      </c>
      <c r="E17" s="12">
        <f>E$5*$J17</f>
        <v>11.257257225463581</v>
      </c>
      <c r="F17" s="12">
        <f>F$5*$J17</f>
        <v>18.099903774274782</v>
      </c>
      <c r="G17" s="12">
        <f>G$5*$J17</f>
        <v>28.03277779674265</v>
      </c>
      <c r="H17" s="12">
        <f>H$5*$J17</f>
        <v>32.226657939562415</v>
      </c>
      <c r="I17" s="12">
        <f>I$5*$J17</f>
        <v>37.047968969890654</v>
      </c>
      <c r="J17" s="117">
        <v>1.6470588235294101</v>
      </c>
      <c r="K17" s="112"/>
      <c r="L17" s="112"/>
      <c r="M17" s="3"/>
    </row>
    <row r="18" spans="2:20">
      <c r="B18" s="14" t="str">
        <f>Processes!C21</f>
        <v>IMPNUCURM</v>
      </c>
      <c r="C18" s="14" t="str">
        <f>Processes!D21</f>
        <v>Import of Uranium</v>
      </c>
      <c r="D18" s="14" t="str">
        <f>Commodities!C23</f>
        <v>NUCURM</v>
      </c>
      <c r="E18" s="430"/>
      <c r="F18" s="15"/>
      <c r="G18" s="15"/>
      <c r="H18" s="15"/>
      <c r="I18" s="15"/>
      <c r="J18" s="116"/>
      <c r="K18" s="116"/>
      <c r="L18" s="116"/>
      <c r="M18" s="3"/>
      <c r="N18" s="3"/>
    </row>
    <row r="19" spans="2:20">
      <c r="B19" s="14" t="str">
        <f>Processes!C18</f>
        <v>IMPOILNEU</v>
      </c>
      <c r="C19" s="14" t="str">
        <f>Processes!D18</f>
        <v>Import of Oil for Non-Energy uses</v>
      </c>
      <c r="D19" s="478" t="str">
        <f>Commodities!C20</f>
        <v>OILNEU</v>
      </c>
      <c r="E19" s="430">
        <f t="shared" ref="E19:I19" si="0">E5</f>
        <v>6.8347633154600382</v>
      </c>
      <c r="F19" s="430">
        <f t="shared" si="0"/>
        <v>10.989227291523985</v>
      </c>
      <c r="G19" s="430">
        <f t="shared" si="0"/>
        <v>17.019900805165197</v>
      </c>
      <c r="H19" s="430">
        <f t="shared" si="0"/>
        <v>19.566185177591485</v>
      </c>
      <c r="I19" s="430">
        <f t="shared" si="0"/>
        <v>22.493409731719346</v>
      </c>
      <c r="J19" s="478"/>
      <c r="K19" s="478"/>
      <c r="L19" s="478"/>
      <c r="M19" s="3"/>
      <c r="N19" s="3"/>
    </row>
    <row r="20" spans="2:20">
      <c r="B20"/>
      <c r="C20"/>
      <c r="D20"/>
      <c r="E20"/>
      <c r="F20"/>
      <c r="G20"/>
      <c r="H20" s="427"/>
      <c r="I20"/>
      <c r="J20"/>
      <c r="K20"/>
      <c r="L20" s="41"/>
      <c r="M20"/>
      <c r="N20"/>
      <c r="O20"/>
      <c r="P20"/>
      <c r="Q20"/>
      <c r="R20"/>
      <c r="S20"/>
      <c r="T20"/>
    </row>
    <row r="21" spans="2:20">
      <c r="B21"/>
      <c r="C21"/>
      <c r="D21"/>
      <c r="E21"/>
      <c r="F21"/>
      <c r="G21"/>
      <c r="H21"/>
      <c r="I21"/>
      <c r="J21"/>
      <c r="K21" s="66"/>
      <c r="L21" s="66"/>
      <c r="M21" s="66"/>
      <c r="N21"/>
      <c r="O21"/>
      <c r="P21"/>
      <c r="Q21"/>
      <c r="R21"/>
      <c r="S21"/>
    </row>
    <row r="22" spans="2:20">
      <c r="D22"/>
      <c r="E22"/>
      <c r="F22"/>
      <c r="G22"/>
      <c r="H22"/>
      <c r="I22"/>
      <c r="J22"/>
      <c r="K22"/>
      <c r="L22"/>
      <c r="M22"/>
      <c r="N22"/>
      <c r="O22"/>
      <c r="P22" s="66"/>
      <c r="Q22" s="66"/>
      <c r="R22"/>
      <c r="S22"/>
    </row>
    <row r="23" spans="2:20">
      <c r="B23" s="143" t="s">
        <v>102</v>
      </c>
      <c r="C23" s="144"/>
      <c r="D23" s="144"/>
      <c r="E23" s="144"/>
      <c r="F23" s="144"/>
      <c r="G23" s="144"/>
      <c r="H23" s="686" t="s">
        <v>89</v>
      </c>
      <c r="I23" s="687"/>
      <c r="J23" s="687"/>
      <c r="K23" s="688"/>
      <c r="L23" s="689" t="s">
        <v>90</v>
      </c>
      <c r="M23" s="689"/>
      <c r="N23" s="689"/>
      <c r="O23" s="690"/>
      <c r="P23" s="679" t="s">
        <v>91</v>
      </c>
      <c r="Q23" s="679"/>
      <c r="R23" s="679"/>
      <c r="S23" s="680"/>
      <c r="T23"/>
    </row>
    <row r="24" spans="2:20">
      <c r="B24" s="67" t="s">
        <v>162</v>
      </c>
      <c r="C24" s="68" t="s">
        <v>92</v>
      </c>
      <c r="D24" s="69">
        <v>2012</v>
      </c>
      <c r="E24" s="69">
        <v>2013</v>
      </c>
      <c r="F24" s="69">
        <v>2014</v>
      </c>
      <c r="G24" s="69">
        <v>2015</v>
      </c>
      <c r="H24" s="68">
        <v>2020</v>
      </c>
      <c r="I24" s="69">
        <v>2030</v>
      </c>
      <c r="J24" s="69">
        <v>2040</v>
      </c>
      <c r="K24" s="70">
        <v>2050</v>
      </c>
      <c r="L24" s="69">
        <v>2020</v>
      </c>
      <c r="M24" s="69">
        <v>2030</v>
      </c>
      <c r="N24" s="71">
        <v>2040</v>
      </c>
      <c r="O24" s="72">
        <v>2050</v>
      </c>
      <c r="P24" s="69">
        <v>2020</v>
      </c>
      <c r="Q24" s="69">
        <v>2030</v>
      </c>
      <c r="R24" s="71">
        <v>2040</v>
      </c>
      <c r="S24" s="72">
        <v>2050</v>
      </c>
      <c r="T24" s="66"/>
    </row>
    <row r="25" spans="2:20">
      <c r="B25" s="73" t="s">
        <v>93</v>
      </c>
      <c r="C25" s="74" t="s">
        <v>159</v>
      </c>
      <c r="D25" s="75">
        <f>109*($L$53/$L$50)</f>
        <v>112.54004619200001</v>
      </c>
      <c r="E25" s="75">
        <f>106*($L$53/$L$51)</f>
        <v>107.82523519999999</v>
      </c>
      <c r="F25" s="75">
        <f>97*($L$53/$L$52)</f>
        <v>97.116400000000013</v>
      </c>
      <c r="G25" s="76">
        <v>51</v>
      </c>
      <c r="H25" s="75">
        <v>79</v>
      </c>
      <c r="I25" s="75">
        <v>111</v>
      </c>
      <c r="J25" s="75">
        <v>124</v>
      </c>
      <c r="K25" s="76">
        <f>J25*(1+(J25/I25-1))</f>
        <v>138.52252252252251</v>
      </c>
      <c r="L25" s="75">
        <v>82</v>
      </c>
      <c r="M25" s="75">
        <v>127</v>
      </c>
      <c r="N25" s="75">
        <v>146</v>
      </c>
      <c r="O25" s="76">
        <f>N25*(1+(N25/M25-1))</f>
        <v>167.84251968503938</v>
      </c>
      <c r="P25" s="75">
        <v>73</v>
      </c>
      <c r="Q25" s="75">
        <v>85</v>
      </c>
      <c r="R25" s="75">
        <v>78</v>
      </c>
      <c r="S25" s="76">
        <f>R25*(1+R25/Q25-1)</f>
        <v>71.576470588235281</v>
      </c>
      <c r="T25" s="66"/>
    </row>
    <row r="26" spans="2:20">
      <c r="B26" s="73" t="s">
        <v>273</v>
      </c>
      <c r="C26" s="74" t="s">
        <v>160</v>
      </c>
      <c r="D26" s="75">
        <f>11.7*($L$53/$L$50)</f>
        <v>12.079986609600001</v>
      </c>
      <c r="E26" s="75">
        <f>10.6*($L$53/$L$51)</f>
        <v>10.78252352</v>
      </c>
      <c r="F26" s="75">
        <f>9.3*($L$53/$L$52)</f>
        <v>9.311160000000001</v>
      </c>
      <c r="G26" s="76">
        <v>7</v>
      </c>
      <c r="H26" s="75">
        <v>7.1</v>
      </c>
      <c r="I26" s="75">
        <v>10.3</v>
      </c>
      <c r="J26" s="75">
        <v>11.5</v>
      </c>
      <c r="K26" s="76">
        <f>J26*(1+(J26/I26-1))</f>
        <v>12.839805825242717</v>
      </c>
      <c r="L26" s="75">
        <v>7.3</v>
      </c>
      <c r="M26" s="75">
        <v>11.1</v>
      </c>
      <c r="N26" s="75">
        <v>13</v>
      </c>
      <c r="O26" s="76">
        <f>N26*(1+(N26/M26-1))</f>
        <v>15.225225225225225</v>
      </c>
      <c r="P26" s="75">
        <v>6.9</v>
      </c>
      <c r="Q26" s="75">
        <v>9.4</v>
      </c>
      <c r="R26" s="75">
        <v>9.9</v>
      </c>
      <c r="S26" s="76">
        <f>R26*(1+R26/Q26-1)</f>
        <v>10.426595744680853</v>
      </c>
      <c r="T26" s="66"/>
    </row>
    <row r="27" spans="2:20">
      <c r="B27" s="73" t="s">
        <v>94</v>
      </c>
      <c r="C27" s="74" t="s">
        <v>161</v>
      </c>
      <c r="D27" s="75">
        <f>99*($L$53/$L$50)</f>
        <v>102.215271312</v>
      </c>
      <c r="E27" s="75">
        <f>86*($L$53/$L$51)</f>
        <v>87.480851200000004</v>
      </c>
      <c r="F27" s="75">
        <f>78*($L$53/$L$52)</f>
        <v>78.093600000000009</v>
      </c>
      <c r="G27" s="76">
        <v>57</v>
      </c>
      <c r="H27" s="75">
        <v>63</v>
      </c>
      <c r="I27" s="75">
        <v>74</v>
      </c>
      <c r="J27" s="75">
        <v>77</v>
      </c>
      <c r="K27" s="76">
        <f>J27*(1+(J27/I27-1))</f>
        <v>80.121621621621628</v>
      </c>
      <c r="L27" s="75">
        <v>65</v>
      </c>
      <c r="M27" s="75">
        <v>80</v>
      </c>
      <c r="N27" s="75">
        <v>88</v>
      </c>
      <c r="O27" s="76">
        <f>N27*(1+(N27/M27-1))</f>
        <v>96.800000000000011</v>
      </c>
      <c r="P27" s="75">
        <v>58</v>
      </c>
      <c r="Q27" s="75">
        <v>57</v>
      </c>
      <c r="R27" s="75">
        <v>51</v>
      </c>
      <c r="S27" s="76">
        <f>R27*(1+R27/Q27-1)</f>
        <v>45.631578947368425</v>
      </c>
      <c r="T27" s="77"/>
    </row>
    <row r="28" spans="2:20">
      <c r="B28" s="78" t="s">
        <v>93</v>
      </c>
      <c r="C28" s="79" t="s">
        <v>163</v>
      </c>
      <c r="D28" s="80">
        <f t="shared" ref="D28:S28" si="1">D25*$L$60</f>
        <v>86.509375195633794</v>
      </c>
      <c r="E28" s="80">
        <f t="shared" si="1"/>
        <v>82.885106618494888</v>
      </c>
      <c r="F28" s="80">
        <f t="shared" si="1"/>
        <v>74.653240064570696</v>
      </c>
      <c r="G28" s="80">
        <f t="shared" si="1"/>
        <v>39.203628257360286</v>
      </c>
      <c r="H28" s="81">
        <f t="shared" si="1"/>
        <v>60.727188869244372</v>
      </c>
      <c r="I28" s="80">
        <f t="shared" si="1"/>
        <v>85.325543854254747</v>
      </c>
      <c r="J28" s="80">
        <f t="shared" si="1"/>
        <v>95.318625566915216</v>
      </c>
      <c r="K28" s="82">
        <f t="shared" si="1"/>
        <v>106.48206820087825</v>
      </c>
      <c r="L28" s="81">
        <f t="shared" si="1"/>
        <v>63.03328464908909</v>
      </c>
      <c r="M28" s="80">
        <f t="shared" si="1"/>
        <v>97.624721346759941</v>
      </c>
      <c r="N28" s="80">
        <f t="shared" si="1"/>
        <v>112.22999461910985</v>
      </c>
      <c r="O28" s="82">
        <f t="shared" si="1"/>
        <v>129.02030877472473</v>
      </c>
      <c r="P28" s="81">
        <f t="shared" si="1"/>
        <v>56.114997309554923</v>
      </c>
      <c r="Q28" s="80">
        <f t="shared" si="1"/>
        <v>65.339380428933822</v>
      </c>
      <c r="R28" s="80">
        <f t="shared" si="1"/>
        <v>59.958490275962795</v>
      </c>
      <c r="S28" s="82">
        <f t="shared" si="1"/>
        <v>55.020732253236439</v>
      </c>
      <c r="T28" s="77"/>
    </row>
    <row r="29" spans="2:20">
      <c r="B29" s="78" t="s">
        <v>273</v>
      </c>
      <c r="C29" s="79" t="s">
        <v>164</v>
      </c>
      <c r="D29" s="80">
        <f t="shared" ref="D29:S29" si="2">D26*$L$60</f>
        <v>9.2858687136597737</v>
      </c>
      <c r="E29" s="80">
        <f t="shared" si="2"/>
        <v>8.2885106618494895</v>
      </c>
      <c r="F29" s="80">
        <f t="shared" si="2"/>
        <v>7.1574755938196644</v>
      </c>
      <c r="G29" s="80">
        <f t="shared" si="2"/>
        <v>5.3808901529710198</v>
      </c>
      <c r="H29" s="81">
        <f t="shared" si="2"/>
        <v>5.4577600122991772</v>
      </c>
      <c r="I29" s="80">
        <f t="shared" si="2"/>
        <v>7.9175955108002158</v>
      </c>
      <c r="J29" s="80">
        <f t="shared" si="2"/>
        <v>8.8400338227381052</v>
      </c>
      <c r="K29" s="82">
        <f t="shared" si="2"/>
        <v>9.8699406758726393</v>
      </c>
      <c r="L29" s="81">
        <f t="shared" si="2"/>
        <v>5.6114997309554919</v>
      </c>
      <c r="M29" s="80">
        <f t="shared" si="2"/>
        <v>8.532554385425474</v>
      </c>
      <c r="N29" s="80">
        <f t="shared" si="2"/>
        <v>9.9930817126604659</v>
      </c>
      <c r="O29" s="82">
        <f t="shared" si="2"/>
        <v>11.703609213025771</v>
      </c>
      <c r="P29" s="81">
        <f t="shared" si="2"/>
        <v>5.3040202936428633</v>
      </c>
      <c r="Q29" s="80">
        <f t="shared" si="2"/>
        <v>7.2257667768467986</v>
      </c>
      <c r="R29" s="80">
        <f t="shared" si="2"/>
        <v>7.6101160734875855</v>
      </c>
      <c r="S29" s="82">
        <f t="shared" si="2"/>
        <v>8.01490948165182</v>
      </c>
      <c r="T29" s="77"/>
    </row>
    <row r="30" spans="2:20">
      <c r="B30" s="78" t="s">
        <v>94</v>
      </c>
      <c r="C30" s="79" t="s">
        <v>165</v>
      </c>
      <c r="D30" s="80">
        <f t="shared" ref="D30:S30" si="3">D27*$L$60</f>
        <v>78.572735269428861</v>
      </c>
      <c r="E30" s="80">
        <f t="shared" si="3"/>
        <v>67.246407256514729</v>
      </c>
      <c r="F30" s="80">
        <f t="shared" si="3"/>
        <v>60.03044046429396</v>
      </c>
      <c r="G30" s="80">
        <f t="shared" si="3"/>
        <v>43.815819817049736</v>
      </c>
      <c r="H30" s="81">
        <f t="shared" si="3"/>
        <v>48.428011376739178</v>
      </c>
      <c r="I30" s="80">
        <f t="shared" si="3"/>
        <v>56.8836959028365</v>
      </c>
      <c r="J30" s="80">
        <f t="shared" si="3"/>
        <v>59.189791682681225</v>
      </c>
      <c r="K30" s="82">
        <f t="shared" si="3"/>
        <v>61.589377831979114</v>
      </c>
      <c r="L30" s="81">
        <f t="shared" si="3"/>
        <v>49.965408563302333</v>
      </c>
      <c r="M30" s="80">
        <f t="shared" si="3"/>
        <v>61.495887462525943</v>
      </c>
      <c r="N30" s="80">
        <f t="shared" si="3"/>
        <v>67.645476208778533</v>
      </c>
      <c r="O30" s="82">
        <f t="shared" si="3"/>
        <v>74.410023829656396</v>
      </c>
      <c r="P30" s="81">
        <f t="shared" si="3"/>
        <v>44.584518410331313</v>
      </c>
      <c r="Q30" s="80">
        <f t="shared" si="3"/>
        <v>43.815819817049736</v>
      </c>
      <c r="R30" s="80">
        <f t="shared" si="3"/>
        <v>39.203628257360286</v>
      </c>
      <c r="S30" s="82">
        <f t="shared" si="3"/>
        <v>35.076930546059209</v>
      </c>
      <c r="T30" s="83"/>
    </row>
    <row r="31" spans="2:20">
      <c r="B31" s="84" t="s">
        <v>93</v>
      </c>
      <c r="C31" s="85" t="s">
        <v>166</v>
      </c>
      <c r="D31" s="86">
        <f t="shared" ref="D31:S31" si="4">D28/$I$59</f>
        <v>15.082050573201174</v>
      </c>
      <c r="E31" s="86">
        <f t="shared" si="4"/>
        <v>14.450195333839423</v>
      </c>
      <c r="F31" s="86">
        <f t="shared" si="4"/>
        <v>13.015051138226342</v>
      </c>
      <c r="G31" s="86">
        <f t="shared" si="4"/>
        <v>6.8347633154600382</v>
      </c>
      <c r="H31" s="87">
        <f t="shared" si="4"/>
        <v>10.58718239061457</v>
      </c>
      <c r="I31" s="86">
        <f t="shared" si="4"/>
        <v>14.875661333648321</v>
      </c>
      <c r="J31" s="86">
        <f t="shared" si="4"/>
        <v>16.617855904255784</v>
      </c>
      <c r="K31" s="88">
        <f t="shared" si="4"/>
        <v>18.564091280429881</v>
      </c>
      <c r="L31" s="86">
        <f t="shared" si="4"/>
        <v>10.989227291523985</v>
      </c>
      <c r="M31" s="86">
        <f t="shared" si="4"/>
        <v>17.019900805165197</v>
      </c>
      <c r="N31" s="86">
        <f t="shared" si="4"/>
        <v>19.566185177591485</v>
      </c>
      <c r="O31" s="88">
        <f t="shared" si="4"/>
        <v>22.493409731719346</v>
      </c>
      <c r="P31" s="86">
        <f t="shared" si="4"/>
        <v>9.7830925887957427</v>
      </c>
      <c r="Q31" s="86">
        <f t="shared" si="4"/>
        <v>11.3912721924334</v>
      </c>
      <c r="R31" s="86">
        <f t="shared" si="4"/>
        <v>10.453167423644766</v>
      </c>
      <c r="S31" s="88">
        <f t="shared" si="4"/>
        <v>9.592318341697549</v>
      </c>
      <c r="T31" s="83"/>
    </row>
    <row r="32" spans="2:20">
      <c r="B32" s="84" t="s">
        <v>273</v>
      </c>
      <c r="C32" s="85" t="s">
        <v>166</v>
      </c>
      <c r="D32" s="86">
        <f t="shared" ref="D32:S32" si="5">D29/($I$58/1000)</f>
        <v>9.7972871002951827</v>
      </c>
      <c r="E32" s="86">
        <f t="shared" si="5"/>
        <v>8.7449996432258814</v>
      </c>
      <c r="F32" s="86">
        <f t="shared" si="5"/>
        <v>7.5516729202570847</v>
      </c>
      <c r="G32" s="86">
        <f t="shared" si="5"/>
        <v>5.6772421955803125</v>
      </c>
      <c r="H32" s="87">
        <f t="shared" si="5"/>
        <v>5.7583456555171741</v>
      </c>
      <c r="I32" s="86">
        <f t="shared" si="5"/>
        <v>8.3536563734967455</v>
      </c>
      <c r="J32" s="86">
        <f t="shared" si="5"/>
        <v>9.3268978927390851</v>
      </c>
      <c r="K32" s="88">
        <f t="shared" si="5"/>
        <v>10.413526773446549</v>
      </c>
      <c r="L32" s="86">
        <f t="shared" si="5"/>
        <v>5.9205525753908965</v>
      </c>
      <c r="M32" s="86">
        <f t="shared" si="5"/>
        <v>9.0024840529916368</v>
      </c>
      <c r="N32" s="86">
        <f t="shared" si="5"/>
        <v>10.543449791792009</v>
      </c>
      <c r="O32" s="88">
        <f t="shared" si="5"/>
        <v>12.348184440837489</v>
      </c>
      <c r="P32" s="86">
        <f t="shared" si="5"/>
        <v>5.5961387356434518</v>
      </c>
      <c r="Q32" s="86">
        <f t="shared" si="5"/>
        <v>7.6237252340649917</v>
      </c>
      <c r="R32" s="86">
        <f t="shared" si="5"/>
        <v>8.029242533749299</v>
      </c>
      <c r="S32" s="88">
        <f t="shared" si="5"/>
        <v>8.4563299025657521</v>
      </c>
      <c r="T32" s="66"/>
    </row>
    <row r="33" spans="2:20">
      <c r="B33" s="89" t="s">
        <v>94</v>
      </c>
      <c r="C33" s="93" t="s">
        <v>166</v>
      </c>
      <c r="D33" s="90">
        <f t="shared" ref="D33:S33" si="6">D30/$I$62</f>
        <v>3.2875621451643875</v>
      </c>
      <c r="E33" s="90">
        <f t="shared" si="6"/>
        <v>2.8136572073855537</v>
      </c>
      <c r="F33" s="90">
        <f t="shared" si="6"/>
        <v>2.5117339106399146</v>
      </c>
      <c r="G33" s="90">
        <f t="shared" si="6"/>
        <v>1.8332979002949681</v>
      </c>
      <c r="H33" s="91">
        <f t="shared" si="6"/>
        <v>2.0262766266418066</v>
      </c>
      <c r="I33" s="90">
        <f t="shared" si="6"/>
        <v>2.380070958277678</v>
      </c>
      <c r="J33" s="90">
        <f t="shared" si="6"/>
        <v>2.4765603214510974</v>
      </c>
      <c r="K33" s="92">
        <f t="shared" si="6"/>
        <v>2.57696141556398</v>
      </c>
      <c r="L33" s="90">
        <f t="shared" si="6"/>
        <v>2.0906028687574199</v>
      </c>
      <c r="M33" s="90">
        <f t="shared" si="6"/>
        <v>2.5730496846245168</v>
      </c>
      <c r="N33" s="90">
        <f t="shared" si="6"/>
        <v>2.8303546530869679</v>
      </c>
      <c r="O33" s="92">
        <f t="shared" si="6"/>
        <v>3.1133901183956652</v>
      </c>
      <c r="P33" s="90">
        <f t="shared" si="6"/>
        <v>1.8654610213527747</v>
      </c>
      <c r="Q33" s="90">
        <f t="shared" si="6"/>
        <v>1.8332979002949681</v>
      </c>
      <c r="R33" s="90">
        <f t="shared" si="6"/>
        <v>1.6403191739481293</v>
      </c>
      <c r="S33" s="92">
        <f t="shared" si="6"/>
        <v>1.4676539977430632</v>
      </c>
      <c r="T33" s="77"/>
    </row>
    <row r="34" spans="2:20">
      <c r="B34" s="60" t="s">
        <v>274</v>
      </c>
      <c r="C34" s="95"/>
      <c r="D34" s="96"/>
      <c r="E34" s="96"/>
      <c r="F34" s="96"/>
      <c r="G34" s="96"/>
      <c r="H34" s="96"/>
      <c r="I34" s="96"/>
      <c r="J34" s="96"/>
      <c r="K34" s="96"/>
      <c r="L34" s="96"/>
      <c r="M34" s="96"/>
      <c r="N34" s="96"/>
      <c r="O34" s="96"/>
      <c r="P34" s="96"/>
      <c r="Q34" s="96"/>
      <c r="R34" s="96"/>
      <c r="S34" s="96"/>
    </row>
    <row r="35" spans="2:20"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 s="66"/>
      <c r="R35"/>
      <c r="S35" s="41"/>
    </row>
    <row r="36" spans="2:20">
      <c r="C36"/>
      <c r="D36"/>
      <c r="E36"/>
      <c r="F36"/>
      <c r="G36"/>
      <c r="H36"/>
      <c r="I36"/>
      <c r="J36"/>
      <c r="K36"/>
      <c r="L36"/>
      <c r="M36"/>
      <c r="S36"/>
    </row>
    <row r="37" spans="2:20" ht="39">
      <c r="B37"/>
      <c r="C37"/>
      <c r="D37"/>
      <c r="E37"/>
      <c r="F37"/>
      <c r="G37"/>
      <c r="H37" s="61"/>
      <c r="I37" s="97" t="s">
        <v>95</v>
      </c>
      <c r="J37" s="98" t="s">
        <v>80</v>
      </c>
      <c r="K37" s="97" t="s">
        <v>81</v>
      </c>
      <c r="L37" s="98" t="s">
        <v>82</v>
      </c>
      <c r="M37"/>
      <c r="S37" s="94"/>
    </row>
    <row r="38" spans="2:20">
      <c r="B38"/>
      <c r="C38"/>
      <c r="D38"/>
      <c r="E38"/>
      <c r="F38"/>
      <c r="G38"/>
      <c r="H38" s="99">
        <v>2000</v>
      </c>
      <c r="I38" s="100"/>
      <c r="J38" s="100">
        <v>100</v>
      </c>
      <c r="K38" s="100"/>
      <c r="L38" s="100">
        <v>100</v>
      </c>
      <c r="M38"/>
      <c r="S38" s="105"/>
    </row>
    <row r="39" spans="2:20">
      <c r="B39"/>
      <c r="C39"/>
      <c r="D39"/>
      <c r="E39"/>
      <c r="F39"/>
      <c r="G39"/>
      <c r="H39" s="101">
        <v>2001</v>
      </c>
      <c r="I39" s="102">
        <v>2.1999999999999999E-2</v>
      </c>
      <c r="J39" s="100">
        <f t="shared" ref="J39:J53" si="7">J38+(J38*I39)</f>
        <v>102.2</v>
      </c>
      <c r="K39" s="102">
        <v>2.8000000000000001E-2</v>
      </c>
      <c r="L39" s="100">
        <f t="shared" ref="L39:L50" si="8">L38+(L38*K39)</f>
        <v>102.8</v>
      </c>
      <c r="M39"/>
      <c r="S39" s="105"/>
    </row>
    <row r="40" spans="2:20">
      <c r="B40"/>
      <c r="C40"/>
      <c r="D40"/>
      <c r="E40"/>
      <c r="F40"/>
      <c r="G40"/>
      <c r="H40" s="101">
        <v>2002</v>
      </c>
      <c r="I40" s="102">
        <v>2.1000000000000001E-2</v>
      </c>
      <c r="J40" s="103">
        <f t="shared" si="7"/>
        <v>104.34620000000001</v>
      </c>
      <c r="K40" s="102">
        <v>1.6E-2</v>
      </c>
      <c r="L40" s="103">
        <f t="shared" si="8"/>
        <v>104.4448</v>
      </c>
      <c r="M40"/>
      <c r="S40" s="106"/>
    </row>
    <row r="41" spans="2:20">
      <c r="B41"/>
      <c r="C41"/>
      <c r="D41"/>
      <c r="E41"/>
      <c r="F41"/>
      <c r="G41"/>
      <c r="H41" s="101">
        <v>2003</v>
      </c>
      <c r="I41" s="102">
        <v>0.02</v>
      </c>
      <c r="J41" s="103">
        <f t="shared" si="7"/>
        <v>106.43312400000001</v>
      </c>
      <c r="K41" s="102">
        <v>2.3E-2</v>
      </c>
      <c r="L41" s="103">
        <f t="shared" si="8"/>
        <v>106.84703039999999</v>
      </c>
      <c r="M41"/>
      <c r="S41" s="106"/>
    </row>
    <row r="42" spans="2:20">
      <c r="B42"/>
      <c r="C42"/>
      <c r="D42"/>
      <c r="E42"/>
      <c r="F42"/>
      <c r="G42"/>
      <c r="H42" s="101">
        <v>2004</v>
      </c>
      <c r="I42" s="102">
        <v>0.02</v>
      </c>
      <c r="J42" s="103">
        <f t="shared" si="7"/>
        <v>108.56178648000001</v>
      </c>
      <c r="K42" s="102">
        <v>2.7E-2</v>
      </c>
      <c r="L42" s="103">
        <f t="shared" si="8"/>
        <v>109.7319002208</v>
      </c>
      <c r="M42"/>
      <c r="S42" s="106"/>
    </row>
    <row r="43" spans="2:20">
      <c r="B43"/>
      <c r="C43"/>
      <c r="D43"/>
      <c r="E43"/>
      <c r="F43"/>
      <c r="G43"/>
      <c r="H43" s="101">
        <v>2005</v>
      </c>
      <c r="I43" s="102">
        <v>2.1999999999999999E-2</v>
      </c>
      <c r="J43" s="103">
        <f t="shared" si="7"/>
        <v>110.95014578256001</v>
      </c>
      <c r="K43" s="102">
        <v>3.4000000000000002E-2</v>
      </c>
      <c r="L43" s="103">
        <f t="shared" si="8"/>
        <v>113.46278482830721</v>
      </c>
      <c r="M43"/>
      <c r="S43" s="106"/>
    </row>
    <row r="44" spans="2:20">
      <c r="B44"/>
      <c r="C44"/>
      <c r="D44"/>
      <c r="E44"/>
      <c r="F44"/>
      <c r="G44"/>
      <c r="H44" s="101">
        <v>2006</v>
      </c>
      <c r="I44" s="102">
        <v>2.1999999999999999E-2</v>
      </c>
      <c r="J44" s="103">
        <f t="shared" si="7"/>
        <v>113.39104898977634</v>
      </c>
      <c r="K44" s="102">
        <v>3.2000000000000001E-2</v>
      </c>
      <c r="L44" s="103">
        <f t="shared" si="8"/>
        <v>117.09359394281304</v>
      </c>
      <c r="M44"/>
      <c r="S44" s="106"/>
    </row>
    <row r="45" spans="2:20">
      <c r="B45"/>
      <c r="C45"/>
      <c r="D45"/>
      <c r="E45"/>
      <c r="F45"/>
      <c r="G45"/>
      <c r="H45" s="101">
        <v>2007</v>
      </c>
      <c r="I45" s="102">
        <v>2.3E-2</v>
      </c>
      <c r="J45" s="103">
        <f t="shared" si="7"/>
        <v>115.99904311654119</v>
      </c>
      <c r="K45" s="102">
        <v>2.8000000000000001E-2</v>
      </c>
      <c r="L45" s="103">
        <f t="shared" si="8"/>
        <v>120.37221457321181</v>
      </c>
      <c r="M45"/>
      <c r="S45" s="106"/>
    </row>
    <row r="46" spans="2:20">
      <c r="B46"/>
      <c r="C46"/>
      <c r="D46"/>
      <c r="E46"/>
      <c r="F46"/>
      <c r="G46"/>
      <c r="H46" s="101">
        <v>2008</v>
      </c>
      <c r="I46" s="102">
        <v>3.6999999999999998E-2</v>
      </c>
      <c r="J46" s="103">
        <f t="shared" si="7"/>
        <v>120.29100771185321</v>
      </c>
      <c r="K46" s="102">
        <v>3.7999999999999999E-2</v>
      </c>
      <c r="L46" s="103">
        <f t="shared" si="8"/>
        <v>124.94635872699385</v>
      </c>
      <c r="M46"/>
      <c r="S46" s="106"/>
    </row>
    <row r="47" spans="2:20">
      <c r="B47"/>
      <c r="C47"/>
      <c r="D47"/>
      <c r="E47"/>
      <c r="F47"/>
      <c r="G47"/>
      <c r="H47" s="101">
        <v>2009</v>
      </c>
      <c r="I47" s="102">
        <v>0.01</v>
      </c>
      <c r="J47" s="103">
        <f t="shared" si="7"/>
        <v>121.49391778897174</v>
      </c>
      <c r="K47" s="102">
        <v>-4.0000000000000001E-3</v>
      </c>
      <c r="L47" s="103">
        <f t="shared" si="8"/>
        <v>124.44657329208587</v>
      </c>
      <c r="M47"/>
      <c r="S47" s="106"/>
    </row>
    <row r="48" spans="2:20">
      <c r="B48"/>
      <c r="C48"/>
      <c r="D48"/>
      <c r="E48"/>
      <c r="F48"/>
      <c r="G48"/>
      <c r="H48" s="101">
        <v>2010</v>
      </c>
      <c r="I48" s="102">
        <v>2.1000000000000001E-2</v>
      </c>
      <c r="J48" s="103">
        <f t="shared" si="7"/>
        <v>124.04529006254015</v>
      </c>
      <c r="K48" s="102">
        <v>1.6E-2</v>
      </c>
      <c r="L48" s="103">
        <f t="shared" si="8"/>
        <v>126.43771846475924</v>
      </c>
      <c r="M48"/>
      <c r="S48" s="106"/>
    </row>
    <row r="49" spans="2:19">
      <c r="B49"/>
      <c r="C49"/>
      <c r="D49"/>
      <c r="E49"/>
      <c r="F49"/>
      <c r="G49"/>
      <c r="H49" s="101">
        <v>2011</v>
      </c>
      <c r="I49" s="102">
        <v>3.1E-2</v>
      </c>
      <c r="J49" s="103">
        <f t="shared" si="7"/>
        <v>127.89069405447889</v>
      </c>
      <c r="K49" s="102">
        <v>3.2000000000000001E-2</v>
      </c>
      <c r="L49" s="103">
        <f t="shared" si="8"/>
        <v>130.48372545563154</v>
      </c>
      <c r="M49"/>
      <c r="S49" s="106"/>
    </row>
    <row r="50" spans="2:19">
      <c r="B50"/>
      <c r="C50"/>
      <c r="D50"/>
      <c r="E50"/>
      <c r="F50"/>
      <c r="G50"/>
      <c r="H50" s="101">
        <v>2012</v>
      </c>
      <c r="I50" s="102">
        <v>2.6000000000000002E-2</v>
      </c>
      <c r="J50" s="103">
        <f t="shared" si="7"/>
        <v>131.21585209989533</v>
      </c>
      <c r="K50" s="102">
        <v>2.1000000000000001E-2</v>
      </c>
      <c r="L50" s="103">
        <f t="shared" si="8"/>
        <v>133.22388369019981</v>
      </c>
      <c r="M50"/>
      <c r="S50" s="106"/>
    </row>
    <row r="51" spans="2:19">
      <c r="B51"/>
      <c r="C51"/>
      <c r="D51"/>
      <c r="E51"/>
      <c r="F51"/>
      <c r="G51"/>
      <c r="H51" s="101">
        <v>2013</v>
      </c>
      <c r="I51" s="102">
        <v>1.4999999999999999E-2</v>
      </c>
      <c r="J51" s="103">
        <f t="shared" si="7"/>
        <v>133.18408988139376</v>
      </c>
      <c r="K51" s="102">
        <v>1.4999999999999999E-2</v>
      </c>
      <c r="L51" s="103">
        <f>(L50)+(L50*K51)</f>
        <v>135.22224194555281</v>
      </c>
      <c r="M51"/>
      <c r="S51" s="106"/>
    </row>
    <row r="52" spans="2:19">
      <c r="B52"/>
      <c r="C52"/>
      <c r="D52"/>
      <c r="E52"/>
      <c r="F52"/>
      <c r="G52"/>
      <c r="H52" s="101">
        <v>2014</v>
      </c>
      <c r="I52" s="102">
        <v>6.0000000000000001E-3</v>
      </c>
      <c r="J52" s="103">
        <f t="shared" si="7"/>
        <v>133.98319442068211</v>
      </c>
      <c r="K52" s="102">
        <v>1.6E-2</v>
      </c>
      <c r="L52" s="103">
        <f>L51+(L51*K52)</f>
        <v>137.38579781668165</v>
      </c>
      <c r="M52"/>
      <c r="S52" s="106"/>
    </row>
    <row r="53" spans="2:19">
      <c r="B53"/>
      <c r="C53"/>
      <c r="D53"/>
      <c r="E53"/>
      <c r="F53"/>
      <c r="G53"/>
      <c r="H53" s="101">
        <v>2015</v>
      </c>
      <c r="I53" s="102">
        <v>0</v>
      </c>
      <c r="J53" s="103">
        <f t="shared" si="7"/>
        <v>133.98319442068211</v>
      </c>
      <c r="K53" s="102">
        <v>1.1999999999999999E-3</v>
      </c>
      <c r="L53" s="103">
        <f>L52+(L52*K53)</f>
        <v>137.55066077406167</v>
      </c>
      <c r="M53"/>
      <c r="S53" s="107"/>
    </row>
    <row r="54" spans="2:19">
      <c r="B54"/>
      <c r="C54"/>
      <c r="D54"/>
      <c r="E54"/>
      <c r="F54"/>
      <c r="G54"/>
      <c r="H54" s="104" t="s">
        <v>79</v>
      </c>
      <c r="I54"/>
      <c r="J54" s="104"/>
      <c r="K54" s="104" t="s">
        <v>83</v>
      </c>
      <c r="L54"/>
      <c r="M54"/>
      <c r="S54"/>
    </row>
    <row r="55" spans="2:19">
      <c r="B55"/>
      <c r="C55"/>
      <c r="D55"/>
      <c r="E55"/>
      <c r="F55"/>
      <c r="G55"/>
      <c r="H55"/>
      <c r="I55"/>
      <c r="J55"/>
      <c r="K55" s="104" t="s">
        <v>275</v>
      </c>
      <c r="L55"/>
      <c r="M55"/>
      <c r="S55"/>
    </row>
    <row r="56" spans="2:19">
      <c r="B56"/>
      <c r="C56"/>
      <c r="D56"/>
      <c r="E56"/>
      <c r="F56"/>
      <c r="G56"/>
      <c r="H56"/>
      <c r="I56"/>
      <c r="J56"/>
      <c r="K56"/>
      <c r="L56"/>
      <c r="M56"/>
      <c r="S56"/>
    </row>
    <row r="57" spans="2:19">
      <c r="B57"/>
      <c r="C57"/>
      <c r="D57"/>
      <c r="E57"/>
      <c r="F57"/>
      <c r="G57"/>
      <c r="H57" s="681" t="s">
        <v>85</v>
      </c>
      <c r="I57" s="682"/>
      <c r="J57"/>
      <c r="K57" s="681" t="s">
        <v>96</v>
      </c>
      <c r="L57" s="682"/>
      <c r="M57"/>
      <c r="S57"/>
    </row>
    <row r="58" spans="2:19">
      <c r="B58"/>
      <c r="C58"/>
      <c r="D58"/>
      <c r="E58"/>
      <c r="F58"/>
      <c r="G58"/>
      <c r="H58" s="61" t="s">
        <v>86</v>
      </c>
      <c r="I58" s="64">
        <v>947.8</v>
      </c>
      <c r="J58"/>
      <c r="K58" s="62"/>
      <c r="L58" s="62" t="s">
        <v>276</v>
      </c>
      <c r="M58"/>
      <c r="S58"/>
    </row>
    <row r="59" spans="2:19">
      <c r="B59"/>
      <c r="C59"/>
      <c r="D59"/>
      <c r="E59"/>
      <c r="F59"/>
      <c r="G59"/>
      <c r="H59" s="683" t="s">
        <v>87</v>
      </c>
      <c r="I59" s="64">
        <f>I60*I61</f>
        <v>5.7359160000000005</v>
      </c>
      <c r="J59"/>
      <c r="K59" s="61" t="s">
        <v>157</v>
      </c>
      <c r="L59" s="63">
        <v>1.3008999999999999</v>
      </c>
      <c r="M59"/>
      <c r="S59"/>
    </row>
    <row r="60" spans="2:19">
      <c r="B60"/>
      <c r="C60"/>
      <c r="D60"/>
      <c r="E60"/>
      <c r="F60"/>
      <c r="G60"/>
      <c r="H60" s="684"/>
      <c r="I60" s="65">
        <v>0.13700000000000001</v>
      </c>
      <c r="J60"/>
      <c r="K60" s="61" t="s">
        <v>158</v>
      </c>
      <c r="L60" s="156">
        <f>1/L59</f>
        <v>0.76869859328157431</v>
      </c>
      <c r="M60"/>
      <c r="S60"/>
    </row>
    <row r="61" spans="2:19">
      <c r="H61" s="685"/>
      <c r="I61" s="65">
        <v>41.868000000000002</v>
      </c>
      <c r="J61"/>
      <c r="K61" t="s">
        <v>84</v>
      </c>
      <c r="L61"/>
    </row>
    <row r="62" spans="2:19">
      <c r="H62" s="61" t="s">
        <v>88</v>
      </c>
      <c r="I62" s="65">
        <v>23.9</v>
      </c>
      <c r="J62"/>
      <c r="K62"/>
      <c r="L62"/>
    </row>
  </sheetData>
  <mergeCells count="6">
    <mergeCell ref="P23:S23"/>
    <mergeCell ref="H57:I57"/>
    <mergeCell ref="K57:L57"/>
    <mergeCell ref="H59:H61"/>
    <mergeCell ref="H23:K23"/>
    <mergeCell ref="L23:O23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6"/>
  <dimension ref="B2:U60"/>
  <sheetViews>
    <sheetView topLeftCell="A36" zoomScale="110" zoomScaleNormal="110" workbookViewId="0">
      <selection activeCell="E35" sqref="E35"/>
    </sheetView>
  </sheetViews>
  <sheetFormatPr defaultColWidth="9.140625" defaultRowHeight="15"/>
  <cols>
    <col min="1" max="1" width="9.140625" style="459"/>
    <col min="2" max="2" width="22.140625" style="459" bestFit="1" customWidth="1"/>
    <col min="3" max="3" width="31.7109375" style="459" bestFit="1" customWidth="1"/>
    <col min="4" max="4" width="16.28515625" style="459" bestFit="1" customWidth="1"/>
    <col min="5" max="13" width="12.85546875" style="459" customWidth="1"/>
    <col min="14" max="15" width="13" style="459" customWidth="1"/>
    <col min="16" max="16" width="21.85546875" style="459" customWidth="1"/>
    <col min="17" max="17" width="29.5703125" style="459" bestFit="1" customWidth="1"/>
    <col min="18" max="21" width="9.140625" style="459"/>
    <col min="22" max="22" width="14.5703125" style="459" bestFit="1" customWidth="1"/>
    <col min="23" max="23" width="29.5703125" style="459" bestFit="1" customWidth="1"/>
    <col min="24" max="16384" width="9.140625" style="459"/>
  </cols>
  <sheetData>
    <row r="2" spans="2:13" ht="18.75">
      <c r="B2" s="4" t="s">
        <v>104</v>
      </c>
      <c r="C2" s="4"/>
      <c r="D2" s="18" t="s">
        <v>132</v>
      </c>
      <c r="E2" s="182"/>
      <c r="F2" s="182"/>
      <c r="G2" s="182"/>
      <c r="H2" s="181"/>
      <c r="I2" s="181"/>
      <c r="J2" s="181"/>
      <c r="K2" s="181"/>
      <c r="L2" s="181"/>
    </row>
    <row r="3" spans="2:13">
      <c r="B3" s="22" t="s">
        <v>2</v>
      </c>
      <c r="C3" s="22" t="s">
        <v>3</v>
      </c>
      <c r="D3" s="22" t="s">
        <v>40</v>
      </c>
      <c r="E3" s="43" t="s">
        <v>352</v>
      </c>
      <c r="F3" s="43" t="s">
        <v>42</v>
      </c>
      <c r="G3" s="43" t="s">
        <v>43</v>
      </c>
      <c r="H3" s="43" t="s">
        <v>44</v>
      </c>
      <c r="I3" s="43" t="s">
        <v>45</v>
      </c>
      <c r="J3" s="43" t="s">
        <v>46</v>
      </c>
      <c r="K3" s="43" t="s">
        <v>47</v>
      </c>
      <c r="L3" s="183" t="s">
        <v>71</v>
      </c>
      <c r="M3" s="447"/>
    </row>
    <row r="4" spans="2:13" ht="15.75" thickBot="1">
      <c r="B4" s="13" t="s">
        <v>61</v>
      </c>
      <c r="C4" s="13" t="s">
        <v>49</v>
      </c>
      <c r="D4" s="13" t="s">
        <v>50</v>
      </c>
      <c r="E4" s="10" t="s">
        <v>51</v>
      </c>
      <c r="F4" s="10" t="s">
        <v>51</v>
      </c>
      <c r="G4" s="10" t="s">
        <v>51</v>
      </c>
      <c r="H4" s="10" t="s">
        <v>51</v>
      </c>
      <c r="I4" s="10" t="s">
        <v>51</v>
      </c>
      <c r="J4" s="10" t="s">
        <v>51</v>
      </c>
      <c r="K4" s="10" t="s">
        <v>51</v>
      </c>
      <c r="L4" s="184"/>
      <c r="M4" s="443"/>
    </row>
    <row r="5" spans="2:13">
      <c r="B5" s="38" t="str">
        <f>Processes!C23</f>
        <v>IMPBIOETH1G_S1</v>
      </c>
      <c r="C5" s="39" t="str">
        <f>Processes!D23</f>
        <v>Import of Ethanol 1st generation  - Step 1</v>
      </c>
      <c r="D5" s="39" t="str">
        <f>Commodities!$C$30</f>
        <v>BIOETH1G</v>
      </c>
      <c r="E5" s="185">
        <f>'SEAI-AEA_BioData'!$J$12</f>
        <v>18.606095347281933</v>
      </c>
      <c r="F5" s="185">
        <f>$E$5*'SEAI-AEA_BioData'!Q23</f>
        <v>18.176172733352441</v>
      </c>
      <c r="G5" s="185">
        <f>$E$5*'SEAI-AEA_BioData'!R23</f>
        <v>17.579057991783699</v>
      </c>
      <c r="H5" s="185">
        <f>$E$5*'SEAI-AEA_BioData'!S23</f>
        <v>16.599789815610968</v>
      </c>
      <c r="I5" s="185">
        <f>$E$5*'SEAI-AEA_BioData'!T23</f>
        <v>15.883252125728479</v>
      </c>
      <c r="J5" s="185">
        <f>$I$5</f>
        <v>15.883252125728479</v>
      </c>
      <c r="K5" s="185">
        <f>$I$5</f>
        <v>15.883252125728479</v>
      </c>
      <c r="L5" s="39"/>
      <c r="M5" s="233"/>
    </row>
    <row r="6" spans="2:13">
      <c r="B6" s="38" t="str">
        <f>Processes!C24</f>
        <v>IMPBIOETH1G_S2</v>
      </c>
      <c r="C6" s="39" t="str">
        <f>Processes!D24</f>
        <v>Import of Ethanol 1st generation  - Step 2</v>
      </c>
      <c r="D6" s="39" t="str">
        <f>Commodities!$C$30</f>
        <v>BIOETH1G</v>
      </c>
      <c r="E6" s="185">
        <f>'SEAI-AEA_BioData'!$J$12</f>
        <v>18.606095347281933</v>
      </c>
      <c r="F6" s="185">
        <f>$E$6*'SEAI-AEA_BioData'!Q33</f>
        <v>18.916595012897677</v>
      </c>
      <c r="G6" s="185">
        <f>$E$6*'SEAI-AEA_BioData'!R33</f>
        <v>19.083787140536923</v>
      </c>
      <c r="H6" s="185">
        <f>$E$6*'SEAI-AEA_BioData'!S33</f>
        <v>18.916595012897677</v>
      </c>
      <c r="I6" s="185">
        <f>$E$6*'SEAI-AEA_BioData'!T33</f>
        <v>19.131556319862423</v>
      </c>
      <c r="J6" s="185">
        <f>I6*Imports_Fossil!$N$31/Imports_Fossil!$M$31</f>
        <v>21.993757659054438</v>
      </c>
      <c r="K6" s="185">
        <f>I6*Imports_Fossil!$O$31/Imports_Fossil!$M$31</f>
        <v>25.284162348204315</v>
      </c>
      <c r="L6" s="39"/>
      <c r="M6" s="233"/>
    </row>
    <row r="7" spans="2:13">
      <c r="B7" s="40" t="str">
        <f>Processes!C25</f>
        <v>IMPBIOETH1G_S3</v>
      </c>
      <c r="C7" s="39" t="str">
        <f>Processes!D25</f>
        <v>Import of Ethanol 1st generation  - Step 3</v>
      </c>
      <c r="D7" s="39" t="str">
        <f>Commodities!$C$30</f>
        <v>BIOETH1G</v>
      </c>
      <c r="E7" s="185">
        <f>'SEAI-AEA_BioData'!$J$12</f>
        <v>18.606095347281933</v>
      </c>
      <c r="F7" s="185">
        <f>$E$7*'SEAI-AEA_BioData'!Q44</f>
        <v>19.680901882105665</v>
      </c>
      <c r="G7" s="185">
        <f>$E$7*'SEAI-AEA_BioData'!R44</f>
        <v>20.684054647941146</v>
      </c>
      <c r="H7" s="185">
        <f>$E$7*'SEAI-AEA_BioData'!S44</f>
        <v>21.758861182764878</v>
      </c>
      <c r="I7" s="185">
        <f>$E$7*'SEAI-AEA_BioData'!T44</f>
        <v>23.550205407471097</v>
      </c>
      <c r="J7" s="185">
        <f>I7*Imports_Fossil!$N$31/Imports_Fossil!$M$31</f>
        <v>27.073464484179372</v>
      </c>
      <c r="K7" s="185">
        <f>I7*Imports_Fossil!$O$31/Imports_Fossil!$M$31</f>
        <v>31.123825312521166</v>
      </c>
      <c r="L7" s="39"/>
      <c r="M7" s="233"/>
    </row>
    <row r="8" spans="2:13">
      <c r="B8" s="119" t="str">
        <f>Processes!C26</f>
        <v>IMPBIOETH1G_S4</v>
      </c>
      <c r="C8" s="119" t="str">
        <f>Processes!D26</f>
        <v>Import of Ethanol 1st generation  - Step 4</v>
      </c>
      <c r="D8" s="119" t="str">
        <f>Commodities!$C$30</f>
        <v>BIOETH1G</v>
      </c>
      <c r="E8" s="131">
        <f>'SEAI-AEA_BioData'!$J$12</f>
        <v>18.606095347281933</v>
      </c>
      <c r="F8" s="131">
        <f>$E$8*'SEAI-AEA_BioData'!Q55</f>
        <v>20.636285468615647</v>
      </c>
      <c r="G8" s="131">
        <f>$E$8*'SEAI-AEA_BioData'!R55</f>
        <v>22.714244769274863</v>
      </c>
      <c r="H8" s="131">
        <f>$E$8*'SEAI-AEA_BioData'!S55</f>
        <v>25.174357504538072</v>
      </c>
      <c r="I8" s="131">
        <f>$E$8*'SEAI-AEA_BioData'!T55</f>
        <v>28.757045953950509</v>
      </c>
      <c r="J8" s="131">
        <f>I8*Imports_Fossil!$N$31/Imports_Fossil!$M$31</f>
        <v>33.059281175407669</v>
      </c>
      <c r="K8" s="131">
        <f>I8*Imports_Fossil!$O$31/Imports_Fossil!$M$31</f>
        <v>38.005157886689133</v>
      </c>
      <c r="L8" s="119"/>
      <c r="M8" s="233"/>
    </row>
    <row r="9" spans="2:13">
      <c r="B9" s="40" t="str">
        <f>Processes!C27</f>
        <v>IMPBIODST1G_S1</v>
      </c>
      <c r="C9" s="39" t="str">
        <f>Processes!D27</f>
        <v>Import of Biodiesel 1st generation  - Step 1</v>
      </c>
      <c r="D9" s="39" t="str">
        <f>Commodities!$C$32</f>
        <v>BIODST1G</v>
      </c>
      <c r="E9" s="185">
        <f>'SEAI-AEA_BioData'!$J$14</f>
        <v>28.876468902264257</v>
      </c>
      <c r="F9" s="185">
        <f>$E$9*'SEAI-AEA_BioData'!Q25</f>
        <v>31.360466227190212</v>
      </c>
      <c r="G9" s="185">
        <f>$E$9*'SEAI-AEA_BioData'!R25</f>
        <v>33.175695041559187</v>
      </c>
      <c r="H9" s="185">
        <f>$E$9*'SEAI-AEA_BioData'!S25</f>
        <v>31.862042610107956</v>
      </c>
      <c r="I9" s="185">
        <f>$E$9*'SEAI-AEA_BioData'!T25</f>
        <v>31.336581637527466</v>
      </c>
      <c r="J9" s="185">
        <f>$I9</f>
        <v>31.336581637527466</v>
      </c>
      <c r="K9" s="185">
        <f>$I9</f>
        <v>31.336581637527466</v>
      </c>
      <c r="L9" s="39"/>
      <c r="M9" s="233"/>
    </row>
    <row r="10" spans="2:13">
      <c r="B10" s="40" t="str">
        <f>Processes!C28</f>
        <v>IMPBIODST1G_S2</v>
      </c>
      <c r="C10" s="39" t="str">
        <f>Processes!D28</f>
        <v>Import of Biodiesel 1st generation  - Step 2</v>
      </c>
      <c r="D10" s="39" t="str">
        <f>Commodities!$C$32</f>
        <v>BIODST1G</v>
      </c>
      <c r="E10" s="185">
        <f>'SEAI-AEA_BioData'!$J$14</f>
        <v>28.876468902264257</v>
      </c>
      <c r="F10" s="185">
        <f>$E$10*'SEAI-AEA_BioData'!Q35</f>
        <v>32.650234068978691</v>
      </c>
      <c r="G10" s="185">
        <f>$E$10*'SEAI-AEA_BioData'!R35</f>
        <v>35.826884494124393</v>
      </c>
      <c r="H10" s="185">
        <f>$E$10*'SEAI-AEA_BioData'!S35</f>
        <v>35.97019203210089</v>
      </c>
      <c r="I10" s="185">
        <f>$E$10*'SEAI-AEA_BioData'!T35</f>
        <v>37.021113977261869</v>
      </c>
      <c r="J10" s="185">
        <f>I10*Imports_Fossil!$N$31/Imports_Fossil!$M$31</f>
        <v>42.559705832127818</v>
      </c>
      <c r="K10" s="185">
        <f>I10*Imports_Fossil!$O$31/Imports_Fossil!$M$31</f>
        <v>48.9269059172493</v>
      </c>
      <c r="L10" s="39"/>
      <c r="M10" s="233"/>
    </row>
    <row r="11" spans="2:13">
      <c r="B11" s="40" t="str">
        <f>Processes!C29</f>
        <v>IMPBIODST1G_S3</v>
      </c>
      <c r="C11" s="39" t="str">
        <f>Processes!D29</f>
        <v>Import of Biodiesel 1st generation  - Step 3</v>
      </c>
      <c r="D11" s="39" t="str">
        <f>Commodities!$C$32</f>
        <v>BIODST1G</v>
      </c>
      <c r="E11" s="185">
        <f>'SEAI-AEA_BioData'!$J$14</f>
        <v>28.876468902264257</v>
      </c>
      <c r="F11" s="185">
        <f>$E$11*'SEAI-AEA_BioData'!Q46</f>
        <v>33.916117321104423</v>
      </c>
      <c r="G11" s="185">
        <f>$E$11*'SEAI-AEA_BioData'!R46</f>
        <v>38.334766408713094</v>
      </c>
      <c r="H11" s="185">
        <f>$E$11*'SEAI-AEA_BioData'!S46</f>
        <v>40.460494888697809</v>
      </c>
      <c r="I11" s="185">
        <f>$E$11*'SEAI-AEA_BioData'!T46</f>
        <v>43.756568262157252</v>
      </c>
      <c r="J11" s="185">
        <f>I11*Imports_Fossil!$N$31/Imports_Fossil!$M$31</f>
        <v>50.302826506102036</v>
      </c>
      <c r="K11" s="185">
        <f>I11*Imports_Fossil!$O$31/Imports_Fossil!$M$31</f>
        <v>57.828446219613369</v>
      </c>
      <c r="L11" s="39"/>
      <c r="M11" s="233"/>
    </row>
    <row r="12" spans="2:13">
      <c r="B12" s="119" t="str">
        <f>Processes!C30</f>
        <v>IMPBIODST1G_S4</v>
      </c>
      <c r="C12" s="119" t="str">
        <f>Processes!D30</f>
        <v>Import of Biodiesel 1st generation  - Step 4</v>
      </c>
      <c r="D12" s="119" t="str">
        <f>Commodities!$C$32</f>
        <v>BIODST1G</v>
      </c>
      <c r="E12" s="131">
        <f>'SEAI-AEA_BioData'!$J$14</f>
        <v>28.876468902264257</v>
      </c>
      <c r="F12" s="131">
        <f>$E$12*'SEAI-AEA_BioData'!Q57</f>
        <v>35.540269418171391</v>
      </c>
      <c r="G12" s="131">
        <f>$E$12*'SEAI-AEA_BioData'!R57</f>
        <v>41.917454858125538</v>
      </c>
      <c r="H12" s="131">
        <f>$E$12*'SEAI-AEA_BioData'!S57</f>
        <v>46.527180663036205</v>
      </c>
      <c r="I12" s="131">
        <f>$E$12*'SEAI-AEA_BioData'!T57</f>
        <v>52.832712334002096</v>
      </c>
      <c r="J12" s="131">
        <f>I12*Imports_Fossil!$N$31/Imports_Fossil!$M$31</f>
        <v>60.736818903655944</v>
      </c>
      <c r="K12" s="131">
        <f>I12*Imports_Fossil!$O$31/Imports_Fossil!$M$31</f>
        <v>69.823429605777719</v>
      </c>
      <c r="L12" s="119"/>
      <c r="M12" s="233"/>
    </row>
    <row r="13" spans="2:13">
      <c r="B13" s="40" t="str">
        <f>Processes!C31</f>
        <v>IMPBIOWPE_S1</v>
      </c>
      <c r="C13" s="39" t="str">
        <f>Processes!D31</f>
        <v>Import of Wood Pellets  - Step 1</v>
      </c>
      <c r="D13" s="39" t="str">
        <f>Commodities!$C$40</f>
        <v>BIOWPE</v>
      </c>
      <c r="E13" s="185">
        <f>'SEAI-AEA_BioData'!$J$10</f>
        <v>14.09190790102226</v>
      </c>
      <c r="F13" s="185">
        <f>$E13*'SEAI-AEA_BioData'!Q21</f>
        <v>10.652526989586319</v>
      </c>
      <c r="G13" s="185">
        <f>$E13*'SEAI-AEA_BioData'!R21</f>
        <v>8.5029139199388553</v>
      </c>
      <c r="H13" s="185">
        <f>$E13*'SEAI-AEA_BioData'!S21</f>
        <v>7.2847998471386255</v>
      </c>
      <c r="I13" s="185">
        <f>$E13*'SEAI-AEA_BioData'!T21</f>
        <v>6.9504155918601311</v>
      </c>
      <c r="J13" s="185">
        <f t="shared" ref="J13:K20" si="0">$I13</f>
        <v>6.9504155918601311</v>
      </c>
      <c r="K13" s="185">
        <f t="shared" si="0"/>
        <v>6.9504155918601311</v>
      </c>
      <c r="L13" s="39"/>
      <c r="M13" s="233"/>
    </row>
    <row r="14" spans="2:13">
      <c r="B14" s="40" t="str">
        <f>Processes!C32</f>
        <v>IMPBIOWPE_S2</v>
      </c>
      <c r="C14" s="39" t="str">
        <f>Processes!D32</f>
        <v>Import of Wood Pellets  - Step 2</v>
      </c>
      <c r="D14" s="39" t="str">
        <f>Commodities!$C$40</f>
        <v>BIOWPE</v>
      </c>
      <c r="E14" s="185">
        <f>'SEAI-AEA_BioData'!$J$10</f>
        <v>14.09190790102226</v>
      </c>
      <c r="F14" s="185">
        <f>$E14*'SEAI-AEA_BioData'!Q42</f>
        <v>11.034680424190311</v>
      </c>
      <c r="G14" s="185">
        <f>$E14*'SEAI-AEA_BioData'!R42</f>
        <v>9.0522594821820963</v>
      </c>
      <c r="H14" s="185">
        <f>$E14*'SEAI-AEA_BioData'!S42</f>
        <v>8.0729913060093619</v>
      </c>
      <c r="I14" s="185">
        <f>$E14*'SEAI-AEA_BioData'!T42</f>
        <v>7.9057991783701143</v>
      </c>
      <c r="J14" s="185">
        <f t="shared" si="0"/>
        <v>7.9057991783701143</v>
      </c>
      <c r="K14" s="185">
        <f t="shared" si="0"/>
        <v>7.9057991783701143</v>
      </c>
      <c r="L14" s="39"/>
      <c r="M14" s="233"/>
    </row>
    <row r="15" spans="2:13">
      <c r="B15" s="40" t="str">
        <f>Processes!C33</f>
        <v>IMPBIOWPE_S3</v>
      </c>
      <c r="C15" s="39" t="str">
        <f>Processes!D33</f>
        <v>Import of Wood Pellets  - Step 3</v>
      </c>
      <c r="D15" s="39" t="str">
        <f>Commodities!$C$40</f>
        <v>BIOWPE</v>
      </c>
      <c r="E15" s="185">
        <f>'SEAI-AEA_BioData'!$J$10</f>
        <v>14.09190790102226</v>
      </c>
      <c r="F15" s="185">
        <f>$E15+'SEAI-AEA_BioData'!Q31</f>
        <v>14.963094341700227</v>
      </c>
      <c r="G15" s="185">
        <f>$E15+'SEAI-AEA_BioData'!R31</f>
        <v>14.808857053564633</v>
      </c>
      <c r="H15" s="185">
        <f>$E15+'SEAI-AEA_BioData'!S31</f>
        <v>14.725806206107006</v>
      </c>
      <c r="I15" s="185">
        <f>$E15+'SEAI-AEA_BioData'!T31</f>
        <v>14.713941799327346</v>
      </c>
      <c r="J15" s="185">
        <f t="shared" si="0"/>
        <v>14.713941799327346</v>
      </c>
      <c r="K15" s="185">
        <f t="shared" si="0"/>
        <v>14.713941799327346</v>
      </c>
      <c r="L15" s="39"/>
      <c r="M15" s="233"/>
    </row>
    <row r="16" spans="2:13">
      <c r="B16" s="119" t="str">
        <f>Processes!C34</f>
        <v>IMPBIOWPE_S4</v>
      </c>
      <c r="C16" s="119" t="str">
        <f>Processes!D34</f>
        <v>Import of Wood Pellets  - Step 4</v>
      </c>
      <c r="D16" s="119" t="str">
        <f>Commodities!$C$40</f>
        <v>BIOWPE</v>
      </c>
      <c r="E16" s="131">
        <f>'SEAI-AEA_BioData'!$J$10</f>
        <v>14.09190790102226</v>
      </c>
      <c r="F16" s="131">
        <f>$E16+'SEAI-AEA_BioData'!Q53</f>
        <v>14.99868756203921</v>
      </c>
      <c r="G16" s="131">
        <f>$E16+'SEAI-AEA_BioData'!R53</f>
        <v>14.858009595937514</v>
      </c>
      <c r="H16" s="131">
        <f>$E16+'SEAI-AEA_BioData'!S53</f>
        <v>14.800382477293446</v>
      </c>
      <c r="I16" s="131">
        <f>$E16+'SEAI-AEA_BioData'!T53</f>
        <v>14.805467223056159</v>
      </c>
      <c r="J16" s="131">
        <f t="shared" si="0"/>
        <v>14.805467223056159</v>
      </c>
      <c r="K16" s="131">
        <f t="shared" si="0"/>
        <v>14.805467223056159</v>
      </c>
      <c r="L16" s="119"/>
      <c r="M16" s="233"/>
    </row>
    <row r="17" spans="2:17">
      <c r="B17" s="40" t="str">
        <f>Processes!C35</f>
        <v>IMPBIOWCH_S1</v>
      </c>
      <c r="C17" s="39" t="str">
        <f>Processes!D35</f>
        <v>Import of Wood Chip  - Step 1</v>
      </c>
      <c r="D17" s="39" t="str">
        <f>Commodities!$C$41</f>
        <v>BIOWCH</v>
      </c>
      <c r="E17" s="185">
        <f>'SEAI-AEA_BioData'!$J$8</f>
        <v>6.8787618228718825</v>
      </c>
      <c r="F17" s="185">
        <f>$E17*'SEAI-AEA_BioData'!Q19</f>
        <v>5.2068405464794116</v>
      </c>
      <c r="G17" s="185">
        <f>$E17*'SEAI-AEA_BioData'!R19</f>
        <v>4.1559186013184295</v>
      </c>
      <c r="H17" s="185">
        <f>$E17*'SEAI-AEA_BioData'!S19</f>
        <v>3.5588038597496894</v>
      </c>
      <c r="I17" s="185">
        <f>$E17*'SEAI-AEA_BioData'!T19</f>
        <v>3.3916117321104422</v>
      </c>
      <c r="J17" s="185">
        <f t="shared" si="0"/>
        <v>3.3916117321104422</v>
      </c>
      <c r="K17" s="185">
        <f t="shared" si="0"/>
        <v>3.3916117321104422</v>
      </c>
      <c r="L17" s="39"/>
      <c r="M17" s="233"/>
    </row>
    <row r="18" spans="2:17">
      <c r="B18" s="40" t="str">
        <f>Processes!C36</f>
        <v>IMPBIOWCH_S2</v>
      </c>
      <c r="C18" s="39" t="str">
        <f>Processes!D36</f>
        <v>Import of Wood Chip  - Step 2</v>
      </c>
      <c r="D18" s="39" t="str">
        <f>Commodities!$C$41</f>
        <v>BIOWCH</v>
      </c>
      <c r="E18" s="185">
        <f>'SEAI-AEA_BioData'!$J$8</f>
        <v>6.8787618228718825</v>
      </c>
      <c r="F18" s="185">
        <f>$E18*'SEAI-AEA_BioData'!Q40</f>
        <v>5.3979172637814079</v>
      </c>
      <c r="G18" s="185">
        <f>$E18*'SEAI-AEA_BioData'!R40</f>
        <v>4.4186490876086744</v>
      </c>
      <c r="H18" s="185">
        <f>$E18*'SEAI-AEA_BioData'!S40</f>
        <v>3.9409572943536824</v>
      </c>
      <c r="I18" s="185">
        <f>$E18*'SEAI-AEA_BioData'!T40</f>
        <v>3.8693035253654338</v>
      </c>
      <c r="J18" s="185">
        <f t="shared" si="0"/>
        <v>3.8693035253654338</v>
      </c>
      <c r="K18" s="185">
        <f t="shared" si="0"/>
        <v>3.8693035253654338</v>
      </c>
      <c r="L18" s="39"/>
      <c r="M18" s="233"/>
    </row>
    <row r="19" spans="2:17">
      <c r="B19" s="40" t="str">
        <f>Processes!C37</f>
        <v>IMPBIOWCH_S3</v>
      </c>
      <c r="C19" s="39" t="str">
        <f>Processes!D37</f>
        <v>Import of Wood Chip  - Step 3</v>
      </c>
      <c r="D19" s="39" t="str">
        <f>Commodities!$C$41</f>
        <v>BIOWCH</v>
      </c>
      <c r="E19" s="185">
        <f>'SEAI-AEA_BioData'!$J$8</f>
        <v>6.8787618228718825</v>
      </c>
      <c r="F19" s="185">
        <f>$E19*'SEAI-AEA_BioData'!Q29</f>
        <v>6.1383395433266452</v>
      </c>
      <c r="G19" s="185">
        <f>$E19*'SEAI-AEA_BioData'!R29</f>
        <v>5.039648418840164</v>
      </c>
      <c r="H19" s="185">
        <f>$E19*'SEAI-AEA_BioData'!S29</f>
        <v>4.4664182669341734</v>
      </c>
      <c r="I19" s="185">
        <f>$E19*'SEAI-AEA_BioData'!T29</f>
        <v>4.3708799082831753</v>
      </c>
      <c r="J19" s="185">
        <f t="shared" si="0"/>
        <v>4.3708799082831753</v>
      </c>
      <c r="K19" s="185">
        <f t="shared" si="0"/>
        <v>4.3708799082831753</v>
      </c>
      <c r="L19" s="39"/>
      <c r="M19" s="233"/>
    </row>
    <row r="20" spans="2:17">
      <c r="B20" s="119" t="str">
        <f>Processes!C38</f>
        <v>IMPBIOWCH_S4</v>
      </c>
      <c r="C20" s="119" t="str">
        <f>Processes!D38</f>
        <v>Import of Wood Chip  - Step 4</v>
      </c>
      <c r="D20" s="119" t="str">
        <f>Commodities!$C$41</f>
        <v>BIOWCH</v>
      </c>
      <c r="E20" s="131">
        <f>'SEAI-AEA_BioData'!$J$8</f>
        <v>6.8787618228718825</v>
      </c>
      <c r="F20" s="131">
        <f>$E20*'SEAI-AEA_BioData'!Q51</f>
        <v>6.3771854399541414</v>
      </c>
      <c r="G20" s="131">
        <f>$E20*'SEAI-AEA_BioData'!R51</f>
        <v>5.3979172637814079</v>
      </c>
      <c r="H20" s="131">
        <f>$E20*'SEAI-AEA_BioData'!S51</f>
        <v>4.9918792395146649</v>
      </c>
      <c r="I20" s="131">
        <f>$E20*'SEAI-AEA_BioData'!T51</f>
        <v>5.039648418840164</v>
      </c>
      <c r="J20" s="131">
        <f t="shared" si="0"/>
        <v>5.039648418840164</v>
      </c>
      <c r="K20" s="131">
        <f t="shared" si="0"/>
        <v>5.039648418840164</v>
      </c>
      <c r="L20" s="119"/>
      <c r="M20" s="233"/>
    </row>
    <row r="21" spans="2:17">
      <c r="B21" s="181"/>
      <c r="C21" s="39"/>
      <c r="D21" s="39"/>
      <c r="E21" s="122"/>
      <c r="F21" s="181"/>
      <c r="G21" s="181"/>
      <c r="H21" s="181"/>
      <c r="I21" s="181"/>
      <c r="J21" s="181"/>
      <c r="K21" s="181"/>
      <c r="L21" s="181"/>
    </row>
    <row r="22" spans="2:17" ht="26.25">
      <c r="B22" s="4" t="s">
        <v>135</v>
      </c>
      <c r="C22" s="4"/>
      <c r="D22" s="18" t="s">
        <v>134</v>
      </c>
      <c r="E22" s="122"/>
      <c r="F22" s="181"/>
      <c r="G22" s="181"/>
      <c r="H22" s="181"/>
      <c r="I22" s="181"/>
      <c r="J22" s="181"/>
      <c r="K22" s="181"/>
      <c r="M22" s="236" t="s">
        <v>190</v>
      </c>
      <c r="N22" s="234"/>
      <c r="O22" s="234"/>
      <c r="P22" s="234"/>
      <c r="Q22" s="234"/>
    </row>
    <row r="23" spans="2:17">
      <c r="B23" s="22" t="s">
        <v>2</v>
      </c>
      <c r="C23" s="22" t="s">
        <v>3</v>
      </c>
      <c r="D23" s="22" t="s">
        <v>40</v>
      </c>
      <c r="E23" s="43" t="s">
        <v>353</v>
      </c>
      <c r="F23" s="43" t="s">
        <v>136</v>
      </c>
      <c r="G23" s="43" t="s">
        <v>137</v>
      </c>
      <c r="H23" s="43" t="s">
        <v>138</v>
      </c>
      <c r="I23" s="43" t="s">
        <v>139</v>
      </c>
      <c r="J23" s="183" t="s">
        <v>71</v>
      </c>
      <c r="K23" s="181"/>
      <c r="M23" s="459" t="s">
        <v>191</v>
      </c>
    </row>
    <row r="24" spans="2:17" ht="15.75" thickBot="1">
      <c r="B24" s="13" t="s">
        <v>61</v>
      </c>
      <c r="C24" s="13" t="s">
        <v>49</v>
      </c>
      <c r="D24" s="13" t="s">
        <v>50</v>
      </c>
      <c r="E24" s="10" t="s">
        <v>51</v>
      </c>
      <c r="F24" s="10" t="s">
        <v>51</v>
      </c>
      <c r="G24" s="10" t="s">
        <v>51</v>
      </c>
      <c r="H24" s="10" t="s">
        <v>51</v>
      </c>
      <c r="I24" s="10" t="s">
        <v>51</v>
      </c>
      <c r="J24" s="184"/>
      <c r="K24" s="181"/>
      <c r="M24" s="235"/>
      <c r="N24" s="235"/>
      <c r="O24" s="457" t="s">
        <v>192</v>
      </c>
      <c r="P24" s="457"/>
      <c r="Q24" s="457" t="s">
        <v>193</v>
      </c>
    </row>
    <row r="25" spans="2:17" ht="15.75" thickBot="1">
      <c r="B25" s="123" t="str">
        <f t="shared" ref="B25:C25" si="1">B13</f>
        <v>IMPBIOWPE_S1</v>
      </c>
      <c r="C25" s="123" t="str">
        <f t="shared" si="1"/>
        <v>Import of Wood Pellets  - Step 1</v>
      </c>
      <c r="D25" s="39" t="str">
        <f>Commodities!$C$40</f>
        <v>BIOWPE</v>
      </c>
      <c r="E25" s="186">
        <f t="shared" ref="E25:E32" si="2">SUM($O$25:$Q$25)</f>
        <v>4.8499999999999996</v>
      </c>
      <c r="F25" s="186">
        <f>SUM($O$25:$P$25)+$Q$25*(Imports_Fossil!L$31/Imports_Fossil!$D$31)</f>
        <v>4.1959971466765573</v>
      </c>
      <c r="G25" s="186">
        <f>SUM($O$25:$P$25)+$Q$25*(Imports_Fossil!M$31/Imports_Fossil!$D$31)</f>
        <v>5.1596541174136927</v>
      </c>
      <c r="H25" s="186">
        <f>SUM($O$25:$P$25)+$Q$25*(Imports_Fossil!N$31/Imports_Fossil!$D$31)</f>
        <v>5.5665315050582613</v>
      </c>
      <c r="I25" s="186">
        <f>SUM($O$25:$P$25)+$Q$25*(Imports_Fossil!O$31/Imports_Fossil!$D$31)</f>
        <v>6.0342803129016236</v>
      </c>
      <c r="J25" s="691" t="s">
        <v>140</v>
      </c>
      <c r="K25" s="181"/>
      <c r="M25" s="244" t="s">
        <v>194</v>
      </c>
      <c r="N25" s="454" t="s">
        <v>195</v>
      </c>
      <c r="O25" s="431">
        <v>0.53</v>
      </c>
      <c r="P25" s="431">
        <v>1.91</v>
      </c>
      <c r="Q25" s="431">
        <v>2.41</v>
      </c>
    </row>
    <row r="26" spans="2:17">
      <c r="B26" s="38" t="str">
        <f t="shared" ref="B26:C26" si="3">B14</f>
        <v>IMPBIOWPE_S2</v>
      </c>
      <c r="C26" s="38" t="str">
        <f t="shared" si="3"/>
        <v>Import of Wood Pellets  - Step 2</v>
      </c>
      <c r="D26" s="39" t="str">
        <f>Commodities!$C$40</f>
        <v>BIOWPE</v>
      </c>
      <c r="E26" s="238">
        <f t="shared" si="2"/>
        <v>4.8499999999999996</v>
      </c>
      <c r="F26" s="238">
        <f>SUM($O$25:$P$25)+$Q$25*(Imports_Fossil!L$31/Imports_Fossil!$D$31)</f>
        <v>4.1959971466765573</v>
      </c>
      <c r="G26" s="238">
        <f>SUM($O$25:$P$25)+$Q$25*(Imports_Fossil!M$31/Imports_Fossil!$D$31)</f>
        <v>5.1596541174136927</v>
      </c>
      <c r="H26" s="238">
        <f>SUM($O$25:$P$25)+$Q$25*(Imports_Fossil!N$31/Imports_Fossil!$D$31)</f>
        <v>5.5665315050582613</v>
      </c>
      <c r="I26" s="238">
        <f>SUM($O$25:$P$25)+$Q$25*(Imports_Fossil!O$31/Imports_Fossil!$D$31)</f>
        <v>6.0342803129016236</v>
      </c>
      <c r="J26" s="692"/>
      <c r="K26" s="181"/>
      <c r="L26" s="240"/>
      <c r="M26" s="455"/>
      <c r="N26" s="441"/>
      <c r="O26" s="441"/>
      <c r="P26" s="441"/>
    </row>
    <row r="27" spans="2:17">
      <c r="B27" s="38" t="str">
        <f t="shared" ref="B27:C27" si="4">B15</f>
        <v>IMPBIOWPE_S3</v>
      </c>
      <c r="C27" s="38" t="str">
        <f t="shared" si="4"/>
        <v>Import of Wood Pellets  - Step 3</v>
      </c>
      <c r="D27" s="39" t="str">
        <f>Commodities!$C$40</f>
        <v>BIOWPE</v>
      </c>
      <c r="E27" s="238">
        <f t="shared" si="2"/>
        <v>4.8499999999999996</v>
      </c>
      <c r="F27" s="238">
        <f>SUM($O$25:$P$25)+$Q$25*(Imports_Fossil!L$31/Imports_Fossil!$D$31)</f>
        <v>4.1959971466765573</v>
      </c>
      <c r="G27" s="238">
        <f>SUM($O$25:$P$25)+$Q$25*(Imports_Fossil!M$31/Imports_Fossil!$D$31)</f>
        <v>5.1596541174136927</v>
      </c>
      <c r="H27" s="238">
        <f>SUM($O$25:$P$25)+$Q$25*(Imports_Fossil!N$31/Imports_Fossil!$D$31)</f>
        <v>5.5665315050582613</v>
      </c>
      <c r="I27" s="238">
        <f>SUM($O$25:$P$25)+$Q$25*(Imports_Fossil!O$31/Imports_Fossil!$D$31)</f>
        <v>6.0342803129016236</v>
      </c>
      <c r="J27" s="692"/>
      <c r="K27" s="181"/>
      <c r="L27" s="233"/>
      <c r="M27" s="242"/>
      <c r="N27" s="242"/>
      <c r="O27" s="242"/>
      <c r="P27" s="242"/>
      <c r="Q27" s="242"/>
    </row>
    <row r="28" spans="2:17">
      <c r="B28" s="125" t="str">
        <f t="shared" ref="B28:C28" si="5">B16</f>
        <v>IMPBIOWPE_S4</v>
      </c>
      <c r="C28" s="125" t="str">
        <f t="shared" si="5"/>
        <v>Import of Wood Pellets  - Step 4</v>
      </c>
      <c r="D28" s="119" t="str">
        <f>Commodities!$C$40</f>
        <v>BIOWPE</v>
      </c>
      <c r="E28" s="239">
        <f t="shared" si="2"/>
        <v>4.8499999999999996</v>
      </c>
      <c r="F28" s="239">
        <f>SUM($O$25:$P$25)+$Q$25*(Imports_Fossil!L$31/Imports_Fossil!$D$31)</f>
        <v>4.1959971466765573</v>
      </c>
      <c r="G28" s="239">
        <f>SUM($O$25:$P$25)+$Q$25*(Imports_Fossil!M$31/Imports_Fossil!$D$31)</f>
        <v>5.1596541174136927</v>
      </c>
      <c r="H28" s="239">
        <f>SUM($O$25:$P$25)+$Q$25*(Imports_Fossil!N$31/Imports_Fossil!$D$31)</f>
        <v>5.5665315050582613</v>
      </c>
      <c r="I28" s="239">
        <f>SUM($O$25:$P$25)+$Q$25*(Imports_Fossil!O$31/Imports_Fossil!$D$31)</f>
        <v>6.0342803129016236</v>
      </c>
      <c r="J28" s="692"/>
      <c r="K28" s="181"/>
      <c r="L28" s="181"/>
    </row>
    <row r="29" spans="2:17">
      <c r="B29" s="187" t="str">
        <f t="shared" ref="B29:C29" si="6">B17</f>
        <v>IMPBIOWCH_S1</v>
      </c>
      <c r="C29" s="187" t="str">
        <f t="shared" si="6"/>
        <v>Import of Wood Chip  - Step 1</v>
      </c>
      <c r="D29" s="39" t="str">
        <f>Commodities!$C$41</f>
        <v>BIOWCH</v>
      </c>
      <c r="E29" s="188">
        <f t="shared" si="2"/>
        <v>4.8499999999999996</v>
      </c>
      <c r="F29" s="188">
        <f>SUM($O$25:$P$25)+$Q$25*(Imports_Fossil!L$31/Imports_Fossil!$D$31)</f>
        <v>4.1959971466765573</v>
      </c>
      <c r="G29" s="188">
        <f>SUM($O$25:$P$25)+$Q$25*(Imports_Fossil!M$31/Imports_Fossil!$D$31)</f>
        <v>5.1596541174136927</v>
      </c>
      <c r="H29" s="188">
        <f>SUM($O$25:$P$25)+$Q$25*(Imports_Fossil!N$31/Imports_Fossil!$D$31)</f>
        <v>5.5665315050582613</v>
      </c>
      <c r="I29" s="188">
        <f>SUM($O$25:$P$25)+$Q$25*(Imports_Fossil!O$31/Imports_Fossil!$D$31)</f>
        <v>6.0342803129016236</v>
      </c>
      <c r="J29" s="692"/>
      <c r="K29" s="181"/>
      <c r="L29" s="181"/>
    </row>
    <row r="30" spans="2:17">
      <c r="B30" s="38" t="str">
        <f t="shared" ref="B30:C30" si="7">B18</f>
        <v>IMPBIOWCH_S2</v>
      </c>
      <c r="C30" s="38" t="str">
        <f t="shared" si="7"/>
        <v>Import of Wood Chip  - Step 2</v>
      </c>
      <c r="D30" s="39" t="str">
        <f>Commodities!$C$41</f>
        <v>BIOWCH</v>
      </c>
      <c r="E30" s="238">
        <f t="shared" si="2"/>
        <v>4.8499999999999996</v>
      </c>
      <c r="F30" s="238">
        <f>SUM($O$25:$P$25)+$Q$25*(Imports_Fossil!L$31/Imports_Fossil!$D$31)</f>
        <v>4.1959971466765573</v>
      </c>
      <c r="G30" s="238">
        <f>SUM($O$25:$P$25)+$Q$25*(Imports_Fossil!M$31/Imports_Fossil!$D$31)</f>
        <v>5.1596541174136927</v>
      </c>
      <c r="H30" s="238">
        <f>SUM($O$25:$P$25)+$Q$25*(Imports_Fossil!N$31/Imports_Fossil!$D$31)</f>
        <v>5.5665315050582613</v>
      </c>
      <c r="I30" s="238">
        <f>SUM($O$25:$P$25)+$Q$25*(Imports_Fossil!O$31/Imports_Fossil!$D$31)</f>
        <v>6.0342803129016236</v>
      </c>
      <c r="J30" s="692"/>
      <c r="K30" s="181"/>
      <c r="L30" s="181"/>
    </row>
    <row r="31" spans="2:17">
      <c r="B31" s="38" t="str">
        <f t="shared" ref="B31:C31" si="8">B19</f>
        <v>IMPBIOWCH_S3</v>
      </c>
      <c r="C31" s="38" t="str">
        <f t="shared" si="8"/>
        <v>Import of Wood Chip  - Step 3</v>
      </c>
      <c r="D31" s="39" t="str">
        <f>Commodities!$C$41</f>
        <v>BIOWCH</v>
      </c>
      <c r="E31" s="238">
        <f t="shared" si="2"/>
        <v>4.8499999999999996</v>
      </c>
      <c r="F31" s="238">
        <f>SUM($O$25:$P$25)+$Q$25*(Imports_Fossil!L$31/Imports_Fossil!$D$31)</f>
        <v>4.1959971466765573</v>
      </c>
      <c r="G31" s="238">
        <f>SUM($O$25:$P$25)+$Q$25*(Imports_Fossil!M$31/Imports_Fossil!$D$31)</f>
        <v>5.1596541174136927</v>
      </c>
      <c r="H31" s="238">
        <f>SUM($O$25:$P$25)+$Q$25*(Imports_Fossil!N$31/Imports_Fossil!$D$31)</f>
        <v>5.5665315050582613</v>
      </c>
      <c r="I31" s="238">
        <f>SUM($O$25:$P$25)+$Q$25*(Imports_Fossil!O$31/Imports_Fossil!$D$31)</f>
        <v>6.0342803129016236</v>
      </c>
      <c r="J31" s="692"/>
      <c r="K31" s="181"/>
      <c r="L31" s="181"/>
    </row>
    <row r="32" spans="2:17">
      <c r="B32" s="125" t="str">
        <f t="shared" ref="B32:C32" si="9">B20</f>
        <v>IMPBIOWCH_S4</v>
      </c>
      <c r="C32" s="125" t="str">
        <f t="shared" si="9"/>
        <v>Import of Wood Chip  - Step 4</v>
      </c>
      <c r="D32" s="119" t="str">
        <f>Commodities!$C$41</f>
        <v>BIOWCH</v>
      </c>
      <c r="E32" s="239">
        <f t="shared" si="2"/>
        <v>4.8499999999999996</v>
      </c>
      <c r="F32" s="239">
        <f>SUM($O$25:$P$25)+$Q$25*(Imports_Fossil!L$31/Imports_Fossil!$D$31)</f>
        <v>4.1959971466765573</v>
      </c>
      <c r="G32" s="239">
        <f>SUM($O$25:$P$25)+$Q$25*(Imports_Fossil!M$31/Imports_Fossil!$D$31)</f>
        <v>5.1596541174136927</v>
      </c>
      <c r="H32" s="239">
        <f>SUM($O$25:$P$25)+$Q$25*(Imports_Fossil!N$31/Imports_Fossil!$D$31)</f>
        <v>5.5665315050582613</v>
      </c>
      <c r="I32" s="239">
        <f>SUM($O$25:$P$25)+$Q$25*(Imports_Fossil!O$31/Imports_Fossil!$D$31)</f>
        <v>6.0342803129016236</v>
      </c>
      <c r="J32" s="693"/>
      <c r="K32" s="181"/>
      <c r="L32" s="181"/>
    </row>
    <row r="33" spans="2:21">
      <c r="B33" s="181"/>
      <c r="C33" s="39"/>
      <c r="D33" s="39"/>
      <c r="E33" s="122"/>
      <c r="F33" s="181"/>
      <c r="G33" s="181"/>
      <c r="H33" s="181"/>
      <c r="I33" s="181"/>
      <c r="J33" s="181"/>
      <c r="K33" s="181"/>
      <c r="L33" s="181"/>
    </row>
    <row r="34" spans="2:21">
      <c r="F34" s="44"/>
      <c r="G34" s="44"/>
      <c r="H34" s="45"/>
      <c r="I34" s="45"/>
      <c r="J34" s="243"/>
    </row>
    <row r="35" spans="2:21" ht="18.75">
      <c r="B35" s="4" t="s">
        <v>105</v>
      </c>
      <c r="C35" s="5"/>
      <c r="D35" s="18" t="s">
        <v>99</v>
      </c>
      <c r="H35" s="44"/>
      <c r="I35" s="44"/>
      <c r="J35" s="45"/>
      <c r="K35" s="45"/>
      <c r="L35" s="243"/>
    </row>
    <row r="36" spans="2:21">
      <c r="B36" s="22" t="s">
        <v>2</v>
      </c>
      <c r="C36" s="22" t="s">
        <v>3</v>
      </c>
      <c r="D36" s="22" t="s">
        <v>40</v>
      </c>
      <c r="E36" s="43">
        <v>2015</v>
      </c>
      <c r="F36" s="43">
        <v>2020</v>
      </c>
      <c r="G36" s="43">
        <v>2025</v>
      </c>
      <c r="H36" s="43">
        <v>2030</v>
      </c>
      <c r="I36" s="43">
        <v>2035</v>
      </c>
      <c r="J36" s="43">
        <v>2040</v>
      </c>
      <c r="K36" s="43">
        <v>2045</v>
      </c>
      <c r="L36" s="43">
        <v>2050</v>
      </c>
      <c r="M36" s="183" t="s">
        <v>71</v>
      </c>
      <c r="N36" s="43"/>
      <c r="R36" s="459" t="s">
        <v>280</v>
      </c>
    </row>
    <row r="37" spans="2:21" ht="15.75" thickBot="1">
      <c r="B37" s="10" t="s">
        <v>61</v>
      </c>
      <c r="C37" s="10" t="s">
        <v>49</v>
      </c>
      <c r="D37" s="10" t="s">
        <v>50</v>
      </c>
      <c r="E37" s="10" t="s">
        <v>10</v>
      </c>
      <c r="F37" s="10" t="s">
        <v>10</v>
      </c>
      <c r="G37" s="10" t="s">
        <v>10</v>
      </c>
      <c r="H37" s="10" t="s">
        <v>10</v>
      </c>
      <c r="I37" s="10" t="s">
        <v>10</v>
      </c>
      <c r="J37" s="10" t="s">
        <v>10</v>
      </c>
      <c r="K37" s="10" t="s">
        <v>10</v>
      </c>
      <c r="L37" s="10" t="s">
        <v>10</v>
      </c>
      <c r="M37" s="10"/>
      <c r="N37" s="10"/>
      <c r="P37" s="442"/>
      <c r="R37" s="459" t="s">
        <v>281</v>
      </c>
    </row>
    <row r="38" spans="2:21">
      <c r="B38" s="123" t="str">
        <f>Imports_Bio!B5</f>
        <v>IMPBIOETH1G_S1</v>
      </c>
      <c r="C38" s="123" t="str">
        <f>Imports_Bio!C5</f>
        <v>Import of Ethanol 1st generation  - Step 1</v>
      </c>
      <c r="D38" s="124" t="str">
        <f>Commodities!$C$30</f>
        <v>BIOETH1G</v>
      </c>
      <c r="E38" s="433">
        <f>SEAI_Bal!AG87*Conversions!$B$2*Imports_Bio!$P$38</f>
        <v>1.8805020863740487</v>
      </c>
      <c r="F38" s="133">
        <f>E38</f>
        <v>1.8805020863740487</v>
      </c>
      <c r="G38" s="133">
        <f t="shared" ref="G38:L38" si="10">F38</f>
        <v>1.8805020863740487</v>
      </c>
      <c r="H38" s="133">
        <f t="shared" si="10"/>
        <v>1.8805020863740487</v>
      </c>
      <c r="I38" s="133">
        <f t="shared" si="10"/>
        <v>1.8805020863740487</v>
      </c>
      <c r="J38" s="133">
        <f t="shared" si="10"/>
        <v>1.8805020863740487</v>
      </c>
      <c r="K38" s="133">
        <f t="shared" si="10"/>
        <v>1.8805020863740487</v>
      </c>
      <c r="L38" s="133">
        <f t="shared" si="10"/>
        <v>1.8805020863740487</v>
      </c>
      <c r="M38" s="146" t="s">
        <v>279</v>
      </c>
      <c r="N38" s="133"/>
      <c r="P38" s="435">
        <f>U40/SUM(U39:U40)</f>
        <v>0.46300873094940176</v>
      </c>
      <c r="R38" s="459" t="s">
        <v>282</v>
      </c>
      <c r="S38" s="459" t="s">
        <v>270</v>
      </c>
      <c r="T38" s="459" t="s">
        <v>283</v>
      </c>
      <c r="U38" s="459">
        <v>2012</v>
      </c>
    </row>
    <row r="39" spans="2:21">
      <c r="B39" s="38" t="str">
        <f>Imports_Bio!B6</f>
        <v>IMPBIOETH1G_S2</v>
      </c>
      <c r="C39" s="38" t="str">
        <f>Imports_Bio!C6</f>
        <v>Import of Ethanol 1st generation  - Step 2</v>
      </c>
      <c r="D39" s="40" t="str">
        <f>Commodities!$C$30</f>
        <v>BIOETH1G</v>
      </c>
      <c r="E39" s="438">
        <v>0</v>
      </c>
      <c r="F39" s="130">
        <f>F38*2</f>
        <v>3.7610041727480974</v>
      </c>
      <c r="G39" s="130">
        <f t="shared" ref="G39:L40" si="11">G38*2</f>
        <v>3.7610041727480974</v>
      </c>
      <c r="H39" s="130">
        <f t="shared" si="11"/>
        <v>3.7610041727480974</v>
      </c>
      <c r="I39" s="130">
        <f t="shared" si="11"/>
        <v>3.7610041727480974</v>
      </c>
      <c r="J39" s="130">
        <f t="shared" si="11"/>
        <v>3.7610041727480974</v>
      </c>
      <c r="K39" s="130">
        <f t="shared" si="11"/>
        <v>3.7610041727480974</v>
      </c>
      <c r="L39" s="130">
        <f t="shared" si="11"/>
        <v>3.7610041727480974</v>
      </c>
      <c r="M39" s="147" t="s">
        <v>288</v>
      </c>
      <c r="N39" s="130"/>
      <c r="P39" s="47"/>
      <c r="R39" s="459" t="s">
        <v>284</v>
      </c>
      <c r="S39" s="459" t="s">
        <v>285</v>
      </c>
      <c r="T39" s="459" t="s">
        <v>286</v>
      </c>
      <c r="U39" s="459">
        <v>1.8600597771716001</v>
      </c>
    </row>
    <row r="40" spans="2:21">
      <c r="B40" s="38" t="str">
        <f>Imports_Bio!B7</f>
        <v>IMPBIOETH1G_S3</v>
      </c>
      <c r="C40" s="38" t="str">
        <f>Imports_Bio!C7</f>
        <v>Import of Ethanol 1st generation  - Step 3</v>
      </c>
      <c r="D40" s="40" t="str">
        <f>Commodities!$C$30</f>
        <v>BIOETH1G</v>
      </c>
      <c r="E40" s="438">
        <v>0</v>
      </c>
      <c r="F40" s="130">
        <f>F39*2</f>
        <v>7.5220083454961948</v>
      </c>
      <c r="G40" s="130">
        <f t="shared" si="11"/>
        <v>7.5220083454961948</v>
      </c>
      <c r="H40" s="130">
        <f t="shared" si="11"/>
        <v>7.5220083454961948</v>
      </c>
      <c r="I40" s="130">
        <f t="shared" si="11"/>
        <v>7.5220083454961948</v>
      </c>
      <c r="J40" s="130">
        <f t="shared" si="11"/>
        <v>7.5220083454961948</v>
      </c>
      <c r="K40" s="130">
        <f t="shared" si="11"/>
        <v>7.5220083454961948</v>
      </c>
      <c r="L40" s="130">
        <f t="shared" si="11"/>
        <v>7.5220083454961948</v>
      </c>
      <c r="M40" s="147" t="s">
        <v>289</v>
      </c>
      <c r="N40" s="130"/>
      <c r="P40" s="47"/>
      <c r="R40" s="459" t="s">
        <v>284</v>
      </c>
      <c r="S40" s="459" t="s">
        <v>285</v>
      </c>
      <c r="T40" s="459" t="s">
        <v>287</v>
      </c>
      <c r="U40" s="459">
        <v>1.6037950085127</v>
      </c>
    </row>
    <row r="41" spans="2:21">
      <c r="B41" s="125" t="str">
        <f>"*"&amp;Imports_Bio!B8</f>
        <v>*IMPBIOETH1G_S4</v>
      </c>
      <c r="C41" s="125" t="str">
        <f>Imports_Bio!C8</f>
        <v>Import of Ethanol 1st generation  - Step 4</v>
      </c>
      <c r="D41" s="119" t="str">
        <f>Commodities!$C$30</f>
        <v>BIOETH1G</v>
      </c>
      <c r="E41" s="448">
        <v>0</v>
      </c>
      <c r="F41" s="131">
        <v>27.064417978971818</v>
      </c>
      <c r="G41" s="131">
        <v>27.064417978971818</v>
      </c>
      <c r="H41" s="131">
        <v>27.064417978971818</v>
      </c>
      <c r="I41" s="131">
        <v>27.064417978971818</v>
      </c>
      <c r="J41" s="131">
        <v>27.064417978971818</v>
      </c>
      <c r="K41" s="131">
        <v>27.064417978971818</v>
      </c>
      <c r="L41" s="131">
        <v>27.064417978971818</v>
      </c>
      <c r="M41" s="148" t="s">
        <v>290</v>
      </c>
      <c r="N41" s="131"/>
      <c r="P41" s="47"/>
    </row>
    <row r="42" spans="2:21" ht="15.75" thickBot="1">
      <c r="B42" s="126" t="s">
        <v>100</v>
      </c>
      <c r="C42" s="126"/>
      <c r="D42" s="127"/>
      <c r="E42" s="134"/>
      <c r="F42" s="134">
        <f>G42</f>
        <v>59.810866344000004</v>
      </c>
      <c r="G42" s="134">
        <f>H42</f>
        <v>59.810866344000004</v>
      </c>
      <c r="H42" s="134">
        <f>'SEAI-AEA_BioData'!G54*Conversions!$B$2/1000</f>
        <v>59.810866344000004</v>
      </c>
      <c r="I42" s="134">
        <f>H42</f>
        <v>59.810866344000004</v>
      </c>
      <c r="J42" s="134">
        <f t="shared" ref="J42:L42" si="12">I42</f>
        <v>59.810866344000004</v>
      </c>
      <c r="K42" s="134">
        <f t="shared" si="12"/>
        <v>59.810866344000004</v>
      </c>
      <c r="L42" s="134">
        <f t="shared" si="12"/>
        <v>59.810866344000004</v>
      </c>
      <c r="M42" s="149" t="s">
        <v>103</v>
      </c>
      <c r="N42" s="134"/>
      <c r="P42" s="47"/>
    </row>
    <row r="43" spans="2:21">
      <c r="B43" s="123" t="str">
        <f>Imports_Bio!B9</f>
        <v>IMPBIODST1G_S1</v>
      </c>
      <c r="C43" s="123" t="str">
        <f>Imports_Bio!C9</f>
        <v>Import of Biodiesel 1st generation  - Step 1</v>
      </c>
      <c r="D43" s="124" t="str">
        <f>Commodities!$C$32</f>
        <v>BIODST1G</v>
      </c>
      <c r="E43" s="433">
        <f>SEAI_Bal!AG87*Conversions!$B$2*Imports_Bio!$P$43</f>
        <v>2.1809809066530366</v>
      </c>
      <c r="F43" s="133">
        <f>E43</f>
        <v>2.1809809066530366</v>
      </c>
      <c r="G43" s="133">
        <f t="shared" ref="G43:L43" si="13">F43</f>
        <v>2.1809809066530366</v>
      </c>
      <c r="H43" s="133">
        <f t="shared" si="13"/>
        <v>2.1809809066530366</v>
      </c>
      <c r="I43" s="133">
        <f t="shared" si="13"/>
        <v>2.1809809066530366</v>
      </c>
      <c r="J43" s="133">
        <f t="shared" si="13"/>
        <v>2.1809809066530366</v>
      </c>
      <c r="K43" s="133">
        <f t="shared" si="13"/>
        <v>2.1809809066530366</v>
      </c>
      <c r="L43" s="133">
        <f t="shared" si="13"/>
        <v>2.1809809066530366</v>
      </c>
      <c r="M43" s="146" t="s">
        <v>279</v>
      </c>
      <c r="N43" s="133"/>
      <c r="P43" s="432">
        <f>1-P38</f>
        <v>0.53699126905059824</v>
      </c>
    </row>
    <row r="44" spans="2:21">
      <c r="B44" s="38" t="str">
        <f>Imports_Bio!B10</f>
        <v>IMPBIODST1G_S2</v>
      </c>
      <c r="C44" s="38" t="str">
        <f>Imports_Bio!C10</f>
        <v>Import of Biodiesel 1st generation  - Step 2</v>
      </c>
      <c r="D44" s="40" t="str">
        <f>Commodities!$C$32</f>
        <v>BIODST1G</v>
      </c>
      <c r="E44" s="438">
        <v>0</v>
      </c>
      <c r="F44" s="130">
        <f>F43*2</f>
        <v>4.3619618133060731</v>
      </c>
      <c r="G44" s="130">
        <f t="shared" ref="G44:L45" si="14">G43*2</f>
        <v>4.3619618133060731</v>
      </c>
      <c r="H44" s="130">
        <f t="shared" si="14"/>
        <v>4.3619618133060731</v>
      </c>
      <c r="I44" s="130">
        <f t="shared" si="14"/>
        <v>4.3619618133060731</v>
      </c>
      <c r="J44" s="130">
        <f t="shared" si="14"/>
        <v>4.3619618133060731</v>
      </c>
      <c r="K44" s="130">
        <f t="shared" si="14"/>
        <v>4.3619618133060731</v>
      </c>
      <c r="L44" s="130">
        <f t="shared" si="14"/>
        <v>4.3619618133060731</v>
      </c>
      <c r="M44" s="147" t="s">
        <v>288</v>
      </c>
      <c r="N44" s="130"/>
      <c r="P44" s="47"/>
    </row>
    <row r="45" spans="2:21">
      <c r="B45" s="38" t="str">
        <f>Imports_Bio!B11</f>
        <v>IMPBIODST1G_S3</v>
      </c>
      <c r="C45" s="38" t="str">
        <f>Imports_Bio!C11</f>
        <v>Import of Biodiesel 1st generation  - Step 3</v>
      </c>
      <c r="D45" s="40" t="str">
        <f>Commodities!$C$32</f>
        <v>BIODST1G</v>
      </c>
      <c r="E45" s="438">
        <v>0</v>
      </c>
      <c r="F45" s="130">
        <f>F44*2</f>
        <v>8.7239236266121463</v>
      </c>
      <c r="G45" s="130">
        <f t="shared" si="14"/>
        <v>8.7239236266121463</v>
      </c>
      <c r="H45" s="130">
        <f t="shared" si="14"/>
        <v>8.7239236266121463</v>
      </c>
      <c r="I45" s="130">
        <f t="shared" si="14"/>
        <v>8.7239236266121463</v>
      </c>
      <c r="J45" s="130">
        <f t="shared" si="14"/>
        <v>8.7239236266121463</v>
      </c>
      <c r="K45" s="130">
        <f t="shared" si="14"/>
        <v>8.7239236266121463</v>
      </c>
      <c r="L45" s="130">
        <f t="shared" si="14"/>
        <v>8.7239236266121463</v>
      </c>
      <c r="M45" s="147" t="s">
        <v>289</v>
      </c>
      <c r="N45" s="130"/>
      <c r="P45" s="47"/>
    </row>
    <row r="46" spans="2:21">
      <c r="B46" s="125" t="str">
        <f>"*"&amp;Imports_Bio!B12</f>
        <v>*IMPBIODST1G_S4</v>
      </c>
      <c r="C46" s="125" t="str">
        <f>Imports_Bio!C12</f>
        <v>Import of Biodiesel 1st generation  - Step 4</v>
      </c>
      <c r="D46" s="119" t="str">
        <f>Commodities!$C$32</f>
        <v>BIODST1G</v>
      </c>
      <c r="E46" s="448">
        <v>0</v>
      </c>
      <c r="F46" s="131">
        <f>F47-SUM(F43:F45)</f>
        <v>87.491723547992621</v>
      </c>
      <c r="G46" s="131">
        <f t="shared" ref="G46:L46" si="15">G47-SUM(G43:G45)</f>
        <v>87.491723547992621</v>
      </c>
      <c r="H46" s="131">
        <f t="shared" si="15"/>
        <v>87.491723547992621</v>
      </c>
      <c r="I46" s="131">
        <f t="shared" si="15"/>
        <v>87.491723547992621</v>
      </c>
      <c r="J46" s="131">
        <f t="shared" si="15"/>
        <v>87.491723547992621</v>
      </c>
      <c r="K46" s="131">
        <f t="shared" si="15"/>
        <v>87.491723547992621</v>
      </c>
      <c r="L46" s="131">
        <f t="shared" si="15"/>
        <v>87.491723547992621</v>
      </c>
      <c r="M46" s="148" t="s">
        <v>290</v>
      </c>
      <c r="N46" s="131"/>
      <c r="P46" s="47"/>
    </row>
    <row r="47" spans="2:21" ht="15.75" thickBot="1">
      <c r="B47" s="126" t="s">
        <v>100</v>
      </c>
      <c r="C47" s="126"/>
      <c r="D47" s="128"/>
      <c r="E47" s="134"/>
      <c r="F47" s="134">
        <f>G47</f>
        <v>102.75858989456388</v>
      </c>
      <c r="G47" s="134">
        <f>H47</f>
        <v>102.75858989456388</v>
      </c>
      <c r="H47" s="134">
        <f>2727.05194883825*Conversions!$B$2*0.9</f>
        <v>102.75858989456388</v>
      </c>
      <c r="I47" s="134">
        <f>H47</f>
        <v>102.75858989456388</v>
      </c>
      <c r="J47" s="134">
        <f t="shared" ref="J47:L47" si="16">I47</f>
        <v>102.75858989456388</v>
      </c>
      <c r="K47" s="134">
        <f t="shared" si="16"/>
        <v>102.75858989456388</v>
      </c>
      <c r="L47" s="134">
        <f t="shared" si="16"/>
        <v>102.75858989456388</v>
      </c>
      <c r="M47" s="149" t="s">
        <v>278</v>
      </c>
      <c r="N47" s="134"/>
      <c r="P47" s="47"/>
    </row>
    <row r="48" spans="2:21">
      <c r="B48" s="123" t="str">
        <f>Imports_Bio!B13</f>
        <v>IMPBIOWPE_S1</v>
      </c>
      <c r="C48" s="123" t="str">
        <f>Imports_Bio!C13</f>
        <v>Import of Wood Pellets  - Step 1</v>
      </c>
      <c r="D48" s="39" t="str">
        <f>Commodities!$C$40</f>
        <v>BIOWPE</v>
      </c>
      <c r="E48" s="433">
        <f>SEAI_Bal!AD87*Conversions!$B$2*Imports_Bio!$P$48</f>
        <v>0.80076166977335572</v>
      </c>
      <c r="F48" s="133">
        <f>MAX(E48:E48)</f>
        <v>0.80076166977335572</v>
      </c>
      <c r="G48" s="133">
        <f>F48</f>
        <v>0.80076166977335572</v>
      </c>
      <c r="H48" s="133">
        <f t="shared" ref="H48:L48" si="17">G48</f>
        <v>0.80076166977335572</v>
      </c>
      <c r="I48" s="133">
        <f t="shared" si="17"/>
        <v>0.80076166977335572</v>
      </c>
      <c r="J48" s="133">
        <f t="shared" si="17"/>
        <v>0.80076166977335572</v>
      </c>
      <c r="K48" s="133">
        <f t="shared" si="17"/>
        <v>0.80076166977335572</v>
      </c>
      <c r="L48" s="133">
        <f t="shared" si="17"/>
        <v>0.80076166977335572</v>
      </c>
      <c r="M48" s="146" t="s">
        <v>291</v>
      </c>
      <c r="N48" s="133"/>
      <c r="P48" s="435">
        <v>0.7</v>
      </c>
    </row>
    <row r="49" spans="2:16">
      <c r="B49" s="38" t="str">
        <f>Imports_Bio!B14</f>
        <v>IMPBIOWPE_S2</v>
      </c>
      <c r="C49" s="38" t="str">
        <f>Imports_Bio!C14</f>
        <v>Import of Wood Pellets  - Step 2</v>
      </c>
      <c r="D49" s="39" t="str">
        <f>Commodities!$C$40</f>
        <v>BIOWPE</v>
      </c>
      <c r="E49" s="438">
        <v>0</v>
      </c>
      <c r="F49" s="130">
        <f>F48*2</f>
        <v>1.6015233395467114</v>
      </c>
      <c r="G49" s="130">
        <f t="shared" ref="G49:L50" si="18">G48*2</f>
        <v>1.6015233395467114</v>
      </c>
      <c r="H49" s="130">
        <f t="shared" si="18"/>
        <v>1.6015233395467114</v>
      </c>
      <c r="I49" s="130">
        <f t="shared" si="18"/>
        <v>1.6015233395467114</v>
      </c>
      <c r="J49" s="130">
        <f t="shared" si="18"/>
        <v>1.6015233395467114</v>
      </c>
      <c r="K49" s="130">
        <f t="shared" si="18"/>
        <v>1.6015233395467114</v>
      </c>
      <c r="L49" s="130">
        <f t="shared" si="18"/>
        <v>1.6015233395467114</v>
      </c>
      <c r="M49" s="147" t="s">
        <v>288</v>
      </c>
      <c r="N49" s="130"/>
      <c r="P49" s="47"/>
    </row>
    <row r="50" spans="2:16">
      <c r="B50" s="38" t="str">
        <f>Imports_Bio!B15</f>
        <v>IMPBIOWPE_S3</v>
      </c>
      <c r="C50" s="38" t="str">
        <f>Imports_Bio!C15</f>
        <v>Import of Wood Pellets  - Step 3</v>
      </c>
      <c r="D50" s="39" t="str">
        <f>Commodities!$C$40</f>
        <v>BIOWPE</v>
      </c>
      <c r="E50" s="438">
        <v>0</v>
      </c>
      <c r="F50" s="130">
        <f>F49*2</f>
        <v>3.2030466790934229</v>
      </c>
      <c r="G50" s="130">
        <f t="shared" si="18"/>
        <v>3.2030466790934229</v>
      </c>
      <c r="H50" s="130">
        <f t="shared" si="18"/>
        <v>3.2030466790934229</v>
      </c>
      <c r="I50" s="130">
        <f t="shared" si="18"/>
        <v>3.2030466790934229</v>
      </c>
      <c r="J50" s="130">
        <f t="shared" si="18"/>
        <v>3.2030466790934229</v>
      </c>
      <c r="K50" s="130">
        <f t="shared" si="18"/>
        <v>3.2030466790934229</v>
      </c>
      <c r="L50" s="130">
        <f t="shared" si="18"/>
        <v>3.2030466790934229</v>
      </c>
      <c r="M50" s="147" t="s">
        <v>289</v>
      </c>
      <c r="N50" s="130"/>
      <c r="P50" s="47"/>
    </row>
    <row r="51" spans="2:16">
      <c r="B51" s="125" t="str">
        <f>"*"&amp;Imports_Bio!B16</f>
        <v>*IMPBIOWPE_S4</v>
      </c>
      <c r="C51" s="125" t="str">
        <f>Imports_Bio!C16</f>
        <v>Import of Wood Pellets  - Step 4</v>
      </c>
      <c r="D51" s="119" t="str">
        <f>Commodities!$C$40</f>
        <v>BIOWPE</v>
      </c>
      <c r="E51" s="448">
        <v>0</v>
      </c>
      <c r="F51" s="131">
        <f>F52-SUM(F48:F50)</f>
        <v>104.54112831558652</v>
      </c>
      <c r="G51" s="131">
        <f t="shared" ref="G51:L51" si="19">G52-SUM(G48:G50)</f>
        <v>104.54112831558652</v>
      </c>
      <c r="H51" s="131">
        <f t="shared" si="19"/>
        <v>104.54112831558652</v>
      </c>
      <c r="I51" s="131">
        <f t="shared" si="19"/>
        <v>104.54112831558652</v>
      </c>
      <c r="J51" s="131">
        <f t="shared" si="19"/>
        <v>104.54112831558652</v>
      </c>
      <c r="K51" s="131">
        <f t="shared" si="19"/>
        <v>104.54112831558652</v>
      </c>
      <c r="L51" s="131">
        <f t="shared" si="19"/>
        <v>104.54112831558652</v>
      </c>
      <c r="M51" s="148" t="s">
        <v>290</v>
      </c>
      <c r="N51" s="131"/>
      <c r="P51" s="47"/>
    </row>
    <row r="52" spans="2:16" ht="15.75" thickBot="1">
      <c r="B52" s="126" t="s">
        <v>100</v>
      </c>
      <c r="C52" s="126"/>
      <c r="D52" s="127"/>
      <c r="E52" s="134"/>
      <c r="F52" s="134">
        <f>G52</f>
        <v>110.14646000400001</v>
      </c>
      <c r="G52" s="134">
        <f>H52</f>
        <v>110.14646000400001</v>
      </c>
      <c r="H52" s="134">
        <f>'SEAI-AEA_BioData'!G52*Conversions!$B$2/1000</f>
        <v>110.14646000400001</v>
      </c>
      <c r="I52" s="134">
        <f>H52</f>
        <v>110.14646000400001</v>
      </c>
      <c r="J52" s="134">
        <f t="shared" ref="J52:L52" si="20">I52</f>
        <v>110.14646000400001</v>
      </c>
      <c r="K52" s="134">
        <f t="shared" si="20"/>
        <v>110.14646000400001</v>
      </c>
      <c r="L52" s="134">
        <f t="shared" si="20"/>
        <v>110.14646000400001</v>
      </c>
      <c r="M52" s="149" t="s">
        <v>103</v>
      </c>
      <c r="N52" s="134"/>
      <c r="P52" s="47"/>
    </row>
    <row r="53" spans="2:16">
      <c r="B53" s="123" t="str">
        <f>Imports_Bio!B17</f>
        <v>IMPBIOWCH_S1</v>
      </c>
      <c r="C53" s="123" t="str">
        <f>Imports_Bio!C17</f>
        <v>Import of Wood Chip  - Step 1</v>
      </c>
      <c r="D53" s="124" t="str">
        <f>Commodities!$C$41</f>
        <v>BIOWCH</v>
      </c>
      <c r="E53" s="433">
        <f>SEAI_Bal!AD87*Conversions!$B$2*Imports_Bio!$P$53</f>
        <v>0.34318357276000966</v>
      </c>
      <c r="F53" s="133">
        <f>MAX(E53:E53)</f>
        <v>0.34318357276000966</v>
      </c>
      <c r="G53" s="133">
        <f>F53</f>
        <v>0.34318357276000966</v>
      </c>
      <c r="H53" s="133">
        <f t="shared" ref="H53:L53" si="21">G53</f>
        <v>0.34318357276000966</v>
      </c>
      <c r="I53" s="133">
        <f t="shared" si="21"/>
        <v>0.34318357276000966</v>
      </c>
      <c r="J53" s="133">
        <f t="shared" si="21"/>
        <v>0.34318357276000966</v>
      </c>
      <c r="K53" s="133">
        <f t="shared" si="21"/>
        <v>0.34318357276000966</v>
      </c>
      <c r="L53" s="133">
        <f t="shared" si="21"/>
        <v>0.34318357276000966</v>
      </c>
      <c r="M53" s="146" t="s">
        <v>291</v>
      </c>
      <c r="N53" s="133"/>
      <c r="P53" s="432">
        <f>1-P48</f>
        <v>0.30000000000000004</v>
      </c>
    </row>
    <row r="54" spans="2:16">
      <c r="B54" s="38" t="str">
        <f>Imports_Bio!B18</f>
        <v>IMPBIOWCH_S2</v>
      </c>
      <c r="C54" s="38" t="str">
        <f>Imports_Bio!C18</f>
        <v>Import of Wood Chip  - Step 2</v>
      </c>
      <c r="D54" s="40" t="str">
        <f>Commodities!$C$41</f>
        <v>BIOWCH</v>
      </c>
      <c r="E54" s="438">
        <v>0</v>
      </c>
      <c r="F54" s="130">
        <f>F53*2</f>
        <v>0.68636714552001932</v>
      </c>
      <c r="G54" s="130">
        <f t="shared" ref="G54:L55" si="22">G53*2</f>
        <v>0.68636714552001932</v>
      </c>
      <c r="H54" s="130">
        <f t="shared" si="22"/>
        <v>0.68636714552001932</v>
      </c>
      <c r="I54" s="130">
        <f t="shared" si="22"/>
        <v>0.68636714552001932</v>
      </c>
      <c r="J54" s="130">
        <f t="shared" si="22"/>
        <v>0.68636714552001932</v>
      </c>
      <c r="K54" s="130">
        <f t="shared" si="22"/>
        <v>0.68636714552001932</v>
      </c>
      <c r="L54" s="130">
        <f t="shared" si="22"/>
        <v>0.68636714552001932</v>
      </c>
      <c r="M54" s="147" t="s">
        <v>288</v>
      </c>
      <c r="N54" s="130"/>
      <c r="P54" s="47"/>
    </row>
    <row r="55" spans="2:16">
      <c r="B55" s="38" t="str">
        <f>Imports_Bio!B19</f>
        <v>IMPBIOWCH_S3</v>
      </c>
      <c r="C55" s="38" t="str">
        <f>Imports_Bio!C19</f>
        <v>Import of Wood Chip  - Step 3</v>
      </c>
      <c r="D55" s="40" t="str">
        <f>Commodities!$C$41</f>
        <v>BIOWCH</v>
      </c>
      <c r="E55" s="438">
        <v>0</v>
      </c>
      <c r="F55" s="130">
        <f>F54*2</f>
        <v>1.3727342910400386</v>
      </c>
      <c r="G55" s="130">
        <f t="shared" si="22"/>
        <v>1.3727342910400386</v>
      </c>
      <c r="H55" s="130">
        <f t="shared" si="22"/>
        <v>1.3727342910400386</v>
      </c>
      <c r="I55" s="130">
        <f t="shared" si="22"/>
        <v>1.3727342910400386</v>
      </c>
      <c r="J55" s="130">
        <f t="shared" si="22"/>
        <v>1.3727342910400386</v>
      </c>
      <c r="K55" s="130">
        <f t="shared" si="22"/>
        <v>1.3727342910400386</v>
      </c>
      <c r="L55" s="130">
        <f t="shared" si="22"/>
        <v>1.3727342910400386</v>
      </c>
      <c r="M55" s="147" t="s">
        <v>289</v>
      </c>
      <c r="N55" s="130"/>
      <c r="P55" s="47"/>
    </row>
    <row r="56" spans="2:16">
      <c r="B56" s="125" t="str">
        <f>"*"&amp;Imports_Bio!B20</f>
        <v>*IMPBIOWCH_S4</v>
      </c>
      <c r="C56" s="125" t="str">
        <f>Imports_Bio!C20</f>
        <v>Import of Wood Chip  - Step 4</v>
      </c>
      <c r="D56" s="119" t="str">
        <f>Commodities!$C$41</f>
        <v>BIOWCH</v>
      </c>
      <c r="E56" s="448">
        <v>0</v>
      </c>
      <c r="F56" s="131">
        <f>F57-SUM(F53:F55)</f>
        <v>34.313187702679933</v>
      </c>
      <c r="G56" s="131">
        <f t="shared" ref="G56:L56" si="23">G57-SUM(G53:G55)</f>
        <v>34.313187702679933</v>
      </c>
      <c r="H56" s="131">
        <f t="shared" si="23"/>
        <v>34.313187702679933</v>
      </c>
      <c r="I56" s="131">
        <f t="shared" si="23"/>
        <v>34.313187702679933</v>
      </c>
      <c r="J56" s="131">
        <f t="shared" si="23"/>
        <v>34.313187702679933</v>
      </c>
      <c r="K56" s="131">
        <f t="shared" si="23"/>
        <v>34.313187702679933</v>
      </c>
      <c r="L56" s="131">
        <f t="shared" si="23"/>
        <v>34.313187702679933</v>
      </c>
      <c r="M56" s="148" t="s">
        <v>290</v>
      </c>
      <c r="N56" s="131"/>
      <c r="P56" s="47"/>
    </row>
    <row r="57" spans="2:16" ht="15.75" thickBot="1">
      <c r="B57" s="128" t="s">
        <v>100</v>
      </c>
      <c r="C57" s="128"/>
      <c r="D57" s="129"/>
      <c r="E57" s="135"/>
      <c r="F57" s="135">
        <f>G57</f>
        <v>36.715472712</v>
      </c>
      <c r="G57" s="135">
        <f>H57</f>
        <v>36.715472712</v>
      </c>
      <c r="H57" s="135">
        <f>'SEAI-AEA_BioData'!G50*Conversions!$B$2/1000</f>
        <v>36.715472712</v>
      </c>
      <c r="I57" s="135">
        <f>H57</f>
        <v>36.715472712</v>
      </c>
      <c r="J57" s="135">
        <f>I57</f>
        <v>36.715472712</v>
      </c>
      <c r="K57" s="135">
        <f>J57</f>
        <v>36.715472712</v>
      </c>
      <c r="L57" s="135">
        <f>K57</f>
        <v>36.715472712</v>
      </c>
      <c r="M57" s="150" t="s">
        <v>103</v>
      </c>
      <c r="N57" s="135"/>
      <c r="P57" s="47"/>
    </row>
    <row r="60" spans="2:16">
      <c r="B60" s="461" t="s">
        <v>133</v>
      </c>
      <c r="C60" s="462">
        <v>4.1868000000000002E-2</v>
      </c>
    </row>
  </sheetData>
  <mergeCells count="1">
    <mergeCell ref="J25:J3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7"/>
  <dimension ref="B2:N23"/>
  <sheetViews>
    <sheetView zoomScaleNormal="100" workbookViewId="0">
      <selection activeCell="H25" sqref="H25"/>
    </sheetView>
  </sheetViews>
  <sheetFormatPr defaultColWidth="9.140625" defaultRowHeight="15"/>
  <cols>
    <col min="1" max="1" width="9.140625" style="201"/>
    <col min="2" max="2" width="16.42578125" style="201" customWidth="1"/>
    <col min="3" max="3" width="32" style="201" bestFit="1" customWidth="1"/>
    <col min="4" max="4" width="10.85546875" style="201" bestFit="1" customWidth="1"/>
    <col min="5" max="10" width="11" style="201" customWidth="1"/>
    <col min="11" max="11" width="11" style="458" customWidth="1"/>
    <col min="12" max="12" width="11" style="201" customWidth="1"/>
    <col min="13" max="15" width="9.140625" style="201"/>
    <col min="16" max="16" width="12.7109375" style="201" bestFit="1" customWidth="1"/>
    <col min="17" max="17" width="29.85546875" style="201" bestFit="1" customWidth="1"/>
    <col min="18" max="16384" width="9.140625" style="201"/>
  </cols>
  <sheetData>
    <row r="2" spans="2:14" ht="18.75">
      <c r="B2" s="16" t="s">
        <v>52</v>
      </c>
      <c r="C2" s="17"/>
      <c r="D2" s="18" t="s">
        <v>39</v>
      </c>
      <c r="F2" s="19"/>
      <c r="G2" s="19"/>
      <c r="H2" s="19"/>
      <c r="I2" s="19"/>
      <c r="J2" s="19"/>
      <c r="K2" s="19"/>
      <c r="L2" s="19"/>
      <c r="M2" s="19"/>
      <c r="N2" s="20"/>
    </row>
    <row r="3" spans="2:14" ht="25.5">
      <c r="B3" s="21" t="s">
        <v>2</v>
      </c>
      <c r="C3" s="21" t="s">
        <v>3</v>
      </c>
      <c r="D3" s="22" t="s">
        <v>40</v>
      </c>
      <c r="E3" s="23" t="s">
        <v>53</v>
      </c>
      <c r="F3" s="24" t="s">
        <v>352</v>
      </c>
      <c r="G3" s="24" t="s">
        <v>47</v>
      </c>
      <c r="H3" s="24" t="s">
        <v>294</v>
      </c>
      <c r="I3" s="24" t="s">
        <v>263</v>
      </c>
      <c r="J3" s="24" t="s">
        <v>264</v>
      </c>
      <c r="K3" s="20"/>
    </row>
    <row r="4" spans="2:14" ht="15.75" thickBot="1">
      <c r="B4" s="13" t="s">
        <v>48</v>
      </c>
      <c r="C4" s="13" t="s">
        <v>49</v>
      </c>
      <c r="D4" s="10"/>
      <c r="E4" s="10" t="s">
        <v>10</v>
      </c>
      <c r="F4" s="10" t="s">
        <v>56</v>
      </c>
      <c r="G4" s="10" t="s">
        <v>56</v>
      </c>
      <c r="H4" s="10"/>
      <c r="I4" s="10" t="s">
        <v>10</v>
      </c>
      <c r="J4" s="10"/>
      <c r="K4" s="25"/>
    </row>
    <row r="5" spans="2:14">
      <c r="B5" s="19" t="str">
        <f>Processes!C40</f>
        <v>MINGASNAT_S1</v>
      </c>
      <c r="C5" s="19" t="str">
        <f>Processes!D40</f>
        <v>Domestic Potential of Natural Gas  - Step 1</v>
      </c>
      <c r="D5" s="29" t="str">
        <f>Commodities!$C$21</f>
        <v>GASNAT</v>
      </c>
      <c r="E5" s="137">
        <v>742.12800479999999</v>
      </c>
      <c r="F5" s="138">
        <v>0.90792311671470816</v>
      </c>
      <c r="G5" s="138">
        <v>1.192910095016825</v>
      </c>
      <c r="H5" s="407">
        <f>SEAI_Bal!Z86*0.041868</f>
        <v>4.4989596434830821</v>
      </c>
      <c r="I5" s="138">
        <f>MAX(H5:H5)*3</f>
        <v>13.496878930449245</v>
      </c>
      <c r="J5" s="137">
        <v>5</v>
      </c>
      <c r="K5" s="19"/>
    </row>
    <row r="6" spans="2:14">
      <c r="B6" s="19" t="str">
        <f>Processes!C41</f>
        <v>MINGASNAT_S2</v>
      </c>
      <c r="C6" s="19" t="str">
        <f>Processes!D41</f>
        <v>Domestic Potential of Natural Gas  - Step 2</v>
      </c>
      <c r="D6" s="220" t="str">
        <f>Commodities!$C$21</f>
        <v>GASNAT</v>
      </c>
      <c r="E6" s="137">
        <v>88.744650140343495</v>
      </c>
      <c r="F6" s="138">
        <v>1.8</v>
      </c>
      <c r="G6" s="138">
        <v>1.9434992461159508</v>
      </c>
      <c r="H6" s="137">
        <v>0</v>
      </c>
      <c r="I6" s="137"/>
      <c r="J6" s="137"/>
      <c r="K6" s="19"/>
    </row>
    <row r="7" spans="2:14">
      <c r="B7" s="19" t="str">
        <f>Processes!C42</f>
        <v>MINPEAT_S1</v>
      </c>
      <c r="C7" s="19" t="str">
        <f>Processes!D42</f>
        <v>Domestic Potential of Peat  - Step 1</v>
      </c>
      <c r="D7" s="29" t="str">
        <f>Commodities!$C$10</f>
        <v>PEAT</v>
      </c>
      <c r="E7" s="137">
        <v>1960</v>
      </c>
      <c r="F7" s="138">
        <v>0.99399999999999999</v>
      </c>
      <c r="G7" s="138">
        <v>1.2</v>
      </c>
      <c r="H7" s="407">
        <f>SEAI_Bal!H86*0.041868</f>
        <v>31.891175300184852</v>
      </c>
      <c r="I7" s="138">
        <f>MAX(H7:H7)</f>
        <v>31.891175300184852</v>
      </c>
      <c r="J7" s="137">
        <v>5</v>
      </c>
      <c r="K7" s="19"/>
    </row>
    <row r="8" spans="2:14">
      <c r="B8" s="140" t="str">
        <f>Processes!C43</f>
        <v>MINPEAT_S2</v>
      </c>
      <c r="C8" s="140" t="str">
        <f>Processes!D43</f>
        <v>Domestic Potential of Peat  - Step 2</v>
      </c>
      <c r="D8" s="220" t="str">
        <f>Commodities!$C$10</f>
        <v>PEAT</v>
      </c>
      <c r="E8" s="142">
        <v>2400</v>
      </c>
      <c r="F8" s="142">
        <v>0.99399999999999999</v>
      </c>
      <c r="G8" s="142">
        <v>1.2</v>
      </c>
      <c r="H8" s="142">
        <v>0</v>
      </c>
      <c r="I8" s="142"/>
      <c r="J8" s="142"/>
      <c r="K8" s="32"/>
    </row>
    <row r="9" spans="2:14">
      <c r="B9" s="57" t="s">
        <v>71</v>
      </c>
      <c r="C9" s="57"/>
      <c r="D9" s="57"/>
      <c r="E9" s="694" t="s">
        <v>298</v>
      </c>
      <c r="F9" s="694"/>
      <c r="G9" s="694"/>
      <c r="H9" s="699" t="s">
        <v>297</v>
      </c>
      <c r="I9" s="232" t="s">
        <v>296</v>
      </c>
      <c r="J9" s="57"/>
      <c r="K9" s="19"/>
    </row>
    <row r="10" spans="2:14">
      <c r="B10" s="19"/>
      <c r="C10" s="19"/>
      <c r="D10" s="19"/>
      <c r="F10" s="408"/>
      <c r="G10" s="19"/>
      <c r="H10" s="19"/>
      <c r="I10" s="19"/>
      <c r="J10" s="19"/>
      <c r="K10" s="19"/>
      <c r="L10" s="19"/>
      <c r="M10" s="19"/>
      <c r="N10" s="19"/>
    </row>
    <row r="11" spans="2:14">
      <c r="B11" s="25"/>
      <c r="C11" s="25"/>
      <c r="D11" s="33"/>
      <c r="E11" s="19"/>
      <c r="G11" s="19"/>
      <c r="H11" s="19"/>
      <c r="I11" s="19"/>
      <c r="J11" s="19"/>
      <c r="K11" s="19"/>
      <c r="L11" s="19"/>
      <c r="M11" s="19"/>
      <c r="N11" s="19"/>
    </row>
    <row r="12" spans="2:14">
      <c r="B12" s="19"/>
      <c r="C12" s="19"/>
      <c r="D12" s="34"/>
      <c r="E12" s="19"/>
      <c r="F12" s="19"/>
      <c r="G12" s="19"/>
      <c r="H12" s="19"/>
      <c r="I12" s="19"/>
      <c r="J12" s="19"/>
      <c r="K12" s="19"/>
      <c r="L12" s="19"/>
      <c r="M12" s="19"/>
      <c r="N12" s="19"/>
    </row>
    <row r="13" spans="2:14" ht="18.75">
      <c r="B13" s="16" t="s">
        <v>57</v>
      </c>
      <c r="C13" s="17"/>
      <c r="D13" s="18" t="s">
        <v>60</v>
      </c>
      <c r="E13" s="19"/>
      <c r="F13" s="19"/>
      <c r="G13" s="19"/>
      <c r="H13" s="19"/>
      <c r="I13" s="19"/>
      <c r="J13" s="19"/>
      <c r="K13" s="19"/>
      <c r="L13" s="19"/>
      <c r="M13" s="35"/>
      <c r="N13" s="19"/>
    </row>
    <row r="14" spans="2:14" ht="25.5">
      <c r="B14" s="21" t="s">
        <v>2</v>
      </c>
      <c r="C14" s="21" t="s">
        <v>3</v>
      </c>
      <c r="D14" s="22" t="s">
        <v>40</v>
      </c>
      <c r="E14" s="23" t="s">
        <v>41</v>
      </c>
      <c r="F14" s="24" t="s">
        <v>54</v>
      </c>
      <c r="G14" s="24" t="s">
        <v>55</v>
      </c>
      <c r="H14" s="19"/>
      <c r="I14" s="19"/>
      <c r="J14" s="19"/>
      <c r="K14" s="19"/>
      <c r="L14" s="19"/>
      <c r="M14" s="35"/>
      <c r="N14" s="203"/>
    </row>
    <row r="15" spans="2:14" ht="15.75" thickBot="1">
      <c r="B15" s="10" t="s">
        <v>48</v>
      </c>
      <c r="C15" s="10" t="s">
        <v>49</v>
      </c>
      <c r="D15" s="10"/>
      <c r="E15" s="10" t="s">
        <v>56</v>
      </c>
      <c r="F15" s="10" t="s">
        <v>10</v>
      </c>
      <c r="G15" s="10" t="s">
        <v>10</v>
      </c>
      <c r="H15" s="19"/>
      <c r="I15" s="19"/>
      <c r="J15" s="19"/>
      <c r="K15" s="19"/>
      <c r="L15" s="19"/>
      <c r="M15" s="35"/>
      <c r="N15" s="204"/>
    </row>
    <row r="16" spans="2:14">
      <c r="B16" s="19" t="str">
        <f>Processes!C44</f>
        <v>MINRENHYD</v>
      </c>
      <c r="C16" s="19" t="str">
        <f>Processes!D44</f>
        <v xml:space="preserve">Domestic Potential of Hydro </v>
      </c>
      <c r="D16" s="29" t="str">
        <f>Commodities!C24</f>
        <v>RENHYD</v>
      </c>
      <c r="E16" s="36"/>
      <c r="F16" s="30"/>
      <c r="G16" s="30"/>
      <c r="H16" s="30"/>
      <c r="I16" s="30"/>
      <c r="L16" s="30"/>
      <c r="M16" s="35"/>
      <c r="N16" s="205"/>
    </row>
    <row r="17" spans="2:14">
      <c r="B17" s="19" t="str">
        <f>Processes!C45</f>
        <v>MINRENWIN</v>
      </c>
      <c r="C17" s="19" t="str">
        <f>Processes!D45</f>
        <v xml:space="preserve">Domestic Potential of Wind </v>
      </c>
      <c r="D17" s="29" t="str">
        <f>Commodities!C25</f>
        <v>RENWIN</v>
      </c>
      <c r="E17" s="36"/>
      <c r="F17" s="30"/>
      <c r="G17" s="30"/>
      <c r="H17" s="30"/>
      <c r="I17" s="30"/>
      <c r="L17" s="30"/>
      <c r="M17" s="207"/>
      <c r="N17" s="206"/>
    </row>
    <row r="18" spans="2:14">
      <c r="B18" s="19" t="str">
        <f>Processes!C46</f>
        <v>MINRENSOL</v>
      </c>
      <c r="C18" s="19" t="str">
        <f>Processes!D46</f>
        <v xml:space="preserve">Domestic Potential of Solar </v>
      </c>
      <c r="D18" s="29" t="str">
        <f>Commodities!C26</f>
        <v>RENSOL</v>
      </c>
      <c r="E18" s="36"/>
      <c r="F18" s="30"/>
      <c r="G18" s="30"/>
      <c r="H18" s="31"/>
      <c r="I18" s="31"/>
      <c r="L18" s="31"/>
      <c r="M18" s="207"/>
      <c r="N18" s="207"/>
    </row>
    <row r="19" spans="2:14">
      <c r="B19" s="19" t="str">
        <f>Processes!C47</f>
        <v>MINMSWAS</v>
      </c>
      <c r="C19" s="19" t="str">
        <f>Processes!D47</f>
        <v xml:space="preserve">Domestic Potential of Municipal Solid Waste </v>
      </c>
      <c r="D19" s="29" t="str">
        <f>Commodities!C27</f>
        <v>MSWAS</v>
      </c>
      <c r="E19" s="19"/>
      <c r="F19" s="19"/>
      <c r="G19" s="19"/>
      <c r="H19" s="19"/>
      <c r="I19" s="19"/>
      <c r="L19" s="19"/>
      <c r="M19" s="207"/>
      <c r="N19" s="207"/>
    </row>
    <row r="20" spans="2:14">
      <c r="B20" s="19" t="str">
        <f>Processes!C48</f>
        <v>MINRENOCE</v>
      </c>
      <c r="C20" s="19" t="str">
        <f>Processes!D48</f>
        <v xml:space="preserve">Domestic Potential of Ocean </v>
      </c>
      <c r="D20" s="29" t="str">
        <f>Commodities!C28</f>
        <v>RENOCE</v>
      </c>
      <c r="E20" s="19"/>
      <c r="F20" s="19"/>
      <c r="G20" s="19"/>
      <c r="H20" s="19"/>
      <c r="I20" s="19"/>
      <c r="L20" s="19"/>
      <c r="M20" s="207"/>
      <c r="N20" s="207"/>
    </row>
    <row r="21" spans="2:14">
      <c r="B21" s="140" t="str">
        <f>Processes!C49</f>
        <v>MINRENGEO</v>
      </c>
      <c r="C21" s="140" t="str">
        <f>Processes!D49</f>
        <v xml:space="preserve">Domestic Potential of Geothermal </v>
      </c>
      <c r="D21" s="141" t="str">
        <f>Commodities!C29</f>
        <v>RENGEO</v>
      </c>
      <c r="E21" s="140"/>
      <c r="F21" s="140"/>
      <c r="G21" s="140"/>
      <c r="H21" s="19"/>
      <c r="I21" s="19"/>
      <c r="L21" s="19"/>
      <c r="M21" s="207"/>
      <c r="N21" s="207"/>
    </row>
    <row r="22" spans="2:14"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37"/>
      <c r="M22" s="207"/>
      <c r="N22" s="207"/>
    </row>
    <row r="23" spans="2:14">
      <c r="N23" s="207"/>
    </row>
  </sheetData>
  <mergeCells count="1">
    <mergeCell ref="E9:G9"/>
  </mergeCells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8"/>
  <dimension ref="B2:Q42"/>
  <sheetViews>
    <sheetView workbookViewId="0">
      <selection activeCell="I25" sqref="I25"/>
    </sheetView>
  </sheetViews>
  <sheetFormatPr defaultColWidth="9.140625" defaultRowHeight="12.75"/>
  <cols>
    <col min="1" max="1" width="9.140625" style="39"/>
    <col min="2" max="2" width="17.42578125" style="39" customWidth="1"/>
    <col min="3" max="3" width="40.7109375" style="39" bestFit="1" customWidth="1"/>
    <col min="4" max="4" width="15.85546875" style="39" bestFit="1" customWidth="1"/>
    <col min="5" max="5" width="11.140625" style="39" customWidth="1"/>
    <col min="6" max="8" width="9.140625" style="39"/>
    <col min="9" max="9" width="14.140625" style="39" bestFit="1" customWidth="1"/>
    <col min="10" max="10" width="39.5703125" style="39" bestFit="1" customWidth="1"/>
    <col min="11" max="16384" width="9.140625" style="39"/>
  </cols>
  <sheetData>
    <row r="2" spans="2:17" ht="18.75">
      <c r="B2" s="4" t="s">
        <v>167</v>
      </c>
      <c r="C2" s="4"/>
      <c r="D2" s="18" t="s">
        <v>60</v>
      </c>
      <c r="E2" s="197"/>
      <c r="F2" s="197"/>
    </row>
    <row r="3" spans="2:17">
      <c r="B3" s="22" t="s">
        <v>2</v>
      </c>
      <c r="C3" s="22" t="s">
        <v>3</v>
      </c>
      <c r="D3" s="22" t="s">
        <v>40</v>
      </c>
      <c r="E3" s="43" t="s">
        <v>352</v>
      </c>
      <c r="F3" s="183" t="s">
        <v>71</v>
      </c>
    </row>
    <row r="4" spans="2:17" ht="13.5" thickBot="1">
      <c r="B4" s="10" t="s">
        <v>61</v>
      </c>
      <c r="C4" s="13" t="s">
        <v>49</v>
      </c>
      <c r="D4" s="13" t="s">
        <v>50</v>
      </c>
      <c r="E4" s="10" t="s">
        <v>51</v>
      </c>
      <c r="F4" s="10"/>
    </row>
    <row r="5" spans="2:17" ht="15">
      <c r="B5" s="38" t="str">
        <f>Processes!C50</f>
        <v>MINBIOWOO1_S1</v>
      </c>
      <c r="C5" s="39" t="str">
        <f>Processes!D50</f>
        <v>Domestic Potential of Sawmill residues - Step 1</v>
      </c>
      <c r="D5" s="39" t="str">
        <f>Commodities!$C$37</f>
        <v>BIOWOO1</v>
      </c>
      <c r="E5" s="185">
        <v>10</v>
      </c>
      <c r="F5" s="695" t="s">
        <v>178</v>
      </c>
      <c r="Q5" s="460"/>
    </row>
    <row r="6" spans="2:17" ht="15">
      <c r="B6" s="38" t="str">
        <f>Processes!C53</f>
        <v>MINBIOWOO2_S1</v>
      </c>
      <c r="C6" s="39" t="str">
        <f>Processes!D53</f>
        <v>Domestic Potential of Post-Consumer Recycled Wood - Step 1</v>
      </c>
      <c r="D6" s="39" t="str">
        <f>Commodities!$C$38</f>
        <v>BIOWOO2</v>
      </c>
      <c r="E6" s="185">
        <v>10</v>
      </c>
      <c r="F6" s="696"/>
      <c r="Q6" s="460"/>
    </row>
    <row r="7" spans="2:17" ht="15">
      <c r="B7" s="38" t="str">
        <f>Processes!C59</f>
        <v>MINBIOMSW1_S1</v>
      </c>
      <c r="C7" s="39" t="str">
        <f>Processes!D59</f>
        <v>Domestic Potential of Biodegradable Municipal Solid Waste potential - Solid  - Step 1</v>
      </c>
      <c r="D7" s="39" t="str">
        <f>Commodities!$C$42</f>
        <v>BIOMSW1</v>
      </c>
      <c r="E7" s="185">
        <v>10</v>
      </c>
      <c r="F7" s="696"/>
      <c r="Q7" s="460"/>
    </row>
    <row r="8" spans="2:17" ht="15">
      <c r="B8" s="38" t="str">
        <f>Processes!C65</f>
        <v>MINBIOTLW_S1</v>
      </c>
      <c r="C8" s="39" t="str">
        <f>Processes!D65</f>
        <v>Domestic Potential of Tallow  - Step 1</v>
      </c>
      <c r="D8" s="39" t="str">
        <f>Commodities!$C$44</f>
        <v>BIOTLW</v>
      </c>
      <c r="E8" s="185">
        <v>10</v>
      </c>
      <c r="F8" s="696"/>
      <c r="Q8" s="460"/>
    </row>
    <row r="9" spans="2:17" ht="15">
      <c r="B9" s="38" t="str">
        <f>Processes!C68</f>
        <v>MINBIORVO_S1</v>
      </c>
      <c r="C9" s="39" t="str">
        <f>Processes!D68</f>
        <v>Domestic Potential of Recovered Vegetable Oil  - Step 1</v>
      </c>
      <c r="D9" s="39" t="str">
        <f>Commodities!$C$45</f>
        <v>BIORVO</v>
      </c>
      <c r="E9" s="185">
        <v>10</v>
      </c>
      <c r="F9" s="696"/>
      <c r="Q9" s="460"/>
    </row>
    <row r="10" spans="2:17" ht="15">
      <c r="B10" s="38" t="str">
        <f>Processes!C56</f>
        <v>MINBIOWOO3_S1</v>
      </c>
      <c r="C10" s="39" t="str">
        <f>Processes!D56</f>
        <v>Domestic Potential of Straw - Step 1</v>
      </c>
      <c r="D10" s="39" t="str">
        <f>Commodities!$C$39</f>
        <v>BIOWOO3</v>
      </c>
      <c r="E10" s="185">
        <v>10</v>
      </c>
      <c r="F10" s="696"/>
      <c r="Q10" s="460"/>
    </row>
    <row r="11" spans="2:17" ht="15">
      <c r="B11" s="38" t="str">
        <f>Processes!C71</f>
        <v>MINBIOCATW_S1</v>
      </c>
      <c r="C11" s="39" t="str">
        <f>Processes!D71</f>
        <v>Domestic Potential of Cattle Waste  - Step 1</v>
      </c>
      <c r="D11" s="39" t="str">
        <f>Commodities!$C$46</f>
        <v>BIOCATW</v>
      </c>
      <c r="E11" s="185">
        <v>10</v>
      </c>
      <c r="F11" s="696"/>
      <c r="Q11" s="460"/>
    </row>
    <row r="12" spans="2:17" ht="15">
      <c r="B12" s="38" t="str">
        <f>Processes!C74</f>
        <v>MINBIOPIGW_S1</v>
      </c>
      <c r="C12" s="39" t="str">
        <f>Processes!D74</f>
        <v>Domestic Potential of Pig Waste  - Step 1</v>
      </c>
      <c r="D12" s="39" t="str">
        <f>Commodities!$C$47</f>
        <v>BIOPIGW</v>
      </c>
      <c r="E12" s="185">
        <v>10</v>
      </c>
      <c r="F12" s="696"/>
      <c r="Q12" s="460"/>
    </row>
    <row r="13" spans="2:17" ht="15">
      <c r="B13" s="38" t="str">
        <f>Processes!C62</f>
        <v>MINBIOMSW2_S1</v>
      </c>
      <c r="C13" s="39" t="str">
        <f>Processes!D62</f>
        <v>Domestic Potential of Biodegradable Municipal Solid Waste  - Step 1</v>
      </c>
      <c r="D13" s="39" t="str">
        <f>Commodities!$C$43</f>
        <v>BIOMSW2</v>
      </c>
      <c r="E13" s="185">
        <v>10</v>
      </c>
      <c r="F13" s="696"/>
      <c r="Q13" s="460"/>
    </row>
    <row r="14" spans="2:17" ht="15">
      <c r="B14" s="125" t="str">
        <f>Processes!C77</f>
        <v>MINBIOINDF_S1</v>
      </c>
      <c r="C14" s="119" t="str">
        <f>Processes!D77</f>
        <v>Domestic Potential of Industrial Food Waste  - Step 1</v>
      </c>
      <c r="D14" s="119" t="str">
        <f>Commodities!$C$48</f>
        <v>BIOINDF</v>
      </c>
      <c r="E14" s="131">
        <v>10</v>
      </c>
      <c r="F14" s="696"/>
      <c r="Q14" s="460"/>
    </row>
    <row r="15" spans="2:17" ht="15">
      <c r="B15" s="38" t="str">
        <f>Processes!C51</f>
        <v>MINBIOWOO1_S2</v>
      </c>
      <c r="C15" s="39" t="str">
        <f>Processes!D51</f>
        <v>Domestic Potential of Sawmill residues - Step 2</v>
      </c>
      <c r="D15" s="39" t="str">
        <f>Commodities!$C$37</f>
        <v>BIOWOO1</v>
      </c>
      <c r="E15" s="185">
        <v>10</v>
      </c>
      <c r="F15" s="696"/>
      <c r="Q15" s="460"/>
    </row>
    <row r="16" spans="2:17" ht="15">
      <c r="B16" s="38" t="str">
        <f>Processes!C54</f>
        <v>MINBIOWOO2_S2</v>
      </c>
      <c r="C16" s="39" t="str">
        <f>Processes!D54</f>
        <v>Domestic Potential of Post-Consumer Recycled Wood - Step 2</v>
      </c>
      <c r="D16" s="39" t="str">
        <f>Commodities!$C$38</f>
        <v>BIOWOO2</v>
      </c>
      <c r="E16" s="185">
        <v>10</v>
      </c>
      <c r="F16" s="696"/>
      <c r="Q16" s="460"/>
    </row>
    <row r="17" spans="2:17" ht="15">
      <c r="B17" s="38" t="str">
        <f>Processes!C60</f>
        <v>MINBIOMSW1_S2</v>
      </c>
      <c r="C17" s="39" t="str">
        <f>Processes!D60</f>
        <v>Domestic Potential of Biodegradable Municipal Solid Waste potential - Solid  - Step 2</v>
      </c>
      <c r="D17" s="39" t="str">
        <f>Commodities!$C$42</f>
        <v>BIOMSW1</v>
      </c>
      <c r="E17" s="185">
        <v>10</v>
      </c>
      <c r="F17" s="696"/>
      <c r="Q17" s="460"/>
    </row>
    <row r="18" spans="2:17" ht="15">
      <c r="B18" s="38" t="str">
        <f>Processes!C66</f>
        <v>MINBIOTLW_S2</v>
      </c>
      <c r="C18" s="39" t="str">
        <f>Processes!D66</f>
        <v>Domestic Potential of Tallow  - Step 2</v>
      </c>
      <c r="D18" s="39" t="str">
        <f>Commodities!$C$44</f>
        <v>BIOTLW</v>
      </c>
      <c r="E18" s="185">
        <v>10</v>
      </c>
      <c r="F18" s="696"/>
      <c r="Q18" s="460"/>
    </row>
    <row r="19" spans="2:17" ht="15">
      <c r="B19" s="38" t="str">
        <f>Processes!C69</f>
        <v>MINBIORVO_S2</v>
      </c>
      <c r="C19" s="39" t="str">
        <f>Processes!D69</f>
        <v>Domestic Potential of Recovered Vegetable Oil  - Step 2</v>
      </c>
      <c r="D19" s="39" t="str">
        <f>Commodities!$C$45</f>
        <v>BIORVO</v>
      </c>
      <c r="E19" s="185">
        <v>10</v>
      </c>
      <c r="F19" s="696"/>
      <c r="Q19" s="460"/>
    </row>
    <row r="20" spans="2:17" ht="15">
      <c r="B20" s="38" t="str">
        <f>Processes!C57</f>
        <v>MINBIOWOO3_S2</v>
      </c>
      <c r="C20" s="39" t="str">
        <f>Processes!D57</f>
        <v>Domestic Potential of Straw - Step 2</v>
      </c>
      <c r="D20" s="39" t="str">
        <f>Commodities!$C$39</f>
        <v>BIOWOO3</v>
      </c>
      <c r="E20" s="185">
        <v>10</v>
      </c>
      <c r="F20" s="696"/>
      <c r="Q20" s="460"/>
    </row>
    <row r="21" spans="2:17">
      <c r="B21" s="38" t="str">
        <f>Processes!C72</f>
        <v>MINBIOCATW_S2</v>
      </c>
      <c r="C21" s="39" t="str">
        <f>Processes!D72</f>
        <v>Domestic Potential of Cattle Waste  - Step 2</v>
      </c>
      <c r="D21" s="39" t="str">
        <f>Commodities!$C$46</f>
        <v>BIOCATW</v>
      </c>
      <c r="E21" s="185">
        <v>10</v>
      </c>
      <c r="F21" s="696"/>
    </row>
    <row r="22" spans="2:17">
      <c r="B22" s="38" t="str">
        <f>Processes!C75</f>
        <v>MINBIOPIGW_S2</v>
      </c>
      <c r="C22" s="39" t="str">
        <f>Processes!D75</f>
        <v>Domestic Potential of Pig Waste  - Step 2</v>
      </c>
      <c r="D22" s="39" t="str">
        <f>Commodities!$C$47</f>
        <v>BIOPIGW</v>
      </c>
      <c r="E22" s="185">
        <v>10</v>
      </c>
      <c r="F22" s="696"/>
    </row>
    <row r="23" spans="2:17">
      <c r="B23" s="38" t="str">
        <f>Processes!C63</f>
        <v>MINBIOMSW2_S2</v>
      </c>
      <c r="C23" s="39" t="str">
        <f>Processes!D63</f>
        <v>Domestic Potential of Biodegradable Municipal Solid Waste  - Step 2</v>
      </c>
      <c r="D23" s="39" t="str">
        <f>Commodities!$C$43</f>
        <v>BIOMSW2</v>
      </c>
      <c r="E23" s="185">
        <v>10</v>
      </c>
      <c r="F23" s="696"/>
    </row>
    <row r="24" spans="2:17">
      <c r="B24" s="125" t="str">
        <f>Processes!C78</f>
        <v>MINBIOINDF_S2</v>
      </c>
      <c r="C24" s="119" t="str">
        <f>Processes!D78</f>
        <v>Domestic Potential of Industrial Food Waste  - Step 2</v>
      </c>
      <c r="D24" s="119" t="str">
        <f>Commodities!$C$48</f>
        <v>BIOINDF</v>
      </c>
      <c r="E24" s="131">
        <v>10</v>
      </c>
      <c r="F24" s="696"/>
    </row>
    <row r="25" spans="2:17">
      <c r="B25" s="38" t="str">
        <f>Processes!C52</f>
        <v>MINBIOWOO1_S3</v>
      </c>
      <c r="C25" s="39" t="str">
        <f>Processes!D52</f>
        <v>Domestic Potential of Sawmill residues - Step 3</v>
      </c>
      <c r="D25" s="39" t="str">
        <f>Commodities!$C$37</f>
        <v>BIOWOO1</v>
      </c>
      <c r="E25" s="185">
        <v>10</v>
      </c>
      <c r="F25" s="696"/>
    </row>
    <row r="26" spans="2:17">
      <c r="B26" s="38" t="str">
        <f>Processes!C55</f>
        <v>MINBIOWOO2_S3</v>
      </c>
      <c r="C26" s="39" t="str">
        <f>Processes!D55</f>
        <v>Domestic Potential of Post-Consumer Recycled Wood - Step 3</v>
      </c>
      <c r="D26" s="39" t="str">
        <f>Commodities!$C$38</f>
        <v>BIOWOO2</v>
      </c>
      <c r="E26" s="185">
        <v>10</v>
      </c>
      <c r="F26" s="696"/>
    </row>
    <row r="27" spans="2:17">
      <c r="B27" s="38" t="str">
        <f>Processes!C61</f>
        <v>MINBIOMSW1_S3</v>
      </c>
      <c r="C27" s="39" t="str">
        <f>Processes!D61</f>
        <v>Domestic Potential of Biodegradable Municipal Solid Waste potential - Solid  - Step 3</v>
      </c>
      <c r="D27" s="39" t="str">
        <f>Commodities!$C$42</f>
        <v>BIOMSW1</v>
      </c>
      <c r="E27" s="185">
        <v>10</v>
      </c>
      <c r="F27" s="696"/>
    </row>
    <row r="28" spans="2:17">
      <c r="B28" s="38" t="str">
        <f>Processes!C67</f>
        <v>MINBIOTLW_S3</v>
      </c>
      <c r="C28" s="39" t="str">
        <f>Processes!D67</f>
        <v>Domestic Potential of Tallow  - Step 3</v>
      </c>
      <c r="D28" s="39" t="str">
        <f>Commodities!$C$44</f>
        <v>BIOTLW</v>
      </c>
      <c r="E28" s="185">
        <v>10</v>
      </c>
      <c r="F28" s="696"/>
    </row>
    <row r="29" spans="2:17">
      <c r="B29" s="38" t="str">
        <f>Processes!C70</f>
        <v>MINBIORVO_S3</v>
      </c>
      <c r="C29" s="39" t="str">
        <f>Processes!D70</f>
        <v>Domestic Potential of Recovered Vegetable Oil  - Step 3</v>
      </c>
      <c r="D29" s="39" t="str">
        <f>Commodities!$C$45</f>
        <v>BIORVO</v>
      </c>
      <c r="E29" s="185">
        <v>10</v>
      </c>
      <c r="F29" s="696"/>
    </row>
    <row r="30" spans="2:17">
      <c r="B30" s="38" t="str">
        <f>Processes!C58</f>
        <v>MINBIOWOO3_S3</v>
      </c>
      <c r="C30" s="39" t="str">
        <f>Processes!D58</f>
        <v>Domestic Potential of Straw - Step 3</v>
      </c>
      <c r="D30" s="39" t="str">
        <f>Commodities!$C$39</f>
        <v>BIOWOO3</v>
      </c>
      <c r="E30" s="185">
        <v>10</v>
      </c>
      <c r="F30" s="696"/>
    </row>
    <row r="31" spans="2:17">
      <c r="B31" s="38" t="str">
        <f>Processes!C73</f>
        <v>MINBIOCATW_S3</v>
      </c>
      <c r="C31" s="39" t="str">
        <f>Processes!D73</f>
        <v>Domestic Potential of Cattle Waste  - Step 3</v>
      </c>
      <c r="D31" s="39" t="str">
        <f>Commodities!$C$46</f>
        <v>BIOCATW</v>
      </c>
      <c r="E31" s="185">
        <v>10</v>
      </c>
      <c r="F31" s="696"/>
    </row>
    <row r="32" spans="2:17">
      <c r="B32" s="38" t="str">
        <f>Processes!C76</f>
        <v>MINBIOPIGW_S3</v>
      </c>
      <c r="C32" s="39" t="str">
        <f>Processes!D76</f>
        <v>Domestic Potential of Pig Waste  - Step 3</v>
      </c>
      <c r="D32" s="39" t="str">
        <f>Commodities!$C$47</f>
        <v>BIOPIGW</v>
      </c>
      <c r="E32" s="185">
        <v>10</v>
      </c>
      <c r="F32" s="696"/>
    </row>
    <row r="33" spans="2:6">
      <c r="B33" s="38" t="str">
        <f>Processes!C64</f>
        <v>MINBIOMSW2_S3</v>
      </c>
      <c r="C33" s="39" t="str">
        <f>Processes!D64</f>
        <v>Domestic Potential of Biodegradable Municipal Solid Waste  - Step 3</v>
      </c>
      <c r="D33" s="39" t="str">
        <f>Commodities!$C$43</f>
        <v>BIOMSW2</v>
      </c>
      <c r="E33" s="185">
        <v>10</v>
      </c>
      <c r="F33" s="696"/>
    </row>
    <row r="34" spans="2:6">
      <c r="B34" s="125" t="str">
        <f>Processes!C79</f>
        <v>MINBIOINDF_S3</v>
      </c>
      <c r="C34" s="119" t="str">
        <f>Processes!D79</f>
        <v>Domestic Potential of Industrial Food Waste  - Step 3</v>
      </c>
      <c r="D34" s="119" t="str">
        <f>Commodities!$C$48</f>
        <v>BIOINDF</v>
      </c>
      <c r="E34" s="131">
        <v>10</v>
      </c>
      <c r="F34" s="697"/>
    </row>
    <row r="35" spans="2:6">
      <c r="B35" s="38"/>
      <c r="C35" s="40"/>
      <c r="D35" s="40"/>
      <c r="E35" s="130"/>
      <c r="F35" s="515"/>
    </row>
    <row r="36" spans="2:6">
      <c r="B36" s="38"/>
      <c r="C36" s="40"/>
      <c r="D36" s="40"/>
      <c r="E36" s="130"/>
      <c r="F36" s="515"/>
    </row>
    <row r="37" spans="2:6" ht="15">
      <c r="B37"/>
      <c r="C37"/>
      <c r="D37" s="480"/>
      <c r="E37" s="18" t="s">
        <v>60</v>
      </c>
      <c r="F37" s="197"/>
    </row>
    <row r="38" spans="2:6">
      <c r="B38" s="22" t="s">
        <v>2</v>
      </c>
      <c r="C38" s="22" t="s">
        <v>3</v>
      </c>
      <c r="D38" s="516" t="s">
        <v>69</v>
      </c>
      <c r="E38" s="22" t="s">
        <v>40</v>
      </c>
      <c r="F38" s="43" t="s">
        <v>151</v>
      </c>
    </row>
    <row r="39" spans="2:6" ht="26.25" thickBot="1">
      <c r="B39" s="10" t="s">
        <v>61</v>
      </c>
      <c r="C39" s="13" t="s">
        <v>49</v>
      </c>
      <c r="D39" s="13" t="s">
        <v>504</v>
      </c>
      <c r="E39" s="13" t="s">
        <v>50</v>
      </c>
      <c r="F39" s="10"/>
    </row>
    <row r="40" spans="2:6">
      <c r="B40" s="38" t="str">
        <f>Processes!C82</f>
        <v>BDNBIOWOO</v>
      </c>
      <c r="C40" s="38" t="str">
        <f>Processes!D82</f>
        <v xml:space="preserve">Blending of Biomass - generic </v>
      </c>
      <c r="D40" s="38" t="str">
        <f>Commodities!C37</f>
        <v>BIOWOO1</v>
      </c>
      <c r="E40" s="39" t="str">
        <f>Commodities!$C$36</f>
        <v>BIOWOO</v>
      </c>
      <c r="F40" s="39">
        <v>1</v>
      </c>
    </row>
    <row r="41" spans="2:6">
      <c r="D41" s="38" t="str">
        <f>Commodities!C38</f>
        <v>BIOWOO2</v>
      </c>
    </row>
    <row r="42" spans="2:6">
      <c r="D42" s="38" t="str">
        <f>Commodities!C39</f>
        <v>BIOWOO3</v>
      </c>
    </row>
  </sheetData>
  <mergeCells count="1">
    <mergeCell ref="F5:F34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9"/>
  <dimension ref="B1:AC18"/>
  <sheetViews>
    <sheetView workbookViewId="0">
      <selection activeCell="J19" sqref="J19"/>
    </sheetView>
  </sheetViews>
  <sheetFormatPr defaultColWidth="9.140625" defaultRowHeight="15"/>
  <cols>
    <col min="1" max="1" width="9.140625" style="241"/>
    <col min="2" max="2" width="13.5703125" style="241" customWidth="1"/>
    <col min="3" max="3" width="17" style="241" bestFit="1" customWidth="1"/>
    <col min="4" max="4" width="17.42578125" style="241" bestFit="1" customWidth="1"/>
    <col min="5" max="5" width="9.140625" style="241"/>
    <col min="6" max="19" width="9.42578125" style="47" customWidth="1"/>
    <col min="20" max="22" width="9.42578125" style="241" customWidth="1"/>
    <col min="23" max="23" width="28.5703125" style="241" bestFit="1" customWidth="1"/>
    <col min="24" max="24" width="9.140625" style="241"/>
    <col min="25" max="25" width="13.5703125" style="241" bestFit="1" customWidth="1"/>
    <col min="26" max="26" width="17" style="241" bestFit="1" customWidth="1"/>
    <col min="27" max="16384" width="9.140625" style="241"/>
  </cols>
  <sheetData>
    <row r="1" spans="2:23">
      <c r="Q1" s="241"/>
      <c r="R1" s="241"/>
      <c r="S1" s="241"/>
    </row>
    <row r="2" spans="2:23" ht="18.75">
      <c r="B2" s="212" t="s">
        <v>181</v>
      </c>
      <c r="C2" s="213"/>
      <c r="D2" s="214"/>
      <c r="E2" s="6" t="s">
        <v>39</v>
      </c>
      <c r="F2" s="224"/>
      <c r="G2" s="225"/>
      <c r="H2" s="225"/>
      <c r="I2" s="225"/>
      <c r="J2" s="225"/>
      <c r="K2" s="225"/>
      <c r="L2" s="225"/>
      <c r="M2" s="225"/>
      <c r="N2" s="226"/>
      <c r="O2" s="226"/>
      <c r="P2" s="226"/>
      <c r="Q2" s="227"/>
      <c r="R2" s="228"/>
      <c r="S2" s="241"/>
    </row>
    <row r="3" spans="2:23" ht="25.5">
      <c r="B3" s="210" t="s">
        <v>2</v>
      </c>
      <c r="C3" s="210" t="s">
        <v>3</v>
      </c>
      <c r="D3" s="210" t="s">
        <v>69</v>
      </c>
      <c r="E3" s="210" t="s">
        <v>40</v>
      </c>
      <c r="F3" s="209" t="s">
        <v>189</v>
      </c>
      <c r="G3" s="209" t="s">
        <v>292</v>
      </c>
      <c r="H3" s="209" t="s">
        <v>293</v>
      </c>
      <c r="I3" s="208" t="s">
        <v>294</v>
      </c>
      <c r="J3" s="208" t="s">
        <v>263</v>
      </c>
      <c r="K3" s="208" t="s">
        <v>182</v>
      </c>
      <c r="L3" s="208" t="s">
        <v>183</v>
      </c>
      <c r="M3" s="208" t="s">
        <v>354</v>
      </c>
      <c r="N3" s="211" t="s">
        <v>71</v>
      </c>
      <c r="O3" s="241"/>
      <c r="P3" s="241"/>
      <c r="Q3" s="241"/>
      <c r="R3" s="241"/>
      <c r="S3" s="241"/>
    </row>
    <row r="4" spans="2:23" ht="14.25" customHeight="1" thickBot="1">
      <c r="B4" s="13" t="s">
        <v>184</v>
      </c>
      <c r="C4" s="13"/>
      <c r="D4" s="13"/>
      <c r="E4" s="13"/>
      <c r="F4" s="421" t="s">
        <v>268</v>
      </c>
      <c r="G4" s="10"/>
      <c r="H4" s="10"/>
      <c r="I4" s="10"/>
      <c r="J4" s="10"/>
      <c r="K4" s="10" t="s">
        <v>185</v>
      </c>
      <c r="L4" s="10" t="s">
        <v>186</v>
      </c>
      <c r="M4" s="10" t="s">
        <v>56</v>
      </c>
      <c r="N4" s="13"/>
      <c r="O4" s="241"/>
      <c r="P4" s="241"/>
      <c r="Q4" s="241"/>
      <c r="R4" s="241"/>
      <c r="S4" s="241"/>
    </row>
    <row r="5" spans="2:23">
      <c r="B5" s="216" t="str">
        <f>Processes!C83</f>
        <v>SREFOILCRD_Whitegate</v>
      </c>
      <c r="C5" s="216" t="str">
        <f>Processes!D83</f>
        <v>Refinery of Crude Oil  - Whitegate</v>
      </c>
      <c r="D5" s="217" t="str">
        <f>Commodities!C11</f>
        <v>OILCRD</v>
      </c>
      <c r="E5" s="39"/>
      <c r="F5" s="198"/>
      <c r="G5" s="198"/>
      <c r="H5" s="428">
        <f>(SUM(SEAI_Bal!N105:Y105)-SUM(SEAI_Bal!N110:Y110))/SEAI_Bal!M98</f>
        <v>0.99799126990040821</v>
      </c>
      <c r="I5" s="429">
        <f>(SEAI_Bal!L98)*Conversions!$B$2</f>
        <v>142.96484252978811</v>
      </c>
      <c r="J5" s="423">
        <f>MAX(I5:I5)</f>
        <v>142.96484252978811</v>
      </c>
      <c r="K5" s="198">
        <v>50</v>
      </c>
      <c r="L5" s="39"/>
      <c r="M5" s="39"/>
      <c r="N5" s="425" t="s">
        <v>271</v>
      </c>
      <c r="O5" s="241"/>
      <c r="P5" s="241"/>
      <c r="Q5" s="241"/>
      <c r="R5" s="241"/>
      <c r="S5" s="241"/>
    </row>
    <row r="6" spans="2:23">
      <c r="B6" s="217"/>
      <c r="C6" s="218"/>
      <c r="D6" s="217"/>
      <c r="E6" s="217" t="str">
        <f>Commodities!C12</f>
        <v>OILRFG</v>
      </c>
      <c r="F6" s="428">
        <f>(SEAI_Bal!N$105-SEAI_Bal!N$110)/(SUM(SEAI_Bal!$N$105:$Y$105)-SUM(SEAI_Bal!$N$110:$Y$110))</f>
        <v>9.9318920595158535E-3</v>
      </c>
      <c r="G6" s="422">
        <f>MAX(F6:F6)*1.1</f>
        <v>1.0925081265467439E-2</v>
      </c>
      <c r="H6" s="198"/>
      <c r="I6" s="198"/>
      <c r="J6" s="198"/>
      <c r="K6" s="198"/>
      <c r="L6" s="39"/>
      <c r="M6" s="423"/>
      <c r="N6" s="217" t="s">
        <v>211</v>
      </c>
      <c r="O6" s="241"/>
      <c r="P6" s="241"/>
      <c r="Q6" s="241"/>
      <c r="R6" s="241"/>
      <c r="S6" s="241"/>
    </row>
    <row r="7" spans="2:23">
      <c r="B7" s="219"/>
      <c r="C7" s="215"/>
      <c r="D7" s="220"/>
      <c r="E7" s="217" t="s">
        <v>30</v>
      </c>
      <c r="F7" s="428">
        <f>(SEAI_Bal!O$105-SEAI_Bal!O$110)/(SUM(SEAI_Bal!$N$105:$Y$105)-SUM(SEAI_Bal!$N$110:$Y$110))</f>
        <v>0.1890064710000951</v>
      </c>
      <c r="G7" s="422">
        <f>MAX(F7:F7)*1.1</f>
        <v>0.20790711810010462</v>
      </c>
      <c r="H7" s="198"/>
      <c r="I7" s="198"/>
      <c r="J7" s="198"/>
      <c r="K7" s="198"/>
      <c r="L7" s="39"/>
      <c r="M7" s="424">
        <v>1.7</v>
      </c>
      <c r="N7" s="217" t="s">
        <v>212</v>
      </c>
      <c r="O7" s="241"/>
      <c r="P7" s="241"/>
      <c r="Q7" s="241"/>
      <c r="R7" s="241"/>
      <c r="S7" s="241"/>
    </row>
    <row r="8" spans="2:23">
      <c r="B8" s="219"/>
      <c r="C8" s="221"/>
      <c r="D8" s="220"/>
      <c r="E8" s="217" t="str">
        <f>Commodities!C13</f>
        <v>OILKER</v>
      </c>
      <c r="F8" s="428">
        <f>(SEAI_Bal!P$105-SEAI_Bal!P$110)/(SUM(SEAI_Bal!$N$105:$Y$105)-SUM(SEAI_Bal!$N$110:$Y$110))</f>
        <v>4.4064893711572649E-2</v>
      </c>
      <c r="G8" s="422">
        <f>MAX(F8:F8)*1.1</f>
        <v>4.847138308272992E-2</v>
      </c>
      <c r="H8" s="198"/>
      <c r="I8" s="198"/>
      <c r="J8" s="198"/>
      <c r="K8" s="198"/>
      <c r="L8" s="39"/>
      <c r="M8" s="424">
        <v>1.7</v>
      </c>
      <c r="N8" s="217" t="s">
        <v>213</v>
      </c>
      <c r="O8" s="241"/>
      <c r="P8" s="241"/>
      <c r="Q8" s="241"/>
      <c r="R8" s="241"/>
      <c r="S8" s="241"/>
    </row>
    <row r="9" spans="2:23">
      <c r="B9" s="222" t="s">
        <v>267</v>
      </c>
      <c r="C9" s="221"/>
      <c r="D9" s="220"/>
      <c r="E9" s="217" t="s">
        <v>267</v>
      </c>
      <c r="F9" s="428">
        <f>(SEAI_Bal!Q$105-SEAI_Bal!Q$110)/(SUM(SEAI_Bal!$N$105:$Y$105)-SUM(SEAI_Bal!$N$110:$Y$110))</f>
        <v>0</v>
      </c>
      <c r="G9" s="422"/>
      <c r="H9" s="198"/>
      <c r="I9" s="198"/>
      <c r="J9" s="198"/>
      <c r="K9" s="198"/>
      <c r="L9" s="39"/>
      <c r="M9" s="424"/>
      <c r="N9" s="217" t="s">
        <v>214</v>
      </c>
      <c r="O9" s="241"/>
      <c r="P9" s="241"/>
      <c r="Q9" s="241"/>
      <c r="R9" s="241"/>
      <c r="S9" s="241"/>
    </row>
    <row r="10" spans="2:23">
      <c r="B10" s="219"/>
      <c r="C10" s="221"/>
      <c r="D10" s="220"/>
      <c r="E10" s="217" t="str">
        <f>Commodities!C14</f>
        <v>OILHFO</v>
      </c>
      <c r="F10" s="428">
        <f>(SEAI_Bal!R$105-SEAI_Bal!R$110)/(SUM(SEAI_Bal!$N$105:$Y$105)-SUM(SEAI_Bal!$N$110:$Y$110))</f>
        <v>0.33518051031150281</v>
      </c>
      <c r="G10" s="422">
        <f>MAX(F10:F10)*1.1</f>
        <v>0.36869856134265311</v>
      </c>
      <c r="H10" s="198"/>
      <c r="I10" s="198"/>
      <c r="J10" s="198"/>
      <c r="K10" s="198"/>
      <c r="L10" s="39"/>
      <c r="M10" s="424">
        <v>0.83603571428571199</v>
      </c>
      <c r="N10" s="217" t="s">
        <v>215</v>
      </c>
      <c r="O10" s="241"/>
      <c r="P10" s="241"/>
      <c r="Q10" s="241"/>
      <c r="R10" s="241"/>
      <c r="S10" s="241"/>
    </row>
    <row r="11" spans="2:23">
      <c r="B11" s="222"/>
      <c r="C11" s="221"/>
      <c r="D11" s="220"/>
      <c r="E11" s="217" t="str">
        <f>Commodities!C16</f>
        <v>OILLPG</v>
      </c>
      <c r="F11" s="428">
        <f>(SEAI_Bal!S$105-SEAI_Bal!S$110)/(SUM(SEAI_Bal!$N$105:$Y$105)-SUM(SEAI_Bal!$N$110:$Y$110))</f>
        <v>1.5463157429017384E-2</v>
      </c>
      <c r="G11" s="422"/>
      <c r="H11" s="229"/>
      <c r="I11" s="229"/>
      <c r="J11" s="229"/>
      <c r="K11" s="231"/>
      <c r="L11" s="39"/>
      <c r="M11" s="424">
        <v>1.3357142857142801</v>
      </c>
      <c r="N11" s="217" t="s">
        <v>216</v>
      </c>
      <c r="O11" s="241"/>
      <c r="P11" s="241"/>
      <c r="Q11" s="241"/>
      <c r="R11" s="241"/>
      <c r="S11" s="241"/>
    </row>
    <row r="12" spans="2:23">
      <c r="B12" s="222"/>
      <c r="C12" s="221"/>
      <c r="D12" s="220"/>
      <c r="E12" s="217" t="str">
        <f>Commodities!C15</f>
        <v>OILDST</v>
      </c>
      <c r="F12" s="428">
        <f>(SEAI_Bal!T$105-SEAI_Bal!T$110)/(SUM(SEAI_Bal!$N$105:$Y$105)-SUM(SEAI_Bal!$N$110:$Y$110))</f>
        <v>0.39747939886151551</v>
      </c>
      <c r="G12" s="422">
        <f>MAX(F12:F12)*1.1</f>
        <v>0.43722733874766712</v>
      </c>
      <c r="H12" s="229"/>
      <c r="I12" s="229"/>
      <c r="J12" s="229"/>
      <c r="K12" s="231"/>
      <c r="L12" s="39"/>
      <c r="M12" s="424">
        <v>1.5785714285714201</v>
      </c>
      <c r="N12" s="217" t="s">
        <v>217</v>
      </c>
      <c r="O12" s="241"/>
      <c r="P12" s="241"/>
      <c r="Q12" s="241"/>
      <c r="R12" s="241"/>
      <c r="S12" s="241"/>
    </row>
    <row r="13" spans="2:23">
      <c r="B13" s="222"/>
      <c r="C13" s="221"/>
      <c r="D13" s="220"/>
      <c r="E13" s="217" t="str">
        <f>Commodities!C18</f>
        <v>OILCOK</v>
      </c>
      <c r="F13" s="428">
        <f>(SEAI_Bal!U$105-SEAI_Bal!U$110)/(SUM(SEAI_Bal!$N$105:$Y$105)-SUM(SEAI_Bal!$N$110:$Y$110))</f>
        <v>0</v>
      </c>
      <c r="G13" s="422"/>
      <c r="H13" s="229"/>
      <c r="I13" s="229"/>
      <c r="J13" s="229"/>
      <c r="K13" s="229"/>
      <c r="L13" s="39"/>
      <c r="M13" s="424"/>
      <c r="N13" s="217" t="s">
        <v>218</v>
      </c>
      <c r="O13" s="241"/>
      <c r="P13" s="241"/>
      <c r="Q13" s="241"/>
      <c r="R13" s="241"/>
      <c r="S13" s="241"/>
    </row>
    <row r="14" spans="2:23">
      <c r="B14" s="222"/>
      <c r="C14" s="221"/>
      <c r="D14" s="220"/>
      <c r="E14" s="217" t="str">
        <f>Commodities!C19</f>
        <v>OILNAP</v>
      </c>
      <c r="F14" s="428">
        <f>(SEAI_Bal!V$105-SEAI_Bal!V$110)/(SUM(SEAI_Bal!$N$105:$Y$105)-SUM(SEAI_Bal!$N$110:$Y$110))</f>
        <v>8.8736766267806227E-3</v>
      </c>
      <c r="G14" s="422"/>
      <c r="H14" s="229"/>
      <c r="I14" s="229"/>
      <c r="J14" s="229"/>
      <c r="K14" s="229"/>
      <c r="L14" s="39"/>
      <c r="M14" s="424">
        <v>1.21428571428571</v>
      </c>
      <c r="N14" s="217" t="s">
        <v>219</v>
      </c>
      <c r="O14" s="241"/>
      <c r="P14" s="241"/>
      <c r="Q14" s="241"/>
      <c r="R14" s="241"/>
      <c r="S14" s="241"/>
    </row>
    <row r="15" spans="2:23">
      <c r="B15" s="222" t="s">
        <v>267</v>
      </c>
      <c r="C15" s="221"/>
      <c r="D15" s="220"/>
      <c r="E15" s="217" t="s">
        <v>267</v>
      </c>
      <c r="F15" s="428">
        <f>SEAI_Bal!W$105/(SUM(SEAI_Bal!$N$105:$Y$105)-SUM(SEAI_Bal!$N$110:$Y$110))</f>
        <v>0</v>
      </c>
      <c r="G15" s="422"/>
      <c r="H15" s="229"/>
      <c r="I15" s="229"/>
      <c r="J15" s="229"/>
      <c r="K15" s="229"/>
      <c r="L15" s="39"/>
      <c r="M15" s="424"/>
      <c r="N15" s="217" t="s">
        <v>220</v>
      </c>
      <c r="O15" s="241"/>
      <c r="P15" s="241"/>
      <c r="Q15" s="241"/>
      <c r="R15" s="241"/>
      <c r="S15" s="241"/>
    </row>
    <row r="16" spans="2:23">
      <c r="B16" s="222" t="s">
        <v>267</v>
      </c>
      <c r="C16" s="39"/>
      <c r="D16" s="39"/>
      <c r="E16" s="217" t="s">
        <v>267</v>
      </c>
      <c r="F16" s="428">
        <f>SEAI_Bal!X$105/(SUM(SEAI_Bal!$N$105:$Y$105)-SUM(SEAI_Bal!$N$110:$Y$110))</f>
        <v>0</v>
      </c>
      <c r="G16" s="422"/>
      <c r="H16" s="39"/>
      <c r="I16" s="39"/>
      <c r="J16" s="39"/>
      <c r="K16" s="39"/>
      <c r="L16" s="39"/>
      <c r="M16" s="424"/>
      <c r="N16" s="217" t="s">
        <v>221</v>
      </c>
      <c r="O16" s="241"/>
      <c r="P16" s="241"/>
      <c r="Q16" s="241"/>
      <c r="R16" s="241"/>
      <c r="S16" s="241"/>
      <c r="U16" s="223"/>
      <c r="V16" s="223"/>
      <c r="W16" s="223"/>
    </row>
    <row r="17" spans="2:29">
      <c r="B17" s="222" t="s">
        <v>267</v>
      </c>
      <c r="C17" s="39"/>
      <c r="D17" s="39"/>
      <c r="E17" s="217" t="s">
        <v>267</v>
      </c>
      <c r="F17" s="428">
        <f>SEAI_Bal!Y$105/(SUM(SEAI_Bal!$N$105:$Y$105)-SUM(SEAI_Bal!$N$110:$Y$110))</f>
        <v>0</v>
      </c>
      <c r="G17" s="422"/>
      <c r="H17" s="198"/>
      <c r="I17" s="230"/>
      <c r="J17" s="39"/>
      <c r="K17" s="198"/>
      <c r="L17" s="198"/>
      <c r="M17" s="424"/>
      <c r="N17" s="217" t="s">
        <v>222</v>
      </c>
      <c r="O17" s="241"/>
      <c r="P17" s="241"/>
      <c r="Q17" s="241"/>
      <c r="R17" s="241"/>
      <c r="S17" s="241"/>
      <c r="U17" s="223"/>
      <c r="V17" s="223"/>
    </row>
    <row r="18" spans="2:29">
      <c r="M18" s="176"/>
      <c r="N18" s="176"/>
      <c r="O18" s="176"/>
      <c r="P18" s="176"/>
      <c r="Q18" s="241"/>
      <c r="R18" s="459"/>
      <c r="T18" s="47"/>
      <c r="AB18" s="223"/>
      <c r="AC18" s="223"/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7B74FDAF7A4FB4D876E5EA45926113E" ma:contentTypeVersion="4" ma:contentTypeDescription="Create a new document." ma:contentTypeScope="" ma:versionID="327522a6d5518d67d5f1063e9cc64cf0">
  <xsd:schema xmlns:xsd="http://www.w3.org/2001/XMLSchema" xmlns:xs="http://www.w3.org/2001/XMLSchema" xmlns:p="http://schemas.microsoft.com/office/2006/metadata/properties" xmlns:ns2="3a32fc56-8470-4d77-ad86-bef2a7229878" targetNamespace="http://schemas.microsoft.com/office/2006/metadata/properties" ma:root="true" ma:fieldsID="ffd5532d255be23b9fb13183c07e1fd0" ns2:_="">
    <xsd:import namespace="3a32fc56-8470-4d77-ad86-bef2a722987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32fc56-8470-4d77-ad86-bef2a722987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4F399E6-2CA4-4BC3-AE7C-3570BA9F00A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1EBC224-6025-40B6-954C-A60FF473B45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F32A5943-069C-47E6-B7B1-1C4E8CC11B6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a32fc56-8470-4d77-ad86-bef2a722987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CONVENTIONS</vt:lpstr>
      <vt:lpstr>Commodities</vt:lpstr>
      <vt:lpstr>Processes</vt:lpstr>
      <vt:lpstr>SUP_FuelTech</vt:lpstr>
      <vt:lpstr>Imports_Fossil</vt:lpstr>
      <vt:lpstr>Imports_Bio</vt:lpstr>
      <vt:lpstr>Domestic</vt:lpstr>
      <vt:lpstr>Domestic_Bio</vt:lpstr>
      <vt:lpstr>Refinery</vt:lpstr>
      <vt:lpstr>Interconnector</vt:lpstr>
      <vt:lpstr>Emi</vt:lpstr>
      <vt:lpstr>SEAI-AEA_BioData</vt:lpstr>
      <vt:lpstr>SEAI_Bal</vt:lpstr>
      <vt:lpstr>Conversions</vt:lpstr>
    </vt:vector>
  </TitlesOfParts>
  <Company>University College Cork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 Chiodi</dc:creator>
  <cp:lastModifiedBy>Olex</cp:lastModifiedBy>
  <dcterms:created xsi:type="dcterms:W3CDTF">2016-02-04T10:21:59Z</dcterms:created>
  <dcterms:modified xsi:type="dcterms:W3CDTF">2020-10-28T12:37:13Z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0x01010087B74FDAF7A4FB4D876E5EA45926113E</vt:lpwstr>
  </property>
  <property fmtid="{D5CDD505-2E9C-101B-9397-08002B2CF9AE}" pid="3" name="SaveCode">
    <vt:r8>18337428569793</vt:r8>
  </property>
</Properties>
</file>