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93942BF-D6EC-42BC-BB3E-1CCD8EC4649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Regions" sheetId="2" r:id="rId1"/>
    <sheet name="PWR" sheetId="8" r:id="rId2"/>
    <sheet name="SRV" sheetId="14" r:id="rId3"/>
    <sheet name="TRA" sheetId="15" r:id="rId4"/>
    <sheet name="SYS-emi_single" sheetId="18" r:id="rId5"/>
    <sheet name="SYS-emi_multi" sheetId="19" r:id="rId6"/>
    <sheet name="emi_config" sheetId="17" r:id="rId7"/>
    <sheet name="New vehicle sales" sheetId="16" r:id="rId8"/>
    <sheet name="EB2018" sheetId="3" r:id="rId9"/>
    <sheet name="EB2019" sheetId="11" r:id="rId10"/>
    <sheet name="EB2020" sheetId="12" r:id="rId11"/>
    <sheet name="Conversions" sheetId="9" r:id="rId12"/>
  </sheets>
  <definedNames>
    <definedName name="__123Graph_AEUMILKPN" hidden="1">#REF!</definedName>
    <definedName name="_Regression_Y" hidden="1">#REF!</definedName>
    <definedName name="aa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_xlnm.Print_Area" localSheetId="9">'EB2019'!$A$1:$AQ$80</definedName>
    <definedName name="_xlnm.Print_Area" localSheetId="10">'EB2020'!$A$1:$AQ$76</definedName>
    <definedName name="_xlnm.Print_Titles" localSheetId="9">'EB2019'!$A:$B,'EB2019'!$1:$1</definedName>
    <definedName name="_xlnm.Print_Titles" localSheetId="10">'EB2020'!$A:$B,'EB2020'!$1:$1</definedName>
    <definedName name="table6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B2" i="18"/>
  <c r="G4" i="18" s="1"/>
  <c r="B2" i="19"/>
  <c r="G4" i="19" s="1"/>
  <c r="C7" i="19"/>
  <c r="D7" i="19"/>
  <c r="G7" i="19"/>
  <c r="H7" i="19"/>
  <c r="J7" i="19"/>
  <c r="K7" i="19"/>
  <c r="C8" i="19"/>
  <c r="F8" i="19"/>
  <c r="D8" i="19" s="1"/>
  <c r="J9" i="19"/>
  <c r="B7" i="18"/>
  <c r="C7" i="18"/>
  <c r="D7" i="18"/>
  <c r="G7" i="18"/>
  <c r="H7" i="18"/>
  <c r="J7" i="18"/>
  <c r="C8" i="18"/>
  <c r="D8" i="18"/>
  <c r="F8" i="18"/>
  <c r="E8" i="18" s="1"/>
  <c r="J9" i="18"/>
  <c r="C4" i="17"/>
  <c r="B7" i="19" s="1"/>
  <c r="C5" i="17"/>
  <c r="K7" i="18" s="1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I8" i="19"/>
  <c r="H8" i="15"/>
  <c r="L7" i="15"/>
  <c r="I8" i="18"/>
  <c r="K7" i="15"/>
  <c r="E8" i="19"/>
  <c r="F13" i="14" l="1"/>
  <c r="E13" i="14"/>
  <c r="F9" i="14"/>
  <c r="E9" i="14"/>
  <c r="D9" i="14"/>
  <c r="F4" i="14"/>
  <c r="E4" i="14"/>
  <c r="F12" i="14"/>
  <c r="E12" i="14"/>
  <c r="F11" i="14"/>
  <c r="E11" i="14"/>
  <c r="F10" i="14"/>
  <c r="E10" i="14"/>
  <c r="F8" i="14"/>
  <c r="E8" i="14"/>
  <c r="F14" i="14"/>
  <c r="E14" i="14"/>
  <c r="F5" i="14"/>
  <c r="E5" i="14"/>
  <c r="F6" i="14"/>
  <c r="E6" i="14"/>
  <c r="F7" i="14"/>
  <c r="E7" i="14"/>
  <c r="D6" i="14"/>
  <c r="D7" i="14"/>
  <c r="D8" i="14"/>
  <c r="D10" i="14"/>
  <c r="D11" i="14"/>
  <c r="D12" i="14"/>
  <c r="D14" i="14" l="1"/>
  <c r="D13" i="14"/>
  <c r="D5" i="14"/>
  <c r="D4" i="14"/>
  <c r="G14" i="8"/>
  <c r="G13" i="8"/>
  <c r="G12" i="8"/>
  <c r="G11" i="8"/>
  <c r="G10" i="8"/>
  <c r="G8" i="8"/>
  <c r="G6" i="8"/>
  <c r="G5" i="8"/>
  <c r="G4" i="8"/>
  <c r="F14" i="8"/>
  <c r="F13" i="8"/>
  <c r="F12" i="8"/>
  <c r="F11" i="8"/>
  <c r="F10" i="8"/>
  <c r="F8" i="8"/>
  <c r="F6" i="8"/>
  <c r="F5" i="8"/>
  <c r="F4" i="8"/>
  <c r="E13" i="8"/>
  <c r="E14" i="8"/>
  <c r="E10" i="8"/>
  <c r="AL29" i="3"/>
  <c r="E12" i="8"/>
  <c r="E11" i="8"/>
  <c r="E8" i="8"/>
  <c r="E6" i="8"/>
  <c r="E5" i="8"/>
  <c r="E4" i="8"/>
  <c r="D5" i="8"/>
  <c r="D6" i="8"/>
  <c r="D7" i="8"/>
  <c r="D8" i="8"/>
  <c r="D9" i="8"/>
  <c r="D10" i="8"/>
  <c r="D11" i="8"/>
  <c r="D12" i="8"/>
  <c r="D13" i="8"/>
  <c r="D14" i="8"/>
  <c r="D4" i="8"/>
  <c r="AB28" i="12" l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B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AN26" i="12"/>
  <c r="AF26" i="12"/>
  <c r="Y26" i="12"/>
  <c r="Y28" i="12" s="1"/>
  <c r="Y27" i="12" s="1"/>
  <c r="X26" i="12"/>
  <c r="X28" i="12" s="1"/>
  <c r="Q26" i="12"/>
  <c r="P26" i="12"/>
  <c r="AB25" i="12"/>
  <c r="L25" i="12"/>
  <c r="AQ25" i="12" s="1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N21" i="12"/>
  <c r="AM21" i="12"/>
  <c r="AL21" i="12"/>
  <c r="AK21" i="12"/>
  <c r="AJ21" i="12"/>
  <c r="AI21" i="12"/>
  <c r="AH21" i="12"/>
  <c r="AH26" i="12" s="1"/>
  <c r="AG21" i="12"/>
  <c r="AG26" i="12" s="1"/>
  <c r="AF21" i="12"/>
  <c r="AE21" i="12"/>
  <c r="AD21" i="12"/>
  <c r="AC21" i="12"/>
  <c r="AB21" i="12"/>
  <c r="AA21" i="12"/>
  <c r="Z21" i="12"/>
  <c r="Z26" i="12" s="1"/>
  <c r="Z28" i="12" s="1"/>
  <c r="Z27" i="12" s="1"/>
  <c r="Y21" i="12"/>
  <c r="X21" i="12"/>
  <c r="W21" i="12"/>
  <c r="V21" i="12"/>
  <c r="U21" i="12"/>
  <c r="T21" i="12"/>
  <c r="S21" i="12"/>
  <c r="R21" i="12"/>
  <c r="R26" i="12" s="1"/>
  <c r="Q21" i="12"/>
  <c r="P21" i="12"/>
  <c r="O21" i="12"/>
  <c r="N21" i="12"/>
  <c r="M21" i="12"/>
  <c r="K21" i="12"/>
  <c r="J21" i="12"/>
  <c r="J26" i="12" s="1"/>
  <c r="I21" i="12"/>
  <c r="H21" i="12" s="1"/>
  <c r="G21" i="12"/>
  <c r="F21" i="12"/>
  <c r="D21" i="12"/>
  <c r="C21" i="12"/>
  <c r="AB20" i="12"/>
  <c r="AQ20" i="12" s="1"/>
  <c r="L20" i="12"/>
  <c r="H20" i="12"/>
  <c r="AB19" i="12"/>
  <c r="L19" i="12"/>
  <c r="H19" i="12"/>
  <c r="AQ19" i="12" s="1"/>
  <c r="AQ18" i="12"/>
  <c r="AQ17" i="12"/>
  <c r="AB17" i="12"/>
  <c r="L17" i="12"/>
  <c r="H17" i="12"/>
  <c r="C17" i="12"/>
  <c r="C15" i="12" s="1"/>
  <c r="AB16" i="12"/>
  <c r="L16" i="12"/>
  <c r="L15" i="12" s="1"/>
  <c r="H16" i="12"/>
  <c r="C16" i="12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3" i="12"/>
  <c r="AB13" i="12"/>
  <c r="L13" i="12"/>
  <c r="H13" i="12"/>
  <c r="C13" i="12"/>
  <c r="AQ12" i="12"/>
  <c r="AB11" i="12"/>
  <c r="L11" i="12"/>
  <c r="AQ11" i="12" s="1"/>
  <c r="H11" i="12"/>
  <c r="C11" i="12"/>
  <c r="AB10" i="12"/>
  <c r="L10" i="12"/>
  <c r="H10" i="12"/>
  <c r="H9" i="12" s="1"/>
  <c r="C10" i="12"/>
  <c r="AQ10" i="12" s="1"/>
  <c r="AP9" i="12"/>
  <c r="AO9" i="12"/>
  <c r="AN9" i="12"/>
  <c r="AM9" i="12"/>
  <c r="AL9" i="12"/>
  <c r="AK9" i="12"/>
  <c r="AJ9" i="12"/>
  <c r="AJ26" i="12" s="1"/>
  <c r="AI9" i="12"/>
  <c r="AH9" i="12"/>
  <c r="AG9" i="12"/>
  <c r="AF9" i="12"/>
  <c r="AE9" i="12"/>
  <c r="AD9" i="12"/>
  <c r="AC9" i="12"/>
  <c r="AB9" i="12"/>
  <c r="AA9" i="12"/>
  <c r="Z9" i="12"/>
  <c r="Y9" i="12"/>
  <c r="X9" i="12"/>
  <c r="W9" i="12"/>
  <c r="V9" i="12"/>
  <c r="U9" i="12"/>
  <c r="T9" i="12"/>
  <c r="T26" i="12" s="1"/>
  <c r="S9" i="12"/>
  <c r="R9" i="12"/>
  <c r="Q9" i="12"/>
  <c r="P9" i="12"/>
  <c r="O9" i="12"/>
  <c r="N9" i="12"/>
  <c r="M9" i="12"/>
  <c r="L9" i="12"/>
  <c r="K9" i="12"/>
  <c r="J9" i="12"/>
  <c r="I9" i="12"/>
  <c r="G9" i="12"/>
  <c r="F9" i="12"/>
  <c r="E9" i="12"/>
  <c r="D9" i="12"/>
  <c r="D26" i="12" s="1"/>
  <c r="C9" i="12"/>
  <c r="AQ9" i="12" s="1"/>
  <c r="AK8" i="12"/>
  <c r="AJ8" i="12"/>
  <c r="T8" i="12"/>
  <c r="D8" i="12"/>
  <c r="AP7" i="12"/>
  <c r="AP8" i="12" s="1"/>
  <c r="AO7" i="12"/>
  <c r="AO8" i="12" s="1"/>
  <c r="AN7" i="12"/>
  <c r="AN8" i="12" s="1"/>
  <c r="AM7" i="12"/>
  <c r="AL7" i="12"/>
  <c r="AL26" i="12" s="1"/>
  <c r="AK7" i="12"/>
  <c r="AJ7" i="12"/>
  <c r="AI7" i="12"/>
  <c r="AI8" i="12" s="1"/>
  <c r="AH7" i="12"/>
  <c r="AH8" i="12" s="1"/>
  <c r="AG7" i="12"/>
  <c r="AG8" i="12" s="1"/>
  <c r="AF7" i="12"/>
  <c r="AF8" i="12" s="1"/>
  <c r="AE7" i="12"/>
  <c r="AD7" i="12"/>
  <c r="AD26" i="12" s="1"/>
  <c r="AC7" i="12"/>
  <c r="AA7" i="12"/>
  <c r="AA8" i="12" s="1"/>
  <c r="Z7" i="12"/>
  <c r="Z8" i="12" s="1"/>
  <c r="Y7" i="12"/>
  <c r="X7" i="12"/>
  <c r="W7" i="12"/>
  <c r="V7" i="12"/>
  <c r="V26" i="12" s="1"/>
  <c r="U7" i="12"/>
  <c r="U26" i="12" s="1"/>
  <c r="T7" i="12"/>
  <c r="S7" i="12"/>
  <c r="S8" i="12" s="1"/>
  <c r="R7" i="12"/>
  <c r="R8" i="12" s="1"/>
  <c r="Q7" i="12"/>
  <c r="Q8" i="12" s="1"/>
  <c r="P7" i="12"/>
  <c r="O7" i="12"/>
  <c r="N7" i="12"/>
  <c r="N26" i="12" s="1"/>
  <c r="M7" i="12"/>
  <c r="M26" i="12" s="1"/>
  <c r="K7" i="12"/>
  <c r="K8" i="12" s="1"/>
  <c r="J7" i="12"/>
  <c r="J8" i="12" s="1"/>
  <c r="I7" i="12"/>
  <c r="I8" i="12" s="1"/>
  <c r="G7" i="12"/>
  <c r="F7" i="12"/>
  <c r="E7" i="12"/>
  <c r="E26" i="12" s="1"/>
  <c r="D7" i="12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H8" i="12" s="1"/>
  <c r="C3" i="12"/>
  <c r="AQ3" i="12" s="1"/>
  <c r="AB2" i="12"/>
  <c r="AB7" i="12" s="1"/>
  <c r="L2" i="12"/>
  <c r="L7" i="12" s="1"/>
  <c r="H2" i="12"/>
  <c r="C2" i="12"/>
  <c r="AQ72" i="11"/>
  <c r="AP72" i="11"/>
  <c r="AO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O72" i="11"/>
  <c r="N72" i="11"/>
  <c r="M72" i="11"/>
  <c r="L72" i="11"/>
  <c r="K72" i="11"/>
  <c r="J72" i="11"/>
  <c r="I72" i="11"/>
  <c r="H72" i="11"/>
  <c r="G72" i="11"/>
  <c r="F72" i="11"/>
  <c r="E72" i="11"/>
  <c r="D72" i="11"/>
  <c r="C72" i="11"/>
  <c r="AQ71" i="11"/>
  <c r="AB71" i="11"/>
  <c r="L71" i="11"/>
  <c r="H71" i="11"/>
  <c r="C71" i="11"/>
  <c r="AQ70" i="11"/>
  <c r="AB70" i="11"/>
  <c r="L70" i="11"/>
  <c r="H70" i="11"/>
  <c r="C70" i="11"/>
  <c r="AQ69" i="11"/>
  <c r="AB69" i="11"/>
  <c r="L69" i="11"/>
  <c r="H69" i="11"/>
  <c r="C69" i="11"/>
  <c r="AQ68" i="11"/>
  <c r="AB68" i="11"/>
  <c r="L68" i="11"/>
  <c r="H68" i="11"/>
  <c r="C68" i="11"/>
  <c r="AQ67" i="11"/>
  <c r="AB67" i="11"/>
  <c r="L67" i="11"/>
  <c r="H67" i="11"/>
  <c r="C67" i="11"/>
  <c r="AQ66" i="11"/>
  <c r="AB66" i="11"/>
  <c r="L66" i="11"/>
  <c r="H66" i="11"/>
  <c r="C66" i="11"/>
  <c r="AQ65" i="11"/>
  <c r="AE65" i="11"/>
  <c r="AB65" i="11"/>
  <c r="V65" i="11"/>
  <c r="L65" i="11"/>
  <c r="H65" i="11"/>
  <c r="D65" i="11"/>
  <c r="C65" i="11"/>
  <c r="AQ64" i="11"/>
  <c r="AB64" i="11"/>
  <c r="L64" i="11"/>
  <c r="H64" i="11"/>
  <c r="C64" i="11"/>
  <c r="AQ63" i="11"/>
  <c r="AB63" i="11"/>
  <c r="L63" i="11"/>
  <c r="H63" i="11"/>
  <c r="C63" i="11"/>
  <c r="AQ62" i="11"/>
  <c r="AB62" i="11"/>
  <c r="L62" i="11"/>
  <c r="H62" i="11"/>
  <c r="C62" i="11"/>
  <c r="AQ61" i="11"/>
  <c r="AB61" i="11"/>
  <c r="L61" i="11"/>
  <c r="H61" i="11"/>
  <c r="C61" i="11"/>
  <c r="AQ60" i="11"/>
  <c r="AB60" i="11"/>
  <c r="L60" i="11"/>
  <c r="H60" i="11"/>
  <c r="C60" i="11"/>
  <c r="AQ59" i="11"/>
  <c r="AB59" i="11"/>
  <c r="L59" i="11"/>
  <c r="H59" i="11"/>
  <c r="C59" i="11"/>
  <c r="AQ58" i="11"/>
  <c r="AP58" i="11"/>
  <c r="AN58" i="11"/>
  <c r="AJ58" i="11"/>
  <c r="AI58" i="11"/>
  <c r="AH58" i="11"/>
  <c r="AG58" i="11"/>
  <c r="AE58" i="11"/>
  <c r="AD58" i="11"/>
  <c r="AC58" i="11"/>
  <c r="AB58" i="11"/>
  <c r="Z58" i="11"/>
  <c r="Y58" i="11"/>
  <c r="X58" i="11"/>
  <c r="W58" i="11"/>
  <c r="V58" i="11"/>
  <c r="R58" i="11"/>
  <c r="P58" i="11"/>
  <c r="O58" i="11"/>
  <c r="N58" i="11"/>
  <c r="M58" i="11"/>
  <c r="L58" i="11"/>
  <c r="K58" i="11"/>
  <c r="J58" i="11"/>
  <c r="I58" i="11"/>
  <c r="H58" i="11"/>
  <c r="F58" i="11"/>
  <c r="C58" i="11"/>
  <c r="AQ57" i="11"/>
  <c r="AP57" i="11"/>
  <c r="AO57" i="11"/>
  <c r="AN57" i="11"/>
  <c r="AM57" i="11"/>
  <c r="AL57" i="11"/>
  <c r="AK57" i="11"/>
  <c r="AJ57" i="11"/>
  <c r="AI57" i="11"/>
  <c r="AH57" i="11"/>
  <c r="AG57" i="11"/>
  <c r="AF57" i="11"/>
  <c r="AE57" i="11"/>
  <c r="AD57" i="11"/>
  <c r="AC57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O57" i="11"/>
  <c r="N57" i="11"/>
  <c r="M57" i="11"/>
  <c r="L57" i="11"/>
  <c r="K57" i="11"/>
  <c r="J57" i="11"/>
  <c r="I57" i="11"/>
  <c r="H57" i="11"/>
  <c r="G57" i="11"/>
  <c r="F57" i="11"/>
  <c r="E57" i="11"/>
  <c r="D57" i="11"/>
  <c r="C57" i="11"/>
  <c r="AQ56" i="11"/>
  <c r="AB56" i="11"/>
  <c r="L56" i="11"/>
  <c r="H56" i="11"/>
  <c r="C56" i="11"/>
  <c r="AQ55" i="11"/>
  <c r="AB55" i="11"/>
  <c r="L55" i="11"/>
  <c r="H55" i="11"/>
  <c r="C55" i="11"/>
  <c r="AQ54" i="11"/>
  <c r="AB54" i="11"/>
  <c r="L54" i="11"/>
  <c r="H54" i="11"/>
  <c r="C54" i="11"/>
  <c r="AQ53" i="11"/>
  <c r="AB53" i="11"/>
  <c r="L53" i="11"/>
  <c r="H53" i="11"/>
  <c r="C53" i="11"/>
  <c r="AQ52" i="11"/>
  <c r="AB52" i="11"/>
  <c r="L52" i="11"/>
  <c r="H52" i="11"/>
  <c r="C52" i="11"/>
  <c r="AQ51" i="11"/>
  <c r="AB51" i="11"/>
  <c r="L51" i="11"/>
  <c r="H51" i="11"/>
  <c r="C51" i="11"/>
  <c r="AQ50" i="11"/>
  <c r="AB50" i="11"/>
  <c r="L50" i="11"/>
  <c r="H50" i="11"/>
  <c r="C50" i="11"/>
  <c r="AQ49" i="11"/>
  <c r="AB49" i="11"/>
  <c r="L49" i="11"/>
  <c r="H49" i="11"/>
  <c r="C49" i="11"/>
  <c r="AQ48" i="11"/>
  <c r="AB48" i="11"/>
  <c r="L48" i="11"/>
  <c r="H48" i="11"/>
  <c r="C48" i="11"/>
  <c r="AQ47" i="11"/>
  <c r="AB47" i="11"/>
  <c r="L47" i="11"/>
  <c r="H47" i="11"/>
  <c r="C47" i="11"/>
  <c r="AQ46" i="11"/>
  <c r="AB46" i="11"/>
  <c r="L46" i="11"/>
  <c r="H46" i="11"/>
  <c r="C46" i="11"/>
  <c r="AQ45" i="11"/>
  <c r="AP45" i="11"/>
  <c r="AO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O45" i="11"/>
  <c r="N45" i="11"/>
  <c r="M45" i="11"/>
  <c r="L45" i="11"/>
  <c r="K45" i="11"/>
  <c r="J45" i="11"/>
  <c r="I45" i="11"/>
  <c r="H45" i="11"/>
  <c r="G45" i="11"/>
  <c r="F45" i="11"/>
  <c r="E45" i="11"/>
  <c r="D45" i="11"/>
  <c r="C45" i="11"/>
  <c r="AQ44" i="11"/>
  <c r="AB44" i="11"/>
  <c r="L44" i="11"/>
  <c r="H44" i="11"/>
  <c r="C44" i="11"/>
  <c r="AQ43" i="11"/>
  <c r="AB43" i="11"/>
  <c r="L43" i="11"/>
  <c r="H43" i="11"/>
  <c r="C43" i="11"/>
  <c r="AQ42" i="11"/>
  <c r="AB42" i="11"/>
  <c r="L42" i="11"/>
  <c r="H42" i="11"/>
  <c r="C42" i="11"/>
  <c r="AQ41" i="11"/>
  <c r="AB41" i="11"/>
  <c r="L41" i="11"/>
  <c r="H41" i="11"/>
  <c r="C41" i="11"/>
  <c r="AQ40" i="11"/>
  <c r="AB40" i="11"/>
  <c r="L40" i="11"/>
  <c r="H40" i="11"/>
  <c r="C40" i="11"/>
  <c r="AQ39" i="11"/>
  <c r="AB39" i="11"/>
  <c r="L39" i="11"/>
  <c r="H39" i="11"/>
  <c r="C39" i="11"/>
  <c r="AQ38" i="11"/>
  <c r="AB38" i="11"/>
  <c r="L38" i="11"/>
  <c r="H38" i="11"/>
  <c r="C38" i="11"/>
  <c r="AQ37" i="11"/>
  <c r="AB37" i="11"/>
  <c r="L37" i="11"/>
  <c r="H37" i="11"/>
  <c r="C37" i="11"/>
  <c r="AQ36" i="11"/>
  <c r="AB36" i="11"/>
  <c r="L36" i="11"/>
  <c r="H36" i="11"/>
  <c r="C36" i="11"/>
  <c r="AQ35" i="11"/>
  <c r="AB35" i="11"/>
  <c r="L35" i="11"/>
  <c r="H35" i="11"/>
  <c r="C35" i="11"/>
  <c r="AQ34" i="11"/>
  <c r="AB34" i="11"/>
  <c r="L34" i="11"/>
  <c r="H34" i="11"/>
  <c r="C34" i="11"/>
  <c r="AQ33" i="11"/>
  <c r="AB33" i="11"/>
  <c r="L33" i="11"/>
  <c r="H33" i="11"/>
  <c r="C33" i="11"/>
  <c r="AQ32" i="11"/>
  <c r="AB32" i="11"/>
  <c r="L32" i="11"/>
  <c r="H32" i="11"/>
  <c r="C32" i="11"/>
  <c r="AQ31" i="11"/>
  <c r="AB31" i="11"/>
  <c r="L31" i="11"/>
  <c r="H31" i="11"/>
  <c r="C31" i="11"/>
  <c r="AQ30" i="11"/>
  <c r="AP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Z30" i="11"/>
  <c r="Y30" i="11"/>
  <c r="X30" i="11"/>
  <c r="W30" i="11"/>
  <c r="R30" i="11"/>
  <c r="P30" i="11"/>
  <c r="O30" i="11"/>
  <c r="N30" i="11"/>
  <c r="M30" i="11"/>
  <c r="L30" i="11"/>
  <c r="K30" i="11"/>
  <c r="J30" i="11"/>
  <c r="I30" i="11"/>
  <c r="H30" i="11"/>
  <c r="C30" i="11"/>
  <c r="AQ29" i="11"/>
  <c r="AP29" i="11"/>
  <c r="AO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AQ28" i="11"/>
  <c r="AB28" i="11"/>
  <c r="Z28" i="11"/>
  <c r="Y28" i="11"/>
  <c r="X28" i="11"/>
  <c r="L28" i="11"/>
  <c r="H28" i="11"/>
  <c r="C28" i="11"/>
  <c r="AQ27" i="11"/>
  <c r="AP27" i="11"/>
  <c r="AO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X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AQ26" i="11"/>
  <c r="AP26" i="11"/>
  <c r="AO26" i="11"/>
  <c r="AN26" i="11"/>
  <c r="AM26" i="11"/>
  <c r="AL26" i="11"/>
  <c r="AK26" i="11"/>
  <c r="AJ26" i="11"/>
  <c r="AI26" i="11"/>
  <c r="AH26" i="11"/>
  <c r="AG26" i="11"/>
  <c r="AF26" i="11"/>
  <c r="AE26" i="11"/>
  <c r="AD26" i="11"/>
  <c r="AC26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AQ25" i="11"/>
  <c r="AB25" i="11"/>
  <c r="L25" i="11"/>
  <c r="H25" i="11"/>
  <c r="C25" i="11"/>
  <c r="AQ24" i="11"/>
  <c r="AB24" i="11"/>
  <c r="L24" i="11"/>
  <c r="E24" i="11"/>
  <c r="C24" i="11"/>
  <c r="AQ23" i="11"/>
  <c r="AQ22" i="11"/>
  <c r="AO22" i="11"/>
  <c r="AD22" i="11"/>
  <c r="AC22" i="11"/>
  <c r="AB22" i="11"/>
  <c r="AQ21" i="11"/>
  <c r="AP21" i="11"/>
  <c r="AO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AQ20" i="11"/>
  <c r="AB20" i="11"/>
  <c r="L20" i="11"/>
  <c r="H20" i="11"/>
  <c r="AQ19" i="11"/>
  <c r="AB19" i="11"/>
  <c r="L19" i="11"/>
  <c r="H19" i="11"/>
  <c r="AQ18" i="11"/>
  <c r="AQ17" i="11"/>
  <c r="AB17" i="11"/>
  <c r="L17" i="11"/>
  <c r="H17" i="11"/>
  <c r="C17" i="11"/>
  <c r="AQ16" i="11"/>
  <c r="AB16" i="11"/>
  <c r="L16" i="11"/>
  <c r="H16" i="11"/>
  <c r="C16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AQ14" i="11"/>
  <c r="AB14" i="11"/>
  <c r="L14" i="11"/>
  <c r="H14" i="11"/>
  <c r="C14" i="11"/>
  <c r="AQ13" i="11"/>
  <c r="AB13" i="11"/>
  <c r="L13" i="11"/>
  <c r="H13" i="11"/>
  <c r="C13" i="11"/>
  <c r="AQ12" i="11"/>
  <c r="AQ11" i="11"/>
  <c r="AB11" i="11"/>
  <c r="L11" i="11"/>
  <c r="H11" i="11"/>
  <c r="C11" i="11"/>
  <c r="AQ10" i="11"/>
  <c r="AB10" i="11"/>
  <c r="L10" i="11"/>
  <c r="H10" i="11"/>
  <c r="C10" i="11"/>
  <c r="AQ9" i="1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AQ8" i="11"/>
  <c r="AP8" i="11"/>
  <c r="AO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AQ7" i="11"/>
  <c r="AP7" i="11"/>
  <c r="AO7" i="11"/>
  <c r="AN7" i="11"/>
  <c r="AM7" i="11"/>
  <c r="AL7" i="11"/>
  <c r="AK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AQ6" i="11"/>
  <c r="AB6" i="11"/>
  <c r="L6" i="11"/>
  <c r="H6" i="11"/>
  <c r="C6" i="11"/>
  <c r="AQ5" i="11"/>
  <c r="AB5" i="11"/>
  <c r="L5" i="11"/>
  <c r="H5" i="11"/>
  <c r="C5" i="11"/>
  <c r="AQ4" i="11"/>
  <c r="AB4" i="11"/>
  <c r="L4" i="11"/>
  <c r="H4" i="11"/>
  <c r="C4" i="11"/>
  <c r="AQ3" i="11"/>
  <c r="AB3" i="11"/>
  <c r="L3" i="11"/>
  <c r="H3" i="11"/>
  <c r="C3" i="11"/>
  <c r="AQ2" i="11"/>
  <c r="AB2" i="11"/>
  <c r="L2" i="11"/>
  <c r="H2" i="11"/>
  <c r="C2" i="11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AQ71" i="3"/>
  <c r="AB71" i="3"/>
  <c r="L71" i="3"/>
  <c r="H71" i="3"/>
  <c r="C71" i="3"/>
  <c r="AQ70" i="3"/>
  <c r="AB70" i="3"/>
  <c r="L70" i="3"/>
  <c r="H70" i="3"/>
  <c r="C70" i="3"/>
  <c r="AQ69" i="3"/>
  <c r="AB69" i="3"/>
  <c r="L69" i="3"/>
  <c r="H69" i="3"/>
  <c r="C69" i="3"/>
  <c r="AQ68" i="3"/>
  <c r="AB68" i="3"/>
  <c r="L68" i="3"/>
  <c r="H68" i="3"/>
  <c r="C68" i="3"/>
  <c r="AQ67" i="3"/>
  <c r="AB67" i="3"/>
  <c r="L67" i="3"/>
  <c r="H67" i="3"/>
  <c r="C67" i="3"/>
  <c r="AQ66" i="3"/>
  <c r="AB66" i="3"/>
  <c r="L66" i="3"/>
  <c r="H66" i="3"/>
  <c r="C66" i="3"/>
  <c r="AQ65" i="3"/>
  <c r="AE65" i="3"/>
  <c r="AB65" i="3"/>
  <c r="V65" i="3"/>
  <c r="L65" i="3"/>
  <c r="H65" i="3"/>
  <c r="D65" i="3"/>
  <c r="C65" i="3"/>
  <c r="AQ64" i="3"/>
  <c r="AB64" i="3"/>
  <c r="L64" i="3"/>
  <c r="H64" i="3"/>
  <c r="C64" i="3"/>
  <c r="AQ63" i="3"/>
  <c r="AB63" i="3"/>
  <c r="L63" i="3"/>
  <c r="H63" i="3"/>
  <c r="C63" i="3"/>
  <c r="AQ62" i="3"/>
  <c r="AB62" i="3"/>
  <c r="L62" i="3"/>
  <c r="H62" i="3"/>
  <c r="C62" i="3"/>
  <c r="AQ61" i="3"/>
  <c r="AB61" i="3"/>
  <c r="L61" i="3"/>
  <c r="H61" i="3"/>
  <c r="C61" i="3"/>
  <c r="AQ60" i="3"/>
  <c r="AB60" i="3"/>
  <c r="L60" i="3"/>
  <c r="H60" i="3"/>
  <c r="C60" i="3"/>
  <c r="AQ59" i="3"/>
  <c r="AB59" i="3"/>
  <c r="L59" i="3"/>
  <c r="H59" i="3"/>
  <c r="C59" i="3"/>
  <c r="AQ58" i="3"/>
  <c r="AP58" i="3"/>
  <c r="AN58" i="3"/>
  <c r="AJ58" i="3"/>
  <c r="AI58" i="3"/>
  <c r="AH58" i="3"/>
  <c r="AG58" i="3"/>
  <c r="AE58" i="3"/>
  <c r="AD58" i="3"/>
  <c r="AC58" i="3"/>
  <c r="AB58" i="3"/>
  <c r="Z58" i="3"/>
  <c r="Y58" i="3"/>
  <c r="X58" i="3"/>
  <c r="W58" i="3"/>
  <c r="V58" i="3"/>
  <c r="R58" i="3"/>
  <c r="P58" i="3"/>
  <c r="O58" i="3"/>
  <c r="N58" i="3"/>
  <c r="M58" i="3"/>
  <c r="L58" i="3"/>
  <c r="K58" i="3"/>
  <c r="J58" i="3"/>
  <c r="I58" i="3"/>
  <c r="H58" i="3"/>
  <c r="F58" i="3"/>
  <c r="C58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AQ56" i="3"/>
  <c r="AB56" i="3"/>
  <c r="L56" i="3"/>
  <c r="H56" i="3"/>
  <c r="C56" i="3"/>
  <c r="AQ55" i="3"/>
  <c r="AB55" i="3"/>
  <c r="L55" i="3"/>
  <c r="H55" i="3"/>
  <c r="C55" i="3"/>
  <c r="AQ54" i="3"/>
  <c r="AB54" i="3"/>
  <c r="L54" i="3"/>
  <c r="H54" i="3"/>
  <c r="C54" i="3"/>
  <c r="AQ53" i="3"/>
  <c r="AB53" i="3"/>
  <c r="L53" i="3"/>
  <c r="H53" i="3"/>
  <c r="C53" i="3"/>
  <c r="AQ52" i="3"/>
  <c r="AB52" i="3"/>
  <c r="L52" i="3"/>
  <c r="H52" i="3"/>
  <c r="C52" i="3"/>
  <c r="AQ51" i="3"/>
  <c r="AB51" i="3"/>
  <c r="L51" i="3"/>
  <c r="H51" i="3"/>
  <c r="C51" i="3"/>
  <c r="AQ50" i="3"/>
  <c r="AB50" i="3"/>
  <c r="L50" i="3"/>
  <c r="H50" i="3"/>
  <c r="C50" i="3"/>
  <c r="AQ49" i="3"/>
  <c r="AB49" i="3"/>
  <c r="L49" i="3"/>
  <c r="H49" i="3"/>
  <c r="C49" i="3"/>
  <c r="AQ48" i="3"/>
  <c r="AB48" i="3"/>
  <c r="L48" i="3"/>
  <c r="H48" i="3"/>
  <c r="C48" i="3"/>
  <c r="AQ47" i="3"/>
  <c r="AB47" i="3"/>
  <c r="L47" i="3"/>
  <c r="H47" i="3"/>
  <c r="C47" i="3"/>
  <c r="AQ46" i="3"/>
  <c r="AB46" i="3"/>
  <c r="L46" i="3"/>
  <c r="H46" i="3"/>
  <c r="C46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AQ44" i="3"/>
  <c r="AB44" i="3"/>
  <c r="L44" i="3"/>
  <c r="H44" i="3"/>
  <c r="C44" i="3"/>
  <c r="AQ43" i="3"/>
  <c r="AB43" i="3"/>
  <c r="L43" i="3"/>
  <c r="H43" i="3"/>
  <c r="C43" i="3"/>
  <c r="AQ42" i="3"/>
  <c r="AB42" i="3"/>
  <c r="L42" i="3"/>
  <c r="H42" i="3"/>
  <c r="C42" i="3"/>
  <c r="AQ41" i="3"/>
  <c r="AB41" i="3"/>
  <c r="L41" i="3"/>
  <c r="H41" i="3"/>
  <c r="C41" i="3"/>
  <c r="AQ40" i="3"/>
  <c r="AB40" i="3"/>
  <c r="L40" i="3"/>
  <c r="H40" i="3"/>
  <c r="C40" i="3"/>
  <c r="AQ39" i="3"/>
  <c r="AB39" i="3"/>
  <c r="L39" i="3"/>
  <c r="H39" i="3"/>
  <c r="C39" i="3"/>
  <c r="AQ38" i="3"/>
  <c r="AB38" i="3"/>
  <c r="L38" i="3"/>
  <c r="H38" i="3"/>
  <c r="C38" i="3"/>
  <c r="AQ37" i="3"/>
  <c r="AB37" i="3"/>
  <c r="L37" i="3"/>
  <c r="H37" i="3"/>
  <c r="C37" i="3"/>
  <c r="AQ36" i="3"/>
  <c r="AB36" i="3"/>
  <c r="L36" i="3"/>
  <c r="H36" i="3"/>
  <c r="C36" i="3"/>
  <c r="AQ35" i="3"/>
  <c r="AB35" i="3"/>
  <c r="L35" i="3"/>
  <c r="H35" i="3"/>
  <c r="C35" i="3"/>
  <c r="AQ34" i="3"/>
  <c r="AB34" i="3"/>
  <c r="L34" i="3"/>
  <c r="H34" i="3"/>
  <c r="C34" i="3"/>
  <c r="AQ33" i="3"/>
  <c r="AB33" i="3"/>
  <c r="L33" i="3"/>
  <c r="H33" i="3"/>
  <c r="C33" i="3"/>
  <c r="AQ32" i="3"/>
  <c r="AB32" i="3"/>
  <c r="L32" i="3"/>
  <c r="H32" i="3"/>
  <c r="C32" i="3"/>
  <c r="AQ31" i="3"/>
  <c r="AB31" i="3"/>
  <c r="L31" i="3"/>
  <c r="H31" i="3"/>
  <c r="C31" i="3"/>
  <c r="AQ30" i="3"/>
  <c r="AP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Z30" i="3"/>
  <c r="Y30" i="3"/>
  <c r="X30" i="3"/>
  <c r="W30" i="3"/>
  <c r="R30" i="3"/>
  <c r="P30" i="3"/>
  <c r="O30" i="3"/>
  <c r="N30" i="3"/>
  <c r="M30" i="3"/>
  <c r="L30" i="3"/>
  <c r="K30" i="3"/>
  <c r="J30" i="3"/>
  <c r="I30" i="3"/>
  <c r="H30" i="3"/>
  <c r="C30" i="3"/>
  <c r="AQ29" i="3"/>
  <c r="AP29" i="3"/>
  <c r="AO29" i="3"/>
  <c r="AN29" i="3"/>
  <c r="AM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AQ28" i="3"/>
  <c r="AB28" i="3"/>
  <c r="Z28" i="3"/>
  <c r="Y28" i="3"/>
  <c r="X28" i="3"/>
  <c r="L28" i="3"/>
  <c r="H28" i="3"/>
  <c r="C28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AQ25" i="3"/>
  <c r="AB25" i="3"/>
  <c r="L25" i="3"/>
  <c r="H25" i="3"/>
  <c r="C25" i="3"/>
  <c r="AQ24" i="3"/>
  <c r="AB24" i="3"/>
  <c r="L24" i="3"/>
  <c r="E24" i="3"/>
  <c r="C24" i="3"/>
  <c r="AQ23" i="3"/>
  <c r="AQ22" i="3"/>
  <c r="AO22" i="3"/>
  <c r="AD22" i="3"/>
  <c r="AC22" i="3"/>
  <c r="AB22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AQ20" i="3"/>
  <c r="AB20" i="3"/>
  <c r="L20" i="3"/>
  <c r="H20" i="3"/>
  <c r="AQ19" i="3"/>
  <c r="AB19" i="3"/>
  <c r="L19" i="3"/>
  <c r="H19" i="3"/>
  <c r="AQ18" i="3"/>
  <c r="AQ17" i="3"/>
  <c r="AB17" i="3"/>
  <c r="L17" i="3"/>
  <c r="H17" i="3"/>
  <c r="C17" i="3"/>
  <c r="AQ16" i="3"/>
  <c r="AB16" i="3"/>
  <c r="L16" i="3"/>
  <c r="H16" i="3"/>
  <c r="C16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AQ14" i="3"/>
  <c r="AB14" i="3"/>
  <c r="L14" i="3"/>
  <c r="H14" i="3"/>
  <c r="C14" i="3"/>
  <c r="AQ13" i="3"/>
  <c r="AB13" i="3"/>
  <c r="L13" i="3"/>
  <c r="H13" i="3"/>
  <c r="C13" i="3"/>
  <c r="AQ12" i="3"/>
  <c r="AQ11" i="3"/>
  <c r="AB11" i="3"/>
  <c r="L11" i="3"/>
  <c r="H11" i="3"/>
  <c r="C11" i="3"/>
  <c r="AQ10" i="3"/>
  <c r="AB10" i="3"/>
  <c r="L10" i="3"/>
  <c r="H10" i="3"/>
  <c r="C10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AQ6" i="3"/>
  <c r="AB6" i="3"/>
  <c r="L6" i="3"/>
  <c r="H6" i="3"/>
  <c r="C6" i="3"/>
  <c r="AQ5" i="3"/>
  <c r="AB5" i="3"/>
  <c r="L5" i="3"/>
  <c r="H5" i="3"/>
  <c r="C5" i="3"/>
  <c r="AQ4" i="3"/>
  <c r="AB4" i="3"/>
  <c r="L4" i="3"/>
  <c r="H4" i="3"/>
  <c r="C4" i="3"/>
  <c r="AQ3" i="3"/>
  <c r="AB3" i="3"/>
  <c r="L3" i="3"/>
  <c r="H3" i="3"/>
  <c r="C3" i="3"/>
  <c r="AQ2" i="3"/>
  <c r="AB2" i="3"/>
  <c r="L2" i="3"/>
  <c r="H2" i="3"/>
  <c r="C2" i="3"/>
  <c r="AD7" i="2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  <c r="O26" i="12" l="1"/>
  <c r="O8" i="12"/>
  <c r="W26" i="12"/>
  <c r="W8" i="12"/>
  <c r="N8" i="12"/>
  <c r="C7" i="12"/>
  <c r="F26" i="12"/>
  <c r="P8" i="12"/>
  <c r="AL8" i="12"/>
  <c r="K26" i="12"/>
  <c r="S26" i="12"/>
  <c r="AA26" i="12"/>
  <c r="AI26" i="12"/>
  <c r="AQ14" i="12"/>
  <c r="L28" i="12"/>
  <c r="L27" i="12" s="1"/>
  <c r="L8" i="12" s="1"/>
  <c r="X27" i="12"/>
  <c r="X8" i="12" s="1"/>
  <c r="G26" i="12"/>
  <c r="G8" i="12"/>
  <c r="Y8" i="12"/>
  <c r="U8" i="12"/>
  <c r="AQ16" i="12"/>
  <c r="H15" i="12"/>
  <c r="AQ15" i="12" s="1"/>
  <c r="L26" i="12"/>
  <c r="E8" i="12"/>
  <c r="AB8" i="12"/>
  <c r="AB15" i="12"/>
  <c r="AB26" i="12" s="1"/>
  <c r="V8" i="12"/>
  <c r="AQ2" i="12"/>
  <c r="AC26" i="12"/>
  <c r="AK26" i="12"/>
  <c r="F8" i="12"/>
  <c r="AC8" i="12"/>
  <c r="L21" i="12"/>
  <c r="AD8" i="12"/>
  <c r="I26" i="12"/>
  <c r="AE26" i="12"/>
  <c r="AE8" i="12"/>
  <c r="AM26" i="12"/>
  <c r="AM8" i="12"/>
  <c r="M8" i="12"/>
  <c r="C27" i="12"/>
  <c r="AO22" i="12"/>
  <c r="AO21" i="12" s="1"/>
  <c r="AO26" i="12" s="1"/>
  <c r="AQ28" i="12" l="1"/>
  <c r="AQ27" i="12" s="1"/>
  <c r="H26" i="12"/>
  <c r="C8" i="12"/>
  <c r="AQ8" i="12" s="1"/>
  <c r="AQ7" i="12"/>
  <c r="C26" i="12"/>
  <c r="AQ26" i="12" s="1"/>
  <c r="AQ22" i="12"/>
  <c r="AQ21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<sst xmlns="http://schemas.openxmlformats.org/spreadsheetml/2006/main" count="833" uniqueCount="443">
  <si>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</si>
  <si>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</si>
  <si>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</si>
  <si>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</si>
  <si>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</si>
  <si>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</si>
  <si>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</si>
  <si>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</si>
  <si>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</si>
  <si>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</si>
  <si>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</si>
  <si>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</si>
  <si>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</si>
  <si>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</si>
  <si>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</si>
  <si>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</si>
  <si>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</si>
  <si>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</si>
  <si>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</si>
  <si>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</si>
  <si>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</si>
  <si>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</si>
  <si>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</si>
  <si>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</si>
  <si>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</si>
  <si>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</si>
  <si>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</si>
  <si>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</si>
  <si>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</si>
  <si>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</si>
  <si>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</si>
  <si>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</si>
  <si>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</si>
  <si>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</si>
  <si>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</si>
  <si>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</si>
  <si>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</si>
  <si>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</si>
  <si>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</si>
  <si>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</si>
  <si>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</si>
  <si>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</si>
  <si>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</si>
  <si>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</si>
  <si>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</si>
  <si>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</si>
  <si>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</si>
  <si>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</si>
  <si>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</si>
  <si>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</si>
  <si>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</si>
  <si>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</si>
  <si>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</si>
  <si>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</si>
  <si>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</si>
  <si>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</si>
  <si>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</si>
  <si>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</si>
  <si>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</si>
  <si>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</si>
  <si>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</si>
  <si>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</si>
  <si>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</si>
  <si>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</si>
  <si>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</si>
  <si>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</si>
  <si>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</si>
  <si>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</si>
  <si>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</si>
  <si>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</si>
  <si>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</si>
  <si>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</si>
  <si>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</si>
  <si>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</si>
  <si>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</si>
  <si>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</si>
  <si>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</si>
  <si>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</si>
  <si>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</si>
  <si>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</si>
  <si>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</si>
  <si>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</si>
  <si>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</si>
  <si>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</si>
  <si>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</si>
  <si>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</si>
  <si>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</si>
  <si>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</si>
  <si>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</si>
  <si>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</si>
  <si>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</si>
  <si>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</si>
  <si>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</si>
  <si>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</si>
  <si>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</si>
  <si>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</si>
  <si>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</si>
  <si>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</si>
  <si>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</si>
  <si>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</si>
  <si>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</si>
  <si>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Public Thermal Power Plants</t>
  </si>
  <si>
    <t>Combined Heat and Power Plants</t>
  </si>
  <si>
    <t>Pumped Storage Consumption</t>
  </si>
  <si>
    <t>Briquetting Plants</t>
  </si>
  <si>
    <t>Oil Refineries &amp; other energy sector</t>
  </si>
  <si>
    <t>Transformation Output</t>
  </si>
  <si>
    <t>Pumped Storage Generation</t>
  </si>
  <si>
    <t>Oil Refineries</t>
  </si>
  <si>
    <t>Exchanges and transfers</t>
  </si>
  <si>
    <t>Electricity</t>
  </si>
  <si>
    <t>Heat</t>
  </si>
  <si>
    <t xml:space="preserve">Other 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</si>
  <si>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</si>
  <si>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</si>
  <si>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</si>
  <si>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</si>
  <si>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</si>
  <si>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</si>
  <si>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</si>
  <si>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</si>
  <si>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</si>
  <si>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</si>
  <si>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</si>
  <si>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</si>
  <si>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</si>
  <si>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</si>
  <si>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</si>
  <si>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</si>
  <si>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</si>
  <si>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</si>
  <si>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</si>
  <si>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</si>
  <si>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</si>
  <si>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</si>
  <si>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</si>
  <si>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</si>
  <si>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</si>
  <si>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</si>
  <si>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</si>
  <si>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</si>
  <si>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</si>
  <si>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</si>
  <si>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</si>
  <si>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</si>
  <si>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</si>
  <si>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</si>
  <si>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</si>
  <si>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</si>
  <si>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</si>
  <si>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</si>
  <si>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</si>
  <si>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</si>
  <si>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</si>
  <si>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</si>
  <si>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</si>
  <si>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</si>
  <si>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</si>
  <si>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</si>
  <si>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</si>
  <si>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</si>
  <si>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</si>
  <si>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</si>
  <si>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</si>
  <si>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</si>
  <si>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</si>
  <si>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</si>
  <si>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</si>
  <si>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</si>
  <si>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</si>
  <si>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</si>
  <si>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</si>
  <si>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</si>
  <si>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</si>
  <si>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</si>
  <si>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</si>
  <si>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</si>
  <si>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</si>
  <si>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</si>
  <si>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</si>
  <si>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</si>
  <si>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</si>
  <si>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</si>
  <si>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</si>
  <si>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</si>
  <si>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</si>
  <si>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</si>
  <si>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</si>
  <si>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</si>
  <si>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</si>
  <si>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</si>
  <si>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</si>
  <si>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</si>
  <si>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</si>
  <si>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</si>
  <si>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</si>
  <si>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</si>
  <si>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</si>
  <si>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</si>
  <si>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</si>
  <si>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</si>
  <si>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>*Industry &amp; Services sub-sectoral breakdown is based on the BEUS 2017</t>
  </si>
  <si>
    <t>Last Updated : 21st October 2020</t>
  </si>
  <si>
    <t xml:space="preserve">2019                        Units = ktoe
</t>
  </si>
  <si>
    <t>Last Updated : 6th November 2020</t>
  </si>
  <si>
    <t>2019 provisional data</t>
  </si>
  <si>
    <t>2019 provisional data based on 2018 breakdown</t>
  </si>
  <si>
    <t>2018 data</t>
  </si>
  <si>
    <t>2020 provisional data</t>
  </si>
  <si>
    <t>Last Updated : 21/4/2021</t>
  </si>
  <si>
    <t>Public Services</t>
  </si>
  <si>
    <t>Commercial Services</t>
  </si>
  <si>
    <t>NACE 
(Rev 2)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</si>
  <si>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</si>
  <si>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</si>
  <si>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</si>
  <si>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</si>
  <si>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</si>
  <si>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</si>
  <si>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</si>
  <si>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</si>
  <si>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</si>
  <si>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</si>
  <si>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</si>
  <si>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</si>
  <si>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</si>
  <si>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</si>
  <si>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*FT-PWRHFO</t>
  </si>
  <si>
    <t>*FT-PWRDIS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</si>
  <si>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</si>
  <si>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</si>
  <si>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</si>
  <si>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</si>
  <si>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</si>
  <si>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</si>
  <si>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</si>
  <si>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</si>
  <si>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</si>
  <si>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</si>
  <si>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</si>
  <si>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</si>
  <si>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</si>
  <si>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</si>
  <si>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</si>
  <si>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</si>
  <si>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</si>
  <si>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</si>
  <si>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</si>
  <si>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</si>
  <si>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</si>
  <si>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</si>
  <si>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</si>
  <si>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</si>
  <si>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</si>
  <si>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</si>
  <si>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</si>
  <si>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</si>
  <si>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</si>
  <si>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</si>
  <si>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</si>
  <si>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</si>
  <si>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</si>
  <si>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</si>
  <si>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</si>
  <si>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</si>
  <si>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</si>
  <si>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</si>
  <si>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</si>
  <si>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</si>
  <si>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</si>
  <si>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</si>
  <si>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</si>
  <si>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</si>
  <si>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</si>
  <si>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</si>
  <si>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</si>
  <si>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</si>
  <si>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</si>
  <si>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</si>
  <si>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</si>
  <si>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</si>
  <si>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</si>
  <si>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</si>
  <si>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</si>
  <si>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</si>
  <si>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</si>
  <si>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</si>
  <si>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</si>
  <si>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</si>
  <si>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</si>
  <si>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</si>
  <si>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</si>
  <si>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</si>
  <si>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</si>
  <si>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</si>
  <si>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</si>
  <si>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</si>
  <si>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</si>
  <si>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</si>
  <si>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</si>
  <si>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</si>
  <si>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</si>
  <si>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</si>
  <si>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</si>
  <si>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</si>
  <si>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</si>
  <si>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</si>
  <si>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</si>
  <si>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</si>
  <si>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</si>
  <si>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</si>
  <si>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</si>
  <si>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</si>
  <si>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</si>
  <si>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</si>
  <si>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</si>
  <si>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</si>
  <si>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</si>
  <si>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</si>
  <si>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</si>
  <si>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</si>
  <si>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</si>
  <si>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</si>
  <si>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</si>
  <si>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</si>
  <si>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</si>
  <si>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</si>
  <si>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</si>
  <si>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</si>
  <si>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</si>
  <si>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</si>
  <si>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</si>
  <si>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</si>
  <si>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</si>
  <si>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</si>
  <si>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</si>
  <si>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</si>
  <si>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</si>
  <si>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</si>
  <si>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</si>
  <si>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</si>
  <si>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</si>
  <si>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</si>
  <si>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</si>
  <si>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</si>
  <si>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</si>
  <si>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</si>
  <si>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</si>
  <si>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</si>
  <si>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</si>
  <si>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</si>
  <si>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</si>
  <si>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</si>
  <si>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</si>
  <si>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</si>
  <si>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</si>
  <si>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</si>
  <si>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</si>
  <si>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</si>
  <si>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</si>
  <si>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</si>
  <si>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</si>
  <si>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</si>
  <si>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</si>
  <si>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</si>
  <si>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</si>
  <si>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</si>
  <si>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</si>
  <si>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</si>
  <si>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</si>
  <si>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</si>
  <si>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</si>
  <si>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</si>
  <si>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</si>
  <si>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</si>
  <si>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</si>
  <si>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</si>
  <si>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</si>
  <si>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</si>
  <si>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</si>
  <si>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</si>
  <si>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</si>
  <si>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</si>
  <si>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</si>
  <si>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</si>
  <si>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</si>
  <si>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</si>
  <si>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</si>
  <si>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</si>
  <si>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</si>
  <si>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</si>
  <si>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</si>
  <si>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</si>
  <si>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</si>
  <si>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</si>
  <si>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</si>
  <si>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</si>
  <si>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</si>
  <si>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</si>
  <si>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</si>
  <si>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</si>
  <si>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</si>
  <si>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</si>
  <si>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</si>
  <si>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</si>
  <si>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</si>
  <si>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</si>
  <si>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</si>
  <si>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</si>
  <si>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</si>
  <si>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</si>
  <si>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</si>
  <si>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</si>
  <si>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</si>
  <si>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</si>
  <si>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</si>
  <si>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</si>
  <si>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</si>
  <si>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</si>
  <si>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</si>
  <si>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</si>
  <si>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</si>
  <si>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</si>
  <si>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UC_COMNET</t>
  </si>
  <si>
    <t>UC_FLO</t>
  </si>
  <si>
    <t>UP</t>
  </si>
  <si>
    <t>Other_indexes</t>
  </si>
  <si>
    <t>ENV</t>
  </si>
  <si>
    <t>Cset_Set</t>
  </si>
  <si>
    <t>*CO2*,-*CO2S</t>
  </si>
  <si>
    <t>Cset_CN</t>
  </si>
  <si>
    <t>T-A*INT*,T-NAV*</t>
  </si>
  <si>
    <t>Value</t>
  </si>
  <si>
    <t>UC_desc</t>
  </si>
  <si>
    <t>UC_N</t>
  </si>
  <si>
    <t>*kt</t>
  </si>
  <si>
    <t>*Units</t>
  </si>
  <si>
    <t>UC_Desc</t>
  </si>
  <si>
    <t>UC_RHSRTS</t>
  </si>
  <si>
    <t>~UC_Sets: T_S:</t>
  </si>
  <si>
    <t>UC - Each Region/All Periods</t>
  </si>
  <si>
    <t>UC_RHSTS</t>
  </si>
  <si>
    <t>UC - All Regions/Each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</si>
</sst>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sz val="10"/>
      <name val="Myriad Pro"/>
    </font>
    <font>
      <b/>
      <sz val="10"/>
      <name val="Myriad Pro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sz val="10"/>
      <color theme="3"/>
      <name val="Myriad Pro"/>
      <family val="2"/>
    </font>
    <font>
      <b/>
      <sz val="11"/>
      <color theme="3"/>
      <name val="Myriad Pro"/>
      <family val="2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indexed="8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77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6" fontId="4" fillId="0" borderId="0" xfId="0" applyNumberFormat="1" applyFont="1" applyFill="1" applyBorder="1" applyAlignment="1">
      <alignment horizontal="center"/>
    </xf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5" fillId="0" borderId="0" xfId="0" applyNumberFormat="1" applyFont="1"/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164" fontId="4" fillId="0" borderId="90" xfId="1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38" fontId="4" fillId="0" borderId="0" xfId="0" applyNumberFormat="1" applyFont="1"/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6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9" fontId="5" fillId="0" borderId="0" xfId="2" applyFont="1"/>
    <xf numFmtId="38" fontId="3" fillId="0" borderId="0" xfId="0" applyNumberFormat="1" applyFont="1" applyAlignment="1">
      <alignment horizontal="left" wrapText="1"/>
    </xf>
    <xf numFmtId="38" fontId="4" fillId="0" borderId="6" xfId="0" applyNumberFormat="1" applyFont="1" applyBorder="1" applyAlignment="1">
      <alignment horizontal="center" wrapText="1"/>
    </xf>
    <xf numFmtId="38" fontId="4" fillId="0" borderId="7" xfId="0" applyNumberFormat="1" applyFont="1" applyBorder="1" applyAlignment="1">
      <alignment horizontal="center" textRotation="90" wrapText="1"/>
    </xf>
    <xf numFmtId="38" fontId="4" fillId="0" borderId="8" xfId="0" applyNumberFormat="1" applyFont="1" applyBorder="1" applyAlignment="1">
      <alignment horizontal="center" textRotation="90" wrapText="1"/>
    </xf>
    <xf numFmtId="38" fontId="4" fillId="0" borderId="9" xfId="0" applyNumberFormat="1" applyFont="1" applyBorder="1" applyAlignment="1">
      <alignment horizontal="center" textRotation="90" wrapText="1"/>
    </xf>
    <xf numFmtId="38" fontId="4" fillId="0" borderId="10" xfId="0" applyNumberFormat="1" applyFont="1" applyBorder="1" applyAlignment="1">
      <alignment horizontal="center" textRotation="90" wrapText="1"/>
    </xf>
    <xf numFmtId="38" fontId="4" fillId="0" borderId="11" xfId="0" applyNumberFormat="1" applyFont="1" applyBorder="1" applyAlignment="1">
      <alignment horizontal="center" textRotation="90" wrapText="1"/>
    </xf>
    <xf numFmtId="38" fontId="4" fillId="0" borderId="12" xfId="0" applyNumberFormat="1" applyFont="1" applyBorder="1" applyAlignment="1">
      <alignment horizontal="center" textRotation="90" wrapText="1"/>
    </xf>
    <xf numFmtId="38" fontId="4" fillId="0" borderId="13" xfId="0" applyNumberFormat="1" applyFont="1" applyBorder="1" applyAlignment="1">
      <alignment horizontal="center" textRotation="90" wrapText="1"/>
    </xf>
    <xf numFmtId="38" fontId="4" fillId="0" borderId="14" xfId="0" applyNumberFormat="1" applyFont="1" applyBorder="1" applyAlignment="1">
      <alignment horizontal="center" textRotation="90" wrapText="1"/>
    </xf>
    <xf numFmtId="38" fontId="5" fillId="0" borderId="0" xfId="0" applyNumberFormat="1" applyFont="1"/>
    <xf numFmtId="38" fontId="5" fillId="0" borderId="15" xfId="0" applyNumberFormat="1" applyFont="1" applyBorder="1" applyAlignment="1">
      <alignment horizontal="left"/>
    </xf>
    <xf numFmtId="38" fontId="4" fillId="0" borderId="16" xfId="0" applyNumberFormat="1" applyFont="1" applyBorder="1" applyAlignment="1">
      <alignment horizontal="center"/>
    </xf>
    <xf numFmtId="38" fontId="4" fillId="0" borderId="17" xfId="0" applyNumberFormat="1" applyFont="1" applyBorder="1" applyAlignment="1">
      <alignment horizontal="center"/>
    </xf>
    <xf numFmtId="38" fontId="4" fillId="0" borderId="18" xfId="0" applyNumberFormat="1" applyFont="1" applyBorder="1" applyAlignment="1">
      <alignment horizontal="center"/>
    </xf>
    <xf numFmtId="38" fontId="4" fillId="0" borderId="19" xfId="0" applyNumberFormat="1" applyFont="1" applyBorder="1" applyAlignment="1">
      <alignment horizontal="center"/>
    </xf>
    <xf numFmtId="38" fontId="5" fillId="0" borderId="20" xfId="0" applyNumberFormat="1" applyFont="1" applyBorder="1" applyAlignment="1">
      <alignment horizontal="center"/>
    </xf>
    <xf numFmtId="38" fontId="4" fillId="0" borderId="21" xfId="0" applyNumberFormat="1" applyFont="1" applyBorder="1" applyAlignment="1">
      <alignment horizontal="center"/>
    </xf>
    <xf numFmtId="38" fontId="5" fillId="0" borderId="18" xfId="0" applyNumberFormat="1" applyFont="1" applyBorder="1" applyAlignment="1">
      <alignment horizontal="center"/>
    </xf>
    <xf numFmtId="38" fontId="5" fillId="0" borderId="19" xfId="0" applyNumberFormat="1" applyFont="1" applyBorder="1" applyAlignment="1">
      <alignment horizontal="center"/>
    </xf>
    <xf numFmtId="38" fontId="5" fillId="0" borderId="46" xfId="0" applyNumberFormat="1" applyFont="1" applyBorder="1" applyAlignment="1">
      <alignment horizontal="center"/>
    </xf>
    <xf numFmtId="38" fontId="5" fillId="0" borderId="22" xfId="0" applyNumberFormat="1" applyFont="1" applyBorder="1" applyAlignment="1">
      <alignment horizontal="center"/>
    </xf>
    <xf numFmtId="38" fontId="4" fillId="0" borderId="15" xfId="0" applyNumberFormat="1" applyFont="1" applyBorder="1" applyAlignment="1">
      <alignment horizontal="center"/>
    </xf>
    <xf numFmtId="38" fontId="5" fillId="0" borderId="23" xfId="0" applyNumberFormat="1" applyFont="1" applyBorder="1" applyAlignment="1">
      <alignment horizontal="center"/>
    </xf>
    <xf numFmtId="38" fontId="5" fillId="0" borderId="21" xfId="0" applyNumberFormat="1" applyFont="1" applyBorder="1" applyAlignment="1">
      <alignment horizontal="center"/>
    </xf>
    <xf numFmtId="38" fontId="5" fillId="0" borderId="24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/>
    </xf>
    <xf numFmtId="38" fontId="4" fillId="0" borderId="26" xfId="0" applyNumberFormat="1" applyFont="1" applyBorder="1" applyAlignment="1">
      <alignment horizontal="center"/>
    </xf>
    <xf numFmtId="38" fontId="4" fillId="0" borderId="27" xfId="0" applyNumberFormat="1" applyFont="1" applyBorder="1" applyAlignment="1">
      <alignment horizontal="center"/>
    </xf>
    <xf numFmtId="38" fontId="4" fillId="0" borderId="28" xfId="0" applyNumberFormat="1" applyFont="1" applyBorder="1" applyAlignment="1">
      <alignment horizontal="center"/>
    </xf>
    <xf numFmtId="38" fontId="4" fillId="0" borderId="29" xfId="0" applyNumberFormat="1" applyFont="1" applyBorder="1" applyAlignment="1">
      <alignment horizontal="center"/>
    </xf>
    <xf numFmtId="38" fontId="5" fillId="0" borderId="29" xfId="0" applyNumberFormat="1" applyFont="1" applyBorder="1" applyAlignment="1">
      <alignment horizontal="center"/>
    </xf>
    <xf numFmtId="38" fontId="4" fillId="0" borderId="30" xfId="0" applyNumberFormat="1" applyFont="1" applyBorder="1" applyAlignment="1">
      <alignment horizontal="center"/>
    </xf>
    <xf numFmtId="38" fontId="5" fillId="0" borderId="28" xfId="0" applyNumberFormat="1" applyFont="1" applyBorder="1" applyAlignment="1">
      <alignment horizontal="center"/>
    </xf>
    <xf numFmtId="38" fontId="5" fillId="0" borderId="31" xfId="0" applyNumberFormat="1" applyFont="1" applyBorder="1" applyAlignment="1">
      <alignment horizontal="center"/>
    </xf>
    <xf numFmtId="38" fontId="4" fillId="0" borderId="25" xfId="0" applyNumberFormat="1" applyFont="1" applyBorder="1" applyAlignment="1">
      <alignment horizontal="center"/>
    </xf>
    <xf numFmtId="38" fontId="5" fillId="0" borderId="32" xfId="0" applyNumberFormat="1" applyFont="1" applyBorder="1" applyAlignment="1">
      <alignment horizontal="center"/>
    </xf>
    <xf numFmtId="38" fontId="5" fillId="0" borderId="30" xfId="0" applyNumberFormat="1" applyFont="1" applyBorder="1" applyAlignment="1">
      <alignment horizontal="center"/>
    </xf>
    <xf numFmtId="38" fontId="5" fillId="0" borderId="33" xfId="0" applyNumberFormat="1" applyFont="1" applyBorder="1" applyAlignment="1">
      <alignment horizontal="center"/>
    </xf>
    <xf numFmtId="38" fontId="4" fillId="0" borderId="31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left"/>
    </xf>
    <xf numFmtId="38" fontId="4" fillId="0" borderId="35" xfId="0" applyNumberFormat="1" applyFont="1" applyBorder="1" applyAlignment="1">
      <alignment horizontal="center"/>
    </xf>
    <xf numFmtId="38" fontId="4" fillId="0" borderId="36" xfId="0" applyNumberFormat="1" applyFont="1" applyBorder="1" applyAlignment="1">
      <alignment horizontal="center"/>
    </xf>
    <xf numFmtId="38" fontId="5" fillId="0" borderId="37" xfId="0" applyNumberFormat="1" applyFont="1" applyBorder="1" applyAlignment="1">
      <alignment horizontal="center"/>
    </xf>
    <xf numFmtId="38" fontId="4" fillId="0" borderId="38" xfId="0" applyNumberFormat="1" applyFont="1" applyBorder="1" applyAlignment="1">
      <alignment horizontal="center"/>
    </xf>
    <xf numFmtId="38" fontId="5" fillId="0" borderId="36" xfId="0" applyNumberFormat="1" applyFont="1" applyBorder="1" applyAlignment="1">
      <alignment horizontal="center"/>
    </xf>
    <xf numFmtId="38" fontId="4" fillId="0" borderId="34" xfId="0" applyNumberFormat="1" applyFont="1" applyBorder="1" applyAlignment="1">
      <alignment horizontal="center"/>
    </xf>
    <xf numFmtId="38" fontId="5" fillId="0" borderId="39" xfId="0" applyNumberFormat="1" applyFont="1" applyBorder="1" applyAlignment="1">
      <alignment horizontal="center"/>
    </xf>
    <xf numFmtId="38" fontId="5" fillId="0" borderId="40" xfId="0" applyNumberFormat="1" applyFont="1" applyBorder="1" applyAlignment="1">
      <alignment horizontal="center"/>
    </xf>
    <xf numFmtId="38" fontId="5" fillId="0" borderId="38" xfId="0" applyNumberFormat="1" applyFont="1" applyBorder="1" applyAlignment="1">
      <alignment horizontal="center"/>
    </xf>
    <xf numFmtId="38" fontId="5" fillId="0" borderId="41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left"/>
    </xf>
    <xf numFmtId="38" fontId="4" fillId="0" borderId="43" xfId="0" applyNumberFormat="1" applyFont="1" applyBorder="1" applyAlignment="1">
      <alignment horizontal="center"/>
    </xf>
    <xf numFmtId="38" fontId="4" fillId="0" borderId="44" xfId="0" applyNumberFormat="1" applyFont="1" applyBorder="1" applyAlignment="1">
      <alignment horizontal="center"/>
    </xf>
    <xf numFmtId="38" fontId="4" fillId="0" borderId="42" xfId="0" applyNumberFormat="1" applyFont="1" applyBorder="1" applyAlignment="1">
      <alignment horizontal="center"/>
    </xf>
    <xf numFmtId="38" fontId="4" fillId="0" borderId="22" xfId="0" applyNumberFormat="1" applyFont="1" applyBorder="1" applyAlignment="1">
      <alignment horizontal="center"/>
    </xf>
    <xf numFmtId="38" fontId="4" fillId="0" borderId="45" xfId="0" applyNumberFormat="1" applyFont="1" applyBorder="1" applyAlignment="1">
      <alignment horizontal="center"/>
    </xf>
    <xf numFmtId="38" fontId="4" fillId="0" borderId="46" xfId="0" applyNumberFormat="1" applyFont="1" applyBorder="1" applyAlignment="1">
      <alignment horizontal="center"/>
    </xf>
    <xf numFmtId="38" fontId="4" fillId="0" borderId="47" xfId="0" applyNumberFormat="1" applyFont="1" applyBorder="1" applyAlignment="1">
      <alignment horizontal="center"/>
    </xf>
    <xf numFmtId="38" fontId="4" fillId="0" borderId="48" xfId="0" applyNumberFormat="1" applyFont="1" applyBorder="1" applyAlignment="1">
      <alignment horizontal="center"/>
    </xf>
    <xf numFmtId="38" fontId="4" fillId="0" borderId="0" xfId="0" applyNumberFormat="1" applyFont="1"/>
    <xf numFmtId="38" fontId="4" fillId="0" borderId="2" xfId="0" applyNumberFormat="1" applyFont="1" applyBorder="1" applyAlignment="1">
      <alignment horizontal="left"/>
    </xf>
    <xf numFmtId="38" fontId="4" fillId="0" borderId="49" xfId="0" applyNumberFormat="1" applyFont="1" applyBorder="1" applyAlignment="1">
      <alignment horizontal="center"/>
    </xf>
    <xf numFmtId="38" fontId="4" fillId="0" borderId="50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51" xfId="0" applyNumberFormat="1" applyFont="1" applyBorder="1" applyAlignment="1">
      <alignment horizontal="center"/>
    </xf>
    <xf numFmtId="38" fontId="4" fillId="0" borderId="52" xfId="0" applyNumberFormat="1" applyFont="1" applyBorder="1" applyAlignment="1">
      <alignment horizontal="center"/>
    </xf>
    <xf numFmtId="38" fontId="4" fillId="0" borderId="53" xfId="0" applyNumberFormat="1" applyFont="1" applyBorder="1" applyAlignment="1">
      <alignment horizontal="center"/>
    </xf>
    <xf numFmtId="38" fontId="5" fillId="0" borderId="53" xfId="0" applyNumberFormat="1" applyFont="1" applyBorder="1" applyAlignment="1">
      <alignment horizontal="center"/>
    </xf>
    <xf numFmtId="38" fontId="4" fillId="0" borderId="54" xfId="0" applyNumberFormat="1" applyFont="1" applyBorder="1" applyAlignment="1">
      <alignment horizontal="center"/>
    </xf>
    <xf numFmtId="38" fontId="4" fillId="0" borderId="55" xfId="0" applyNumberFormat="1" applyFont="1" applyBorder="1" applyAlignment="1">
      <alignment horizontal="center"/>
    </xf>
    <xf numFmtId="38" fontId="4" fillId="0" borderId="56" xfId="0" applyNumberFormat="1" applyFont="1" applyBorder="1" applyAlignment="1">
      <alignment horizontal="center"/>
    </xf>
    <xf numFmtId="38" fontId="4" fillId="0" borderId="57" xfId="0" applyNumberFormat="1" applyFont="1" applyBorder="1" applyAlignment="1">
      <alignment horizontal="center"/>
    </xf>
    <xf numFmtId="38" fontId="4" fillId="0" borderId="58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/>
    </xf>
    <xf numFmtId="38" fontId="4" fillId="0" borderId="60" xfId="0" applyNumberFormat="1" applyFont="1" applyBorder="1" applyAlignment="1">
      <alignment horizontal="center"/>
    </xf>
    <xf numFmtId="38" fontId="4" fillId="0" borderId="61" xfId="0" applyNumberFormat="1" applyFont="1" applyBorder="1" applyAlignment="1">
      <alignment horizontal="center"/>
    </xf>
    <xf numFmtId="38" fontId="5" fillId="0" borderId="62" xfId="0" applyNumberFormat="1" applyFont="1" applyBorder="1" applyAlignment="1">
      <alignment horizontal="center"/>
    </xf>
    <xf numFmtId="38" fontId="5" fillId="0" borderId="63" xfId="0" applyNumberFormat="1" applyFont="1" applyBorder="1" applyAlignment="1">
      <alignment horizontal="center"/>
    </xf>
    <xf numFmtId="38" fontId="5" fillId="0" borderId="64" xfId="0" applyNumberFormat="1" applyFont="1" applyBorder="1" applyAlignment="1">
      <alignment horizontal="center"/>
    </xf>
    <xf numFmtId="38" fontId="4" fillId="0" borderId="65" xfId="0" applyNumberFormat="1" applyFont="1" applyBorder="1" applyAlignment="1">
      <alignment horizontal="center"/>
    </xf>
    <xf numFmtId="38" fontId="4" fillId="0" borderId="59" xfId="0" applyNumberFormat="1" applyFont="1" applyBorder="1" applyAlignment="1">
      <alignment horizontal="center"/>
    </xf>
    <xf numFmtId="38" fontId="5" fillId="0" borderId="66" xfId="0" applyNumberFormat="1" applyFont="1" applyBorder="1" applyAlignment="1">
      <alignment horizontal="center"/>
    </xf>
    <xf numFmtId="38" fontId="5" fillId="0" borderId="65" xfId="0" applyNumberFormat="1" applyFont="1" applyBorder="1" applyAlignment="1">
      <alignment horizontal="center"/>
    </xf>
    <xf numFmtId="38" fontId="5" fillId="0" borderId="67" xfId="0" applyNumberFormat="1" applyFont="1" applyBorder="1" applyAlignment="1">
      <alignment horizontal="center"/>
    </xf>
    <xf numFmtId="38" fontId="5" fillId="0" borderId="68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/>
    </xf>
    <xf numFmtId="38" fontId="4" fillId="0" borderId="70" xfId="0" applyNumberFormat="1" applyFont="1" applyBorder="1" applyAlignment="1">
      <alignment horizontal="center"/>
    </xf>
    <xf numFmtId="38" fontId="4" fillId="0" borderId="71" xfId="0" applyNumberFormat="1" applyFont="1" applyBorder="1" applyAlignment="1">
      <alignment horizontal="center"/>
    </xf>
    <xf numFmtId="38" fontId="5" fillId="0" borderId="72" xfId="0" applyNumberFormat="1" applyFont="1" applyBorder="1" applyAlignment="1">
      <alignment horizontal="center"/>
    </xf>
    <xf numFmtId="38" fontId="5" fillId="0" borderId="73" xfId="0" applyNumberFormat="1" applyFont="1" applyBorder="1" applyAlignment="1">
      <alignment horizontal="center"/>
    </xf>
    <xf numFmtId="38" fontId="5" fillId="0" borderId="74" xfId="0" applyNumberFormat="1" applyFont="1" applyBorder="1" applyAlignment="1">
      <alignment horizontal="center"/>
    </xf>
    <xf numFmtId="38" fontId="4" fillId="0" borderId="75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center"/>
    </xf>
    <xf numFmtId="38" fontId="5" fillId="0" borderId="76" xfId="0" applyNumberFormat="1" applyFont="1" applyBorder="1" applyAlignment="1">
      <alignment horizontal="center"/>
    </xf>
    <xf numFmtId="38" fontId="5" fillId="0" borderId="75" xfId="0" applyNumberFormat="1" applyFont="1" applyBorder="1" applyAlignment="1">
      <alignment horizontal="center"/>
    </xf>
    <xf numFmtId="38" fontId="5" fillId="0" borderId="77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left"/>
    </xf>
    <xf numFmtId="38" fontId="4" fillId="0" borderId="6" xfId="0" applyNumberFormat="1" applyFont="1" applyBorder="1" applyAlignment="1">
      <alignment horizontal="center"/>
    </xf>
    <xf numFmtId="38" fontId="4" fillId="0" borderId="78" xfId="0" applyNumberFormat="1" applyFont="1" applyBorder="1" applyAlignment="1">
      <alignment horizontal="center"/>
    </xf>
    <xf numFmtId="38" fontId="4" fillId="0" borderId="79" xfId="0" applyNumberFormat="1" applyFont="1" applyBorder="1" applyAlignment="1">
      <alignment horizontal="center"/>
    </xf>
    <xf numFmtId="38" fontId="4" fillId="0" borderId="80" xfId="0" applyNumberFormat="1" applyFont="1" applyBorder="1" applyAlignment="1">
      <alignment horizontal="center"/>
    </xf>
    <xf numFmtId="38" fontId="4" fillId="0" borderId="81" xfId="0" applyNumberFormat="1" applyFont="1" applyBorder="1" applyAlignment="1">
      <alignment horizontal="center"/>
    </xf>
    <xf numFmtId="38" fontId="4" fillId="0" borderId="5" xfId="0" applyNumberFormat="1" applyFont="1" applyBorder="1" applyAlignment="1">
      <alignment horizontal="center"/>
    </xf>
    <xf numFmtId="38" fontId="4" fillId="0" borderId="0" xfId="0" applyNumberFormat="1" applyFont="1" applyAlignment="1">
      <alignment horizontal="center"/>
    </xf>
    <xf numFmtId="38" fontId="4" fillId="0" borderId="82" xfId="0" applyNumberFormat="1" applyFont="1" applyBorder="1" applyAlignment="1">
      <alignment horizontal="center"/>
    </xf>
    <xf numFmtId="38" fontId="4" fillId="0" borderId="83" xfId="0" applyNumberFormat="1" applyFont="1" applyBorder="1" applyAlignment="1">
      <alignment horizontal="center"/>
    </xf>
    <xf numFmtId="38" fontId="4" fillId="0" borderId="84" xfId="0" applyNumberFormat="1" applyFont="1" applyBorder="1" applyAlignment="1">
      <alignment horizontal="center"/>
    </xf>
    <xf numFmtId="38" fontId="5" fillId="0" borderId="85" xfId="0" applyNumberFormat="1" applyFont="1" applyBorder="1" applyAlignment="1">
      <alignment horizontal="center"/>
    </xf>
    <xf numFmtId="1" fontId="5" fillId="0" borderId="30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left"/>
    </xf>
    <xf numFmtId="38" fontId="4" fillId="0" borderId="87" xfId="0" applyNumberFormat="1" applyFont="1" applyBorder="1" applyAlignment="1">
      <alignment horizontal="center"/>
    </xf>
    <xf numFmtId="38" fontId="4" fillId="0" borderId="88" xfId="0" applyNumberFormat="1" applyFont="1" applyBorder="1" applyAlignment="1">
      <alignment horizontal="center"/>
    </xf>
    <xf numFmtId="38" fontId="5" fillId="0" borderId="89" xfId="0" applyNumberFormat="1" applyFont="1" applyBorder="1" applyAlignment="1">
      <alignment horizontal="center"/>
    </xf>
    <xf numFmtId="38" fontId="5" fillId="0" borderId="90" xfId="0" applyNumberFormat="1" applyFont="1" applyBorder="1" applyAlignment="1">
      <alignment horizontal="center"/>
    </xf>
    <xf numFmtId="38" fontId="5" fillId="0" borderId="91" xfId="0" applyNumberFormat="1" applyFont="1" applyBorder="1" applyAlignment="1">
      <alignment horizontal="center"/>
    </xf>
    <xf numFmtId="38" fontId="4" fillId="0" borderId="92" xfId="0" applyNumberFormat="1" applyFont="1" applyBorder="1" applyAlignment="1">
      <alignment horizontal="center"/>
    </xf>
    <xf numFmtId="38" fontId="4" fillId="0" borderId="86" xfId="0" applyNumberFormat="1" applyFont="1" applyBorder="1" applyAlignment="1">
      <alignment horizontal="center"/>
    </xf>
    <xf numFmtId="38" fontId="5" fillId="0" borderId="93" xfId="0" applyNumberFormat="1" applyFont="1" applyBorder="1" applyAlignment="1">
      <alignment horizontal="center"/>
    </xf>
    <xf numFmtId="38" fontId="5" fillId="0" borderId="83" xfId="0" applyNumberFormat="1" applyFont="1" applyBorder="1" applyAlignment="1">
      <alignment horizontal="center"/>
    </xf>
    <xf numFmtId="38" fontId="5" fillId="0" borderId="92" xfId="0" applyNumberFormat="1" applyFont="1" applyBorder="1" applyAlignment="1">
      <alignment horizontal="center"/>
    </xf>
    <xf numFmtId="38" fontId="5" fillId="0" borderId="94" xfId="0" applyNumberFormat="1" applyFont="1" applyBorder="1" applyAlignment="1">
      <alignment horizontal="center"/>
    </xf>
    <xf numFmtId="38" fontId="4" fillId="0" borderId="95" xfId="0" applyNumberFormat="1" applyFont="1" applyBorder="1" applyAlignment="1">
      <alignment horizontal="center"/>
    </xf>
    <xf numFmtId="38" fontId="12" fillId="0" borderId="96" xfId="0" applyNumberFormat="1" applyFont="1" applyBorder="1" applyAlignment="1">
      <alignment horizontal="center"/>
    </xf>
    <xf numFmtId="38" fontId="4" fillId="0" borderId="63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left"/>
    </xf>
    <xf numFmtId="38" fontId="4" fillId="0" borderId="97" xfId="0" applyNumberFormat="1" applyFont="1" applyBorder="1" applyAlignment="1">
      <alignment horizontal="center"/>
    </xf>
    <xf numFmtId="38" fontId="4" fillId="0" borderId="98" xfId="0" applyNumberFormat="1" applyFont="1" applyBorder="1" applyAlignment="1">
      <alignment horizontal="center"/>
    </xf>
    <xf numFmtId="38" fontId="5" fillId="0" borderId="81" xfId="0" applyNumberFormat="1" applyFont="1" applyBorder="1" applyAlignment="1">
      <alignment horizontal="center"/>
    </xf>
    <xf numFmtId="38" fontId="5" fillId="0" borderId="0" xfId="0" applyNumberFormat="1" applyFont="1" applyAlignment="1">
      <alignment horizontal="center"/>
    </xf>
    <xf numFmtId="38" fontId="5" fillId="0" borderId="80" xfId="0" applyNumberFormat="1" applyFont="1" applyBorder="1" applyAlignment="1">
      <alignment horizontal="center"/>
    </xf>
    <xf numFmtId="38" fontId="5" fillId="0" borderId="82" xfId="0" applyNumberFormat="1" applyFont="1" applyBorder="1" applyAlignment="1">
      <alignment horizontal="center"/>
    </xf>
    <xf numFmtId="38" fontId="5" fillId="0" borderId="79" xfId="0" applyNumberFormat="1" applyFont="1" applyBorder="1" applyAlignment="1">
      <alignment horizontal="center"/>
    </xf>
    <xf numFmtId="38" fontId="5" fillId="0" borderId="5" xfId="0" applyNumberFormat="1" applyFont="1" applyBorder="1" applyAlignment="1">
      <alignment horizontal="center"/>
    </xf>
    <xf numFmtId="38" fontId="5" fillId="0" borderId="84" xfId="0" applyNumberFormat="1" applyFont="1" applyBorder="1" applyAlignment="1">
      <alignment horizontal="center"/>
    </xf>
    <xf numFmtId="38" fontId="4" fillId="0" borderId="99" xfId="0" applyNumberFormat="1" applyFont="1" applyBorder="1" applyAlignment="1">
      <alignment horizontal="center"/>
    </xf>
    <xf numFmtId="38" fontId="5" fillId="0" borderId="100" xfId="0" applyNumberFormat="1" applyFont="1" applyBorder="1" applyAlignment="1">
      <alignment horizontal="center"/>
    </xf>
    <xf numFmtId="38" fontId="5" fillId="0" borderId="34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left"/>
    </xf>
    <xf numFmtId="38" fontId="4" fillId="0" borderId="102" xfId="0" applyNumberFormat="1" applyFont="1" applyBorder="1" applyAlignment="1">
      <alignment horizontal="center"/>
    </xf>
    <xf numFmtId="38" fontId="4" fillId="0" borderId="103" xfId="0" applyNumberFormat="1" applyFont="1" applyBorder="1" applyAlignment="1">
      <alignment horizontal="center"/>
    </xf>
    <xf numFmtId="38" fontId="4" fillId="0" borderId="104" xfId="0" applyNumberFormat="1" applyFont="1" applyBorder="1" applyAlignment="1">
      <alignment horizontal="center"/>
    </xf>
    <xf numFmtId="38" fontId="4" fillId="0" borderId="105" xfId="0" applyNumberFormat="1" applyFont="1" applyBorder="1" applyAlignment="1">
      <alignment horizontal="center"/>
    </xf>
    <xf numFmtId="38" fontId="4" fillId="0" borderId="106" xfId="0" applyNumberFormat="1" applyFont="1" applyBorder="1" applyAlignment="1">
      <alignment horizontal="center"/>
    </xf>
    <xf numFmtId="38" fontId="4" fillId="0" borderId="101" xfId="0" applyNumberFormat="1" applyFont="1" applyBorder="1" applyAlignment="1">
      <alignment horizontal="center"/>
    </xf>
    <xf numFmtId="38" fontId="4" fillId="0" borderId="107" xfId="0" applyNumberFormat="1" applyFont="1" applyBorder="1" applyAlignment="1">
      <alignment horizontal="center"/>
    </xf>
    <xf numFmtId="38" fontId="4" fillId="0" borderId="10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left"/>
    </xf>
    <xf numFmtId="38" fontId="5" fillId="0" borderId="87" xfId="0" applyNumberFormat="1" applyFont="1" applyBorder="1" applyAlignment="1">
      <alignment horizontal="center"/>
    </xf>
    <xf numFmtId="38" fontId="5" fillId="0" borderId="88" xfId="0" applyNumberFormat="1" applyFont="1" applyBorder="1" applyAlignment="1">
      <alignment horizontal="center"/>
    </xf>
    <xf numFmtId="38" fontId="5" fillId="0" borderId="86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left"/>
    </xf>
    <xf numFmtId="38" fontId="4" fillId="0" borderId="110" xfId="0" applyNumberFormat="1" applyFont="1" applyBorder="1" applyAlignment="1">
      <alignment horizontal="center"/>
    </xf>
    <xf numFmtId="38" fontId="4" fillId="0" borderId="111" xfId="0" applyNumberFormat="1" applyFont="1" applyBorder="1" applyAlignment="1">
      <alignment horizontal="center"/>
    </xf>
    <xf numFmtId="38" fontId="4" fillId="0" borderId="112" xfId="0" applyNumberFormat="1" applyFont="1" applyBorder="1" applyAlignment="1">
      <alignment horizontal="center"/>
    </xf>
    <xf numFmtId="38" fontId="4" fillId="0" borderId="113" xfId="0" applyNumberFormat="1" applyFont="1" applyBorder="1" applyAlignment="1">
      <alignment horizontal="center"/>
    </xf>
    <xf numFmtId="38" fontId="4" fillId="0" borderId="114" xfId="0" applyNumberFormat="1" applyFont="1" applyBorder="1" applyAlignment="1">
      <alignment horizontal="center"/>
    </xf>
    <xf numFmtId="38" fontId="4" fillId="0" borderId="115" xfId="0" applyNumberFormat="1" applyFont="1" applyBorder="1" applyAlignment="1">
      <alignment horizontal="center"/>
    </xf>
    <xf numFmtId="38" fontId="4" fillId="0" borderId="109" xfId="0" applyNumberFormat="1" applyFont="1" applyBorder="1" applyAlignment="1">
      <alignment horizontal="center"/>
    </xf>
    <xf numFmtId="38" fontId="4" fillId="0" borderId="116" xfId="0" applyNumberFormat="1" applyFont="1" applyBorder="1" applyAlignment="1">
      <alignment horizontal="center"/>
    </xf>
    <xf numFmtId="38" fontId="4" fillId="0" borderId="141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left" vertical="top" wrapText="1"/>
    </xf>
    <xf numFmtId="38" fontId="5" fillId="0" borderId="118" xfId="0" applyNumberFormat="1" applyFont="1" applyBorder="1" applyAlignment="1">
      <alignment vertical="top"/>
    </xf>
    <xf numFmtId="38" fontId="4" fillId="0" borderId="119" xfId="0" applyNumberFormat="1" applyFont="1" applyBorder="1" applyAlignment="1">
      <alignment horizontal="center"/>
    </xf>
    <xf numFmtId="38" fontId="5" fillId="0" borderId="117" xfId="0" applyNumberFormat="1" applyFont="1" applyBorder="1" applyAlignment="1">
      <alignment horizontal="center"/>
    </xf>
    <xf numFmtId="38" fontId="5" fillId="0" borderId="142" xfId="0" applyNumberFormat="1" applyFont="1" applyBorder="1" applyAlignment="1">
      <alignment horizontal="center"/>
    </xf>
    <xf numFmtId="38" fontId="4" fillId="0" borderId="121" xfId="0" applyNumberFormat="1" applyFont="1" applyBorder="1" applyAlignment="1">
      <alignment horizontal="center"/>
    </xf>
    <xf numFmtId="38" fontId="5" fillId="0" borderId="122" xfId="0" applyNumberFormat="1" applyFont="1" applyBorder="1" applyAlignment="1">
      <alignment horizontal="center"/>
    </xf>
    <xf numFmtId="38" fontId="5" fillId="0" borderId="120" xfId="0" applyNumberFormat="1" applyFont="1" applyBorder="1" applyAlignment="1">
      <alignment horizontal="center"/>
    </xf>
    <xf numFmtId="38" fontId="4" fillId="0" borderId="117" xfId="0" applyNumberFormat="1" applyFont="1" applyBorder="1" applyAlignment="1">
      <alignment horizontal="center"/>
    </xf>
    <xf numFmtId="38" fontId="5" fillId="0" borderId="123" xfId="0" applyNumberFormat="1" applyFont="1" applyBorder="1" applyAlignment="1">
      <alignment horizontal="center"/>
    </xf>
    <xf numFmtId="38" fontId="5" fillId="0" borderId="25" xfId="0" applyNumberFormat="1" applyFont="1" applyBorder="1" applyAlignment="1">
      <alignment horizontal="left" vertical="top" wrapText="1"/>
    </xf>
    <xf numFmtId="38" fontId="5" fillId="0" borderId="26" xfId="0" applyNumberFormat="1" applyFont="1" applyBorder="1" applyAlignment="1">
      <alignment horizontal="left" vertical="top"/>
    </xf>
    <xf numFmtId="38" fontId="5" fillId="0" borderId="25" xfId="0" applyNumberFormat="1" applyFont="1" applyBorder="1" applyAlignment="1">
      <alignment horizontal="center"/>
    </xf>
    <xf numFmtId="38" fontId="5" fillId="0" borderId="143" xfId="0" applyNumberFormat="1" applyFont="1" applyBorder="1" applyAlignment="1">
      <alignment horizontal="center"/>
    </xf>
    <xf numFmtId="38" fontId="5" fillId="0" borderId="26" xfId="0" applyNumberFormat="1" applyFont="1" applyBorder="1" applyAlignment="1">
      <alignment vertical="top"/>
    </xf>
    <xf numFmtId="38" fontId="5" fillId="0" borderId="121" xfId="0" applyNumberFormat="1" applyFont="1" applyBorder="1" applyAlignment="1">
      <alignment horizontal="center"/>
    </xf>
    <xf numFmtId="38" fontId="5" fillId="0" borderId="69" xfId="0" applyNumberFormat="1" applyFont="1" applyBorder="1" applyAlignment="1">
      <alignment horizontal="left" vertical="top" wrapText="1"/>
    </xf>
    <xf numFmtId="38" fontId="5" fillId="0" borderId="70" xfId="0" applyNumberFormat="1" applyFont="1" applyBorder="1" applyAlignment="1">
      <alignment vertical="top"/>
    </xf>
    <xf numFmtId="38" fontId="5" fillId="0" borderId="69" xfId="0" applyNumberFormat="1" applyFont="1" applyBorder="1" applyAlignment="1">
      <alignment horizontal="center"/>
    </xf>
    <xf numFmtId="38" fontId="5" fillId="0" borderId="144" xfId="0" applyNumberFormat="1" applyFont="1" applyBorder="1" applyAlignment="1">
      <alignment horizontal="center"/>
    </xf>
    <xf numFmtId="38" fontId="4" fillId="0" borderId="145" xfId="0" applyNumberFormat="1" applyFont="1" applyBorder="1" applyAlignment="1">
      <alignment horizontal="center"/>
    </xf>
    <xf numFmtId="38" fontId="4" fillId="0" borderId="146" xfId="0" applyNumberFormat="1" applyFont="1" applyBorder="1" applyAlignment="1">
      <alignment horizontal="center"/>
    </xf>
    <xf numFmtId="38" fontId="4" fillId="0" borderId="147" xfId="0" applyNumberFormat="1" applyFont="1" applyBorder="1" applyAlignment="1">
      <alignment horizontal="center"/>
    </xf>
    <xf numFmtId="38" fontId="4" fillId="0" borderId="3" xfId="0" applyNumberFormat="1" applyFont="1" applyBorder="1" applyAlignment="1">
      <alignment horizontal="center"/>
    </xf>
    <xf numFmtId="38" fontId="4" fillId="0" borderId="148" xfId="0" applyNumberFormat="1" applyFont="1" applyBorder="1" applyAlignment="1">
      <alignment horizontal="center"/>
    </xf>
    <xf numFmtId="38" fontId="4" fillId="0" borderId="1" xfId="0" applyNumberFormat="1" applyFont="1" applyBorder="1" applyAlignment="1">
      <alignment horizontal="center"/>
    </xf>
    <xf numFmtId="38" fontId="4" fillId="0" borderId="149" xfId="0" applyNumberFormat="1" applyFont="1" applyBorder="1" applyAlignment="1">
      <alignment horizontal="center"/>
    </xf>
    <xf numFmtId="38" fontId="4" fillId="0" borderId="150" xfId="0" applyNumberFormat="1" applyFont="1" applyBorder="1" applyAlignment="1">
      <alignment horizontal="center"/>
    </xf>
    <xf numFmtId="38" fontId="5" fillId="0" borderId="59" xfId="0" applyNumberFormat="1" applyFont="1" applyBorder="1" applyAlignment="1">
      <alignment horizontal="left" vertical="top" wrapText="1"/>
    </xf>
    <xf numFmtId="38" fontId="4" fillId="0" borderId="62" xfId="0" applyNumberFormat="1" applyFont="1" applyBorder="1" applyAlignment="1">
      <alignment horizontal="center"/>
    </xf>
    <xf numFmtId="38" fontId="4" fillId="0" borderId="118" xfId="0" applyNumberFormat="1" applyFont="1" applyBorder="1" applyAlignment="1">
      <alignment horizontal="center"/>
    </xf>
    <xf numFmtId="38" fontId="4" fillId="0" borderId="122" xfId="0" applyNumberFormat="1" applyFont="1" applyBorder="1" applyAlignment="1">
      <alignment horizontal="center"/>
    </xf>
    <xf numFmtId="38" fontId="4" fillId="0" borderId="68" xfId="0" applyNumberFormat="1" applyFont="1" applyBorder="1" applyAlignment="1">
      <alignment horizontal="center"/>
    </xf>
    <xf numFmtId="38" fontId="5" fillId="0" borderId="125" xfId="0" applyNumberFormat="1" applyFont="1" applyBorder="1" applyAlignment="1">
      <alignment horizontal="center"/>
    </xf>
    <xf numFmtId="38" fontId="4" fillId="0" borderId="124" xfId="0" applyNumberFormat="1" applyFont="1" applyBorder="1" applyAlignment="1">
      <alignment horizontal="center"/>
    </xf>
    <xf numFmtId="38" fontId="5" fillId="0" borderId="126" xfId="0" applyNumberFormat="1" applyFont="1" applyBorder="1" applyAlignment="1">
      <alignment horizontal="center"/>
    </xf>
    <xf numFmtId="38" fontId="4" fillId="0" borderId="127" xfId="0" applyNumberFormat="1" applyFont="1" applyBorder="1" applyAlignment="1">
      <alignment horizontal="center"/>
    </xf>
    <xf numFmtId="38" fontId="5" fillId="0" borderId="128" xfId="0" applyNumberFormat="1" applyFont="1" applyBorder="1" applyAlignment="1">
      <alignment horizontal="center"/>
    </xf>
    <xf numFmtId="38" fontId="4" fillId="0" borderId="129" xfId="0" applyNumberFormat="1" applyFont="1" applyBorder="1" applyAlignment="1">
      <alignment horizontal="center"/>
    </xf>
    <xf numFmtId="38" fontId="5" fillId="0" borderId="130" xfId="0" applyNumberFormat="1" applyFont="1" applyBorder="1" applyAlignment="1">
      <alignment horizontal="center"/>
    </xf>
    <xf numFmtId="38" fontId="5" fillId="0" borderId="131" xfId="0" applyNumberFormat="1" applyFont="1" applyBorder="1" applyAlignment="1">
      <alignment horizontal="center"/>
    </xf>
    <xf numFmtId="38" fontId="4" fillId="0" borderId="72" xfId="0" applyNumberFormat="1" applyFont="1" applyBorder="1" applyAlignment="1">
      <alignment horizontal="center"/>
    </xf>
    <xf numFmtId="38" fontId="4" fillId="0" borderId="73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left"/>
    </xf>
    <xf numFmtId="38" fontId="4" fillId="0" borderId="138" xfId="0" applyNumberFormat="1" applyFont="1" applyBorder="1" applyAlignment="1">
      <alignment horizontal="center"/>
    </xf>
    <xf numFmtId="38" fontId="4" fillId="0" borderId="132" xfId="0" applyNumberFormat="1" applyFont="1" applyBorder="1" applyAlignment="1">
      <alignment horizontal="center"/>
    </xf>
    <xf numFmtId="38" fontId="4" fillId="0" borderId="134" xfId="0" applyNumberFormat="1" applyFont="1" applyBorder="1" applyAlignment="1">
      <alignment horizontal="center"/>
    </xf>
    <xf numFmtId="38" fontId="4" fillId="0" borderId="13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135" xfId="0" applyNumberFormat="1" applyFont="1" applyBorder="1" applyAlignment="1">
      <alignment horizontal="center"/>
    </xf>
    <xf numFmtId="38" fontId="4" fillId="0" borderId="136" xfId="0" applyNumberFormat="1" applyFont="1" applyBorder="1" applyAlignment="1">
      <alignment horizontal="center"/>
    </xf>
    <xf numFmtId="38" fontId="4" fillId="0" borderId="137" xfId="0" applyNumberFormat="1" applyFont="1" applyBorder="1" applyAlignment="1">
      <alignment horizontal="center"/>
    </xf>
    <xf numFmtId="38" fontId="4" fillId="0" borderId="151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left"/>
    </xf>
    <xf numFmtId="38" fontId="12" fillId="0" borderId="26" xfId="0" applyNumberFormat="1" applyFont="1" applyBorder="1" applyAlignment="1">
      <alignment horizontal="left" vertical="top"/>
    </xf>
    <xf numFmtId="38" fontId="12" fillId="0" borderId="32" xfId="0" applyNumberFormat="1" applyFont="1" applyBorder="1" applyAlignment="1">
      <alignment horizontal="center"/>
    </xf>
    <xf numFmtId="38" fontId="4" fillId="0" borderId="64" xfId="0" applyNumberFormat="1" applyFont="1" applyBorder="1" applyAlignment="1">
      <alignment horizontal="center"/>
    </xf>
    <xf numFmtId="38" fontId="12" fillId="0" borderId="25" xfId="0" applyNumberFormat="1" applyFont="1" applyBorder="1" applyAlignment="1">
      <alignment horizontal="center"/>
    </xf>
    <xf numFmtId="38" fontId="12" fillId="0" borderId="30" xfId="0" applyNumberFormat="1" applyFont="1" applyBorder="1" applyAlignment="1">
      <alignment horizontal="center"/>
    </xf>
    <xf numFmtId="38" fontId="4" fillId="0" borderId="66" xfId="0" applyNumberFormat="1" applyFont="1" applyBorder="1" applyAlignment="1">
      <alignment horizontal="center"/>
    </xf>
    <xf numFmtId="38" fontId="12" fillId="0" borderId="63" xfId="0" applyNumberFormat="1" applyFont="1" applyBorder="1" applyAlignment="1">
      <alignment horizontal="center"/>
    </xf>
    <xf numFmtId="38" fontId="12" fillId="0" borderId="64" xfId="0" applyNumberFormat="1" applyFont="1" applyBorder="1" applyAlignment="1">
      <alignment horizontal="center"/>
    </xf>
    <xf numFmtId="38" fontId="12" fillId="0" borderId="85" xfId="0" applyNumberFormat="1" applyFont="1" applyBorder="1" applyAlignment="1">
      <alignment horizontal="center"/>
    </xf>
    <xf numFmtId="38" fontId="4" fillId="0" borderId="143" xfId="0" applyNumberFormat="1" applyFont="1" applyBorder="1" applyAlignment="1">
      <alignment horizontal="center"/>
    </xf>
    <xf numFmtId="38" fontId="4" fillId="0" borderId="32" xfId="0" applyNumberFormat="1" applyFont="1" applyBorder="1" applyAlignment="1">
      <alignment horizontal="center"/>
    </xf>
    <xf numFmtId="38" fontId="12" fillId="0" borderId="31" xfId="0" applyNumberFormat="1" applyFont="1" applyBorder="1" applyAlignment="1">
      <alignment horizontal="center"/>
    </xf>
    <xf numFmtId="38" fontId="12" fillId="0" borderId="29" xfId="0" applyNumberFormat="1" applyFont="1" applyBorder="1" applyAlignment="1">
      <alignment horizontal="center"/>
    </xf>
    <xf numFmtId="38" fontId="12" fillId="0" borderId="33" xfId="0" applyNumberFormat="1" applyFont="1" applyBorder="1" applyAlignment="1">
      <alignment horizontal="center"/>
    </xf>
    <xf numFmtId="38" fontId="12" fillId="0" borderId="130" xfId="0" applyNumberFormat="1" applyFont="1" applyBorder="1" applyAlignment="1">
      <alignment horizontal="center"/>
    </xf>
    <xf numFmtId="38" fontId="12" fillId="0" borderId="129" xfId="0" applyNumberFormat="1" applyFont="1" applyBorder="1" applyAlignment="1">
      <alignment horizontal="center"/>
    </xf>
    <xf numFmtId="38" fontId="12" fillId="0" borderId="127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left"/>
    </xf>
    <xf numFmtId="38" fontId="12" fillId="0" borderId="70" xfId="0" applyNumberFormat="1" applyFont="1" applyBorder="1" applyAlignment="1">
      <alignment horizontal="left" vertical="top"/>
    </xf>
    <xf numFmtId="38" fontId="4" fillId="0" borderId="144" xfId="0" applyNumberFormat="1" applyFont="1" applyBorder="1" applyAlignment="1">
      <alignment horizontal="center"/>
    </xf>
    <xf numFmtId="38" fontId="4" fillId="0" borderId="74" xfId="0" applyNumberFormat="1" applyFont="1" applyBorder="1" applyAlignment="1">
      <alignment horizontal="center"/>
    </xf>
    <xf numFmtId="38" fontId="4" fillId="0" borderId="76" xfId="0" applyNumberFormat="1" applyFont="1" applyBorder="1" applyAlignment="1">
      <alignment horizontal="center"/>
    </xf>
    <xf numFmtId="38" fontId="12" fillId="0" borderId="73" xfId="0" applyNumberFormat="1" applyFont="1" applyBorder="1" applyAlignment="1">
      <alignment horizontal="center"/>
    </xf>
    <xf numFmtId="38" fontId="12" fillId="0" borderId="74" xfId="0" applyNumberFormat="1" applyFont="1" applyBorder="1" applyAlignment="1">
      <alignment horizontal="center"/>
    </xf>
    <xf numFmtId="38" fontId="12" fillId="0" borderId="77" xfId="0" applyNumberFormat="1" applyFont="1" applyBorder="1" applyAlignment="1">
      <alignment horizontal="center"/>
    </xf>
    <xf numFmtId="38" fontId="13" fillId="0" borderId="77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left"/>
    </xf>
    <xf numFmtId="38" fontId="12" fillId="0" borderId="60" xfId="0" applyNumberFormat="1" applyFont="1" applyBorder="1" applyAlignment="1">
      <alignment horizontal="left" vertical="top"/>
    </xf>
    <xf numFmtId="38" fontId="12" fillId="0" borderId="66" xfId="0" applyNumberFormat="1" applyFont="1" applyBorder="1" applyAlignment="1">
      <alignment horizontal="center"/>
    </xf>
    <xf numFmtId="38" fontId="5" fillId="0" borderId="95" xfId="0" applyNumberFormat="1" applyFont="1" applyBorder="1" applyAlignment="1">
      <alignment horizontal="center"/>
    </xf>
    <xf numFmtId="38" fontId="5" fillId="0" borderId="96" xfId="0" applyNumberFormat="1" applyFont="1" applyBorder="1" applyAlignment="1">
      <alignment horizontal="center"/>
    </xf>
    <xf numFmtId="38" fontId="5" fillId="0" borderId="152" xfId="0" applyNumberFormat="1" applyFont="1" applyBorder="1" applyAlignment="1">
      <alignment horizontal="center"/>
    </xf>
    <xf numFmtId="38" fontId="12" fillId="0" borderId="59" xfId="0" applyNumberFormat="1" applyFont="1" applyBorder="1" applyAlignment="1">
      <alignment horizontal="center"/>
    </xf>
    <xf numFmtId="38" fontId="12" fillId="0" borderId="65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left"/>
    </xf>
    <xf numFmtId="38" fontId="12" fillId="0" borderId="118" xfId="0" applyNumberFormat="1" applyFont="1" applyBorder="1" applyAlignment="1">
      <alignment horizontal="left" vertical="top"/>
    </xf>
    <xf numFmtId="38" fontId="12" fillId="0" borderId="123" xfId="0" applyNumberFormat="1" applyFont="1" applyBorder="1" applyAlignment="1">
      <alignment horizontal="center"/>
    </xf>
    <xf numFmtId="38" fontId="5" fillId="0" borderId="153" xfId="0" applyNumberFormat="1" applyFont="1" applyBorder="1" applyAlignment="1">
      <alignment horizontal="center"/>
    </xf>
    <xf numFmtId="38" fontId="5" fillId="0" borderId="154" xfId="0" applyNumberFormat="1" applyFont="1" applyBorder="1" applyAlignment="1">
      <alignment horizontal="center"/>
    </xf>
    <xf numFmtId="38" fontId="12" fillId="0" borderId="117" xfId="0" applyNumberFormat="1" applyFont="1" applyBorder="1" applyAlignment="1">
      <alignment horizontal="center"/>
    </xf>
    <xf numFmtId="38" fontId="12" fillId="0" borderId="121" xfId="0" applyNumberFormat="1" applyFont="1" applyBorder="1" applyAlignment="1">
      <alignment horizontal="center"/>
    </xf>
    <xf numFmtId="38" fontId="12" fillId="0" borderId="76" xfId="0" applyNumberFormat="1" applyFont="1" applyBorder="1" applyAlignment="1">
      <alignment horizontal="center"/>
    </xf>
    <xf numFmtId="38" fontId="5" fillId="0" borderId="155" xfId="0" applyNumberFormat="1" applyFont="1" applyBorder="1" applyAlignment="1">
      <alignment horizontal="center"/>
    </xf>
    <xf numFmtId="38" fontId="5" fillId="0" borderId="156" xfId="0" applyNumberFormat="1" applyFont="1" applyBorder="1" applyAlignment="1">
      <alignment horizontal="center"/>
    </xf>
    <xf numFmtId="38" fontId="12" fillId="0" borderId="69" xfId="0" applyNumberFormat="1" applyFont="1" applyBorder="1" applyAlignment="1">
      <alignment horizontal="center"/>
    </xf>
    <xf numFmtId="38" fontId="12" fillId="0" borderId="75" xfId="0" applyNumberFormat="1" applyFont="1" applyBorder="1" applyAlignment="1">
      <alignment horizontal="center"/>
    </xf>
    <xf numFmtId="38" fontId="4" fillId="0" borderId="89" xfId="0" applyNumberFormat="1" applyFont="1" applyBorder="1" applyAlignment="1">
      <alignment horizontal="center"/>
    </xf>
    <xf numFmtId="38" fontId="4" fillId="0" borderId="90" xfId="0" applyNumberFormat="1" applyFont="1" applyBorder="1" applyAlignment="1">
      <alignment horizontal="center"/>
    </xf>
    <xf numFmtId="38" fontId="4" fillId="0" borderId="91" xfId="0" applyNumberFormat="1" applyFont="1" applyBorder="1" applyAlignment="1">
      <alignment horizontal="center"/>
    </xf>
    <xf numFmtId="0" fontId="4" fillId="0" borderId="90" xfId="0" applyFont="1" applyFill="1" applyBorder="1" applyAlignment="1">
      <alignment horizontal="center"/>
    </xf>
    <xf numFmtId="38" fontId="4" fillId="0" borderId="93" xfId="0" applyNumberFormat="1" applyFont="1" applyBorder="1" applyAlignment="1">
      <alignment horizontal="center"/>
    </xf>
    <xf numFmtId="38" fontId="4" fillId="0" borderId="69" xfId="0" applyNumberFormat="1" applyFont="1" applyBorder="1" applyAlignment="1">
      <alignment horizontal="left" vertical="top" wrapText="1"/>
    </xf>
    <xf numFmtId="38" fontId="4" fillId="0" borderId="77" xfId="0" applyNumberFormat="1" applyFont="1" applyBorder="1" applyAlignment="1">
      <alignment horizontal="center"/>
    </xf>
    <xf numFmtId="38" fontId="4" fillId="0" borderId="139" xfId="0" applyNumberFormat="1" applyFont="1" applyBorder="1" applyAlignment="1">
      <alignment horizontal="center"/>
    </xf>
    <xf numFmtId="38" fontId="0" fillId="0" borderId="0" xfId="0" applyNumberFormat="1"/>
    <xf numFmtId="166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Alignment="1">
      <alignment horizontal="left"/>
    </xf>
    <xf numFmtId="167" fontId="5" fillId="7" borderId="0" xfId="0" applyNumberFormat="1" applyFont="1" applyFill="1" applyAlignment="1">
      <alignment horizontal="left"/>
    </xf>
    <xf numFmtId="167" fontId="4" fillId="8" borderId="0" xfId="0" applyNumberFormat="1" applyFont="1" applyFill="1" applyAlignment="1">
      <alignment horizontal="left"/>
    </xf>
    <xf numFmtId="167" fontId="5" fillId="10" borderId="0" xfId="0" applyNumberFormat="1" applyFont="1" applyFill="1" applyAlignment="1">
      <alignment horizontal="left"/>
    </xf>
    <xf numFmtId="38" fontId="5" fillId="5" borderId="0" xfId="0" applyNumberFormat="1" applyFont="1" applyFill="1" applyAlignment="1">
      <alignment horizontal="left"/>
    </xf>
    <xf numFmtId="167" fontId="5" fillId="8" borderId="0" xfId="0" applyNumberFormat="1" applyFont="1" applyFill="1" applyAlignment="1">
      <alignment horizontal="left"/>
    </xf>
    <xf numFmtId="38" fontId="0" fillId="8" borderId="0" xfId="0" applyNumberFormat="1" applyFill="1"/>
    <xf numFmtId="38" fontId="4" fillId="8" borderId="0" xfId="0" applyNumberFormat="1" applyFont="1" applyFill="1"/>
    <xf numFmtId="38" fontId="5" fillId="0" borderId="0" xfId="0" applyNumberFormat="1" applyFont="1"/>
    <xf numFmtId="38" fontId="4" fillId="0" borderId="0" xfId="0" applyNumberFormat="1" applyFont="1"/>
    <xf numFmtId="40" fontId="5" fillId="0" borderId="0" xfId="0" applyNumberFormat="1" applyFont="1"/>
    <xf numFmtId="0" fontId="0" fillId="0" borderId="0" xfId="0"/>
    <xf numFmtId="40" fontId="4" fillId="0" borderId="0" xfId="0" applyNumberFormat="1" applyFont="1"/>
    <xf numFmtId="38" fontId="5" fillId="0" borderId="0" xfId="0" applyNumberFormat="1" applyFont="1" applyAlignment="1">
      <alignment horizontal="left"/>
    </xf>
    <xf numFmtId="38" fontId="5" fillId="0" borderId="0" xfId="0" applyNumberFormat="1" applyFont="1"/>
    <xf numFmtId="38" fontId="5" fillId="0" borderId="0" xfId="0" applyNumberFormat="1" applyFont="1" applyAlignment="1">
      <alignment horizontal="left"/>
    </xf>
    <xf numFmtId="38" fontId="0" fillId="0" borderId="0" xfId="0" applyNumberFormat="1"/>
    <xf numFmtId="167" fontId="5" fillId="11" borderId="0" xfId="0" applyNumberFormat="1" applyFont="1" applyFill="1" applyAlignment="1">
      <alignment horizontal="left"/>
    </xf>
    <xf numFmtId="38" fontId="4" fillId="0" borderId="0" xfId="0" applyNumberFormat="1" applyFont="1"/>
    <xf numFmtId="166" fontId="4" fillId="0" borderId="0" xfId="0" applyNumberFormat="1" applyFont="1" applyAlignment="1">
      <alignment horizontal="center"/>
    </xf>
    <xf numFmtId="38" fontId="0" fillId="0" borderId="81" xfId="0" applyNumberFormat="1" applyBorder="1"/>
    <xf numFmtId="38" fontId="0" fillId="0" borderId="79" xfId="0" applyNumberFormat="1" applyBorder="1"/>
    <xf numFmtId="38" fontId="4" fillId="5" borderId="108" xfId="0" applyNumberFormat="1" applyFont="1" applyFill="1" applyBorder="1" applyAlignment="1">
      <alignment horizontal="center"/>
    </xf>
    <xf numFmtId="38" fontId="4" fillId="5" borderId="101" xfId="0" applyNumberFormat="1" applyFont="1" applyFill="1" applyBorder="1" applyAlignment="1">
      <alignment horizontal="center"/>
    </xf>
    <xf numFmtId="38" fontId="4" fillId="5" borderId="106" xfId="0" applyNumberFormat="1" applyFont="1" applyFill="1" applyBorder="1" applyAlignment="1">
      <alignment horizontal="center"/>
    </xf>
    <xf numFmtId="38" fontId="4" fillId="5" borderId="105" xfId="0" applyNumberFormat="1" applyFont="1" applyFill="1" applyBorder="1" applyAlignment="1">
      <alignment horizontal="center"/>
    </xf>
    <xf numFmtId="38" fontId="4" fillId="5" borderId="107" xfId="0" applyNumberFormat="1" applyFont="1" applyFill="1" applyBorder="1" applyAlignment="1">
      <alignment horizontal="center"/>
    </xf>
    <xf numFmtId="38" fontId="4" fillId="5" borderId="104" xfId="0" applyNumberFormat="1" applyFont="1" applyFill="1" applyBorder="1" applyAlignment="1">
      <alignment horizontal="center"/>
    </xf>
    <xf numFmtId="38" fontId="4" fillId="5" borderId="139" xfId="0" applyNumberFormat="1" applyFont="1" applyFill="1" applyBorder="1" applyAlignment="1">
      <alignment horizontal="center"/>
    </xf>
    <xf numFmtId="38" fontId="4" fillId="5" borderId="103" xfId="0" applyNumberFormat="1" applyFont="1" applyFill="1" applyBorder="1" applyAlignment="1">
      <alignment horizontal="center"/>
    </xf>
    <xf numFmtId="38" fontId="4" fillId="5" borderId="77" xfId="0" applyNumberFormat="1" applyFont="1" applyFill="1" applyBorder="1" applyAlignment="1">
      <alignment horizontal="center"/>
    </xf>
    <xf numFmtId="38" fontId="4" fillId="5" borderId="69" xfId="0" applyNumberFormat="1" applyFont="1" applyFill="1" applyBorder="1" applyAlignment="1">
      <alignment horizontal="center"/>
    </xf>
    <xf numFmtId="38" fontId="5" fillId="5" borderId="75" xfId="0" applyNumberFormat="1" applyFont="1" applyFill="1" applyBorder="1" applyAlignment="1">
      <alignment horizontal="center"/>
    </xf>
    <xf numFmtId="38" fontId="4" fillId="5" borderId="75" xfId="0" applyNumberFormat="1" applyFont="1" applyFill="1" applyBorder="1" applyAlignment="1">
      <alignment horizontal="center"/>
    </xf>
    <xf numFmtId="38" fontId="5" fillId="5" borderId="73" xfId="0" applyNumberFormat="1" applyFont="1" applyFill="1" applyBorder="1" applyAlignment="1">
      <alignment horizontal="center"/>
    </xf>
    <xf numFmtId="38" fontId="5" fillId="5" borderId="74" xfId="0" applyNumberFormat="1" applyFont="1" applyFill="1" applyBorder="1" applyAlignment="1">
      <alignment horizontal="center"/>
    </xf>
    <xf numFmtId="38" fontId="5" fillId="5" borderId="72" xfId="0" applyNumberFormat="1" applyFont="1" applyFill="1" applyBorder="1" applyAlignment="1">
      <alignment horizontal="center"/>
    </xf>
    <xf numFmtId="38" fontId="5" fillId="5" borderId="76" xfId="0" applyNumberFormat="1" applyFont="1" applyFill="1" applyBorder="1" applyAlignment="1">
      <alignment horizontal="center"/>
    </xf>
    <xf numFmtId="38" fontId="4" fillId="5" borderId="73" xfId="0" applyNumberFormat="1" applyFont="1" applyFill="1" applyBorder="1" applyAlignment="1">
      <alignment horizontal="center"/>
    </xf>
    <xf numFmtId="38" fontId="4" fillId="5" borderId="71" xfId="0" applyNumberFormat="1" applyFont="1" applyFill="1" applyBorder="1" applyAlignment="1">
      <alignment horizontal="center"/>
    </xf>
    <xf numFmtId="38" fontId="4" fillId="5" borderId="84" xfId="0" applyNumberFormat="1" applyFont="1" applyFill="1" applyBorder="1" applyAlignment="1">
      <alignment horizontal="center"/>
    </xf>
    <xf numFmtId="38" fontId="4" fillId="5" borderId="86" xfId="0" applyNumberFormat="1" applyFont="1" applyFill="1" applyBorder="1" applyAlignment="1">
      <alignment horizontal="center"/>
    </xf>
    <xf numFmtId="38" fontId="4" fillId="5" borderId="92" xfId="0" applyNumberFormat="1" applyFont="1" applyFill="1" applyBorder="1" applyAlignment="1">
      <alignment horizontal="center"/>
    </xf>
    <xf numFmtId="38" fontId="4" fillId="5" borderId="90" xfId="0" applyNumberFormat="1" applyFont="1" applyFill="1" applyBorder="1" applyAlignment="1">
      <alignment horizontal="center"/>
    </xf>
    <xf numFmtId="38" fontId="4" fillId="5" borderId="91" xfId="0" applyNumberFormat="1" applyFont="1" applyFill="1" applyBorder="1" applyAlignment="1">
      <alignment horizontal="center"/>
    </xf>
    <xf numFmtId="38" fontId="4" fillId="5" borderId="89" xfId="0" applyNumberFormat="1" applyFont="1" applyFill="1" applyBorder="1" applyAlignment="1">
      <alignment horizontal="center"/>
    </xf>
    <xf numFmtId="38" fontId="4" fillId="5" borderId="93" xfId="0" applyNumberFormat="1" applyFont="1" applyFill="1" applyBorder="1" applyAlignment="1">
      <alignment horizontal="center"/>
    </xf>
    <xf numFmtId="38" fontId="5" fillId="5" borderId="63" xfId="0" applyNumberFormat="1" applyFont="1" applyFill="1" applyBorder="1" applyAlignment="1">
      <alignment horizontal="center"/>
    </xf>
    <xf numFmtId="38" fontId="4" fillId="5" borderId="88" xfId="0" applyNumberFormat="1" applyFont="1" applyFill="1" applyBorder="1" applyAlignment="1">
      <alignment horizontal="center"/>
    </xf>
    <xf numFmtId="38" fontId="5" fillId="5" borderId="131" xfId="0" applyNumberFormat="1" applyFont="1" applyFill="1" applyBorder="1" applyAlignment="1">
      <alignment horizontal="center"/>
    </xf>
    <xf numFmtId="38" fontId="4" fillId="5" borderId="129" xfId="0" applyNumberFormat="1" applyFont="1" applyFill="1" applyBorder="1" applyAlignment="1">
      <alignment horizontal="center"/>
    </xf>
    <xf numFmtId="38" fontId="5" fillId="5" borderId="127" xfId="0" applyNumberFormat="1" applyFont="1" applyFill="1" applyBorder="1" applyAlignment="1">
      <alignment horizontal="center"/>
    </xf>
    <xf numFmtId="38" fontId="4" fillId="5" borderId="127" xfId="0" applyNumberFormat="1" applyFont="1" applyFill="1" applyBorder="1" applyAlignment="1">
      <alignment horizontal="center"/>
    </xf>
    <xf numFmtId="38" fontId="5" fillId="5" borderId="125" xfId="0" applyNumberFormat="1" applyFont="1" applyFill="1" applyBorder="1" applyAlignment="1">
      <alignment horizontal="center"/>
    </xf>
    <xf numFmtId="38" fontId="5" fillId="5" borderId="126" xfId="0" applyNumberFormat="1" applyFont="1" applyFill="1" applyBorder="1" applyAlignment="1">
      <alignment horizontal="center"/>
    </xf>
    <xf numFmtId="38" fontId="5" fillId="5" borderId="128" xfId="0" applyNumberFormat="1" applyFont="1" applyFill="1" applyBorder="1" applyAlignment="1">
      <alignment horizontal="center"/>
    </xf>
    <xf numFmtId="38" fontId="5" fillId="5" borderId="130" xfId="0" applyNumberFormat="1" applyFont="1" applyFill="1" applyBorder="1" applyAlignment="1">
      <alignment horizontal="center"/>
    </xf>
    <xf numFmtId="38" fontId="5" fillId="5" borderId="155" xfId="0" applyNumberFormat="1" applyFont="1" applyFill="1" applyBorder="1" applyAlignment="1">
      <alignment horizontal="center"/>
    </xf>
    <xf numFmtId="38" fontId="5" fillId="5" borderId="156" xfId="0" applyNumberFormat="1" applyFont="1" applyFill="1" applyBorder="1" applyAlignment="1">
      <alignment horizontal="center"/>
    </xf>
    <xf numFmtId="38" fontId="4" fillId="5" borderId="124" xfId="0" applyNumberFormat="1" applyFont="1" applyFill="1" applyBorder="1" applyAlignment="1">
      <alignment horizontal="center"/>
    </xf>
    <xf numFmtId="38" fontId="12" fillId="12" borderId="70" xfId="0" applyNumberFormat="1" applyFont="1" applyFill="1" applyBorder="1" applyAlignment="1">
      <alignment horizontal="left" vertical="top"/>
    </xf>
    <xf numFmtId="38" fontId="12" fillId="12" borderId="69" xfId="0" applyNumberFormat="1" applyFont="1" applyFill="1" applyBorder="1" applyAlignment="1">
      <alignment horizontal="left"/>
    </xf>
    <xf numFmtId="38" fontId="5" fillId="5" borderId="33" xfId="0" applyNumberFormat="1" applyFont="1" applyFill="1" applyBorder="1" applyAlignment="1">
      <alignment horizontal="center"/>
    </xf>
    <xf numFmtId="38" fontId="4" fillId="5" borderId="25" xfId="0" applyNumberFormat="1" applyFont="1" applyFill="1" applyBorder="1" applyAlignment="1">
      <alignment horizontal="center"/>
    </xf>
    <xf numFmtId="38" fontId="5" fillId="5" borderId="30" xfId="0" applyNumberFormat="1" applyFont="1" applyFill="1" applyBorder="1" applyAlignment="1">
      <alignment horizontal="center"/>
    </xf>
    <xf numFmtId="38" fontId="4" fillId="5" borderId="30" xfId="0" applyNumberFormat="1" applyFont="1" applyFill="1" applyBorder="1" applyAlignment="1">
      <alignment horizontal="center"/>
    </xf>
    <xf numFmtId="38" fontId="5" fillId="5" borderId="31" xfId="0" applyNumberFormat="1" applyFont="1" applyFill="1" applyBorder="1" applyAlignment="1">
      <alignment horizontal="center"/>
    </xf>
    <xf numFmtId="38" fontId="5" fillId="5" borderId="29" xfId="0" applyNumberFormat="1" applyFont="1" applyFill="1" applyBorder="1" applyAlignment="1">
      <alignment horizontal="center"/>
    </xf>
    <xf numFmtId="38" fontId="5" fillId="5" borderId="28" xfId="0" applyNumberFormat="1" applyFont="1" applyFill="1" applyBorder="1" applyAlignment="1">
      <alignment horizontal="center"/>
    </xf>
    <xf numFmtId="38" fontId="5" fillId="5" borderId="32" xfId="0" applyNumberFormat="1" applyFont="1" applyFill="1" applyBorder="1" applyAlignment="1">
      <alignment horizontal="center"/>
    </xf>
    <xf numFmtId="38" fontId="5" fillId="5" borderId="153" xfId="0" applyNumberFormat="1" applyFont="1" applyFill="1" applyBorder="1" applyAlignment="1">
      <alignment horizontal="center"/>
    </xf>
    <xf numFmtId="38" fontId="5" fillId="5" borderId="154" xfId="0" applyNumberFormat="1" applyFont="1" applyFill="1" applyBorder="1" applyAlignment="1">
      <alignment horizontal="center"/>
    </xf>
    <xf numFmtId="38" fontId="4" fillId="5" borderId="27" xfId="0" applyNumberFormat="1" applyFont="1" applyFill="1" applyBorder="1" applyAlignment="1">
      <alignment horizontal="center"/>
    </xf>
    <xf numFmtId="38" fontId="12" fillId="12" borderId="26" xfId="0" applyNumberFormat="1" applyFont="1" applyFill="1" applyBorder="1" applyAlignment="1">
      <alignment horizontal="left" vertical="top"/>
    </xf>
    <xf numFmtId="38" fontId="12" fillId="12" borderId="25" xfId="0" applyNumberFormat="1" applyFont="1" applyFill="1" applyBorder="1" applyAlignment="1">
      <alignment horizontal="left"/>
    </xf>
    <xf numFmtId="38" fontId="0" fillId="0" borderId="0" xfId="0" applyNumberFormat="1" applyAlignment="1">
      <alignment wrapText="1"/>
    </xf>
    <xf numFmtId="167" fontId="4" fillId="0" borderId="0" xfId="0" applyNumberFormat="1" applyFont="1" applyAlignment="1">
      <alignment horizontal="left" wrapText="1"/>
    </xf>
    <xf numFmtId="167" fontId="14" fillId="11" borderId="0" xfId="0" applyNumberFormat="1" applyFont="1" applyFill="1" applyAlignment="1">
      <alignment horizontal="left" wrapText="1"/>
    </xf>
    <xf numFmtId="167" fontId="4" fillId="8" borderId="0" xfId="0" applyNumberFormat="1" applyFont="1" applyFill="1" applyAlignment="1">
      <alignment horizontal="left" wrapText="1"/>
    </xf>
    <xf numFmtId="167" fontId="14" fillId="7" borderId="0" xfId="0" applyNumberFormat="1" applyFont="1" applyFill="1" applyAlignment="1">
      <alignment horizontal="left" wrapText="1"/>
    </xf>
    <xf numFmtId="38" fontId="4" fillId="0" borderId="0" xfId="0" applyNumberFormat="1" applyFont="1" applyAlignment="1">
      <alignment horizontal="center" wrapText="1"/>
    </xf>
    <xf numFmtId="167" fontId="15" fillId="0" borderId="0" xfId="0" applyNumberFormat="1" applyFont="1" applyAlignment="1">
      <alignment horizontal="left" wrapText="1"/>
    </xf>
    <xf numFmtId="38" fontId="4" fillId="0" borderId="0" xfId="0" applyNumberFormat="1" applyFont="1" applyAlignment="1">
      <alignment wrapText="1"/>
    </xf>
    <xf numFmtId="38" fontId="4" fillId="0" borderId="0" xfId="0" applyNumberFormat="1" applyFont="1" applyAlignment="1">
      <alignment horizontal="left" wrapText="1"/>
    </xf>
    <xf numFmtId="166" fontId="4" fillId="0" borderId="0" xfId="0" applyNumberFormat="1" applyFont="1" applyFill="1" applyBorder="1" applyAlignment="1">
      <alignment horizontal="center" wrapText="1"/>
    </xf>
    <xf numFmtId="38" fontId="5" fillId="0" borderId="0" xfId="0" applyNumberFormat="1" applyFont="1" applyAlignment="1">
      <alignment horizontal="left" wrapText="1"/>
    </xf>
    <xf numFmtId="38" fontId="4" fillId="5" borderId="108" xfId="0" applyNumberFormat="1" applyFont="1" applyFill="1" applyBorder="1" applyAlignment="1">
      <alignment horizontal="center" wrapText="1"/>
    </xf>
    <xf numFmtId="38" fontId="4" fillId="5" borderId="101" xfId="0" applyNumberFormat="1" applyFont="1" applyFill="1" applyBorder="1" applyAlignment="1">
      <alignment horizontal="center" wrapText="1"/>
    </xf>
    <xf numFmtId="38" fontId="4" fillId="5" borderId="106" xfId="0" applyNumberFormat="1" applyFont="1" applyFill="1" applyBorder="1" applyAlignment="1">
      <alignment horizontal="center" wrapText="1"/>
    </xf>
    <xf numFmtId="38" fontId="4" fillId="5" borderId="105" xfId="0" applyNumberFormat="1" applyFont="1" applyFill="1" applyBorder="1" applyAlignment="1">
      <alignment horizontal="center" wrapText="1"/>
    </xf>
    <xf numFmtId="38" fontId="4" fillId="5" borderId="139" xfId="0" applyNumberFormat="1" applyFont="1" applyFill="1" applyBorder="1" applyAlignment="1">
      <alignment horizontal="center" wrapText="1"/>
    </xf>
    <xf numFmtId="38" fontId="4" fillId="5" borderId="107" xfId="0" applyNumberFormat="1" applyFont="1" applyFill="1" applyBorder="1" applyAlignment="1">
      <alignment horizontal="center" wrapText="1"/>
    </xf>
    <xf numFmtId="38" fontId="4" fillId="5" borderId="104" xfId="0" applyNumberFormat="1" applyFont="1" applyFill="1" applyBorder="1" applyAlignment="1">
      <alignment horizontal="center" wrapText="1"/>
    </xf>
    <xf numFmtId="38" fontId="4" fillId="5" borderId="103" xfId="0" applyNumberFormat="1" applyFont="1" applyFill="1" applyBorder="1" applyAlignment="1">
      <alignment horizontal="center" wrapText="1"/>
    </xf>
    <xf numFmtId="38" fontId="16" fillId="0" borderId="102" xfId="0" applyNumberFormat="1" applyFont="1" applyBorder="1" applyAlignment="1">
      <alignment horizontal="center" wrapText="1"/>
    </xf>
    <xf numFmtId="38" fontId="15" fillId="0" borderId="101" xfId="0" applyNumberFormat="1" applyFont="1" applyBorder="1" applyAlignment="1">
      <alignment horizontal="left" wrapText="1"/>
    </xf>
    <xf numFmtId="38" fontId="4" fillId="5" borderId="77" xfId="0" applyNumberFormat="1" applyFont="1" applyFill="1" applyBorder="1" applyAlignment="1">
      <alignment horizontal="center" wrapText="1"/>
    </xf>
    <xf numFmtId="38" fontId="4" fillId="5" borderId="69" xfId="0" applyNumberFormat="1" applyFont="1" applyFill="1" applyBorder="1" applyAlignment="1">
      <alignment horizontal="center" wrapText="1"/>
    </xf>
    <xf numFmtId="38" fontId="5" fillId="5" borderId="75" xfId="0" applyNumberFormat="1" applyFont="1" applyFill="1" applyBorder="1" applyAlignment="1">
      <alignment horizontal="center" wrapText="1"/>
    </xf>
    <xf numFmtId="38" fontId="4" fillId="5" borderId="75" xfId="0" applyNumberFormat="1" applyFont="1" applyFill="1" applyBorder="1" applyAlignment="1">
      <alignment horizontal="center" wrapText="1"/>
    </xf>
    <xf numFmtId="38" fontId="5" fillId="5" borderId="73" xfId="0" applyNumberFormat="1" applyFont="1" applyFill="1" applyBorder="1" applyAlignment="1">
      <alignment horizontal="center" wrapText="1"/>
    </xf>
    <xf numFmtId="38" fontId="5" fillId="5" borderId="69" xfId="0" applyNumberFormat="1" applyFont="1" applyFill="1" applyBorder="1" applyAlignment="1">
      <alignment horizontal="center" wrapText="1"/>
    </xf>
    <xf numFmtId="38" fontId="5" fillId="5" borderId="76" xfId="0" applyNumberFormat="1" applyFont="1" applyFill="1" applyBorder="1" applyAlignment="1">
      <alignment horizontal="center" wrapText="1"/>
    </xf>
    <xf numFmtId="38" fontId="5" fillId="5" borderId="74" xfId="0" applyNumberFormat="1" applyFont="1" applyFill="1" applyBorder="1" applyAlignment="1">
      <alignment horizontal="center" wrapText="1"/>
    </xf>
    <xf numFmtId="38" fontId="4" fillId="5" borderId="73" xfId="0" applyNumberFormat="1" applyFont="1" applyFill="1" applyBorder="1" applyAlignment="1">
      <alignment horizontal="center" wrapText="1"/>
    </xf>
    <xf numFmtId="38" fontId="5" fillId="5" borderId="72" xfId="0" applyNumberFormat="1" applyFont="1" applyFill="1" applyBorder="1" applyAlignment="1">
      <alignment horizontal="center" wrapText="1"/>
    </xf>
    <xf numFmtId="38" fontId="4" fillId="5" borderId="71" xfId="0" applyNumberFormat="1" applyFont="1" applyFill="1" applyBorder="1" applyAlignment="1">
      <alignment horizontal="center" wrapText="1"/>
    </xf>
    <xf numFmtId="38" fontId="16" fillId="0" borderId="70" xfId="0" applyNumberFormat="1" applyFont="1" applyBorder="1" applyAlignment="1">
      <alignment horizontal="center" wrapText="1"/>
    </xf>
    <xf numFmtId="38" fontId="15" fillId="0" borderId="69" xfId="0" applyNumberFormat="1" applyFont="1" applyBorder="1" applyAlignment="1">
      <alignment horizontal="left" vertical="top" wrapText="1"/>
    </xf>
    <xf numFmtId="38" fontId="4" fillId="5" borderId="84" xfId="0" applyNumberFormat="1" applyFont="1" applyFill="1" applyBorder="1" applyAlignment="1">
      <alignment horizontal="center" wrapText="1"/>
    </xf>
    <xf numFmtId="38" fontId="4" fillId="5" borderId="86" xfId="0" applyNumberFormat="1" applyFont="1" applyFill="1" applyBorder="1" applyAlignment="1">
      <alignment horizontal="center" wrapText="1"/>
    </xf>
    <xf numFmtId="38" fontId="4" fillId="5" borderId="92" xfId="0" applyNumberFormat="1" applyFont="1" applyFill="1" applyBorder="1" applyAlignment="1">
      <alignment horizontal="center" wrapText="1"/>
    </xf>
    <xf numFmtId="38" fontId="4" fillId="5" borderId="90" xfId="0" applyNumberFormat="1" applyFont="1" applyFill="1" applyBorder="1" applyAlignment="1">
      <alignment horizontal="center" wrapText="1"/>
    </xf>
    <xf numFmtId="38" fontId="4" fillId="5" borderId="93" xfId="0" applyNumberFormat="1" applyFont="1" applyFill="1" applyBorder="1" applyAlignment="1">
      <alignment horizontal="center" wrapText="1"/>
    </xf>
    <xf numFmtId="38" fontId="4" fillId="5" borderId="91" xfId="0" applyNumberFormat="1" applyFont="1" applyFill="1" applyBorder="1" applyAlignment="1">
      <alignment horizontal="center" wrapText="1"/>
    </xf>
    <xf numFmtId="38" fontId="5" fillId="5" borderId="63" xfId="0" applyNumberFormat="1" applyFont="1" applyFill="1" applyBorder="1" applyAlignment="1">
      <alignment horizontal="center" wrapText="1"/>
    </xf>
    <xf numFmtId="38" fontId="4" fillId="5" borderId="89" xfId="0" applyNumberFormat="1" applyFont="1" applyFill="1" applyBorder="1" applyAlignment="1">
      <alignment horizontal="center" wrapText="1"/>
    </xf>
    <xf numFmtId="38" fontId="4" fillId="5" borderId="88" xfId="0" applyNumberFormat="1" applyFont="1" applyFill="1" applyBorder="1" applyAlignment="1">
      <alignment horizontal="center" wrapText="1"/>
    </xf>
    <xf numFmtId="38" fontId="16" fillId="0" borderId="87" xfId="0" applyNumberFormat="1" applyFont="1" applyBorder="1" applyAlignment="1">
      <alignment horizontal="center" wrapText="1"/>
    </xf>
    <xf numFmtId="38" fontId="15" fillId="0" borderId="86" xfId="0" applyNumberFormat="1" applyFont="1" applyBorder="1" applyAlignment="1">
      <alignment horizontal="left" wrapText="1"/>
    </xf>
    <xf numFmtId="38" fontId="5" fillId="5" borderId="77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vertical="top" wrapText="1"/>
    </xf>
    <xf numFmtId="38" fontId="5" fillId="5" borderId="85" xfId="0" applyNumberFormat="1" applyFont="1" applyFill="1" applyBorder="1" applyAlignment="1">
      <alignment horizontal="center" wrapText="1"/>
    </xf>
    <xf numFmtId="38" fontId="4" fillId="5" borderId="59" xfId="0" applyNumberFormat="1" applyFont="1" applyFill="1" applyBorder="1" applyAlignment="1">
      <alignment horizontal="center" wrapText="1"/>
    </xf>
    <xf numFmtId="38" fontId="5" fillId="5" borderId="65" xfId="0" applyNumberFormat="1" applyFont="1" applyFill="1" applyBorder="1" applyAlignment="1">
      <alignment horizontal="center" wrapText="1"/>
    </xf>
    <xf numFmtId="38" fontId="4" fillId="5" borderId="65" xfId="0" applyNumberFormat="1" applyFont="1" applyFill="1" applyBorder="1" applyAlignment="1">
      <alignment horizontal="center" wrapText="1"/>
    </xf>
    <xf numFmtId="38" fontId="5" fillId="5" borderId="59" xfId="0" applyNumberFormat="1" applyFont="1" applyFill="1" applyBorder="1" applyAlignment="1">
      <alignment horizontal="center" wrapText="1"/>
    </xf>
    <xf numFmtId="38" fontId="5" fillId="5" borderId="68" xfId="0" applyNumberFormat="1" applyFont="1" applyFill="1" applyBorder="1" applyAlignment="1">
      <alignment horizontal="center" wrapText="1"/>
    </xf>
    <xf numFmtId="38" fontId="5" fillId="5" borderId="66" xfId="0" applyNumberFormat="1" applyFont="1" applyFill="1" applyBorder="1" applyAlignment="1">
      <alignment horizontal="center" wrapText="1"/>
    </xf>
    <xf numFmtId="38" fontId="5" fillId="5" borderId="64" xfId="0" applyNumberFormat="1" applyFont="1" applyFill="1" applyBorder="1" applyAlignment="1">
      <alignment horizontal="center" wrapText="1"/>
    </xf>
    <xf numFmtId="38" fontId="5" fillId="5" borderId="62" xfId="0" applyNumberFormat="1" applyFont="1" applyFill="1" applyBorder="1" applyAlignment="1">
      <alignment horizontal="center" wrapText="1"/>
    </xf>
    <xf numFmtId="38" fontId="4" fillId="5" borderId="61" xfId="0" applyNumberFormat="1" applyFont="1" applyFill="1" applyBorder="1" applyAlignment="1">
      <alignment horizontal="center" wrapText="1"/>
    </xf>
    <xf numFmtId="38" fontId="16" fillId="0" borderId="60" xfId="0" applyNumberFormat="1" applyFont="1" applyBorder="1" applyAlignment="1">
      <alignment horizontal="center" wrapText="1"/>
    </xf>
    <xf numFmtId="38" fontId="14" fillId="0" borderId="59" xfId="0" applyNumberFormat="1" applyFont="1" applyBorder="1" applyAlignment="1">
      <alignment horizontal="left" vertical="top" wrapText="1"/>
    </xf>
    <xf numFmtId="38" fontId="4" fillId="5" borderId="137" xfId="0" applyNumberFormat="1" applyFont="1" applyFill="1" applyBorder="1" applyAlignment="1">
      <alignment horizontal="center" wrapText="1"/>
    </xf>
    <xf numFmtId="38" fontId="4" fillId="5" borderId="135" xfId="0" applyNumberFormat="1" applyFont="1" applyFill="1" applyBorder="1" applyAlignment="1">
      <alignment horizontal="center" wrapText="1"/>
    </xf>
    <xf numFmtId="38" fontId="4" fillId="5" borderId="4" xfId="0" applyNumberFormat="1" applyFont="1" applyFill="1" applyBorder="1" applyAlignment="1">
      <alignment horizontal="center" wrapText="1"/>
    </xf>
    <xf numFmtId="38" fontId="4" fillId="5" borderId="134" xfId="0" applyNumberFormat="1" applyFont="1" applyFill="1" applyBorder="1" applyAlignment="1">
      <alignment horizontal="center" wrapText="1"/>
    </xf>
    <xf numFmtId="38" fontId="4" fillId="5" borderId="83" xfId="0" applyNumberFormat="1" applyFont="1" applyFill="1" applyBorder="1" applyAlignment="1">
      <alignment horizontal="center" wrapText="1"/>
    </xf>
    <xf numFmtId="38" fontId="4" fillId="5" borderId="136" xfId="0" applyNumberFormat="1" applyFont="1" applyFill="1" applyBorder="1" applyAlignment="1">
      <alignment horizontal="center" wrapText="1"/>
    </xf>
    <xf numFmtId="38" fontId="4" fillId="5" borderId="133" xfId="0" applyNumberFormat="1" applyFont="1" applyFill="1" applyBorder="1" applyAlignment="1">
      <alignment horizontal="center" wrapText="1"/>
    </xf>
    <xf numFmtId="38" fontId="4" fillId="5" borderId="132" xfId="0" applyNumberFormat="1" applyFont="1" applyFill="1" applyBorder="1" applyAlignment="1">
      <alignment horizontal="center" wrapText="1"/>
    </xf>
    <xf numFmtId="38" fontId="16" fillId="0" borderId="138" xfId="0" applyNumberFormat="1" applyFont="1" applyBorder="1" applyAlignment="1">
      <alignment horizontal="center" wrapText="1"/>
    </xf>
    <xf numFmtId="38" fontId="15" fillId="0" borderId="135" xfId="0" applyNumberFormat="1" applyFont="1" applyBorder="1" applyAlignment="1">
      <alignment horizontal="left" wrapText="1"/>
    </xf>
    <xf numFmtId="38" fontId="4" fillId="5" borderId="29" xfId="0" applyNumberFormat="1" applyFont="1" applyFill="1" applyBorder="1" applyAlignment="1">
      <alignment horizontal="center" wrapText="1"/>
    </xf>
    <xf numFmtId="38" fontId="4" fillId="5" borderId="72" xfId="0" applyNumberFormat="1" applyFont="1" applyFill="1" applyBorder="1" applyAlignment="1">
      <alignment horizontal="center" wrapText="1"/>
    </xf>
    <xf numFmtId="38" fontId="14" fillId="0" borderId="69" xfId="0" applyNumberFormat="1" applyFont="1" applyBorder="1" applyAlignment="1">
      <alignment horizontal="left" wrapText="1"/>
    </xf>
    <xf numFmtId="38" fontId="5" fillId="5" borderId="131" xfId="0" applyNumberFormat="1" applyFont="1" applyFill="1" applyBorder="1" applyAlignment="1">
      <alignment horizontal="center" wrapText="1"/>
    </xf>
    <xf numFmtId="38" fontId="4" fillId="5" borderId="129" xfId="0" applyNumberFormat="1" applyFont="1" applyFill="1" applyBorder="1" applyAlignment="1">
      <alignment horizontal="center" wrapText="1"/>
    </xf>
    <xf numFmtId="38" fontId="5" fillId="5" borderId="121" xfId="0" applyNumberFormat="1" applyFont="1" applyFill="1" applyBorder="1" applyAlignment="1">
      <alignment horizontal="center" wrapText="1"/>
    </xf>
    <xf numFmtId="38" fontId="5" fillId="5" borderId="5" xfId="0" applyNumberFormat="1" applyFont="1" applyFill="1" applyBorder="1" applyAlignment="1">
      <alignment horizontal="center" wrapText="1"/>
    </xf>
    <xf numFmtId="38" fontId="5" fillId="5" borderId="125" xfId="0" applyNumberFormat="1" applyFont="1" applyFill="1" applyBorder="1" applyAlignment="1">
      <alignment horizontal="center" wrapText="1"/>
    </xf>
    <xf numFmtId="38" fontId="5" fillId="5" borderId="130" xfId="0" applyNumberFormat="1" applyFont="1" applyFill="1" applyBorder="1" applyAlignment="1">
      <alignment horizontal="center" wrapText="1"/>
    </xf>
    <xf numFmtId="38" fontId="5" fillId="5" borderId="126" xfId="0" applyNumberFormat="1" applyFont="1" applyFill="1" applyBorder="1" applyAlignment="1">
      <alignment horizontal="center" wrapText="1"/>
    </xf>
    <xf numFmtId="38" fontId="4" fillId="5" borderId="127" xfId="0" applyNumberFormat="1" applyFont="1" applyFill="1" applyBorder="1" applyAlignment="1">
      <alignment horizontal="center" wrapText="1"/>
    </xf>
    <xf numFmtId="38" fontId="5" fillId="5" borderId="128" xfId="0" applyNumberFormat="1" applyFont="1" applyFill="1" applyBorder="1" applyAlignment="1">
      <alignment horizontal="center" wrapText="1"/>
    </xf>
    <xf numFmtId="38" fontId="4" fillId="5" borderId="124" xfId="0" applyNumberFormat="1" applyFont="1" applyFill="1" applyBorder="1" applyAlignment="1">
      <alignment horizontal="center" wrapText="1"/>
    </xf>
    <xf numFmtId="38" fontId="16" fillId="0" borderId="26" xfId="0" applyNumberFormat="1" applyFont="1" applyBorder="1" applyAlignment="1">
      <alignment horizontal="center" wrapText="1"/>
    </xf>
    <xf numFmtId="38" fontId="14" fillId="0" borderId="25" xfId="0" applyNumberFormat="1" applyFont="1" applyBorder="1" applyAlignment="1">
      <alignment horizontal="left" wrapText="1"/>
    </xf>
    <xf numFmtId="38" fontId="5" fillId="5" borderId="30" xfId="0" applyNumberFormat="1" applyFont="1" applyFill="1" applyBorder="1" applyAlignment="1">
      <alignment horizontal="center" wrapText="1"/>
    </xf>
    <xf numFmtId="38" fontId="17" fillId="0" borderId="26" xfId="0" applyNumberFormat="1" applyFont="1" applyBorder="1" applyAlignment="1">
      <alignment vertical="top" wrapText="1"/>
    </xf>
    <xf numFmtId="38" fontId="14" fillId="0" borderId="25" xfId="0" applyNumberFormat="1" applyFont="1" applyBorder="1" applyAlignment="1">
      <alignment horizontal="left" vertical="top" wrapText="1"/>
    </xf>
    <xf numFmtId="38" fontId="5" fillId="5" borderId="0" xfId="0" applyNumberFormat="1" applyFont="1" applyFill="1" applyAlignment="1">
      <alignment horizontal="center" wrapText="1"/>
    </xf>
    <xf numFmtId="38" fontId="5" fillId="5" borderId="117" xfId="0" applyNumberFormat="1" applyFont="1" applyFill="1" applyBorder="1" applyAlignment="1">
      <alignment horizontal="center" wrapText="1"/>
    </xf>
    <xf numFmtId="38" fontId="5" fillId="5" borderId="33" xfId="0" applyNumberFormat="1" applyFont="1" applyFill="1" applyBorder="1" applyAlignment="1">
      <alignment horizontal="center" wrapText="1"/>
    </xf>
    <xf numFmtId="38" fontId="4" fillId="5" borderId="25" xfId="0" applyNumberFormat="1" applyFont="1" applyFill="1" applyBorder="1" applyAlignment="1">
      <alignment horizontal="center" wrapText="1"/>
    </xf>
    <xf numFmtId="38" fontId="4" fillId="5" borderId="30" xfId="0" applyNumberFormat="1" applyFont="1" applyFill="1" applyBorder="1" applyAlignment="1">
      <alignment horizontal="center" wrapText="1"/>
    </xf>
    <xf numFmtId="38" fontId="5" fillId="5" borderId="31" xfId="0" applyNumberFormat="1" applyFont="1" applyFill="1" applyBorder="1" applyAlignment="1">
      <alignment horizontal="center" wrapText="1"/>
    </xf>
    <xf numFmtId="38" fontId="5" fillId="5" borderId="25" xfId="0" applyNumberFormat="1" applyFont="1" applyFill="1" applyBorder="1" applyAlignment="1">
      <alignment horizontal="center" wrapText="1"/>
    </xf>
    <xf numFmtId="38" fontId="5" fillId="5" borderId="32" xfId="0" applyNumberFormat="1" applyFont="1" applyFill="1" applyBorder="1" applyAlignment="1">
      <alignment horizontal="center" wrapText="1"/>
    </xf>
    <xf numFmtId="38" fontId="5" fillId="5" borderId="29" xfId="0" applyNumberFormat="1" applyFont="1" applyFill="1" applyBorder="1" applyAlignment="1">
      <alignment horizontal="center" wrapText="1"/>
    </xf>
    <xf numFmtId="38" fontId="5" fillId="5" borderId="28" xfId="0" applyNumberFormat="1" applyFont="1" applyFill="1" applyBorder="1" applyAlignment="1">
      <alignment horizontal="center" wrapText="1"/>
    </xf>
    <xf numFmtId="38" fontId="4" fillId="5" borderId="31" xfId="0" applyNumberFormat="1" applyFont="1" applyFill="1" applyBorder="1" applyAlignment="1">
      <alignment horizontal="center" wrapText="1"/>
    </xf>
    <xf numFmtId="38" fontId="4" fillId="5" borderId="28" xfId="0" applyNumberFormat="1" applyFont="1" applyFill="1" applyBorder="1" applyAlignment="1">
      <alignment horizontal="center" wrapText="1"/>
    </xf>
    <xf numFmtId="38" fontId="4" fillId="5" borderId="27" xfId="0" applyNumberFormat="1" applyFont="1" applyFill="1" applyBorder="1" applyAlignment="1">
      <alignment horizontal="center" wrapText="1"/>
    </xf>
    <xf numFmtId="38" fontId="5" fillId="5" borderId="67" xfId="0" applyNumberFormat="1" applyFont="1" applyFill="1" applyBorder="1" applyAlignment="1">
      <alignment horizontal="center" wrapText="1"/>
    </xf>
    <xf numFmtId="38" fontId="4" fillId="5" borderId="117" xfId="0" applyNumberFormat="1" applyFont="1" applyFill="1" applyBorder="1" applyAlignment="1">
      <alignment horizontal="center" wrapText="1"/>
    </xf>
    <xf numFmtId="38" fontId="4" fillId="5" borderId="121" xfId="0" applyNumberFormat="1" applyFont="1" applyFill="1" applyBorder="1" applyAlignment="1">
      <alignment horizontal="center" wrapText="1"/>
    </xf>
    <xf numFmtId="38" fontId="5" fillId="5" borderId="123" xfId="0" applyNumberFormat="1" applyFont="1" applyFill="1" applyBorder="1" applyAlignment="1">
      <alignment horizontal="center" wrapText="1"/>
    </xf>
    <xf numFmtId="38" fontId="5" fillId="5" borderId="120" xfId="0" applyNumberFormat="1" applyFont="1" applyFill="1" applyBorder="1" applyAlignment="1">
      <alignment horizontal="center" wrapText="1"/>
    </xf>
    <xf numFmtId="38" fontId="5" fillId="5" borderId="122" xfId="0" applyNumberFormat="1" applyFont="1" applyFill="1" applyBorder="1" applyAlignment="1">
      <alignment horizontal="center" wrapText="1"/>
    </xf>
    <xf numFmtId="38" fontId="4" fillId="5" borderId="68" xfId="0" applyNumberFormat="1" applyFont="1" applyFill="1" applyBorder="1" applyAlignment="1">
      <alignment horizontal="center" wrapText="1"/>
    </xf>
    <xf numFmtId="38" fontId="4" fillId="5" borderId="122" xfId="0" applyNumberFormat="1" applyFont="1" applyFill="1" applyBorder="1" applyAlignment="1">
      <alignment horizontal="center" wrapText="1"/>
    </xf>
    <xf numFmtId="38" fontId="4" fillId="5" borderId="119" xfId="0" applyNumberFormat="1" applyFont="1" applyFill="1" applyBorder="1" applyAlignment="1">
      <alignment horizontal="center" wrapText="1"/>
    </xf>
    <xf numFmtId="38" fontId="16" fillId="0" borderId="118" xfId="0" applyNumberFormat="1" applyFont="1" applyBorder="1" applyAlignment="1">
      <alignment horizontal="center" wrapText="1"/>
    </xf>
    <xf numFmtId="38" fontId="14" fillId="0" borderId="117" xfId="0" applyNumberFormat="1" applyFont="1" applyBorder="1" applyAlignment="1">
      <alignment horizontal="left" vertical="top" wrapText="1"/>
    </xf>
    <xf numFmtId="38" fontId="4" fillId="5" borderId="63" xfId="0" applyNumberFormat="1" applyFont="1" applyFill="1" applyBorder="1" applyAlignment="1">
      <alignment horizontal="center" wrapText="1"/>
    </xf>
    <xf numFmtId="38" fontId="4" fillId="5" borderId="62" xfId="0" applyNumberFormat="1" applyFont="1" applyFill="1" applyBorder="1" applyAlignment="1">
      <alignment horizontal="center" wrapText="1"/>
    </xf>
    <xf numFmtId="38" fontId="5" fillId="5" borderId="129" xfId="0" applyNumberFormat="1" applyFont="1" applyFill="1" applyBorder="1" applyAlignment="1">
      <alignment horizontal="center" wrapText="1"/>
    </xf>
    <xf numFmtId="38" fontId="5" fillId="5" borderId="80" xfId="0" applyNumberFormat="1" applyFont="1" applyFill="1" applyBorder="1" applyAlignment="1">
      <alignment horizontal="center" wrapText="1"/>
    </xf>
    <xf numFmtId="38" fontId="17" fillId="0" borderId="70" xfId="0" applyNumberFormat="1" applyFont="1" applyBorder="1" applyAlignment="1">
      <alignment vertical="top" wrapText="1"/>
    </xf>
    <xf numFmtId="38" fontId="14" fillId="13" borderId="69" xfId="0" applyNumberFormat="1" applyFont="1" applyFill="1" applyBorder="1" applyAlignment="1">
      <alignment horizontal="left" vertical="top" wrapText="1"/>
    </xf>
    <xf numFmtId="38" fontId="17" fillId="0" borderId="26" xfId="0" applyNumberFormat="1" applyFont="1" applyBorder="1" applyAlignment="1">
      <alignment horizontal="left" vertical="top" wrapText="1"/>
    </xf>
    <xf numFmtId="38" fontId="14" fillId="13" borderId="25" xfId="0" applyNumberFormat="1" applyFont="1" applyFill="1" applyBorder="1" applyAlignment="1">
      <alignment horizontal="left" vertical="top" wrapText="1"/>
    </xf>
    <xf numFmtId="38" fontId="17" fillId="0" borderId="118" xfId="0" applyNumberFormat="1" applyFont="1" applyBorder="1" applyAlignment="1">
      <alignment vertical="top" wrapText="1"/>
    </xf>
    <xf numFmtId="38" fontId="4" fillId="5" borderId="58" xfId="0" applyNumberFormat="1" applyFont="1" applyFill="1" applyBorder="1" applyAlignment="1">
      <alignment horizontal="center" wrapText="1"/>
    </xf>
    <xf numFmtId="38" fontId="4" fillId="5" borderId="109" xfId="0" applyNumberFormat="1" applyFont="1" applyFill="1" applyBorder="1" applyAlignment="1">
      <alignment horizontal="center" wrapText="1"/>
    </xf>
    <xf numFmtId="38" fontId="4" fillId="5" borderId="114" xfId="0" applyNumberFormat="1" applyFont="1" applyFill="1" applyBorder="1" applyAlignment="1">
      <alignment horizontal="center" wrapText="1"/>
    </xf>
    <xf numFmtId="38" fontId="4" fillId="5" borderId="112" xfId="0" applyNumberFormat="1" applyFont="1" applyFill="1" applyBorder="1" applyAlignment="1">
      <alignment horizontal="center" wrapText="1"/>
    </xf>
    <xf numFmtId="38" fontId="4" fillId="5" borderId="116" xfId="0" applyNumberFormat="1" applyFont="1" applyFill="1" applyBorder="1" applyAlignment="1">
      <alignment horizontal="center" wrapText="1"/>
    </xf>
    <xf numFmtId="38" fontId="4" fillId="5" borderId="113" xfId="0" applyNumberFormat="1" applyFont="1" applyFill="1" applyBorder="1" applyAlignment="1">
      <alignment horizontal="center" wrapText="1"/>
    </xf>
    <xf numFmtId="38" fontId="4" fillId="5" borderId="115" xfId="0" applyNumberFormat="1" applyFont="1" applyFill="1" applyBorder="1" applyAlignment="1">
      <alignment horizontal="center" wrapText="1"/>
    </xf>
    <xf numFmtId="38" fontId="4" fillId="5" borderId="111" xfId="0" applyNumberFormat="1" applyFont="1" applyFill="1" applyBorder="1" applyAlignment="1">
      <alignment horizontal="center" wrapText="1"/>
    </xf>
    <xf numFmtId="38" fontId="16" fillId="0" borderId="110" xfId="0" applyNumberFormat="1" applyFont="1" applyBorder="1" applyAlignment="1">
      <alignment horizontal="center" wrapText="1"/>
    </xf>
    <xf numFmtId="38" fontId="15" fillId="0" borderId="109" xfId="0" applyNumberFormat="1" applyFont="1" applyBorder="1" applyAlignment="1">
      <alignment horizontal="left" wrapText="1"/>
    </xf>
    <xf numFmtId="38" fontId="4" fillId="5" borderId="42" xfId="0" applyNumberFormat="1" applyFont="1" applyFill="1" applyBorder="1" applyAlignment="1">
      <alignment horizontal="center" wrapText="1"/>
    </xf>
    <xf numFmtId="38" fontId="4" fillId="5" borderId="45" xfId="0" applyNumberFormat="1" applyFont="1" applyFill="1" applyBorder="1" applyAlignment="1">
      <alignment horizontal="center" wrapText="1"/>
    </xf>
    <xf numFmtId="38" fontId="4" fillId="5" borderId="22" xfId="0" applyNumberFormat="1" applyFont="1" applyFill="1" applyBorder="1" applyAlignment="1">
      <alignment horizontal="center" wrapText="1"/>
    </xf>
    <xf numFmtId="38" fontId="4" fillId="5" borderId="57" xfId="0" applyNumberFormat="1" applyFont="1" applyFill="1" applyBorder="1" applyAlignment="1">
      <alignment horizontal="center" wrapText="1"/>
    </xf>
    <xf numFmtId="38" fontId="4" fillId="5" borderId="46" xfId="0" applyNumberFormat="1" applyFont="1" applyFill="1" applyBorder="1" applyAlignment="1">
      <alignment horizontal="center" wrapText="1"/>
    </xf>
    <xf numFmtId="38" fontId="4" fillId="5" borderId="56" xfId="0" applyNumberFormat="1" applyFont="1" applyFill="1" applyBorder="1" applyAlignment="1">
      <alignment horizontal="center" wrapText="1"/>
    </xf>
    <xf numFmtId="38" fontId="4" fillId="5" borderId="44" xfId="0" applyNumberFormat="1" applyFont="1" applyFill="1" applyBorder="1" applyAlignment="1">
      <alignment horizontal="center" wrapText="1"/>
    </xf>
    <xf numFmtId="38" fontId="16" fillId="0" borderId="43" xfId="0" applyNumberFormat="1" applyFont="1" applyBorder="1" applyAlignment="1">
      <alignment horizontal="center" wrapText="1"/>
    </xf>
    <xf numFmtId="38" fontId="15" fillId="0" borderId="42" xfId="0" applyNumberFormat="1" applyFont="1" applyBorder="1" applyAlignment="1">
      <alignment horizontal="left" wrapText="1"/>
    </xf>
    <xf numFmtId="38" fontId="5" fillId="13" borderId="94" xfId="0" applyNumberFormat="1" applyFont="1" applyFill="1" applyBorder="1" applyAlignment="1">
      <alignment horizontal="center" wrapText="1"/>
    </xf>
    <xf numFmtId="38" fontId="5" fillId="13" borderId="86" xfId="0" applyNumberFormat="1" applyFont="1" applyFill="1" applyBorder="1" applyAlignment="1">
      <alignment horizontal="center" wrapText="1"/>
    </xf>
    <xf numFmtId="38" fontId="5" fillId="13" borderId="92" xfId="0" applyNumberFormat="1" applyFont="1" applyFill="1" applyBorder="1" applyAlignment="1">
      <alignment horizontal="center" wrapText="1"/>
    </xf>
    <xf numFmtId="38" fontId="5" fillId="13" borderId="91" xfId="0" applyNumberFormat="1" applyFont="1" applyFill="1" applyBorder="1" applyAlignment="1">
      <alignment horizontal="center" wrapText="1"/>
    </xf>
    <xf numFmtId="38" fontId="5" fillId="13" borderId="89" xfId="0" applyNumberFormat="1" applyFont="1" applyFill="1" applyBorder="1" applyAlignment="1">
      <alignment horizontal="center" wrapText="1"/>
    </xf>
    <xf numFmtId="38" fontId="5" fillId="13" borderId="90" xfId="0" applyNumberFormat="1" applyFont="1" applyFill="1" applyBorder="1" applyAlignment="1">
      <alignment horizontal="center" wrapText="1"/>
    </xf>
    <xf numFmtId="38" fontId="5" fillId="13" borderId="93" xfId="0" applyNumberFormat="1" applyFont="1" applyFill="1" applyBorder="1" applyAlignment="1">
      <alignment horizontal="center" wrapText="1"/>
    </xf>
    <xf numFmtId="38" fontId="5" fillId="13" borderId="88" xfId="0" applyNumberFormat="1" applyFont="1" applyFill="1" applyBorder="1" applyAlignment="1">
      <alignment horizontal="center" wrapText="1"/>
    </xf>
    <xf numFmtId="38" fontId="17" fillId="0" borderId="87" xfId="0" applyNumberFormat="1" applyFont="1" applyBorder="1" applyAlignment="1">
      <alignment horizontal="center" wrapText="1"/>
    </xf>
    <xf numFmtId="38" fontId="14" fillId="0" borderId="86" xfId="0" applyNumberFormat="1" applyFont="1" applyBorder="1" applyAlignment="1">
      <alignment horizontal="left" wrapText="1"/>
    </xf>
    <xf numFmtId="38" fontId="4" fillId="13" borderId="48" xfId="0" applyNumberFormat="1" applyFont="1" applyFill="1" applyBorder="1" applyAlignment="1">
      <alignment horizontal="center" wrapText="1"/>
    </xf>
    <xf numFmtId="38" fontId="4" fillId="13" borderId="42" xfId="0" applyNumberFormat="1" applyFont="1" applyFill="1" applyBorder="1" applyAlignment="1">
      <alignment horizontal="center" wrapText="1"/>
    </xf>
    <xf numFmtId="38" fontId="4" fillId="13" borderId="45" xfId="0" applyNumberFormat="1" applyFont="1" applyFill="1" applyBorder="1" applyAlignment="1">
      <alignment horizontal="center" wrapText="1"/>
    </xf>
    <xf numFmtId="38" fontId="4" fillId="13" borderId="56" xfId="0" applyNumberFormat="1" applyFont="1" applyFill="1" applyBorder="1" applyAlignment="1">
      <alignment horizontal="center" wrapText="1"/>
    </xf>
    <xf numFmtId="38" fontId="4" fillId="13" borderId="46" xfId="0" applyNumberFormat="1" applyFont="1" applyFill="1" applyBorder="1" applyAlignment="1">
      <alignment horizontal="center" wrapText="1"/>
    </xf>
    <xf numFmtId="38" fontId="4" fillId="13" borderId="22" xfId="0" applyNumberFormat="1" applyFont="1" applyFill="1" applyBorder="1" applyAlignment="1">
      <alignment horizontal="center" wrapText="1"/>
    </xf>
    <xf numFmtId="38" fontId="4" fillId="13" borderId="57" xfId="0" applyNumberFormat="1" applyFont="1" applyFill="1" applyBorder="1" applyAlignment="1">
      <alignment horizontal="center" wrapText="1"/>
    </xf>
    <xf numFmtId="38" fontId="4" fillId="13" borderId="44" xfId="0" applyNumberFormat="1" applyFont="1" applyFill="1" applyBorder="1" applyAlignment="1">
      <alignment horizontal="center" wrapText="1"/>
    </xf>
    <xf numFmtId="38" fontId="4" fillId="13" borderId="108" xfId="0" applyNumberFormat="1" applyFont="1" applyFill="1" applyBorder="1" applyAlignment="1">
      <alignment horizontal="center" wrapText="1"/>
    </xf>
    <xf numFmtId="38" fontId="4" fillId="13" borderId="101" xfId="0" applyNumberFormat="1" applyFont="1" applyFill="1" applyBorder="1" applyAlignment="1">
      <alignment horizontal="center" wrapText="1"/>
    </xf>
    <xf numFmtId="38" fontId="4" fillId="13" borderId="106" xfId="0" applyNumberFormat="1" applyFont="1" applyFill="1" applyBorder="1" applyAlignment="1">
      <alignment horizontal="center" wrapText="1"/>
    </xf>
    <xf numFmtId="38" fontId="4" fillId="13" borderId="107" xfId="0" applyNumberFormat="1" applyFont="1" applyFill="1" applyBorder="1" applyAlignment="1">
      <alignment horizontal="center" wrapText="1"/>
    </xf>
    <xf numFmtId="38" fontId="4" fillId="13" borderId="105" xfId="0" applyNumberFormat="1" applyFont="1" applyFill="1" applyBorder="1" applyAlignment="1">
      <alignment horizontal="center" wrapText="1"/>
    </xf>
    <xf numFmtId="38" fontId="4" fillId="13" borderId="104" xfId="0" applyNumberFormat="1" applyFont="1" applyFill="1" applyBorder="1" applyAlignment="1">
      <alignment horizontal="center" wrapText="1"/>
    </xf>
    <xf numFmtId="38" fontId="4" fillId="13" borderId="103" xfId="0" applyNumberFormat="1" applyFont="1" applyFill="1" applyBorder="1" applyAlignment="1">
      <alignment horizontal="center" wrapText="1"/>
    </xf>
    <xf numFmtId="38" fontId="5" fillId="13" borderId="84" xfId="0" applyNumberFormat="1" applyFont="1" applyFill="1" applyBorder="1" applyAlignment="1">
      <alignment horizontal="center" wrapText="1"/>
    </xf>
    <xf numFmtId="38" fontId="4" fillId="13" borderId="0" xfId="0" applyNumberFormat="1" applyFont="1" applyFill="1" applyAlignment="1">
      <alignment horizontal="center" wrapText="1"/>
    </xf>
    <xf numFmtId="38" fontId="4" fillId="13" borderId="5" xfId="0" applyNumberFormat="1" applyFont="1" applyFill="1" applyBorder="1" applyAlignment="1">
      <alignment horizontal="center" wrapText="1"/>
    </xf>
    <xf numFmtId="38" fontId="5" fillId="13" borderId="5" xfId="0" applyNumberFormat="1" applyFont="1" applyFill="1" applyBorder="1" applyAlignment="1">
      <alignment horizontal="center" wrapText="1"/>
    </xf>
    <xf numFmtId="38" fontId="5" fillId="13" borderId="81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horizontal="center" wrapText="1"/>
    </xf>
    <xf numFmtId="38" fontId="5" fillId="13" borderId="79" xfId="0" applyNumberFormat="1" applyFont="1" applyFill="1" applyBorder="1" applyAlignment="1">
      <alignment horizontal="center" wrapText="1"/>
    </xf>
    <xf numFmtId="38" fontId="5" fillId="13" borderId="80" xfId="0" applyNumberFormat="1" applyFont="1" applyFill="1" applyBorder="1" applyAlignment="1">
      <alignment horizontal="center" wrapText="1"/>
    </xf>
    <xf numFmtId="38" fontId="4" fillId="13" borderId="82" xfId="0" applyNumberFormat="1" applyFont="1" applyFill="1" applyBorder="1" applyAlignment="1">
      <alignment horizontal="center" wrapText="1"/>
    </xf>
    <xf numFmtId="38" fontId="4" fillId="13" borderId="80" xfId="0" applyNumberFormat="1" applyFont="1" applyFill="1" applyBorder="1" applyAlignment="1">
      <alignment horizontal="center" wrapText="1"/>
    </xf>
    <xf numFmtId="38" fontId="4" fillId="13" borderId="79" xfId="0" applyNumberFormat="1" applyFont="1" applyFill="1" applyBorder="1" applyAlignment="1">
      <alignment horizontal="center" wrapText="1"/>
    </xf>
    <xf numFmtId="38" fontId="4" fillId="13" borderId="78" xfId="0" applyNumberFormat="1" applyFont="1" applyFill="1" applyBorder="1" applyAlignment="1">
      <alignment horizontal="center" wrapText="1"/>
    </xf>
    <xf numFmtId="38" fontId="16" fillId="0" borderId="6" xfId="0" applyNumberFormat="1" applyFont="1" applyBorder="1" applyAlignment="1">
      <alignment horizontal="center" wrapText="1"/>
    </xf>
    <xf numFmtId="38" fontId="15" fillId="0" borderId="0" xfId="0" applyNumberFormat="1" applyFont="1" applyAlignment="1">
      <alignment horizontal="left" wrapText="1"/>
    </xf>
    <xf numFmtId="38" fontId="5" fillId="13" borderId="41" xfId="0" applyNumberFormat="1" applyFont="1" applyFill="1" applyBorder="1" applyAlignment="1">
      <alignment horizontal="center" wrapText="1"/>
    </xf>
    <xf numFmtId="38" fontId="4" fillId="13" borderId="34" xfId="0" applyNumberFormat="1" applyFont="1" applyFill="1" applyBorder="1" applyAlignment="1">
      <alignment horizontal="center" wrapText="1"/>
    </xf>
    <xf numFmtId="38" fontId="4" fillId="13" borderId="38" xfId="0" applyNumberFormat="1" applyFont="1" applyFill="1" applyBorder="1" applyAlignment="1">
      <alignment horizontal="center" wrapText="1"/>
    </xf>
    <xf numFmtId="38" fontId="5" fillId="13" borderId="38" xfId="0" applyNumberFormat="1" applyFont="1" applyFill="1" applyBorder="1" applyAlignment="1">
      <alignment horizontal="center" wrapText="1"/>
    </xf>
    <xf numFmtId="38" fontId="5" fillId="13" borderId="37" xfId="0" applyNumberFormat="1" applyFont="1" applyFill="1" applyBorder="1" applyAlignment="1">
      <alignment horizontal="center" wrapText="1"/>
    </xf>
    <xf numFmtId="38" fontId="5" fillId="13" borderId="34" xfId="0" applyNumberFormat="1" applyFont="1" applyFill="1" applyBorder="1" applyAlignment="1">
      <alignment horizontal="center" wrapText="1"/>
    </xf>
    <xf numFmtId="38" fontId="5" fillId="13" borderId="36" xfId="0" applyNumberFormat="1" applyFont="1" applyFill="1" applyBorder="1" applyAlignment="1">
      <alignment horizontal="center" wrapText="1"/>
    </xf>
    <xf numFmtId="38" fontId="5" fillId="13" borderId="40" xfId="0" applyNumberFormat="1" applyFont="1" applyFill="1" applyBorder="1" applyAlignment="1">
      <alignment horizontal="center" wrapText="1"/>
    </xf>
    <xf numFmtId="38" fontId="5" fillId="13" borderId="39" xfId="0" applyNumberFormat="1" applyFont="1" applyFill="1" applyBorder="1" applyAlignment="1">
      <alignment horizontal="center" wrapText="1"/>
    </xf>
    <xf numFmtId="38" fontId="5" fillId="13" borderId="100" xfId="0" applyNumberFormat="1" applyFont="1" applyFill="1" applyBorder="1" applyAlignment="1">
      <alignment horizontal="center" wrapText="1"/>
    </xf>
    <xf numFmtId="38" fontId="4" fillId="13" borderId="99" xfId="0" applyNumberFormat="1" applyFont="1" applyFill="1" applyBorder="1" applyAlignment="1">
      <alignment horizontal="center" wrapText="1"/>
    </xf>
    <xf numFmtId="38" fontId="16" fillId="0" borderId="35" xfId="0" applyNumberFormat="1" applyFont="1" applyBorder="1" applyAlignment="1">
      <alignment horizontal="center" wrapText="1"/>
    </xf>
    <xf numFmtId="38" fontId="14" fillId="0" borderId="34" xfId="0" applyNumberFormat="1" applyFont="1" applyBorder="1" applyAlignment="1">
      <alignment horizontal="left" wrapText="1"/>
    </xf>
    <xf numFmtId="38" fontId="5" fillId="13" borderId="82" xfId="0" applyNumberFormat="1" applyFont="1" applyFill="1" applyBorder="1" applyAlignment="1">
      <alignment horizontal="center" wrapText="1"/>
    </xf>
    <xf numFmtId="38" fontId="4" fillId="13" borderId="98" xfId="0" applyNumberFormat="1" applyFont="1" applyFill="1" applyBorder="1" applyAlignment="1">
      <alignment horizontal="center" wrapText="1"/>
    </xf>
    <xf numFmtId="38" fontId="4" fillId="13" borderId="97" xfId="0" applyNumberFormat="1" applyFont="1" applyFill="1" applyBorder="1" applyAlignment="1">
      <alignment horizontal="center" wrapText="1"/>
    </xf>
    <xf numFmtId="38" fontId="14" fillId="0" borderId="0" xfId="0" applyNumberFormat="1" applyFont="1" applyAlignment="1">
      <alignment horizontal="left" wrapText="1"/>
    </xf>
    <xf numFmtId="38" fontId="5" fillId="13" borderId="85" xfId="0" applyNumberFormat="1" applyFont="1" applyFill="1" applyBorder="1" applyAlignment="1">
      <alignment horizontal="center" wrapText="1"/>
    </xf>
    <xf numFmtId="38" fontId="4" fillId="13" borderId="59" xfId="0" applyNumberFormat="1" applyFont="1" applyFill="1" applyBorder="1" applyAlignment="1">
      <alignment horizontal="center" wrapText="1"/>
    </xf>
    <xf numFmtId="38" fontId="4" fillId="13" borderId="65" xfId="0" applyNumberFormat="1" applyFont="1" applyFill="1" applyBorder="1" applyAlignment="1">
      <alignment horizontal="center" wrapText="1"/>
    </xf>
    <xf numFmtId="38" fontId="5" fillId="13" borderId="65" xfId="0" applyNumberFormat="1" applyFont="1" applyFill="1" applyBorder="1" applyAlignment="1">
      <alignment horizontal="center" wrapText="1"/>
    </xf>
    <xf numFmtId="38" fontId="5" fillId="13" borderId="64" xfId="0" applyNumberFormat="1" applyFont="1" applyFill="1" applyBorder="1" applyAlignment="1">
      <alignment horizontal="center" wrapText="1"/>
    </xf>
    <xf numFmtId="38" fontId="5" fillId="13" borderId="59" xfId="0" applyNumberFormat="1" applyFont="1" applyFill="1" applyBorder="1" applyAlignment="1">
      <alignment horizontal="center" wrapText="1"/>
    </xf>
    <xf numFmtId="38" fontId="5" fillId="13" borderId="62" xfId="0" applyNumberFormat="1" applyFont="1" applyFill="1" applyBorder="1" applyAlignment="1">
      <alignment horizontal="center" wrapText="1"/>
    </xf>
    <xf numFmtId="38" fontId="5" fillId="13" borderId="63" xfId="0" applyNumberFormat="1" applyFont="1" applyFill="1" applyBorder="1" applyAlignment="1">
      <alignment horizontal="center" wrapText="1"/>
    </xf>
    <xf numFmtId="38" fontId="5" fillId="13" borderId="68" xfId="0" applyNumberFormat="1" applyFont="1" applyFill="1" applyBorder="1" applyAlignment="1">
      <alignment horizontal="center" wrapText="1"/>
    </xf>
    <xf numFmtId="38" fontId="5" fillId="13" borderId="66" xfId="0" applyNumberFormat="1" applyFont="1" applyFill="1" applyBorder="1" applyAlignment="1">
      <alignment horizontal="center" wrapText="1"/>
    </xf>
    <xf numFmtId="38" fontId="4" fillId="13" borderId="63" xfId="0" applyNumberFormat="1" applyFont="1" applyFill="1" applyBorder="1" applyAlignment="1">
      <alignment horizontal="center" wrapText="1"/>
    </xf>
    <xf numFmtId="38" fontId="4" fillId="13" borderId="96" xfId="0" applyNumberFormat="1" applyFont="1" applyFill="1" applyBorder="1" applyAlignment="1">
      <alignment horizontal="center" wrapText="1"/>
    </xf>
    <xf numFmtId="38" fontId="4" fillId="13" borderId="95" xfId="0" applyNumberFormat="1" applyFont="1" applyFill="1" applyBorder="1" applyAlignment="1">
      <alignment horizontal="center" wrapText="1"/>
    </xf>
    <xf numFmtId="38" fontId="14" fillId="0" borderId="59" xfId="0" applyNumberFormat="1" applyFont="1" applyBorder="1" applyAlignment="1">
      <alignment horizontal="left" wrapText="1"/>
    </xf>
    <xf numFmtId="38" fontId="4" fillId="13" borderId="86" xfId="0" applyNumberFormat="1" applyFont="1" applyFill="1" applyBorder="1" applyAlignment="1">
      <alignment horizontal="center" wrapText="1"/>
    </xf>
    <xf numFmtId="38" fontId="4" fillId="13" borderId="92" xfId="0" applyNumberFormat="1" applyFont="1" applyFill="1" applyBorder="1" applyAlignment="1">
      <alignment horizontal="center" wrapText="1"/>
    </xf>
    <xf numFmtId="38" fontId="5" fillId="13" borderId="83" xfId="0" applyNumberFormat="1" applyFont="1" applyFill="1" applyBorder="1" applyAlignment="1">
      <alignment horizontal="center" wrapText="1"/>
    </xf>
    <xf numFmtId="38" fontId="4" fillId="13" borderId="88" xfId="0" applyNumberFormat="1" applyFont="1" applyFill="1" applyBorder="1" applyAlignment="1">
      <alignment horizontal="center" wrapText="1"/>
    </xf>
    <xf numFmtId="38" fontId="5" fillId="13" borderId="77" xfId="0" applyNumberFormat="1" applyFont="1" applyFill="1" applyBorder="1" applyAlignment="1">
      <alignment horizontal="center" wrapText="1"/>
    </xf>
    <xf numFmtId="38" fontId="4" fillId="13" borderId="69" xfId="0" applyNumberFormat="1" applyFont="1" applyFill="1" applyBorder="1" applyAlignment="1">
      <alignment horizontal="center" wrapText="1"/>
    </xf>
    <xf numFmtId="38" fontId="5" fillId="13" borderId="75" xfId="0" applyNumberFormat="1" applyFont="1" applyFill="1" applyBorder="1" applyAlignment="1">
      <alignment horizontal="center" wrapText="1"/>
    </xf>
    <xf numFmtId="38" fontId="5" fillId="13" borderId="74" xfId="0" applyNumberFormat="1" applyFont="1" applyFill="1" applyBorder="1" applyAlignment="1">
      <alignment horizontal="center" wrapText="1"/>
    </xf>
    <xf numFmtId="38" fontId="5" fillId="13" borderId="69" xfId="0" applyNumberFormat="1" applyFont="1" applyFill="1" applyBorder="1" applyAlignment="1">
      <alignment horizontal="center" wrapText="1"/>
    </xf>
    <xf numFmtId="38" fontId="5" fillId="13" borderId="72" xfId="0" applyNumberFormat="1" applyFont="1" applyFill="1" applyBorder="1" applyAlignment="1">
      <alignment horizontal="center" wrapText="1"/>
    </xf>
    <xf numFmtId="38" fontId="5" fillId="13" borderId="73" xfId="0" applyNumberFormat="1" applyFont="1" applyFill="1" applyBorder="1" applyAlignment="1">
      <alignment horizontal="center" wrapText="1"/>
    </xf>
    <xf numFmtId="38" fontId="5" fillId="13" borderId="76" xfId="0" applyNumberFormat="1" applyFont="1" applyFill="1" applyBorder="1" applyAlignment="1">
      <alignment horizontal="center" wrapText="1"/>
    </xf>
    <xf numFmtId="38" fontId="4" fillId="13" borderId="75" xfId="0" applyNumberFormat="1" applyFont="1" applyFill="1" applyBorder="1" applyAlignment="1">
      <alignment horizontal="center" wrapText="1"/>
    </xf>
    <xf numFmtId="38" fontId="4" fillId="13" borderId="71" xfId="0" applyNumberFormat="1" applyFont="1" applyFill="1" applyBorder="1" applyAlignment="1">
      <alignment horizontal="center" wrapText="1"/>
    </xf>
    <xf numFmtId="38" fontId="5" fillId="13" borderId="33" xfId="0" applyNumberFormat="1" applyFont="1" applyFill="1" applyBorder="1" applyAlignment="1">
      <alignment horizontal="center" wrapText="1"/>
    </xf>
    <xf numFmtId="38" fontId="4" fillId="13" borderId="25" xfId="0" applyNumberFormat="1" applyFont="1" applyFill="1" applyBorder="1" applyAlignment="1">
      <alignment horizontal="center" wrapText="1"/>
    </xf>
    <xf numFmtId="38" fontId="5" fillId="13" borderId="30" xfId="0" applyNumberFormat="1" applyFont="1" applyFill="1" applyBorder="1" applyAlignment="1">
      <alignment horizontal="center" wrapText="1"/>
    </xf>
    <xf numFmtId="38" fontId="5" fillId="13" borderId="29" xfId="0" applyNumberFormat="1" applyFont="1" applyFill="1" applyBorder="1" applyAlignment="1">
      <alignment horizontal="center" wrapText="1"/>
    </xf>
    <xf numFmtId="38" fontId="5" fillId="13" borderId="25" xfId="0" applyNumberFormat="1" applyFont="1" applyFill="1" applyBorder="1" applyAlignment="1">
      <alignment horizontal="center" wrapText="1"/>
    </xf>
    <xf numFmtId="38" fontId="5" fillId="13" borderId="28" xfId="0" applyNumberFormat="1" applyFont="1" applyFill="1" applyBorder="1" applyAlignment="1">
      <alignment horizontal="center" wrapText="1"/>
    </xf>
    <xf numFmtId="38" fontId="5" fillId="13" borderId="31" xfId="0" applyNumberFormat="1" applyFont="1" applyFill="1" applyBorder="1" applyAlignment="1">
      <alignment horizontal="center" wrapText="1"/>
    </xf>
    <xf numFmtId="38" fontId="5" fillId="13" borderId="32" xfId="0" applyNumberFormat="1" applyFont="1" applyFill="1" applyBorder="1" applyAlignment="1">
      <alignment horizontal="center" wrapText="1"/>
    </xf>
    <xf numFmtId="38" fontId="4" fillId="13" borderId="30" xfId="0" applyNumberFormat="1" applyFont="1" applyFill="1" applyBorder="1" applyAlignment="1">
      <alignment horizontal="center" wrapText="1"/>
    </xf>
    <xf numFmtId="38" fontId="5" fillId="13" borderId="0" xfId="0" applyNumberFormat="1" applyFont="1" applyFill="1" applyAlignment="1">
      <alignment wrapText="1"/>
    </xf>
    <xf numFmtId="38" fontId="4" fillId="13" borderId="27" xfId="0" applyNumberFormat="1" applyFont="1" applyFill="1" applyBorder="1" applyAlignment="1">
      <alignment horizontal="center" wrapText="1"/>
    </xf>
    <xf numFmtId="1" fontId="5" fillId="13" borderId="30" xfId="0" applyNumberFormat="1" applyFont="1" applyFill="1" applyBorder="1" applyAlignment="1">
      <alignment horizontal="center" wrapText="1"/>
    </xf>
    <xf numFmtId="38" fontId="4" fillId="13" borderId="61" xfId="0" applyNumberFormat="1" applyFont="1" applyFill="1" applyBorder="1" applyAlignment="1">
      <alignment horizontal="center" wrapText="1"/>
    </xf>
    <xf numFmtId="38" fontId="4" fillId="13" borderId="84" xfId="0" applyNumberFormat="1" applyFont="1" applyFill="1" applyBorder="1" applyAlignment="1">
      <alignment horizontal="center" wrapText="1"/>
    </xf>
    <xf numFmtId="38" fontId="4" fillId="13" borderId="81" xfId="0" applyNumberFormat="1" applyFont="1" applyFill="1" applyBorder="1" applyAlignment="1">
      <alignment horizontal="center" wrapText="1"/>
    </xf>
    <xf numFmtId="38" fontId="4" fillId="13" borderId="83" xfId="0" applyNumberFormat="1" applyFont="1" applyFill="1" applyBorder="1" applyAlignment="1">
      <alignment horizontal="center" wrapText="1"/>
    </xf>
    <xf numFmtId="38" fontId="5" fillId="13" borderId="67" xfId="0" applyNumberFormat="1" applyFont="1" applyFill="1" applyBorder="1" applyAlignment="1">
      <alignment horizontal="center" wrapText="1"/>
    </xf>
    <xf numFmtId="38" fontId="4" fillId="13" borderId="58" xfId="0" applyNumberFormat="1" applyFont="1" applyFill="1" applyBorder="1" applyAlignment="1">
      <alignment horizontal="center" wrapText="1"/>
    </xf>
    <xf numFmtId="38" fontId="4" fillId="13" borderId="55" xfId="0" applyNumberFormat="1" applyFont="1" applyFill="1" applyBorder="1" applyAlignment="1">
      <alignment horizontal="center" wrapText="1"/>
    </xf>
    <xf numFmtId="38" fontId="4" fillId="13" borderId="2" xfId="0" applyNumberFormat="1" applyFont="1" applyFill="1" applyBorder="1" applyAlignment="1">
      <alignment horizontal="center" wrapText="1"/>
    </xf>
    <xf numFmtId="38" fontId="4" fillId="13" borderId="53" xfId="0" applyNumberFormat="1" applyFont="1" applyFill="1" applyBorder="1" applyAlignment="1">
      <alignment horizontal="center" wrapText="1"/>
    </xf>
    <xf numFmtId="38" fontId="4" fillId="13" borderId="54" xfId="0" applyNumberFormat="1" applyFont="1" applyFill="1" applyBorder="1" applyAlignment="1">
      <alignment horizontal="center" wrapText="1"/>
    </xf>
    <xf numFmtId="38" fontId="4" fillId="13" borderId="51" xfId="0" applyNumberFormat="1" applyFont="1" applyFill="1" applyBorder="1" applyAlignment="1">
      <alignment horizontal="center" wrapText="1"/>
    </xf>
    <xf numFmtId="38" fontId="5" fillId="13" borderId="53" xfId="0" applyNumberFormat="1" applyFont="1" applyFill="1" applyBorder="1" applyAlignment="1">
      <alignment horizontal="center" wrapText="1"/>
    </xf>
    <xf numFmtId="38" fontId="4" fillId="13" borderId="52" xfId="0" applyNumberFormat="1" applyFont="1" applyFill="1" applyBorder="1" applyAlignment="1">
      <alignment horizontal="center" wrapText="1"/>
    </xf>
    <xf numFmtId="38" fontId="4" fillId="13" borderId="50" xfId="0" applyNumberFormat="1" applyFont="1" applyFill="1" applyBorder="1" applyAlignment="1">
      <alignment horizontal="center" wrapText="1"/>
    </xf>
    <xf numFmtId="38" fontId="16" fillId="0" borderId="49" xfId="0" applyNumberFormat="1" applyFont="1" applyBorder="1" applyAlignment="1">
      <alignment horizontal="center" wrapText="1"/>
    </xf>
    <xf numFmtId="38" fontId="15" fillId="0" borderId="2" xfId="0" applyNumberFormat="1" applyFont="1" applyBorder="1" applyAlignment="1">
      <alignment horizontal="left"/>
    </xf>
    <xf numFmtId="38" fontId="4" fillId="13" borderId="47" xfId="0" applyNumberFormat="1" applyFont="1" applyFill="1" applyBorder="1" applyAlignment="1">
      <alignment horizontal="center" wrapText="1"/>
    </xf>
    <xf numFmtId="38" fontId="4" fillId="13" borderId="36" xfId="0" applyNumberFormat="1" applyFont="1" applyFill="1" applyBorder="1" applyAlignment="1">
      <alignment horizontal="center" wrapText="1"/>
    </xf>
    <xf numFmtId="38" fontId="4" fillId="13" borderId="31" xfId="0" applyNumberFormat="1" applyFont="1" applyFill="1" applyBorder="1" applyAlignment="1">
      <alignment horizontal="center" wrapText="1"/>
    </xf>
    <xf numFmtId="38" fontId="4" fillId="13" borderId="28" xfId="0" applyNumberFormat="1" applyFont="1" applyFill="1" applyBorder="1" applyAlignment="1">
      <alignment horizontal="center" wrapText="1"/>
    </xf>
    <xf numFmtId="38" fontId="4" fillId="13" borderId="29" xfId="0" applyNumberFormat="1" applyFont="1" applyFill="1" applyBorder="1" applyAlignment="1">
      <alignment horizontal="center" wrapText="1"/>
    </xf>
    <xf numFmtId="38" fontId="5" fillId="13" borderId="24" xfId="0" applyNumberFormat="1" applyFont="1" applyFill="1" applyBorder="1" applyAlignment="1">
      <alignment horizontal="center" wrapText="1"/>
    </xf>
    <xf numFmtId="38" fontId="4" fillId="13" borderId="15" xfId="0" applyNumberFormat="1" applyFont="1" applyFill="1" applyBorder="1" applyAlignment="1">
      <alignment horizontal="center" wrapText="1"/>
    </xf>
    <xf numFmtId="38" fontId="5" fillId="13" borderId="21" xfId="0" applyNumberFormat="1" applyFont="1" applyFill="1" applyBorder="1" applyAlignment="1">
      <alignment horizontal="center" wrapText="1"/>
    </xf>
    <xf numFmtId="38" fontId="5" fillId="13" borderId="20" xfId="0" applyNumberFormat="1" applyFont="1" applyFill="1" applyBorder="1" applyAlignment="1">
      <alignment horizontal="center" wrapText="1"/>
    </xf>
    <xf numFmtId="38" fontId="5" fillId="13" borderId="15" xfId="0" applyNumberFormat="1" applyFont="1" applyFill="1" applyBorder="1" applyAlignment="1">
      <alignment horizontal="center" wrapText="1"/>
    </xf>
    <xf numFmtId="38" fontId="5" fillId="13" borderId="18" xfId="0" applyNumberFormat="1" applyFont="1" applyFill="1" applyBorder="1" applyAlignment="1">
      <alignment horizontal="center" wrapText="1"/>
    </xf>
    <xf numFmtId="38" fontId="5" fillId="13" borderId="19" xfId="0" applyNumberFormat="1" applyFont="1" applyFill="1" applyBorder="1" applyAlignment="1">
      <alignment horizontal="center" wrapText="1"/>
    </xf>
    <xf numFmtId="38" fontId="5" fillId="13" borderId="23" xfId="0" applyNumberFormat="1" applyFont="1" applyFill="1" applyBorder="1" applyAlignment="1">
      <alignment horizontal="center" wrapText="1"/>
    </xf>
    <xf numFmtId="38" fontId="4" fillId="13" borderId="21" xfId="0" applyNumberFormat="1" applyFont="1" applyFill="1" applyBorder="1" applyAlignment="1">
      <alignment horizontal="center" wrapText="1"/>
    </xf>
    <xf numFmtId="38" fontId="5" fillId="13" borderId="22" xfId="0" applyNumberFormat="1" applyFont="1" applyFill="1" applyBorder="1" applyAlignment="1">
      <alignment horizontal="center" wrapText="1"/>
    </xf>
    <xf numFmtId="38" fontId="4" fillId="13" borderId="19" xfId="0" applyNumberFormat="1" applyFont="1" applyFill="1" applyBorder="1" applyAlignment="1">
      <alignment horizontal="center" wrapText="1"/>
    </xf>
    <xf numFmtId="38" fontId="4" fillId="13" borderId="18" xfId="0" applyNumberFormat="1" applyFont="1" applyFill="1" applyBorder="1" applyAlignment="1">
      <alignment horizontal="center" wrapText="1"/>
    </xf>
    <xf numFmtId="38" fontId="4" fillId="13" borderId="17" xfId="0" applyNumberFormat="1" applyFont="1" applyFill="1" applyBorder="1" applyAlignment="1">
      <alignment horizontal="center" wrapText="1"/>
    </xf>
    <xf numFmtId="38" fontId="16" fillId="0" borderId="16" xfId="0" applyNumberFormat="1" applyFont="1" applyBorder="1" applyAlignment="1">
      <alignment horizontal="center" wrapText="1"/>
    </xf>
    <xf numFmtId="38" fontId="14" fillId="0" borderId="15" xfId="0" applyNumberFormat="1" applyFont="1" applyBorder="1" applyAlignment="1">
      <alignment horizontal="left" wrapText="1"/>
    </xf>
    <xf numFmtId="38" fontId="16" fillId="0" borderId="14" xfId="0" applyNumberFormat="1" applyFont="1" applyBorder="1" applyAlignment="1">
      <alignment horizontal="center" textRotation="90" wrapText="1"/>
    </xf>
    <xf numFmtId="38" fontId="16" fillId="0" borderId="12" xfId="0" applyNumberFormat="1" applyFont="1" applyBorder="1" applyAlignment="1">
      <alignment horizontal="center" textRotation="90" wrapText="1"/>
    </xf>
    <xf numFmtId="38" fontId="16" fillId="0" borderId="11" xfId="0" applyNumberFormat="1" applyFont="1" applyBorder="1" applyAlignment="1">
      <alignment horizontal="center" textRotation="90" wrapText="1"/>
    </xf>
    <xf numFmtId="38" fontId="16" fillId="0" borderId="10" xfId="0" applyNumberFormat="1" applyFont="1" applyBorder="1" applyAlignment="1">
      <alignment horizontal="center" textRotation="90" wrapText="1"/>
    </xf>
    <xf numFmtId="38" fontId="16" fillId="0" borderId="9" xfId="0" applyNumberFormat="1" applyFont="1" applyBorder="1" applyAlignment="1">
      <alignment horizontal="center" textRotation="90" wrapText="1"/>
    </xf>
    <xf numFmtId="38" fontId="16" fillId="0" borderId="13" xfId="0" applyNumberFormat="1" applyFont="1" applyBorder="1" applyAlignment="1">
      <alignment horizontal="center" textRotation="90" wrapText="1"/>
    </xf>
    <xf numFmtId="38" fontId="16" fillId="0" borderId="8" xfId="0" applyNumberFormat="1" applyFont="1" applyBorder="1" applyAlignment="1">
      <alignment horizontal="center" textRotation="90" wrapText="1"/>
    </xf>
    <xf numFmtId="38" fontId="16" fillId="0" borderId="7" xfId="0" applyNumberFormat="1" applyFont="1" applyBorder="1" applyAlignment="1">
      <alignment horizontal="center" textRotation="90" wrapText="1"/>
    </xf>
    <xf numFmtId="38" fontId="18" fillId="0" borderId="0" xfId="0" applyNumberFormat="1" applyFont="1" applyAlignment="1">
      <alignment horizontal="left" wrapText="1"/>
    </xf>
    <xf numFmtId="0" fontId="19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4" borderId="2" xfId="0" applyFont="1" applyFill="1" applyBorder="1"/>
    <xf numFmtId="0" fontId="20" fillId="15" borderId="2" xfId="0" applyFont="1" applyFill="1" applyBorder="1"/>
    <xf numFmtId="0" fontId="20" fillId="14" borderId="2" xfId="0" applyFont="1" applyFill="1" applyBorder="1"/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left"/>
    </xf>
    <xf numFmtId="0" fontId="21" fillId="0" borderId="0" xfId="0" applyFont="1"/>
    <xf numFmtId="0" fontId="22" fillId="0" borderId="0" xfId="0" applyFont="1"/>
    <xf numFmtId="0" fontId="0" fillId="0" borderId="0" xfId="0" applyAlignment="1">
      <alignment vertical="center"/>
    </xf>
    <xf numFmtId="0" fontId="24" fillId="16" borderId="0" xfId="0" applyFont="1" applyFill="1" applyAlignment="1">
      <alignment vertical="center"/>
    </xf>
    <xf numFmtId="0" fontId="20" fillId="17" borderId="0" xfId="0" applyFont="1" applyFill="1" applyAlignment="1">
      <alignment vertical="center"/>
    </xf>
    <xf numFmtId="0" fontId="24" fillId="17" borderId="0" xfId="0" applyFont="1" applyFill="1" applyAlignment="1">
      <alignment vertical="center"/>
    </xf>
    <xf numFmtId="0" fontId="0" fillId="17" borderId="101" xfId="0" applyFill="1" applyBorder="1" applyAlignment="1">
      <alignment vertical="center" wrapText="1"/>
    </xf>
    <xf numFmtId="0" fontId="20" fillId="17" borderId="101" xfId="0" applyFont="1" applyFill="1" applyBorder="1" applyAlignment="1">
      <alignment vertical="center" wrapText="1"/>
    </xf>
    <xf numFmtId="0" fontId="25" fillId="18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7" fillId="0" borderId="0" xfId="0" applyFont="1"/>
    <xf numFmtId="0" fontId="0" fillId="0" borderId="0" xfId="0"/>
    <xf numFmtId="0" fontId="28" fillId="0" borderId="1" xfId="0" applyFont="1" applyBorder="1"/>
    <xf numFmtId="0" fontId="28" fillId="0" borderId="0" xfId="0" applyFont="1"/>
    <xf numFmtId="0" fontId="20" fillId="0" borderId="1" xfId="0" applyFont="1" applyBorder="1"/>
    <xf numFmtId="0" fontId="20" fillId="20" borderId="0" xfId="0" applyFont="1" applyFill="1"/>
    <xf numFmtId="0" fontId="2" fillId="0" borderId="0" xfId="0" applyFont="1"/>
    <xf numFmtId="0" fontId="20" fillId="0" borderId="0" xfId="0" applyFont="1"/>
    <xf numFmtId="0" fontId="20" fillId="21" borderId="0" xfId="0" applyFont="1" applyFill="1"/>
    <xf numFmtId="0" fontId="29" fillId="0" borderId="0" xfId="0" applyFont="1"/>
    <xf numFmtId="0" fontId="26" fillId="19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W21" sqref="W21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H14"/>
  <sheetViews>
    <sheetView workbookViewId="0">
      <selection activeCell="H32" sqref="H32"/>
    </sheetView>
  </sheetViews>
  <sheetFormatPr defaultRowHeight="15"/>
  <cols>
    <col min="2" max="2" width="18.7109375" customWidth="1"/>
    <col min="3" max="3" width="9.28515625" bestFit="1" customWidth="1"/>
    <col min="4" max="4" width="10.7109375" bestFit="1" customWidth="1"/>
    <col min="6" max="6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t="s">
        <v>219</v>
      </c>
      <c r="C4" t="s">
        <v>217</v>
      </c>
      <c r="D4" s="21" t="str">
        <f>_xlfn.TEXTJOIN(",",TRUE,Regions!$C$3:$D$3)</f>
        <v>IE,National</v>
      </c>
      <c r="E4" s="21">
        <f>ROUNDUP(Conversions!$B$2*SUM('EB2018'!$AG$10,'EB2018'!$AG$11,'EB2018'!$AH$10,'EB2018'!$AH$11),1)</f>
        <v>1.7000000000000002</v>
      </c>
      <c r="F4" s="21">
        <f>ROUNDUP(Conversions!$B$2*SUM('EB2019'!$AG$10,'EB2019'!$AG$11,'EB2019'!$AH$10,'EB2019'!$AH$11),1)</f>
        <v>1.7000000000000002</v>
      </c>
      <c r="G4" s="21">
        <f>ROUNDUP(Conversions!$B$2*SUM('EB2020'!$AG$10,'EB2020'!$AG$11,'EB2020'!$AH$10,'EB2020'!$AH$11),1)</f>
        <v>1.7000000000000002</v>
      </c>
      <c r="H4">
        <v>1</v>
      </c>
    </row>
    <row r="5" spans="2:8">
      <c r="B5" t="s">
        <v>220</v>
      </c>
      <c r="C5" s="1" t="s">
        <v>217</v>
      </c>
      <c r="D5" s="21" t="str">
        <f>_xlfn.TEXTJOIN(",",TRUE,Regions!$C$3:$D$3)</f>
        <v>IE,National</v>
      </c>
      <c r="E5" s="21">
        <f>ROUNDUP(Conversions!$B$2*SUM('EB2018'!$AE$10,'EB2018'!$AE$11),1)</f>
        <v>3.2</v>
      </c>
      <c r="F5" s="21">
        <f>ROUNDUP(Conversions!$B$2*SUM('EB2019'!$AE$10,'EB2019'!$AE$11),1)</f>
        <v>3.3000000000000003</v>
      </c>
      <c r="G5" s="21">
        <f>ROUNDUP(Conversions!$B$2*SUM('EB2020'!$AE$10,'EB2020'!$AE$11),1)</f>
        <v>4.0999999999999996</v>
      </c>
      <c r="H5" s="1">
        <v>1</v>
      </c>
    </row>
    <row r="6" spans="2:8">
      <c r="B6" t="s">
        <v>218</v>
      </c>
      <c r="C6" s="1" t="s">
        <v>217</v>
      </c>
      <c r="D6" s="21" t="str">
        <f>_xlfn.TEXTJOIN(",",TRUE,Regions!$C$3:$D$3)</f>
        <v>IE,National</v>
      </c>
      <c r="E6" s="21">
        <f>ROUNDUP(Conversions!$B$2*SUM('EB2018'!$C$10,'EB2018'!$C$11),1)</f>
        <v>20.5</v>
      </c>
      <c r="F6" s="21">
        <f>ROUNDUP(Conversions!$B$2*SUM('EB2019'!$C$10,'EB2019'!$C$11),1)</f>
        <v>6.3999999999999995</v>
      </c>
      <c r="G6" s="21">
        <f>ROUNDUP(Conversions!$B$2*SUM('EB2020'!$C$10,'EB2020'!$C$11),1)</f>
        <v>7.8999999999999995</v>
      </c>
      <c r="H6" s="1">
        <v>1</v>
      </c>
    </row>
    <row r="7" spans="2:8">
      <c r="B7" t="s">
        <v>228</v>
      </c>
      <c r="C7" s="1" t="s">
        <v>217</v>
      </c>
      <c r="D7" s="21" t="str">
        <f>_xlfn.TEXTJOIN(",",TRUE,Regions!$C$3:$D$3)</f>
        <v>IE,National</v>
      </c>
      <c r="E7" s="21"/>
      <c r="F7" s="21"/>
      <c r="G7" s="21"/>
      <c r="H7" s="1">
        <v>1</v>
      </c>
    </row>
    <row r="8" spans="2:8">
      <c r="B8" t="s">
        <v>221</v>
      </c>
      <c r="C8" s="1" t="s">
        <v>217</v>
      </c>
      <c r="D8" s="21" t="str">
        <f>_xlfn.TEXTJOIN(",",TRUE,Regions!$C$3:$D$3)</f>
        <v>IE,National</v>
      </c>
      <c r="E8" s="21">
        <f>ROUNDUP(Conversions!$B$2*SUM('EB2018'!$AA$10,'EB2018'!$AA$11),1)</f>
        <v>103.1</v>
      </c>
      <c r="F8" s="21">
        <f>ROUNDUP(Conversions!$B$2*SUM('EB2019'!$AA$10,'EB2019'!$AA$11),1)</f>
        <v>105.6</v>
      </c>
      <c r="G8" s="21">
        <f>ROUNDUP(Conversions!$B$2*SUM('EB2020'!$AA$10,'EB2020'!$AA$11),1)</f>
        <v>107.5</v>
      </c>
      <c r="H8" s="1">
        <v>1</v>
      </c>
    </row>
    <row r="9" spans="2:8">
      <c r="B9" t="s">
        <v>227</v>
      </c>
      <c r="C9" s="1" t="s">
        <v>217</v>
      </c>
      <c r="D9" s="21" t="str">
        <f>_xlfn.TEXTJOIN(",",TRUE,Regions!$C$3:$D$3)</f>
        <v>IE,National</v>
      </c>
      <c r="E9" s="21"/>
      <c r="F9" s="21"/>
      <c r="G9" s="21"/>
      <c r="H9" s="1">
        <v>1</v>
      </c>
    </row>
    <row r="10" spans="2:8">
      <c r="B10" t="s">
        <v>222</v>
      </c>
      <c r="C10" s="1" t="s">
        <v>217</v>
      </c>
      <c r="D10" s="21" t="str">
        <f>_xlfn.TEXTJOIN(",",TRUE,Regions!$C$3:$D$3)</f>
        <v>IE,National</v>
      </c>
      <c r="E10" s="21">
        <f>ROUNDUP(Conversions!$B$2*SUM(-'EB2018'!$AC$22),1)</f>
        <v>2.5</v>
      </c>
      <c r="F10" s="21">
        <f>ROUNDUP(Conversions!$B$2*SUM(-'EB2019'!$AC$22),1)</f>
        <v>3.2</v>
      </c>
      <c r="G10" s="21">
        <f>ROUNDUP(Conversions!$B$2*SUM(-'EB2020'!$AC$22),1)</f>
        <v>3.4</v>
      </c>
      <c r="H10" s="1">
        <v>1</v>
      </c>
    </row>
    <row r="11" spans="2:8">
      <c r="B11" t="s">
        <v>223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ROUNDUP(Conversions!$B$2*SUM('EB2018'!$AF$10,'EB2018'!$AF$11,'EB2018'!$AN$10,'EB2018'!$AN$11),1)</f>
        <v>8</v>
      </c>
      <c r="F11" s="21">
        <f>ROUNDUP(Conversions!$B$2*SUM('EB2019'!$AF$10,'EB2019'!$AF$11,'EB2019'!$AN$10,'EB2019'!$AN$11),1)</f>
        <v>7.8</v>
      </c>
      <c r="G11" s="21">
        <f>ROUNDUP(Conversions!$B$2*SUM('EB2020'!$AF$10,'EB2020'!$AF$11,'EB2020'!$AN$10,'EB2020'!$AN$11),1)</f>
        <v>8.1999999999999993</v>
      </c>
      <c r="H11" s="1">
        <v>1</v>
      </c>
    </row>
    <row r="12" spans="2:8">
      <c r="B12" t="s">
        <v>224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ROUNDUP(Conversions!$B$2*SUM('EB2018'!$H$10,'EB2018'!$H$11),1)</f>
        <v>19.900000000000002</v>
      </c>
      <c r="F12" s="21">
        <f>ROUNDUP(Conversions!$B$2*SUM('EB2019'!$H$10,'EB2019'!$H$11),1)</f>
        <v>18.200000000000003</v>
      </c>
      <c r="G12" s="21">
        <f>ROUNDUP(Conversions!$B$2*SUM('EB2020'!$H$10,'EB2020'!$H$11),1)</f>
        <v>9</v>
      </c>
      <c r="H12" s="1">
        <v>1</v>
      </c>
    </row>
    <row r="13" spans="2:8">
      <c r="B13" t="s">
        <v>225</v>
      </c>
      <c r="C13" s="1" t="s">
        <v>217</v>
      </c>
      <c r="D13" s="21" t="str">
        <f>_xlfn.TEXTJOIN(",",TRUE,Regions!$C$3:$D$3)</f>
        <v>IE,National</v>
      </c>
      <c r="E13" s="21">
        <f>ROUNDUP(Conversions!$B$2*SUM(-'EB2018'!$AK$22),1)</f>
        <v>0.1</v>
      </c>
      <c r="F13" s="21">
        <f>ROUNDUP(Conversions!$B$2*SUM(-'EB2019'!$AK$22),1)</f>
        <v>0.1</v>
      </c>
      <c r="G13" s="21">
        <f>ROUNDUP(Conversions!$B$2*SUM(-'EB2020'!$AK$22),1)</f>
        <v>0.2</v>
      </c>
      <c r="H13" s="1">
        <v>1</v>
      </c>
    </row>
    <row r="14" spans="2:8">
      <c r="B14" t="s">
        <v>226</v>
      </c>
      <c r="C14" s="1" t="s">
        <v>217</v>
      </c>
      <c r="D14" s="21" t="str">
        <f>_xlfn.TEXTJOIN(",",TRUE,Regions!$C$3:$D$3)</f>
        <v>IE,National</v>
      </c>
      <c r="E14" s="21">
        <f>ROUNDUP(Conversions!$B$2*SUM(-'EB2018'!$AD$22),1)</f>
        <v>31.200000000000003</v>
      </c>
      <c r="F14" s="21">
        <f>ROUNDUP(Conversions!$B$2*SUM(-'EB2019'!$AD$22),1)</f>
        <v>36.1</v>
      </c>
      <c r="G14" s="21">
        <f>ROUNDUP(Conversions!$B$2*SUM(-'EB2020'!$AD$22),1)</f>
        <v>41.6</v>
      </c>
      <c r="H1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H14"/>
  <sheetViews>
    <sheetView workbookViewId="0">
      <selection activeCell="G31" sqref="G31"/>
    </sheetView>
  </sheetViews>
  <sheetFormatPr defaultRowHeight="15"/>
  <cols>
    <col min="1" max="1" width="9.140625" style="1"/>
    <col min="2" max="2" width="12.5703125" style="1" bestFit="1" customWidth="1"/>
    <col min="3" max="3" width="9.28515625" style="1" bestFit="1" customWidth="1"/>
    <col min="4" max="4" width="10.7109375" style="1" bestFit="1" customWidth="1"/>
    <col min="5" max="16384" width="9.140625" style="1"/>
  </cols>
  <sheetData>
    <row r="2" spans="2:8">
      <c r="B2" s="936" t="s">
        <v>216</v>
      </c>
      <c r="D2" s="20"/>
    </row>
    <row r="3" spans="2:8" ht="15.75" thickBot="1">
      <c r="B3" s="937" t="s">
        <v>214</v>
      </c>
      <c r="C3" s="937" t="s">
        <v>215</v>
      </c>
      <c r="D3" s="937" t="s">
        <v>166</v>
      </c>
      <c r="E3" s="937">
        <v>2018</v>
      </c>
      <c r="F3" s="937">
        <v>2019</v>
      </c>
      <c r="G3" s="937">
        <v>2020</v>
      </c>
      <c r="H3" s="937">
        <v>0</v>
      </c>
    </row>
    <row r="4" spans="2:8">
      <c r="B4" s="1" t="s">
        <v>235</v>
      </c>
      <c r="C4" s="1" t="s">
        <v>217</v>
      </c>
      <c r="D4" s="21" t="str">
        <f>_xlfn.TEXTJOIN(",",TRUE,Regions!$C$3:$D$3)</f>
        <v>IE,National</v>
      </c>
      <c r="E4" s="21">
        <f>ROUNDUP(Conversions!$B$2*SUM('EB2018'!$AI$57),1)</f>
        <v>0</v>
      </c>
      <c r="F4" s="21">
        <f>ROUNDUP(Conversions!$B$2*SUM('EB2019'!$AI$57),1)</f>
        <v>0</v>
      </c>
      <c r="G4" s="21"/>
      <c r="H4" s="1">
        <v>1</v>
      </c>
    </row>
    <row r="5" spans="2:8">
      <c r="B5" s="1" t="s">
        <v>229</v>
      </c>
      <c r="C5" s="1" t="s">
        <v>217</v>
      </c>
      <c r="D5" s="21" t="str">
        <f>_xlfn.TEXTJOIN(",",TRUE,Regions!$C$3:$D$3)</f>
        <v>IE,National</v>
      </c>
      <c r="E5" s="21">
        <f>ROUNDUP(Conversions!$B$2*SUM('EB2018'!$AH$57),1)</f>
        <v>0.4</v>
      </c>
      <c r="F5" s="21">
        <f>ROUNDUP(Conversions!$B$2*SUM('EB2019'!$AH$57),1)</f>
        <v>0.4</v>
      </c>
      <c r="G5" s="21"/>
      <c r="H5" s="1">
        <v>1</v>
      </c>
    </row>
    <row r="6" spans="2:8">
      <c r="B6" s="1" t="s">
        <v>230</v>
      </c>
      <c r="C6" s="1" t="s">
        <v>217</v>
      </c>
      <c r="D6" s="21" t="str">
        <f>_xlfn.TEXTJOIN(",",TRUE,Regions!$C$3:$D$3)</f>
        <v>IE,National</v>
      </c>
      <c r="E6" s="21">
        <f>ROUNDUP(Conversions!$B$2*SUM('EB2018'!$AE$57),1)</f>
        <v>0.79999999999999993</v>
      </c>
      <c r="F6" s="21">
        <f>ROUNDUP(Conversions!$B$2*SUM('EB2019'!$AE$57),1)</f>
        <v>0.6</v>
      </c>
      <c r="G6" s="21"/>
      <c r="H6" s="1">
        <v>1</v>
      </c>
    </row>
    <row r="7" spans="2:8">
      <c r="B7" s="1" t="s">
        <v>231</v>
      </c>
      <c r="C7" s="1" t="s">
        <v>217</v>
      </c>
      <c r="D7" s="21" t="str">
        <f>_xlfn.TEXTJOIN(",",TRUE,Regions!$C$3:$D$3)</f>
        <v>IE,National</v>
      </c>
      <c r="E7" s="21">
        <f>ROUNDUP(Conversions!$B$2*SUM('EB2018'!$C$57),1)</f>
        <v>0.1</v>
      </c>
      <c r="F7" s="21">
        <f>ROUNDUP(Conversions!$B$2*SUM('EB2019'!$C$57),1)</f>
        <v>0.1</v>
      </c>
      <c r="G7" s="21"/>
      <c r="H7" s="1">
        <v>1</v>
      </c>
    </row>
    <row r="8" spans="2:8">
      <c r="B8" s="1" t="s">
        <v>236</v>
      </c>
      <c r="C8" s="1" t="s">
        <v>217</v>
      </c>
      <c r="D8" s="21" t="str">
        <f>_xlfn.TEXTJOIN(",",TRUE,Regions!$C$3:$D$3)</f>
        <v>IE,National</v>
      </c>
      <c r="E8" s="21">
        <f>ROUNDUP(Conversions!$B$2*SUM('EB2018'!$AO$57),1)</f>
        <v>42.7</v>
      </c>
      <c r="F8" s="21">
        <f>ROUNDUP(Conversions!$B$2*SUM('EB2019'!$AO$57),1)</f>
        <v>44</v>
      </c>
      <c r="G8" s="21"/>
      <c r="H8" s="1">
        <v>1</v>
      </c>
    </row>
    <row r="9" spans="2:8">
      <c r="B9" s="1" t="s">
        <v>239</v>
      </c>
      <c r="C9" s="1" t="s">
        <v>217</v>
      </c>
      <c r="D9" s="21" t="str">
        <f>_xlfn.TEXTJOIN(",",TRUE,Regions!$C$3:$D$3)</f>
        <v>IE,National</v>
      </c>
      <c r="E9" s="21">
        <f>ROUNDUP(Conversions!$B$2*SUM('EB2018'!$AJ$57),1)</f>
        <v>0</v>
      </c>
      <c r="F9" s="21">
        <f>ROUNDUP(Conversions!$B$2*SUM('EB2019'!$AJ$57),1)</f>
        <v>0</v>
      </c>
      <c r="G9" s="21"/>
      <c r="H9" s="1">
        <v>1</v>
      </c>
    </row>
    <row r="10" spans="2:8">
      <c r="B10" s="1" t="s">
        <v>232</v>
      </c>
      <c r="C10" s="1" t="s">
        <v>217</v>
      </c>
      <c r="D10" s="21" t="str">
        <f>_xlfn.TEXTJOIN(",",TRUE,Regions!$C$3:$D$3)</f>
        <v>IE,National</v>
      </c>
      <c r="E10" s="21">
        <f>ROUNDUP(Conversions!$B$2*SUM('EB2018'!$AA$57),1)</f>
        <v>16.700000000000003</v>
      </c>
      <c r="F10" s="21">
        <f>ROUNDUP(Conversions!$B$2*SUM('EB2019'!$AA$57),1)</f>
        <v>17</v>
      </c>
      <c r="G10" s="21"/>
      <c r="H10" s="1">
        <v>1</v>
      </c>
    </row>
    <row r="11" spans="2:8">
      <c r="B11" s="1" t="s">
        <v>238</v>
      </c>
      <c r="C11" s="1" t="s">
        <v>217</v>
      </c>
      <c r="D11" s="21" t="str">
        <f>_xlfn.TEXTJOIN(",",TRUE,Regions!$C$3:$D$3)</f>
        <v>IE,National</v>
      </c>
      <c r="E11" s="21">
        <f>ROUNDUP(Conversions!$B$2*SUM('EB2018'!$AP$57),1)</f>
        <v>0</v>
      </c>
      <c r="F11" s="21">
        <f>ROUNDUP(Conversions!$B$2*SUM('EB2019'!$AP$57),1)</f>
        <v>0</v>
      </c>
      <c r="G11" s="21"/>
      <c r="H11" s="1">
        <v>1</v>
      </c>
    </row>
    <row r="12" spans="2:8">
      <c r="B12" s="1" t="s">
        <v>237</v>
      </c>
      <c r="C12" s="1" t="s">
        <v>217</v>
      </c>
      <c r="D12" s="21" t="str">
        <f>_xlfn.TEXTJOIN(",",TRUE,Regions!$C$3:$D$3)</f>
        <v>IE,National</v>
      </c>
      <c r="E12" s="21">
        <f>ROUNDUP(Conversions!$B$2*SUM('EB2018'!$T$57),1)</f>
        <v>3</v>
      </c>
      <c r="F12" s="21">
        <f>ROUNDUP(Conversions!$B$2*SUM('EB2019'!$T$57),1)</f>
        <v>3</v>
      </c>
      <c r="G12" s="21"/>
      <c r="H12" s="1">
        <v>1</v>
      </c>
    </row>
    <row r="13" spans="2:8">
      <c r="B13" s="1" t="s">
        <v>234</v>
      </c>
      <c r="C13" s="1" t="s">
        <v>217</v>
      </c>
      <c r="D13" s="21" t="str">
        <f>_xlfn.TEXTJOIN(",",TRUE,Regions!$C$3:$D$3)</f>
        <v>IE,National</v>
      </c>
      <c r="E13" s="21">
        <f>ROUNDUP(Conversions!$B$2*SUM('EB2018'!$Q$57,'EB2018'!$S$57,'EB2018'!$U$57),1)</f>
        <v>8.1999999999999993</v>
      </c>
      <c r="F13" s="21">
        <f>ROUNDUP(Conversions!$B$2*SUM('EB2019'!$Q$57,'EB2019'!$S$57,'EB2019'!$U$57),1)</f>
        <v>8.1999999999999993</v>
      </c>
      <c r="G13" s="21"/>
      <c r="H13" s="1">
        <v>1</v>
      </c>
    </row>
    <row r="14" spans="2:8">
      <c r="B14" s="1" t="s">
        <v>233</v>
      </c>
      <c r="C14" s="1" t="s">
        <v>217</v>
      </c>
      <c r="D14" s="21" t="str">
        <f>_xlfn.TEXTJOIN(",",TRUE,Regions!$C$3:$D$3)</f>
        <v>IE,National</v>
      </c>
      <c r="E14" s="21">
        <f>ROUNDUP(Conversions!$B$2*SUM('EB2018'!$AL$57),1)</f>
        <v>0.1</v>
      </c>
      <c r="F14" s="21">
        <f>ROUNDUP(Conversions!$B$2*SUM('EB2019'!$AL$57),1)</f>
        <v>0.1</v>
      </c>
      <c r="G14" s="21"/>
      <c r="H14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tabSelected="1" zoomScaleNormal="100" workbookViewId="0">
      <selection activeCell="O30" sqref="O30"/>
    </sheetView>
  </sheetViews>
  <sheetFormatPr defaultRowHeight="15"/>
  <cols>
    <col min="1" max="1" width="9.140625" style="1"/>
    <col min="2" max="2" width="10.140625" style="1" bestFit="1" customWidth="1"/>
    <col min="3" max="3" width="8.85546875" style="1" bestFit="1" customWidth="1"/>
    <col min="4" max="4" width="10.85546875" style="1" bestFit="1" customWidth="1"/>
    <col min="5" max="5" width="8.7109375" style="1" customWidth="1"/>
    <col min="6" max="6" width="10.7109375" style="1" bestFit="1" customWidth="1"/>
    <col min="7" max="32" width="6.85546875" style="1" customWidth="1"/>
    <col min="33" max="33" width="20.140625" style="1" bestFit="1" customWidth="1"/>
    <col min="34" max="16384" width="9.140625" style="1"/>
  </cols>
  <sheetData>
    <row r="1" spans="1:34" ht="21">
      <c r="A1" s="950" t="s">
        <v>250</v>
      </c>
    </row>
    <row r="4" spans="1:34">
      <c r="A4" s="1" t="s">
        <v>249</v>
      </c>
    </row>
    <row r="5" spans="1:34">
      <c r="B5" s="949" t="s">
        <v>248</v>
      </c>
      <c r="G5" s="948"/>
      <c r="H5" s="947"/>
      <c r="I5" s="947"/>
      <c r="J5" s="947"/>
      <c r="K5" s="947"/>
      <c r="L5"/>
      <c r="M5" s="947"/>
      <c r="N5" s="947"/>
    </row>
    <row r="6" spans="1:34" ht="15.75" thickBot="1">
      <c r="B6" s="946" t="s">
        <v>247</v>
      </c>
      <c r="C6" s="946" t="s">
        <v>246</v>
      </c>
      <c r="D6" s="946" t="s">
        <v>215</v>
      </c>
      <c r="E6" s="946" t="s">
        <v>245</v>
      </c>
      <c r="F6" s="945" t="str">
        <f>Regions!C$3</f>
        <v>IE</v>
      </c>
      <c r="G6" s="945" t="str">
        <f>Regions!E$3</f>
        <v>IE-CW</v>
      </c>
      <c r="H6" s="945" t="str">
        <f>Regions!F$3</f>
        <v>IE-D</v>
      </c>
      <c r="I6" s="945" t="str">
        <f>Regions!G$3</f>
        <v>IE-KE</v>
      </c>
      <c r="J6" s="945" t="str">
        <f>Regions!H$3</f>
        <v>IE-KK</v>
      </c>
      <c r="K6" s="945" t="str">
        <f>Regions!I$3</f>
        <v>IE-LS</v>
      </c>
      <c r="L6" s="945" t="str">
        <f>Regions!J$3</f>
        <v>IE-LD</v>
      </c>
      <c r="M6" s="945" t="str">
        <f>Regions!K$3</f>
        <v>IE-LH</v>
      </c>
      <c r="N6" s="945" t="str">
        <f>Regions!L$3</f>
        <v>IE-MH</v>
      </c>
      <c r="O6" s="945" t="str">
        <f>Regions!M$3</f>
        <v>IE-OY</v>
      </c>
      <c r="P6" s="945" t="str">
        <f>Regions!N$3</f>
        <v>IE-WH</v>
      </c>
      <c r="Q6" s="945" t="str">
        <f>Regions!O$3</f>
        <v>IE-WX</v>
      </c>
      <c r="R6" s="945" t="str">
        <f>Regions!P$3</f>
        <v>IE-WW</v>
      </c>
      <c r="S6" s="945" t="str">
        <f>Regions!Q$3</f>
        <v>IE-CE</v>
      </c>
      <c r="T6" s="945" t="str">
        <f>Regions!R$3</f>
        <v>IE-CO</v>
      </c>
      <c r="U6" s="945" t="str">
        <f>Regions!S$3</f>
        <v>IE-KY</v>
      </c>
      <c r="V6" s="945" t="str">
        <f>Regions!T$3</f>
        <v>IE-LK</v>
      </c>
      <c r="W6" s="945" t="str">
        <f>Regions!U$3</f>
        <v>IE-TA</v>
      </c>
      <c r="X6" s="945" t="str">
        <f>Regions!V$3</f>
        <v>IE-WD</v>
      </c>
      <c r="Y6" s="945" t="str">
        <f>Regions!W$3</f>
        <v>IE-G</v>
      </c>
      <c r="Z6" s="945" t="str">
        <f>Regions!X$3</f>
        <v>IE-LM</v>
      </c>
      <c r="AA6" s="945" t="str">
        <f>Regions!Y$3</f>
        <v>IE-MO</v>
      </c>
      <c r="AB6" s="945" t="str">
        <f>Regions!Z$3</f>
        <v>IE-RN</v>
      </c>
      <c r="AC6" s="945" t="str">
        <f>Regions!AA$3</f>
        <v>IE-SO</v>
      </c>
      <c r="AD6" s="945" t="str">
        <f>Regions!AB$3</f>
        <v>IE-CN</v>
      </c>
      <c r="AE6" s="945" t="str">
        <f>Regions!AC$3</f>
        <v>IE-DL</v>
      </c>
      <c r="AF6" s="945" t="str">
        <f>Regions!AD$3</f>
        <v>IE-MN</v>
      </c>
      <c r="AG6" s="944" t="s">
        <v>244</v>
      </c>
      <c r="AH6" s="944" t="s">
        <v>243</v>
      </c>
    </row>
    <row r="7" spans="1:34">
      <c r="C7" s="1" t="s">
        <v>242</v>
      </c>
      <c r="D7" s="1" t="s">
        <v>241</v>
      </c>
      <c r="E7" s="1">
        <v>2020</v>
      </c>
      <c r="F7" s="943">
        <f>'New vehicle sales'!C6/1000</f>
        <v>38.232999999999997</v>
      </c>
      <c r="G7" s="941">
        <f>$F$7*'New vehicle sales'!D43</f>
        <v>0.45710685960227732</v>
      </c>
      <c r="H7" s="941">
        <f>$F$7*'New vehicle sales'!E43</f>
        <v>10.817941425680914</v>
      </c>
      <c r="I7" s="941">
        <f>$F$7*'New vehicle sales'!F43</f>
        <v>1.7864839578610465</v>
      </c>
      <c r="J7" s="941">
        <f>$F$7*'New vehicle sales'!G43</f>
        <v>0.79673343448417733</v>
      </c>
      <c r="K7" s="941">
        <f>$F$7*'New vehicle sales'!H43</f>
        <v>0.68003196247688613</v>
      </c>
      <c r="L7" s="941">
        <f>$F$7*'New vehicle sales'!I43</f>
        <v>0.32816919610278722</v>
      </c>
      <c r="M7" s="941">
        <f>$F$7*'New vehicle sales'!J43</f>
        <v>1.0348092547772767</v>
      </c>
      <c r="N7" s="941">
        <f>$F$7*'New vehicle sales'!K43</f>
        <v>1.5660076990842859</v>
      </c>
      <c r="O7" s="941">
        <f>$F$7*'New vehicle sales'!L43</f>
        <v>0.62594863840113013</v>
      </c>
      <c r="P7" s="941">
        <f>$F$7*'New vehicle sales'!M43</f>
        <v>0.71273406742946244</v>
      </c>
      <c r="Q7" s="941">
        <f>$F$7*'New vehicle sales'!N43</f>
        <v>1.2021174951410833</v>
      </c>
      <c r="R7" s="941">
        <f>$F$7*'New vehicle sales'!O43</f>
        <v>1.1435299037246951</v>
      </c>
      <c r="S7" s="941">
        <f>$F$7*'New vehicle sales'!P43</f>
        <v>0.95398134155420122</v>
      </c>
      <c r="T7" s="941">
        <f>$F$7*'New vehicle sales'!Q43</f>
        <v>4.3586855662644748</v>
      </c>
      <c r="U7" s="941">
        <f>$F$7*'New vehicle sales'!R43</f>
        <v>1.185939066101201</v>
      </c>
      <c r="V7" s="941">
        <f>$F$7*'New vehicle sales'!S43</f>
        <v>1.5648434945131779</v>
      </c>
      <c r="W7" s="941">
        <f>$F$7*'New vehicle sales'!T43</f>
        <v>1.2810505650622175</v>
      </c>
      <c r="X7" s="941">
        <f>$F$7*'New vehicle sales'!U43</f>
        <v>0.93277676036594825</v>
      </c>
      <c r="Y7" s="941">
        <f>$F$7*'New vehicle sales'!V43</f>
        <v>2.0719469186967694</v>
      </c>
      <c r="Z7" s="941">
        <f>$F$7*'New vehicle sales'!W43</f>
        <v>0.25728118121786298</v>
      </c>
      <c r="AA7" s="941">
        <f>$F$7*'New vehicle sales'!X43</f>
        <v>1.0478403169766459</v>
      </c>
      <c r="AB7" s="941">
        <f>$F$7*'New vehicle sales'!Y43</f>
        <v>0.518223585086935</v>
      </c>
      <c r="AC7" s="941">
        <f>$F$7*'New vehicle sales'!Z43</f>
        <v>0.52618032115568125</v>
      </c>
      <c r="AD7" s="941">
        <f>$F$7*'New vehicle sales'!AA43</f>
        <v>0.6116168786809365</v>
      </c>
      <c r="AE7" s="941">
        <f>$F$7*'New vehicle sales'!AB43</f>
        <v>1.2781520971300098</v>
      </c>
      <c r="AF7" s="941">
        <f>$F$7*'New vehicle sales'!AC43</f>
        <v>0.49286801242790335</v>
      </c>
      <c r="AG7" s="1" t="str">
        <f>'New vehicle sales'!B57</f>
        <v>T-CAR-ICE_DST21</v>
      </c>
      <c r="AH7" s="1" t="s">
        <v>240</v>
      </c>
    </row>
    <row r="8" spans="1:34">
      <c r="C8" s="1" t="s">
        <v>242</v>
      </c>
      <c r="D8" s="1" t="s">
        <v>241</v>
      </c>
      <c r="E8" s="1">
        <v>2020</v>
      </c>
      <c r="F8" s="943">
        <f>'New vehicle sales'!C7/1000</f>
        <v>32.6</v>
      </c>
      <c r="G8" s="941">
        <f>$F$8*'New vehicle sales'!D43</f>
        <v>0.38975972649371593</v>
      </c>
      <c r="H8" s="941">
        <f>$F$8*'New vehicle sales'!E43</f>
        <v>9.2240967352077483</v>
      </c>
      <c r="I8" s="941">
        <f>$F$8*'New vehicle sales'!F43</f>
        <v>1.5232751033471117</v>
      </c>
      <c r="J8" s="941">
        <f>$F$8*'New vehicle sales'!G43</f>
        <v>0.67934794455533654</v>
      </c>
      <c r="K8" s="941">
        <f>$F$8*'New vehicle sales'!H43</f>
        <v>0.57984050366820528</v>
      </c>
      <c r="L8" s="941">
        <f>$F$8*'New vehicle sales'!I43</f>
        <v>0.27981889448776881</v>
      </c>
      <c r="M8" s="941">
        <f>$F$8*'New vehicle sales'!J43</f>
        <v>0.88234723159938333</v>
      </c>
      <c r="N8" s="941">
        <f>$F$8*'New vehicle sales'!K43</f>
        <v>1.3352823736078185</v>
      </c>
      <c r="O8" s="941">
        <f>$F$8*'New vehicle sales'!L43</f>
        <v>0.53372546260761244</v>
      </c>
      <c r="P8" s="941">
        <f>$F$8*'New vehicle sales'!M43</f>
        <v>0.60772449449952859</v>
      </c>
      <c r="Q8" s="941">
        <f>$F$8*'New vehicle sales'!N43</f>
        <v>1.0250053707948454</v>
      </c>
      <c r="R8" s="941">
        <f>$F$8*'New vehicle sales'!O43</f>
        <v>0.97504969166492472</v>
      </c>
      <c r="S8" s="941">
        <f>$F$8*'New vehicle sales'!P43</f>
        <v>0.81342797412358336</v>
      </c>
      <c r="T8" s="941">
        <f>$F$8*'New vehicle sales'!Q43</f>
        <v>3.7165053608197605</v>
      </c>
      <c r="U8" s="941">
        <f>$F$8*'New vehicle sales'!R43</f>
        <v>1.0112105656082222</v>
      </c>
      <c r="V8" s="941">
        <f>$F$8*'New vehicle sales'!S43</f>
        <v>1.3342896953189549</v>
      </c>
      <c r="W8" s="941">
        <f>$F$8*'New vehicle sales'!T43</f>
        <v>1.0923089587798052</v>
      </c>
      <c r="X8" s="941">
        <f>$F$8*'New vehicle sales'!U43</f>
        <v>0.79534753715193462</v>
      </c>
      <c r="Y8" s="941">
        <f>$F$8*'New vehicle sales'!V43</f>
        <v>1.7666798197764939</v>
      </c>
      <c r="Z8" s="941">
        <f>$F$8*'New vehicle sales'!W43</f>
        <v>0.21937505578171562</v>
      </c>
      <c r="AA8" s="941">
        <f>$F$8*'New vehicle sales'!X43</f>
        <v>0.89345838237749231</v>
      </c>
      <c r="AB8" s="941">
        <f>$F$8*'New vehicle sales'!Y43</f>
        <v>0.44187191363047851</v>
      </c>
      <c r="AC8" s="941">
        <f>$F$8*'New vehicle sales'!Z43</f>
        <v>0.44865635628057465</v>
      </c>
      <c r="AD8" s="941">
        <f>$F$8*'New vehicle sales'!AA43</f>
        <v>0.52150525056884189</v>
      </c>
      <c r="AE8" s="941">
        <f>$F$8*'New vehicle sales'!AB43</f>
        <v>1.0898375321433926</v>
      </c>
      <c r="AF8" s="941">
        <f>$F$8*'New vehicle sales'!AC43</f>
        <v>0.42025206510474333</v>
      </c>
      <c r="AG8" s="1" t="str">
        <f>'New vehicle sales'!B56</f>
        <v>T-CAR-ICE_GSL21</v>
      </c>
      <c r="AH8" s="1" t="s">
        <v>240</v>
      </c>
    </row>
    <row r="9" spans="1:34">
      <c r="C9" s="1" t="s">
        <v>242</v>
      </c>
      <c r="D9" s="1" t="s">
        <v>241</v>
      </c>
      <c r="E9" s="1">
        <v>2020</v>
      </c>
      <c r="F9" s="943">
        <f>'New vehicle sales'!C8/1000</f>
        <v>10.474</v>
      </c>
      <c r="G9" s="941">
        <f>$F$9*'New vehicle sales'!D43</f>
        <v>0.12522525691089512</v>
      </c>
      <c r="H9" s="941">
        <f>$F$9*'New vehicle sales'!E43</f>
        <v>2.9635947608762563</v>
      </c>
      <c r="I9" s="941">
        <f>$F$9*'New vehicle sales'!F43</f>
        <v>0.4894105347379647</v>
      </c>
      <c r="J9" s="941">
        <f>$F$9*'New vehicle sales'!G43</f>
        <v>0.21826657580590783</v>
      </c>
      <c r="K9" s="941">
        <f>$F$9*'New vehicle sales'!H43</f>
        <v>0.18629599495155771</v>
      </c>
      <c r="L9" s="941">
        <f>$F$9*'New vehicle sales'!I43</f>
        <v>8.9902549106284979E-2</v>
      </c>
      <c r="M9" s="941">
        <f>$F$9*'New vehicle sales'!J43</f>
        <v>0.28348788048380186</v>
      </c>
      <c r="N9" s="941">
        <f>$F$9*'New vehicle sales'!K43</f>
        <v>0.42901066199902738</v>
      </c>
      <c r="O9" s="941">
        <f>$F$9*'New vehicle sales'!L43</f>
        <v>0.17147976979607768</v>
      </c>
      <c r="P9" s="941">
        <f>$F$9*'New vehicle sales'!M43</f>
        <v>0.19525479617754793</v>
      </c>
      <c r="Q9" s="941">
        <f>$F$9*'New vehicle sales'!N43</f>
        <v>0.32932227772101874</v>
      </c>
      <c r="R9" s="941">
        <f>$F$9*'New vehicle sales'!O43</f>
        <v>0.31327210032203745</v>
      </c>
      <c r="S9" s="941">
        <f>$F$9*'New vehicle sales'!P43</f>
        <v>0.26134492641013535</v>
      </c>
      <c r="T9" s="941">
        <f>$F$9*'New vehicle sales'!Q43</f>
        <v>1.1940698512032568</v>
      </c>
      <c r="U9" s="941">
        <f>$F$9*'New vehicle sales'!R43</f>
        <v>0.32489016761289935</v>
      </c>
      <c r="V9" s="941">
        <f>$F$9*'New vehicle sales'!S43</f>
        <v>0.4286917260359121</v>
      </c>
      <c r="W9" s="941">
        <f>$F$9*'New vehicle sales'!T43</f>
        <v>0.35094613602023556</v>
      </c>
      <c r="X9" s="941">
        <f>$F$9*'New vehicle sales'!U43</f>
        <v>0.2555358927647044</v>
      </c>
      <c r="Y9" s="941">
        <f>$F$9*'New vehicle sales'!V43</f>
        <v>0.56761363289383426</v>
      </c>
      <c r="Z9" s="941">
        <f>$F$9*'New vehicle sales'!W43</f>
        <v>7.0482648290113165E-2</v>
      </c>
      <c r="AA9" s="941">
        <f>$F$9*'New vehicle sales'!X43</f>
        <v>0.28705776371232683</v>
      </c>
      <c r="AB9" s="941">
        <f>$F$9*'New vehicle sales'!Y43</f>
        <v>0.14196829519526477</v>
      </c>
      <c r="AC9" s="941">
        <f>$F$9*'New vehicle sales'!Z43</f>
        <v>0.14414805753628032</v>
      </c>
      <c r="AD9" s="941">
        <f>$F$9*'New vehicle sales'!AA43</f>
        <v>0.16755355811221012</v>
      </c>
      <c r="AE9" s="941">
        <f>$F$9*'New vehicle sales'!AB43</f>
        <v>0.3501520954499967</v>
      </c>
      <c r="AF9" s="941">
        <f>$F$9*'New vehicle sales'!AC43</f>
        <v>0.13502208987445036</v>
      </c>
      <c r="AG9" s="1" t="str">
        <f>'New vehicle sales'!B62</f>
        <v>T-CAR-HEV_GSL21</v>
      </c>
      <c r="AH9" s="1" t="s">
        <v>240</v>
      </c>
    </row>
    <row r="10" spans="1:34">
      <c r="C10" s="1" t="s">
        <v>242</v>
      </c>
      <c r="D10" s="1" t="s">
        <v>241</v>
      </c>
      <c r="E10" s="1">
        <v>2020</v>
      </c>
      <c r="F10" s="943">
        <f>'New vehicle sales'!C9/1000</f>
        <v>4.0129999999999999</v>
      </c>
      <c r="G10" s="941">
        <f>$F$10*'New vehicle sales'!D43</f>
        <v>4.7978704982186565E-2</v>
      </c>
      <c r="H10" s="941">
        <f>$F$10*'New vehicle sales'!E43</f>
        <v>1.135469331238917</v>
      </c>
      <c r="I10" s="941">
        <f>$F$10*'New vehicle sales'!F43</f>
        <v>0.18751236164821961</v>
      </c>
      <c r="J10" s="941">
        <f>$F$10*'New vehicle sales'!G43</f>
        <v>8.3626481641121644E-2</v>
      </c>
      <c r="K10" s="941">
        <f>$F$10*'New vehicle sales'!H43</f>
        <v>7.1377298810445008E-2</v>
      </c>
      <c r="L10" s="941">
        <f>$F$10*'New vehicle sales'!I43</f>
        <v>3.4445190907344055E-2</v>
      </c>
      <c r="M10" s="941">
        <f>$F$10*'New vehicle sales'!J43</f>
        <v>0.10861532025792409</v>
      </c>
      <c r="N10" s="941">
        <f>$F$10*'New vehicle sales'!K43</f>
        <v>0.16437080261620171</v>
      </c>
      <c r="O10" s="941">
        <f>$F$10*'New vehicle sales'!L43</f>
        <v>6.570062213019473E-2</v>
      </c>
      <c r="P10" s="941">
        <f>$F$10*'New vehicle sales'!M43</f>
        <v>7.4809766761552404E-2</v>
      </c>
      <c r="Q10" s="941">
        <f>$F$10*'New vehicle sales'!N43</f>
        <v>0.12617627463189307</v>
      </c>
      <c r="R10" s="941">
        <f>$F$10*'New vehicle sales'!O43</f>
        <v>0.12002682247396756</v>
      </c>
      <c r="S10" s="941">
        <f>$F$10*'New vehicle sales'!P43</f>
        <v>0.10013148650791226</v>
      </c>
      <c r="T10" s="941">
        <f>$F$10*'New vehicle sales'!Q43</f>
        <v>0.45749496972299686</v>
      </c>
      <c r="U10" s="941">
        <f>$F$10*'New vehicle sales'!R43</f>
        <v>0.12447815950263176</v>
      </c>
      <c r="V10" s="941">
        <f>$F$10*'New vehicle sales'!S43</f>
        <v>0.16424860574585784</v>
      </c>
      <c r="W10" s="941">
        <f>$F$10*'New vehicle sales'!T43</f>
        <v>0.13446122244120728</v>
      </c>
      <c r="X10" s="941">
        <f>$F$10*'New vehicle sales'!U43</f>
        <v>9.7905817993580169E-2</v>
      </c>
      <c r="Y10" s="941">
        <f>$F$10*'New vehicle sales'!V43</f>
        <v>0.21747503425653589</v>
      </c>
      <c r="Z10" s="941">
        <f>$F$10*'New vehicle sales'!W43</f>
        <v>2.7004665608957815E-2</v>
      </c>
      <c r="AA10" s="941">
        <f>$F$10*'New vehicle sales'!X43</f>
        <v>0.10998308246873854</v>
      </c>
      <c r="AB10" s="941">
        <f>$F$10*'New vehicle sales'!Y43</f>
        <v>5.4393619306721167E-2</v>
      </c>
      <c r="AC10" s="941">
        <f>$F$10*'New vehicle sales'!Z43</f>
        <v>5.5228771710243735E-2</v>
      </c>
      <c r="AD10" s="941">
        <f>$F$10*'New vehicle sales'!AA43</f>
        <v>6.4196336519409883E-2</v>
      </c>
      <c r="AE10" s="941">
        <f>$F$10*'New vehicle sales'!AB43</f>
        <v>0.13415699437090289</v>
      </c>
      <c r="AF10" s="941">
        <f>$F$10*'New vehicle sales'!AC43</f>
        <v>5.1732255744335424E-2</v>
      </c>
      <c r="AG10" s="1" t="str">
        <f>'New vehicle sales'!B70</f>
        <v>T-CAR-BEV100_ELC21</v>
      </c>
      <c r="AH10" s="1" t="s">
        <v>240</v>
      </c>
    </row>
    <row r="11" spans="1:34">
      <c r="C11" s="1" t="s">
        <v>242</v>
      </c>
      <c r="D11" s="1" t="s">
        <v>241</v>
      </c>
      <c r="E11" s="1">
        <v>2020</v>
      </c>
      <c r="F11" s="943">
        <f>'New vehicle sales'!C10/1000</f>
        <v>2.4590000000000001</v>
      </c>
      <c r="G11" s="941">
        <f>$F$11*'New vehicle sales'!D43</f>
        <v>2.9399360964664036E-2</v>
      </c>
      <c r="H11" s="941">
        <f>$F$11*'New vehicle sales'!E43</f>
        <v>0.69576852367717346</v>
      </c>
      <c r="I11" s="941">
        <f>$F$11*'New vehicle sales'!F43</f>
        <v>0.11489979997332969</v>
      </c>
      <c r="J11" s="941">
        <f>$F$11*'New vehicle sales'!G43</f>
        <v>5.1242840357716951E-2</v>
      </c>
      <c r="K11" s="941">
        <f>$F$11*'New vehicle sales'!H43</f>
        <v>4.3737049034359404E-2</v>
      </c>
      <c r="L11" s="941">
        <f>$F$11*'New vehicle sales'!I43</f>
        <v>2.1106584709982317E-2</v>
      </c>
      <c r="M11" s="941">
        <f>$F$11*'New vehicle sales'!J43</f>
        <v>6.6554964493953483E-2</v>
      </c>
      <c r="N11" s="941">
        <f>$F$11*'New vehicle sales'!K43</f>
        <v>0.10071961216876153</v>
      </c>
      <c r="O11" s="941">
        <f>$F$11*'New vehicle sales'!L43</f>
        <v>4.0258616949451501E-2</v>
      </c>
      <c r="P11" s="941">
        <f>$F$11*'New vehicle sales'!M43</f>
        <v>4.5840323066697573E-2</v>
      </c>
      <c r="Q11" s="941">
        <f>$F$11*'New vehicle sales'!N43</f>
        <v>7.7315589165169479E-2</v>
      </c>
      <c r="R11" s="941">
        <f>$F$11*'New vehicle sales'!O43</f>
        <v>7.3547459871289869E-2</v>
      </c>
      <c r="S11" s="941">
        <f>$F$11*'New vehicle sales'!P43</f>
        <v>6.135642295613164E-2</v>
      </c>
      <c r="T11" s="941">
        <f>$F$11*'New vehicle sales'!Q43</f>
        <v>0.28033394730845984</v>
      </c>
      <c r="U11" s="941">
        <f>$F$11*'New vehicle sales'!R43</f>
        <v>7.6275054626706085E-2</v>
      </c>
      <c r="V11" s="941">
        <f>$F$11*'New vehicle sales'!S43</f>
        <v>0.10064473499353713</v>
      </c>
      <c r="W11" s="941">
        <f>$F$11*'New vehicle sales'!T43</f>
        <v>8.2392261645384685E-2</v>
      </c>
      <c r="X11" s="941">
        <f>$F$11*'New vehicle sales'!U43</f>
        <v>5.9992625578423532E-2</v>
      </c>
      <c r="Y11" s="941">
        <f>$F$11*'New vehicle sales'!V43</f>
        <v>0.13325968333835578</v>
      </c>
      <c r="Z11" s="941">
        <f>$F$11*'New vehicle sales'!W43</f>
        <v>1.6547339330283396E-2</v>
      </c>
      <c r="AA11" s="941">
        <f>$F$11*'New vehicle sales'!X43</f>
        <v>6.7393072462155021E-2</v>
      </c>
      <c r="AB11" s="941">
        <f>$F$11*'New vehicle sales'!Y43</f>
        <v>3.3330154466789774E-2</v>
      </c>
      <c r="AC11" s="941">
        <f>$F$11*'New vehicle sales'!Z43</f>
        <v>3.3841901229875244E-2</v>
      </c>
      <c r="AD11" s="941">
        <f>$F$11*'New vehicle sales'!AA43</f>
        <v>3.9336853102723376E-2</v>
      </c>
      <c r="AE11" s="941">
        <f>$F$11*'New vehicle sales'!AB43</f>
        <v>8.2205843298791478E-2</v>
      </c>
      <c r="AF11" s="941">
        <f>$F$11*'New vehicle sales'!AC43</f>
        <v>3.1699381229833248E-2</v>
      </c>
      <c r="AG11" s="1" t="str">
        <f>'New vehicle sales'!B66</f>
        <v>T-CAR-PHEV40_GSL21</v>
      </c>
      <c r="AH11" s="1" t="s">
        <v>240</v>
      </c>
    </row>
    <row r="12" spans="1:34">
      <c r="C12" s="1" t="s">
        <v>242</v>
      </c>
      <c r="D12" s="1" t="s">
        <v>241</v>
      </c>
      <c r="E12" s="1">
        <v>2020</v>
      </c>
      <c r="F12" s="943">
        <f>'New vehicle sales'!C11/1000</f>
        <v>0.51200000000000001</v>
      </c>
      <c r="G12" s="941">
        <f>$F$12*'New vehicle sales'!D43</f>
        <v>6.1213797535209372E-3</v>
      </c>
      <c r="H12" s="941">
        <f>$F$12*'New vehicle sales'!E43</f>
        <v>0.14486924933823211</v>
      </c>
      <c r="I12" s="941">
        <f>$F$12*'New vehicle sales'!F43</f>
        <v>2.3923829843979179E-2</v>
      </c>
      <c r="J12" s="941">
        <f>$F$12*'New vehicle sales'!G43</f>
        <v>1.0669513730439641E-2</v>
      </c>
      <c r="K12" s="941">
        <f>$F$12*'New vehicle sales'!H43</f>
        <v>9.106697480923959E-3</v>
      </c>
      <c r="L12" s="941">
        <f>$F$12*'New vehicle sales'!I43</f>
        <v>4.3947016557588231E-3</v>
      </c>
      <c r="M12" s="941">
        <f>$F$12*'New vehicle sales'!J43</f>
        <v>1.3857723391990314E-2</v>
      </c>
      <c r="N12" s="941">
        <f>$F$12*'New vehicle sales'!K43</f>
        <v>2.0971305990405004E-2</v>
      </c>
      <c r="O12" s="941">
        <f>$F$12*'New vehicle sales'!L43</f>
        <v>8.3824367133465503E-3</v>
      </c>
      <c r="P12" s="941">
        <f>$F$12*'New vehicle sales'!M43</f>
        <v>9.544630097661308E-3</v>
      </c>
      <c r="Q12" s="941">
        <f>$F$12*'New vehicle sales'!N43</f>
        <v>1.6098243860336221E-2</v>
      </c>
      <c r="R12" s="941">
        <f>$F$12*'New vehicle sales'!O43</f>
        <v>1.5313663869093296E-2</v>
      </c>
      <c r="S12" s="941">
        <f>$F$12*'New vehicle sales'!P43</f>
        <v>1.2775310513842781E-2</v>
      </c>
      <c r="T12" s="941">
        <f>$F$12*'New vehicle sales'!Q43</f>
        <v>5.8369654746617095E-2</v>
      </c>
      <c r="U12" s="941">
        <f>$F$12*'New vehicle sales'!R43</f>
        <v>1.5881589251270239E-2</v>
      </c>
      <c r="V12" s="941">
        <f>$F$12*'New vehicle sales'!S43</f>
        <v>2.0955715460224077E-2</v>
      </c>
      <c r="W12" s="941">
        <f>$F$12*'New vehicle sales'!T43</f>
        <v>1.7155281806603074E-2</v>
      </c>
      <c r="X12" s="941">
        <f>$F$12*'New vehicle sales'!U43</f>
        <v>1.2491347822754311E-2</v>
      </c>
      <c r="Y12" s="941">
        <f>$F$12*'New vehicle sales'!V43</f>
        <v>2.7746627844342481E-2</v>
      </c>
      <c r="Z12" s="941">
        <f>$F$12*'New vehicle sales'!W43</f>
        <v>3.4453996490870675E-3</v>
      </c>
      <c r="AA12" s="941">
        <f>$F$12*'New vehicle sales'!X43</f>
        <v>1.4032229809118897E-2</v>
      </c>
      <c r="AB12" s="941">
        <f>$F$12*'New vehicle sales'!Y43</f>
        <v>6.939828827570705E-3</v>
      </c>
      <c r="AC12" s="941">
        <f>$F$12*'New vehicle sales'!Z43</f>
        <v>7.0463820372900065E-3</v>
      </c>
      <c r="AD12" s="941">
        <f>$F$12*'New vehicle sales'!AA43</f>
        <v>8.1905119107744482E-3</v>
      </c>
      <c r="AE12" s="941">
        <f>$F$12*'New vehicle sales'!AB43</f>
        <v>1.7116466762497454E-2</v>
      </c>
      <c r="AF12" s="941">
        <f>$F$12*'New vehicle sales'!AC43</f>
        <v>6.6002778323198952E-3</v>
      </c>
      <c r="AG12" s="1" t="str">
        <f>'New vehicle sales'!B63</f>
        <v>T-CAR-HEV_DST21</v>
      </c>
      <c r="AH12" s="1" t="s">
        <v>240</v>
      </c>
    </row>
    <row r="13" spans="1:34">
      <c r="C13" s="1" t="s">
        <v>242</v>
      </c>
      <c r="D13" s="1" t="s">
        <v>241</v>
      </c>
      <c r="E13" s="1">
        <v>2020</v>
      </c>
      <c r="F13" s="943">
        <f>'New vehicle sales'!C12/1000</f>
        <v>3.3000000000000002E-2</v>
      </c>
      <c r="G13" s="941">
        <f>$F$13*'New vehicle sales'!D43</f>
        <v>3.9454205442615418E-4</v>
      </c>
      <c r="H13" s="941">
        <f>$F$13*'New vehicle sales'!E43</f>
        <v>9.3372758362532428E-3</v>
      </c>
      <c r="I13" s="941">
        <f>$F$13*'New vehicle sales'!F43</f>
        <v>1.5419655954127206E-3</v>
      </c>
      <c r="J13" s="941">
        <f>$F$13*'New vehicle sales'!G43</f>
        <v>6.8768350215724257E-4</v>
      </c>
      <c r="K13" s="941">
        <f>$F$13*'New vehicle sales'!H43</f>
        <v>5.8695511107517706E-4</v>
      </c>
      <c r="L13" s="941">
        <f>$F$13*'New vehicle sales'!I43</f>
        <v>2.8325225515633037E-4</v>
      </c>
      <c r="M13" s="941">
        <f>$F$13*'New vehicle sales'!J43</f>
        <v>8.9317357799937572E-4</v>
      </c>
      <c r="N13" s="941">
        <f>$F$13*'New vehicle sales'!K43</f>
        <v>1.3516662064128224E-3</v>
      </c>
      <c r="O13" s="941">
        <f>$F$13*'New vehicle sales'!L43</f>
        <v>5.4027424128991436E-4</v>
      </c>
      <c r="P13" s="941">
        <f>$F$13*'New vehicle sales'!M43</f>
        <v>6.1518123676332652E-4</v>
      </c>
      <c r="Q13" s="941">
        <f>$F$13*'New vehicle sales'!N43</f>
        <v>1.0375821238107332E-3</v>
      </c>
      <c r="R13" s="941">
        <f>$F$13*'New vehicle sales'!O43</f>
        <v>9.8701349156265377E-4</v>
      </c>
      <c r="S13" s="941">
        <f>$F$13*'New vehicle sales'!P43</f>
        <v>8.2340868546252298E-4</v>
      </c>
      <c r="T13" s="941">
        <f>$F$13*'New vehicle sales'!Q43</f>
        <v>3.7621066535905552E-3</v>
      </c>
      <c r="U13" s="941">
        <f>$F$13*'New vehicle sales'!R43</f>
        <v>1.0236180572107771E-3</v>
      </c>
      <c r="V13" s="941">
        <f>$F$13*'New vehicle sales'!S43</f>
        <v>1.3506613480222551E-3</v>
      </c>
      <c r="W13" s="941">
        <f>$F$13*'New vehicle sales'!T43</f>
        <v>1.1057115226912138E-3</v>
      </c>
      <c r="X13" s="941">
        <f>$F$13*'New vehicle sales'!U43</f>
        <v>8.051064026384614E-4</v>
      </c>
      <c r="Y13" s="941">
        <f>$F$13*'New vehicle sales'!V43</f>
        <v>1.7883568727798866E-3</v>
      </c>
      <c r="Z13" s="941">
        <f>$F$13*'New vehicle sales'!W43</f>
        <v>2.2206677425756489E-4</v>
      </c>
      <c r="AA13" s="941">
        <f>$F$13*'New vehicle sales'!X43</f>
        <v>9.0442106191586651E-4</v>
      </c>
      <c r="AB13" s="941">
        <f>$F$13*'New vehicle sales'!Y43</f>
        <v>4.4729365490201812E-4</v>
      </c>
      <c r="AC13" s="941">
        <f>$F$13*'New vehicle sales'!Z43</f>
        <v>4.5416134224720743E-4</v>
      </c>
      <c r="AD13" s="941">
        <f>$F$13*'New vehicle sales'!AA43</f>
        <v>5.2790408799913439E-4</v>
      </c>
      <c r="AE13" s="941">
        <f>$F$13*'New vehicle sales'!AB43</f>
        <v>1.1032097718015937E-3</v>
      </c>
      <c r="AF13" s="941">
        <f>$F$13*'New vehicle sales'!AC43</f>
        <v>4.2540853216124324E-4</v>
      </c>
      <c r="AG13" s="1" t="str">
        <f>'New vehicle sales'!B69</f>
        <v>T-CAR-PHEV40_DST21</v>
      </c>
      <c r="AH13" s="1" t="s">
        <v>240</v>
      </c>
    </row>
    <row r="14" spans="1:34">
      <c r="C14" s="1" t="s">
        <v>242</v>
      </c>
      <c r="D14" s="1" t="s">
        <v>241</v>
      </c>
      <c r="E14" s="1">
        <v>2020</v>
      </c>
      <c r="F14" s="942">
        <f>'New vehicle sales'!C19/1000</f>
        <v>20.928000000000001</v>
      </c>
      <c r="G14" s="941">
        <f>($F$14*'New vehicle sales'!D43)</f>
        <v>0.25021139742516835</v>
      </c>
      <c r="H14" s="941">
        <f>($F$14*'New vehicle sales'!E43)</f>
        <v>5.9215305667002385</v>
      </c>
      <c r="I14" s="941">
        <f>($F$14*'New vehicle sales'!F43)</f>
        <v>0.97788654487264892</v>
      </c>
      <c r="J14" s="941">
        <f>($F$14*'New vehicle sales'!G43)</f>
        <v>0.43611637373172035</v>
      </c>
      <c r="K14" s="941">
        <f>($F$14*'New vehicle sales'!H43)</f>
        <v>0.37223625953276684</v>
      </c>
      <c r="L14" s="941">
        <f>($F$14*'New vehicle sales'!I43)</f>
        <v>0.17963343017914188</v>
      </c>
      <c r="M14" s="941">
        <f>($F$14*'New vehicle sales'!J43)</f>
        <v>0.56643444364760409</v>
      </c>
      <c r="N14" s="941">
        <f>($F$14*'New vehicle sales'!K43)</f>
        <v>0.85720213235780451</v>
      </c>
      <c r="O14" s="941">
        <f>($F$14*'New vehicle sales'!L43)</f>
        <v>0.34263210065804023</v>
      </c>
      <c r="P14" s="941">
        <f>($F$14*'New vehicle sales'!M43)</f>
        <v>0.390136755241906</v>
      </c>
      <c r="Q14" s="941">
        <f>($F$14*'New vehicle sales'!N43)</f>
        <v>0.65801571779124313</v>
      </c>
      <c r="R14" s="941">
        <f>($F$14*'New vehicle sales'!O43)</f>
        <v>0.62594601064918842</v>
      </c>
      <c r="S14" s="941">
        <f>($F$14*'New vehicle sales'!P43)</f>
        <v>0.52219081725332372</v>
      </c>
      <c r="T14" s="941">
        <f>($F$14*'New vehicle sales'!Q43)</f>
        <v>2.3858596377679739</v>
      </c>
      <c r="U14" s="941">
        <f>($F$14*'New vehicle sales'!R43)</f>
        <v>0.64915996064567105</v>
      </c>
      <c r="V14" s="941">
        <f>($F$14*'New vehicle sales'!S43)</f>
        <v>0.85656486943665922</v>
      </c>
      <c r="W14" s="941">
        <f>($F$14*'New vehicle sales'!T43)</f>
        <v>0.70122214384490067</v>
      </c>
      <c r="X14" s="941">
        <f>($F$14*'New vehicle sales'!U43)</f>
        <v>0.51058384225508247</v>
      </c>
      <c r="Y14" s="941">
        <f>($F$14*'New vehicle sales'!V43)</f>
        <v>1.134143413137499</v>
      </c>
      <c r="Z14" s="941">
        <f>($F$14*'New vehicle sales'!W43)</f>
        <v>0.14083071065643388</v>
      </c>
      <c r="AA14" s="941">
        <f>($F$14*'New vehicle sales'!X43)</f>
        <v>0.573567393447735</v>
      </c>
      <c r="AB14" s="941">
        <f>($F$14*'New vehicle sales'!Y43)</f>
        <v>0.28366550332695256</v>
      </c>
      <c r="AC14" s="941">
        <f>($F$14*'New vehicle sales'!Z43)</f>
        <v>0.28802086577422903</v>
      </c>
      <c r="AD14" s="941">
        <f>($F$14*'New vehicle sales'!AA43)</f>
        <v>0.33478717435290561</v>
      </c>
      <c r="AE14" s="941">
        <f>($F$14*'New vehicle sales'!AB43)</f>
        <v>0.69963557891708339</v>
      </c>
      <c r="AF14" s="941">
        <f>($F$14*'New vehicle sales'!AC43)</f>
        <v>0.26978635639607573</v>
      </c>
      <c r="AG14" s="1" t="str">
        <f>'New vehicle sales'!B107</f>
        <v>T-LGT-ICE_DST61</v>
      </c>
      <c r="AH14" s="1" t="s">
        <v>240</v>
      </c>
    </row>
    <row r="15" spans="1:34">
      <c r="C15" s="1" t="s">
        <v>242</v>
      </c>
      <c r="D15" s="1" t="s">
        <v>241</v>
      </c>
      <c r="E15" s="1">
        <v>2020</v>
      </c>
      <c r="F15" s="942">
        <f>'New vehicle sales'!C20/1000</f>
        <v>0.72699999999999998</v>
      </c>
      <c r="G15" s="941">
        <f>($F$15*'New vehicle sales'!D43)</f>
        <v>8.6918810172064865E-3</v>
      </c>
      <c r="H15" s="941">
        <f>($F$15*'New vehicle sales'!E43)</f>
        <v>0.20570301615018505</v>
      </c>
      <c r="I15" s="941">
        <f>($F$15*'New vehicle sales'!F43)</f>
        <v>3.3969969329243871E-2</v>
      </c>
      <c r="J15" s="941">
        <f>($F$15*'New vehicle sales'!G43)</f>
        <v>1.51498759414641E-2</v>
      </c>
      <c r="K15" s="941">
        <f>($F$15*'New vehicle sales'!H43)</f>
        <v>1.2930798962171324E-2</v>
      </c>
      <c r="L15" s="941">
        <f>($F$15*'New vehicle sales'!I43)</f>
        <v>6.2401330151106724E-3</v>
      </c>
      <c r="M15" s="941">
        <f>($F$15*'New vehicle sales'!J43)</f>
        <v>1.9676884581986246E-2</v>
      </c>
      <c r="N15" s="941">
        <f>($F$15*'New vehicle sales'!K43)</f>
        <v>2.9777616123094604E-2</v>
      </c>
      <c r="O15" s="941">
        <f>($F$15*'New vehicle sales'!L43)</f>
        <v>1.190240525508387E-2</v>
      </c>
      <c r="P15" s="941">
        <f>($F$15*'New vehicle sales'!M43)</f>
        <v>1.3552629064452678E-2</v>
      </c>
      <c r="Q15" s="941">
        <f>($F$15*'New vehicle sales'!N43)</f>
        <v>2.2858248606375847E-2</v>
      </c>
      <c r="R15" s="941">
        <f>($F$15*'New vehicle sales'!O43)</f>
        <v>2.1744206314122706E-2</v>
      </c>
      <c r="S15" s="941">
        <f>($F$15*'New vehicle sales'!P43)</f>
        <v>1.8139942858522856E-2</v>
      </c>
      <c r="T15" s="941">
        <f>($F$15*'New vehicle sales'!Q43)</f>
        <v>8.2880349610919196E-2</v>
      </c>
      <c r="U15" s="941">
        <f>($F$15*'New vehicle sales'!R43)</f>
        <v>2.2550615987643484E-2</v>
      </c>
      <c r="V15" s="941">
        <f>($F$15*'New vehicle sales'!S43)</f>
        <v>2.9755478788247858E-2</v>
      </c>
      <c r="W15" s="941">
        <f>($F$15*'New vehicle sales'!T43)</f>
        <v>2.4359159908985226E-2</v>
      </c>
      <c r="X15" s="941">
        <f>($F$15*'New vehicle sales'!U43)</f>
        <v>1.7736738021762469E-2</v>
      </c>
      <c r="Y15" s="941">
        <f>($F$15*'New vehicle sales'!V43)</f>
        <v>3.9398043833665984E-2</v>
      </c>
      <c r="Z15" s="941">
        <f>($F$15*'New vehicle sales'!W43)</f>
        <v>4.8921983298560508E-3</v>
      </c>
      <c r="AA15" s="941">
        <f>($F$15*'New vehicle sales'!X43)</f>
        <v>1.9924670060994996E-2</v>
      </c>
      <c r="AB15" s="941">
        <f>($F$15*'New vehicle sales'!Y43)</f>
        <v>9.8540147610232456E-3</v>
      </c>
      <c r="AC15" s="941">
        <f>($F$15*'New vehicle sales'!Z43)</f>
        <v>1.0005311994355144E-2</v>
      </c>
      <c r="AD15" s="941">
        <f>($F$15*'New vehicle sales'!AA43)</f>
        <v>1.1629887029556687E-2</v>
      </c>
      <c r="AE15" s="941">
        <f>($F$15*'New vehicle sales'!AB43)</f>
        <v>2.4304045578780561E-2</v>
      </c>
      <c r="AF15" s="941">
        <f>($F$15*'New vehicle sales'!AC43)</f>
        <v>9.3718788751886006E-3</v>
      </c>
      <c r="AG15" s="1" t="str">
        <f>'New vehicle sales'!B113</f>
        <v>T-LGT-BEV_ELC61</v>
      </c>
      <c r="AH15" s="1" t="s">
        <v>240</v>
      </c>
    </row>
    <row r="16" spans="1:34">
      <c r="B16" s="938"/>
      <c r="C16" s="938" t="s">
        <v>242</v>
      </c>
      <c r="D16" s="938" t="s">
        <v>241</v>
      </c>
      <c r="E16" s="938">
        <v>2020</v>
      </c>
      <c r="F16" s="940">
        <f>'New vehicle sales'!C33/1000</f>
        <v>2.0430000000000001</v>
      </c>
      <c r="G16" s="939">
        <f>($F$16*'New vehicle sales'!D43)</f>
        <v>2.4425739914928274E-2</v>
      </c>
      <c r="H16" s="939">
        <f>($F$16*'New vehicle sales'!E43)</f>
        <v>0.57806225858985982</v>
      </c>
      <c r="I16" s="939">
        <f>($F$16*'New vehicle sales'!F43)</f>
        <v>9.5461688225096611E-2</v>
      </c>
      <c r="J16" s="939">
        <f>($F$16*'New vehicle sales'!G43)</f>
        <v>4.2573860451734745E-2</v>
      </c>
      <c r="K16" s="939">
        <f>($F$16*'New vehicle sales'!H43)</f>
        <v>3.633785733110869E-2</v>
      </c>
      <c r="L16" s="939">
        <f>($F$16*'New vehicle sales'!I43)</f>
        <v>1.7535889614678273E-2</v>
      </c>
      <c r="M16" s="939">
        <f>($F$16*'New vehicle sales'!J43)</f>
        <v>5.5295564237961357E-2</v>
      </c>
      <c r="N16" s="939">
        <f>($F$16*'New vehicle sales'!K43)</f>
        <v>8.3680426051557469E-2</v>
      </c>
      <c r="O16" s="939">
        <f>($F$16*'New vehicle sales'!L43)</f>
        <v>3.3447887119857425E-2</v>
      </c>
      <c r="P16" s="939">
        <f>($F$16*'New vehicle sales'!M43)</f>
        <v>3.808531111234776E-2</v>
      </c>
      <c r="Q16" s="939">
        <f>($F$16*'New vehicle sales'!N43)</f>
        <v>6.4235766028646293E-2</v>
      </c>
      <c r="R16" s="939">
        <f>($F$16*'New vehicle sales'!O43)</f>
        <v>6.110510797765157E-2</v>
      </c>
      <c r="S16" s="939">
        <f>($F$16*'New vehicle sales'!P43)</f>
        <v>5.097648316363438E-2</v>
      </c>
      <c r="T16" s="939">
        <f>($F$16*'New vehicle sales'!Q43)</f>
        <v>0.23290860282683346</v>
      </c>
      <c r="U16" s="939">
        <f>($F$16*'New vehicle sales'!R43)</f>
        <v>6.3371263360049016E-2</v>
      </c>
      <c r="V16" s="939">
        <f>($F$16*'New vehicle sales'!S43)</f>
        <v>8.3618216182105062E-2</v>
      </c>
      <c r="W16" s="939">
        <f>($F$16*'New vehicle sales'!T43)</f>
        <v>6.8453595177519699E-2</v>
      </c>
      <c r="X16" s="939">
        <f>($F$16*'New vehicle sales'!U43)</f>
        <v>4.984340547243566E-2</v>
      </c>
      <c r="Y16" s="939">
        <f>($F$16*'New vehicle sales'!V43)</f>
        <v>0.11071554821482753</v>
      </c>
      <c r="Z16" s="939">
        <f>($F$16*'New vehicle sales'!W43)</f>
        <v>1.3747952115400154E-2</v>
      </c>
      <c r="AA16" s="939">
        <f>($F$16*'New vehicle sales'!X43)</f>
        <v>5.5991885742245916E-2</v>
      </c>
      <c r="AB16" s="939">
        <f>($F$16*'New vehicle sales'!Y43)</f>
        <v>2.7691543544388575E-2</v>
      </c>
      <c r="AC16" s="939">
        <f>($F$16*'New vehicle sales'!Z43)</f>
        <v>2.8116715824577115E-2</v>
      </c>
      <c r="AD16" s="939">
        <f>($F$16*'New vehicle sales'!AA43)</f>
        <v>3.2682062175219143E-2</v>
      </c>
      <c r="AE16" s="939">
        <f>($F$16*'New vehicle sales'!AB43)</f>
        <v>6.8298714054262299E-2</v>
      </c>
      <c r="AF16" s="939">
        <f>($F$16*'New vehicle sales'!AC43)</f>
        <v>2.6336655491073332E-2</v>
      </c>
      <c r="AG16" s="938" t="str">
        <f>'New vehicle sales'!B123</f>
        <v>T-HGT-ICE_DST81</v>
      </c>
      <c r="AH16" s="938" t="s">
        <v>240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8E93B-6686-4C41-BEB9-D3D27EEABA9C}">
  <sheetPr codeName="Sheet5"/>
  <dimension ref="A1:K9"/>
  <sheetViews>
    <sheetView workbookViewId="0">
      <selection activeCell="J7" sqref="J7"/>
    </sheetView>
  </sheetViews>
  <sheetFormatPr defaultRowHeight="15"/>
  <cols>
    <col min="1" max="1" width="9.140625" style="1"/>
    <col min="2" max="2" width="28.28515625" style="1" bestFit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9.140625" style="1"/>
    <col min="8" max="8" width="12.42578125" style="1" bestFit="1" customWidth="1"/>
    <col min="9" max="9" width="8.28515625" style="1" bestFit="1" customWidth="1"/>
    <col min="10" max="10" width="12" style="1" bestFit="1" customWidth="1"/>
    <col min="11" max="11" width="27.85546875" style="1" bestFit="1" customWidth="1"/>
    <col min="12" max="16384" width="9.140625" style="1"/>
  </cols>
  <sheetData>
    <row r="1" spans="1:11">
      <c r="A1" s="1" t="s">
        <v>440</v>
      </c>
    </row>
    <row r="2" spans="1:11">
      <c r="B2" s="975" t="str">
        <f>"~UC_Sets: R_E: "  &amp; _xlfn.TEXTJOIN(",",TRUE,Regions!C3)</f>
        <v>~UC_Sets: R_E: IE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438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70"/>
    </row>
    <row r="7" spans="1:11">
      <c r="B7" s="1" t="str">
        <f>VLOOKUP(B$5, emi_config!$B$4:$D$14,2,FALSE) &amp; "_Single"</f>
        <v>UC_Emissions_CO2_2020_Single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Single"</f>
        <v>CO2 Emissions in 2020 - Single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0D29-73B8-4D2F-B0FC-F41566E1F62C}">
  <sheetPr codeName="Sheet6"/>
  <dimension ref="A1:K9"/>
  <sheetViews>
    <sheetView workbookViewId="0">
      <selection activeCell="E8" sqref="E8"/>
    </sheetView>
  </sheetViews>
  <sheetFormatPr defaultRowHeight="15"/>
  <cols>
    <col min="1" max="1" width="9.140625" style="1"/>
    <col min="2" max="2" width="27.28515625" style="1" customWidth="1"/>
    <col min="3" max="3" width="13.5703125" style="1" bestFit="1" customWidth="1"/>
    <col min="4" max="4" width="8.85546875" style="1" bestFit="1" customWidth="1"/>
    <col min="5" max="5" width="16.42578125" style="1" bestFit="1" customWidth="1"/>
    <col min="6" max="6" width="5.140625" style="1" bestFit="1" customWidth="1"/>
    <col min="7" max="7" width="8.85546875" style="1" bestFit="1" customWidth="1"/>
    <col min="8" max="8" width="12.42578125" style="1" bestFit="1" customWidth="1"/>
    <col min="9" max="9" width="8.28515625" style="1" bestFit="1" customWidth="1"/>
    <col min="10" max="10" width="10.7109375" style="1" bestFit="1" customWidth="1"/>
    <col min="11" max="11" width="26.5703125" style="1" bestFit="1" customWidth="1"/>
    <col min="12" max="16384" width="9.140625" style="1"/>
  </cols>
  <sheetData>
    <row r="1" spans="1:11">
      <c r="A1" s="1" t="s">
        <v>442</v>
      </c>
    </row>
    <row r="2" spans="1:11">
      <c r="B2" s="975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975" t="s">
        <v>439</v>
      </c>
    </row>
    <row r="4" spans="1:11">
      <c r="G4" s="1" t="str">
        <f>IF(RIGHT(B2,1)&lt;&gt;" ","~UC_T","")</f>
        <v>~UC_T</v>
      </c>
    </row>
    <row r="5" spans="1:11">
      <c r="B5" s="971" t="s">
        <v>434</v>
      </c>
      <c r="C5" s="974" t="s">
        <v>430</v>
      </c>
      <c r="D5" s="974" t="s">
        <v>428</v>
      </c>
      <c r="E5" s="974" t="s">
        <v>244</v>
      </c>
      <c r="F5" s="974" t="s">
        <v>245</v>
      </c>
      <c r="G5" s="974" t="s">
        <v>246</v>
      </c>
      <c r="H5" s="973" t="s">
        <v>423</v>
      </c>
      <c r="I5" s="973" t="s">
        <v>424</v>
      </c>
      <c r="J5" s="972" t="s">
        <v>441</v>
      </c>
      <c r="K5" s="971" t="s">
        <v>437</v>
      </c>
    </row>
    <row r="6" spans="1:11">
      <c r="B6" s="938" t="s">
        <v>436</v>
      </c>
      <c r="C6" s="938"/>
      <c r="D6" s="938"/>
      <c r="E6" s="938"/>
      <c r="F6" s="938"/>
      <c r="G6" s="938"/>
      <c r="H6" s="938"/>
      <c r="I6" s="938"/>
      <c r="J6" s="938" t="s">
        <v>435</v>
      </c>
      <c r="K6" s="938"/>
    </row>
    <row r="7" spans="1:11">
      <c r="B7" s="1" t="str">
        <f>VLOOKUP(B$5, emi_config!$B$4:$D$14,2,FALSE) &amp; "_Multi"</f>
        <v>UC_Emissions_CO2_2020_Multi</v>
      </c>
      <c r="C7" s="1" t="str">
        <f>VLOOKUP(C$5, emi_config!$B$4:$D$14,MATCH($F7,emi_config!$B$6:$D$6,),FALSE)</f>
        <v>*CO2*,-*CO2S</v>
      </c>
      <c r="D7" s="1" t="str">
        <f>VLOOKUP(D$5, emi_config!$B$4:$D$14,MATCH($F7,emi_config!$B$6:$D$6,),FALSE)</f>
        <v>ENV</v>
      </c>
      <c r="F7" s="1">
        <v>2020</v>
      </c>
      <c r="G7" s="1" t="str">
        <f>VLOOKUP(G$5, emi_config!$B$4:$D$14,MATCH($F7,emi_config!$B$6:$D$6,),FALSE)</f>
        <v>UP</v>
      </c>
      <c r="H7" s="1">
        <f>VLOOKUP(H$5, emi_config!$B$4:$D$14,MATCH($F7,emi_config!$B$6:$D$6,),FALSE)</f>
        <v>1</v>
      </c>
      <c r="J7" s="1">
        <f>VLOOKUP("Value", emi_config!$B$4:$D$14,MATCH($F7,emi_config!$B$6:$D$6,),FALSE)</f>
        <v>33792</v>
      </c>
      <c r="K7" s="1" t="str">
        <f>VLOOKUP(K$5, emi_config!$B$4:$D$14,2,FALSE) &amp; " - Multi"</f>
        <v>CO2 Emissions in 2020 - Multi</v>
      </c>
    </row>
    <row r="8" spans="1:11">
      <c r="C8" s="1" t="str">
        <f>VLOOKUP(C$5, emi_config!$B$4:$D$14,MATCH($F8,emi_config!$B$6:$D$6,),FALSE)</f>
        <v>*CO2*,-*CO2S</v>
      </c>
      <c r="D8" s="1" t="str">
        <f>VLOOKUP(D$5, emi_config!$B$4:$D$14,MATCH($F8,emi_config!$B$6:$D$6,),FALSE)</f>
        <v>ENV</v>
      </c>
      <c r="E8" s="1" t="str">
        <f>VLOOKUP(E$5, emi_config!$B$4:$D$14,MATCH($F8,emi_config!$B$6:$D$6,),FALSE)</f>
        <v>T-A*INT*,T-NAV*</v>
      </c>
      <c r="F8" s="1">
        <f>F7</f>
        <v>2020</v>
      </c>
      <c r="I8" s="1">
        <f>VLOOKUP(I$5, emi_config!$B$4:$D$14,MATCH($F8,emi_config!$B$6:$D$6,),FALSE)</f>
        <v>-1</v>
      </c>
    </row>
    <row r="9" spans="1:11">
      <c r="F9" s="1">
        <v>0</v>
      </c>
      <c r="J9" s="1">
        <f>VLOOKUP("Value", emi_config!$B$4:$D$14,MATCH($F9,emi_config!$B$6:$D$6,),FALSE)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2C2ED-BB61-4BF9-A27A-886CB69E4C3B}">
  <sheetPr codeName="Sheet7"/>
  <dimension ref="B4:D14"/>
  <sheetViews>
    <sheetView workbookViewId="0">
      <selection activeCell="D14" sqref="D14"/>
    </sheetView>
  </sheetViews>
  <sheetFormatPr defaultRowHeight="15"/>
  <cols>
    <col min="1" max="1" width="9.140625" style="1"/>
    <col min="2" max="2" width="14" style="1" bestFit="1" customWidth="1"/>
    <col min="3" max="3" width="21.7109375" style="1" bestFit="1" customWidth="1"/>
    <col min="4" max="10" width="9.140625" style="1"/>
    <col min="11" max="11" width="10.5703125" style="1" bestFit="1" customWidth="1"/>
    <col min="12" max="12" width="12" style="1" bestFit="1" customWidth="1"/>
    <col min="13" max="16384" width="9.140625" style="1"/>
  </cols>
  <sheetData>
    <row r="4" spans="2:4">
      <c r="B4" s="1" t="s">
        <v>434</v>
      </c>
      <c r="C4" s="1" t="str">
        <f xml:space="preserve"> _xlfn.TEXTJOIN("_",TRUE,"UC","Emissions","CO2","2020")</f>
        <v>UC_Emissions_CO2_2020</v>
      </c>
    </row>
    <row r="5" spans="2:4">
      <c r="B5" s="1" t="s">
        <v>433</v>
      </c>
      <c r="C5" s="1" t="str">
        <f xml:space="preserve"> _xlfn.TEXTJOIN(" ",TRUE,"CO2 Emissions in 2020")</f>
        <v>CO2 Emissions in 2020</v>
      </c>
    </row>
    <row r="6" spans="2:4">
      <c r="B6" s="1" t="s">
        <v>245</v>
      </c>
      <c r="C6" s="1">
        <v>2020</v>
      </c>
      <c r="D6" s="1">
        <v>0</v>
      </c>
    </row>
    <row r="7" spans="2:4">
      <c r="B7" s="1" t="s">
        <v>432</v>
      </c>
      <c r="C7" s="941">
        <v>33792</v>
      </c>
      <c r="D7" s="1">
        <v>1</v>
      </c>
    </row>
    <row r="8" spans="2:4">
      <c r="B8" s="1" t="s">
        <v>244</v>
      </c>
      <c r="C8" s="1" t="s">
        <v>431</v>
      </c>
    </row>
    <row r="9" spans="2:4">
      <c r="B9" s="1" t="s">
        <v>430</v>
      </c>
      <c r="C9" s="1" t="s">
        <v>429</v>
      </c>
    </row>
    <row r="10" spans="2:4">
      <c r="B10" s="1" t="s">
        <v>428</v>
      </c>
      <c r="C10" s="1" t="s">
        <v>427</v>
      </c>
    </row>
    <row r="11" spans="2:4">
      <c r="B11" s="1" t="s">
        <v>426</v>
      </c>
    </row>
    <row r="12" spans="2:4">
      <c r="B12" s="1" t="s">
        <v>246</v>
      </c>
      <c r="C12" s="1" t="s">
        <v>425</v>
      </c>
    </row>
    <row r="13" spans="2:4">
      <c r="B13" s="1" t="s">
        <v>424</v>
      </c>
      <c r="C13" s="1">
        <v>-1</v>
      </c>
    </row>
    <row r="14" spans="2:4">
      <c r="B14" s="1" t="s">
        <v>423</v>
      </c>
      <c r="C14" s="1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28" zoomScaleNormal="100" workbookViewId="0">
      <selection activeCell="E59" sqref="E59"/>
    </sheetView>
  </sheetViews>
  <sheetFormatPr defaultRowHeight="15"/>
  <cols>
    <col min="1" max="1" width="9.140625" style="1"/>
    <col min="2" max="2" width="24.7109375" style="1" bestFit="1" customWidth="1"/>
    <col min="3" max="3" width="11.7109375" style="1" customWidth="1"/>
    <col min="4" max="16384" width="9.140625" style="1"/>
  </cols>
  <sheetData>
    <row r="1" spans="1:3">
      <c r="A1" s="967" t="s">
        <v>422</v>
      </c>
      <c r="B1" s="967"/>
      <c r="C1" s="967"/>
    </row>
    <row r="2" spans="1:3" ht="15.75">
      <c r="A2" s="969" t="s">
        <v>421</v>
      </c>
      <c r="B2" s="967"/>
      <c r="C2" s="967"/>
    </row>
    <row r="4" spans="1:3" ht="15.75">
      <c r="A4" s="969" t="s">
        <v>420</v>
      </c>
      <c r="B4" s="967"/>
      <c r="C4" s="967"/>
    </row>
    <row r="5" spans="1:3" ht="15.75">
      <c r="A5" s="968" t="s">
        <v>412</v>
      </c>
      <c r="B5" s="968" t="s">
        <v>411</v>
      </c>
      <c r="C5" s="968">
        <v>2020</v>
      </c>
    </row>
    <row r="6" spans="1:3">
      <c r="A6" s="967">
        <v>1</v>
      </c>
      <c r="B6" s="967" t="s">
        <v>410</v>
      </c>
      <c r="C6" s="967">
        <v>38233</v>
      </c>
    </row>
    <row r="7" spans="1:3">
      <c r="A7" s="967">
        <v>2</v>
      </c>
      <c r="B7" s="967" t="s">
        <v>418</v>
      </c>
      <c r="C7" s="967">
        <v>32600</v>
      </c>
    </row>
    <row r="8" spans="1:3">
      <c r="A8" s="967">
        <v>3</v>
      </c>
      <c r="B8" s="967" t="s">
        <v>415</v>
      </c>
      <c r="C8" s="967">
        <v>10474</v>
      </c>
    </row>
    <row r="9" spans="1:3">
      <c r="A9" s="967">
        <v>4</v>
      </c>
      <c r="B9" s="967" t="s">
        <v>408</v>
      </c>
      <c r="C9" s="967">
        <v>4013</v>
      </c>
    </row>
    <row r="10" spans="1:3">
      <c r="A10" s="967">
        <v>5</v>
      </c>
      <c r="B10" s="967" t="s">
        <v>416</v>
      </c>
      <c r="C10" s="967">
        <v>2459</v>
      </c>
    </row>
    <row r="11" spans="1:3">
      <c r="A11" s="967">
        <v>6</v>
      </c>
      <c r="B11" s="967" t="s">
        <v>417</v>
      </c>
      <c r="C11" s="967">
        <v>512</v>
      </c>
    </row>
    <row r="12" spans="1:3">
      <c r="A12" s="967">
        <v>7</v>
      </c>
      <c r="B12" s="967" t="s">
        <v>414</v>
      </c>
      <c r="C12" s="967">
        <v>33</v>
      </c>
    </row>
    <row r="13" spans="1:3">
      <c r="A13" s="938"/>
      <c r="B13" s="938" t="s">
        <v>406</v>
      </c>
      <c r="C13" s="938">
        <f>SUM(C6:C12)</f>
        <v>88324</v>
      </c>
    </row>
    <row r="17" spans="1:4" ht="15.75">
      <c r="A17" s="969" t="s">
        <v>419</v>
      </c>
      <c r="B17" s="967"/>
      <c r="C17" s="967"/>
      <c r="D17" s="967"/>
    </row>
    <row r="18" spans="1:4" ht="15.75">
      <c r="A18" s="968" t="s">
        <v>412</v>
      </c>
      <c r="B18" s="968" t="s">
        <v>411</v>
      </c>
      <c r="C18" s="968">
        <v>2020</v>
      </c>
      <c r="D18" s="969"/>
    </row>
    <row r="19" spans="1:4">
      <c r="A19" s="967">
        <v>1</v>
      </c>
      <c r="B19" s="967" t="s">
        <v>410</v>
      </c>
      <c r="C19" s="967">
        <v>20928</v>
      </c>
      <c r="D19" s="967"/>
    </row>
    <row r="20" spans="1:4">
      <c r="A20" s="967">
        <v>2</v>
      </c>
      <c r="B20" s="967" t="s">
        <v>408</v>
      </c>
      <c r="C20" s="967">
        <v>727</v>
      </c>
      <c r="D20" s="967"/>
    </row>
    <row r="21" spans="1:4">
      <c r="A21" s="967">
        <v>3</v>
      </c>
      <c r="B21" s="967" t="s">
        <v>418</v>
      </c>
      <c r="C21" s="967">
        <v>29</v>
      </c>
      <c r="D21" s="967"/>
    </row>
    <row r="22" spans="1:4">
      <c r="A22" s="967">
        <v>4</v>
      </c>
      <c r="B22" s="967" t="s">
        <v>417</v>
      </c>
      <c r="C22" s="967">
        <v>27</v>
      </c>
      <c r="D22" s="967"/>
    </row>
    <row r="23" spans="1:4">
      <c r="A23" s="967">
        <v>5</v>
      </c>
      <c r="B23" s="967" t="s">
        <v>416</v>
      </c>
      <c r="C23" s="967">
        <v>16</v>
      </c>
      <c r="D23" s="967"/>
    </row>
    <row r="24" spans="1:4">
      <c r="A24" s="967">
        <v>6</v>
      </c>
      <c r="B24" s="967" t="s">
        <v>409</v>
      </c>
      <c r="C24" s="967">
        <v>2</v>
      </c>
      <c r="D24" s="967"/>
    </row>
    <row r="25" spans="1:4">
      <c r="A25" s="967">
        <v>7</v>
      </c>
      <c r="B25" s="967" t="s">
        <v>415</v>
      </c>
      <c r="C25" s="967">
        <v>2</v>
      </c>
      <c r="D25" s="967"/>
    </row>
    <row r="26" spans="1:4">
      <c r="A26" s="967">
        <v>8</v>
      </c>
      <c r="B26" s="967" t="s">
        <v>414</v>
      </c>
      <c r="C26" s="967">
        <v>1</v>
      </c>
      <c r="D26" s="967"/>
    </row>
    <row r="27" spans="1:4">
      <c r="A27" s="938"/>
      <c r="B27" s="938" t="s">
        <v>406</v>
      </c>
      <c r="C27" s="938">
        <f>SUM(C19:C26)</f>
        <v>21732</v>
      </c>
    </row>
    <row r="31" spans="1:4" ht="15.75">
      <c r="A31" s="969" t="s">
        <v>413</v>
      </c>
      <c r="B31" s="967"/>
      <c r="C31" s="967"/>
    </row>
    <row r="32" spans="1:4" ht="15.75">
      <c r="A32" s="968" t="s">
        <v>412</v>
      </c>
      <c r="B32" s="968" t="s">
        <v>411</v>
      </c>
      <c r="C32" s="968">
        <v>2020</v>
      </c>
    </row>
    <row r="33" spans="1:29">
      <c r="A33" s="967">
        <v>1</v>
      </c>
      <c r="B33" s="967" t="s">
        <v>410</v>
      </c>
      <c r="C33" s="967">
        <v>2043</v>
      </c>
    </row>
    <row r="34" spans="1:29">
      <c r="A34" s="967">
        <v>2</v>
      </c>
      <c r="B34" s="967" t="s">
        <v>409</v>
      </c>
      <c r="C34" s="967">
        <v>16</v>
      </c>
    </row>
    <row r="35" spans="1:29">
      <c r="A35" s="967">
        <v>3</v>
      </c>
      <c r="B35" s="967" t="s">
        <v>408</v>
      </c>
      <c r="C35" s="967">
        <v>6</v>
      </c>
    </row>
    <row r="36" spans="1:29">
      <c r="A36" s="967">
        <v>4</v>
      </c>
      <c r="B36" s="967" t="s">
        <v>407</v>
      </c>
      <c r="C36" s="967">
        <v>1</v>
      </c>
    </row>
    <row r="37" spans="1:29">
      <c r="A37" s="938"/>
      <c r="B37" s="938" t="s">
        <v>406</v>
      </c>
      <c r="C37" s="938">
        <f>SUM(C33:C36)</f>
        <v>2066</v>
      </c>
    </row>
    <row r="40" spans="1:29" ht="15.75">
      <c r="B40" s="966" t="s">
        <v>405</v>
      </c>
    </row>
    <row r="41" spans="1:29">
      <c r="B41" s="965"/>
      <c r="C41" s="965" t="s">
        <v>1</v>
      </c>
      <c r="D41" s="965" t="s">
        <v>7</v>
      </c>
      <c r="E41" s="965" t="s">
        <v>17</v>
      </c>
      <c r="F41" s="965" t="s">
        <v>23</v>
      </c>
      <c r="G41" s="965" t="s">
        <v>25</v>
      </c>
      <c r="H41" s="965" t="s">
        <v>27</v>
      </c>
      <c r="I41" s="965" t="s">
        <v>33</v>
      </c>
      <c r="J41" s="965" t="s">
        <v>35</v>
      </c>
      <c r="K41" s="965" t="s">
        <v>39</v>
      </c>
      <c r="L41" s="965" t="s">
        <v>43</v>
      </c>
      <c r="M41" s="965" t="s">
        <v>53</v>
      </c>
      <c r="N41" s="965" t="s">
        <v>55</v>
      </c>
      <c r="O41" s="965" t="s">
        <v>57</v>
      </c>
      <c r="P41" s="965" t="s">
        <v>11</v>
      </c>
      <c r="Q41" s="965" t="s">
        <v>13</v>
      </c>
      <c r="R41" s="965" t="s">
        <v>21</v>
      </c>
      <c r="S41" s="965" t="s">
        <v>31</v>
      </c>
      <c r="T41" s="965" t="s">
        <v>49</v>
      </c>
      <c r="U41" s="965" t="s">
        <v>51</v>
      </c>
      <c r="V41" s="965" t="s">
        <v>19</v>
      </c>
      <c r="W41" s="965" t="s">
        <v>29</v>
      </c>
      <c r="X41" s="965" t="s">
        <v>37</v>
      </c>
      <c r="Y41" s="965" t="s">
        <v>45</v>
      </c>
      <c r="Z41" s="965" t="s">
        <v>47</v>
      </c>
      <c r="AA41" s="965" t="s">
        <v>9</v>
      </c>
      <c r="AB41" s="965" t="s">
        <v>15</v>
      </c>
      <c r="AC41" s="965" t="s">
        <v>41</v>
      </c>
    </row>
    <row r="42" spans="1:29">
      <c r="B42" s="964" t="s">
        <v>404</v>
      </c>
      <c r="C42" s="963">
        <v>4857000.0000000037</v>
      </c>
      <c r="D42" s="963">
        <v>58069.41691963128</v>
      </c>
      <c r="E42" s="963">
        <v>1374277.23444491</v>
      </c>
      <c r="F42" s="963">
        <v>226949.29990665423</v>
      </c>
      <c r="G42" s="963">
        <v>101214.50818114332</v>
      </c>
      <c r="H42" s="963">
        <v>86389.120439155668</v>
      </c>
      <c r="I42" s="963">
        <v>41689.581918009018</v>
      </c>
      <c r="J42" s="963">
        <v>131458.91116190821</v>
      </c>
      <c r="K42" s="963">
        <v>198940.68983476012</v>
      </c>
      <c r="L42" s="963">
        <v>79518.545149851998</v>
      </c>
      <c r="M42" s="963">
        <v>90543.492938166033</v>
      </c>
      <c r="N42" s="963">
        <v>152713.2234954162</v>
      </c>
      <c r="O42" s="963">
        <v>145270.44025817615</v>
      </c>
      <c r="P42" s="963">
        <v>121190.78743307506</v>
      </c>
      <c r="Q42" s="963">
        <v>553713.69746937393</v>
      </c>
      <c r="R42" s="963">
        <v>150657.96678402266</v>
      </c>
      <c r="S42" s="963">
        <v>198792.79294982113</v>
      </c>
      <c r="T42" s="963">
        <v>162740.63229427967</v>
      </c>
      <c r="U42" s="963">
        <v>118497.02417015182</v>
      </c>
      <c r="V42" s="963">
        <v>263213.61609369441</v>
      </c>
      <c r="W42" s="963">
        <v>32684.191592999803</v>
      </c>
      <c r="X42" s="963">
        <v>133114.33629470808</v>
      </c>
      <c r="Y42" s="963">
        <v>65833.493389669806</v>
      </c>
      <c r="Z42" s="963">
        <v>66844.292099839033</v>
      </c>
      <c r="AA42" s="963">
        <v>77697.883497327202</v>
      </c>
      <c r="AB42" s="963">
        <v>162372.42004970741</v>
      </c>
      <c r="AC42" s="963">
        <v>62612.401233550299</v>
      </c>
    </row>
    <row r="43" spans="1:29">
      <c r="B43" s="961" t="s">
        <v>403</v>
      </c>
      <c r="C43" s="962">
        <v>0.99999999999999956</v>
      </c>
      <c r="D43" s="961">
        <v>1.1955819831095581E-2</v>
      </c>
      <c r="E43" s="961">
        <v>0.28294775261373462</v>
      </c>
      <c r="F43" s="961">
        <v>4.6726230164021831E-2</v>
      </c>
      <c r="G43" s="961">
        <v>2.0838894004764925E-2</v>
      </c>
      <c r="H43" s="961">
        <v>1.7786518517429607E-2</v>
      </c>
      <c r="I43" s="961">
        <v>8.5834016714039507E-3</v>
      </c>
      <c r="J43" s="961">
        <v>2.7065865999981082E-2</v>
      </c>
      <c r="K43" s="961">
        <v>4.0959582012509772E-2</v>
      </c>
      <c r="L43" s="961">
        <v>1.6371946705754981E-2</v>
      </c>
      <c r="M43" s="961">
        <v>1.8641855659494742E-2</v>
      </c>
      <c r="N43" s="961">
        <v>3.1441882539719183E-2</v>
      </c>
      <c r="O43" s="961">
        <v>2.9909499744322842E-2</v>
      </c>
      <c r="P43" s="961">
        <v>2.4951778347349182E-2</v>
      </c>
      <c r="Q43" s="961">
        <v>0.11400323192698651</v>
      </c>
      <c r="R43" s="961">
        <v>3.1018729006387184E-2</v>
      </c>
      <c r="S43" s="961">
        <v>4.0929131758250151E-2</v>
      </c>
      <c r="T43" s="961">
        <v>3.350640977852163E-2</v>
      </c>
      <c r="U43" s="961">
        <v>2.4397163716317012E-2</v>
      </c>
      <c r="V43" s="961">
        <v>5.4192632508481407E-2</v>
      </c>
      <c r="W43" s="961">
        <v>6.7292961896231783E-3</v>
      </c>
      <c r="X43" s="961">
        <v>2.7406698845935346E-2</v>
      </c>
      <c r="Y43" s="961">
        <v>1.3554353178849033E-2</v>
      </c>
      <c r="Z43" s="961">
        <v>1.3762464916582043E-2</v>
      </c>
      <c r="AA43" s="961">
        <v>1.5997093575731345E-2</v>
      </c>
      <c r="AB43" s="961">
        <v>3.3430599145502837E-2</v>
      </c>
      <c r="AC43" s="961">
        <v>1.2891167641249795E-2</v>
      </c>
    </row>
    <row r="44" spans="1:29">
      <c r="B44" s="960" t="s">
        <v>402</v>
      </c>
      <c r="C44" s="959"/>
      <c r="D44" s="959"/>
      <c r="E44" s="959"/>
      <c r="F44" s="959"/>
      <c r="G44" s="959"/>
      <c r="H44" s="959"/>
      <c r="I44" s="959"/>
      <c r="J44" s="959"/>
      <c r="K44" s="959"/>
      <c r="L44" s="959"/>
      <c r="M44" s="959"/>
      <c r="N44" s="959"/>
      <c r="O44" s="959"/>
      <c r="P44" s="959"/>
      <c r="Q44" s="959"/>
      <c r="R44" s="959"/>
      <c r="S44" s="959"/>
      <c r="T44" s="959"/>
      <c r="U44" s="959"/>
      <c r="V44" s="959"/>
      <c r="W44" s="959"/>
      <c r="X44" s="959"/>
      <c r="Y44" s="959"/>
      <c r="Z44" s="959"/>
      <c r="AA44" s="959"/>
      <c r="AB44" s="959"/>
      <c r="AC44" s="958"/>
    </row>
    <row r="49" spans="2:3" ht="21">
      <c r="B49" s="976" t="s">
        <v>401</v>
      </c>
      <c r="C49" s="976"/>
    </row>
    <row r="50" spans="2:3" ht="15.75" thickBot="1">
      <c r="B50" s="957" t="s">
        <v>400</v>
      </c>
      <c r="C50" s="957" t="s">
        <v>399</v>
      </c>
    </row>
    <row r="51" spans="2:3" ht="15.75" thickBot="1">
      <c r="B51" s="956" t="s">
        <v>398</v>
      </c>
      <c r="C51" s="955"/>
    </row>
    <row r="52" spans="2:3">
      <c r="B52" s="952" t="s">
        <v>397</v>
      </c>
      <c r="C52" s="952"/>
    </row>
    <row r="53" spans="2:3">
      <c r="B53" s="951" t="s">
        <v>396</v>
      </c>
      <c r="C53" s="951" t="s">
        <v>395</v>
      </c>
    </row>
    <row r="54" spans="2:3">
      <c r="B54" s="951" t="s">
        <v>394</v>
      </c>
      <c r="C54" s="951" t="s">
        <v>393</v>
      </c>
    </row>
    <row r="55" spans="2:3">
      <c r="B55" s="952" t="s">
        <v>392</v>
      </c>
      <c r="C55" s="952"/>
    </row>
    <row r="56" spans="2:3">
      <c r="B56" s="951" t="s">
        <v>391</v>
      </c>
      <c r="C56" s="951" t="s">
        <v>390</v>
      </c>
    </row>
    <row r="57" spans="2:3">
      <c r="B57" s="951" t="s">
        <v>389</v>
      </c>
      <c r="C57" s="951" t="s">
        <v>388</v>
      </c>
    </row>
    <row r="58" spans="2:3">
      <c r="B58" s="951" t="s">
        <v>387</v>
      </c>
      <c r="C58" s="951" t="s">
        <v>386</v>
      </c>
    </row>
    <row r="59" spans="2:3">
      <c r="B59" s="951" t="s">
        <v>385</v>
      </c>
      <c r="C59" s="951" t="s">
        <v>384</v>
      </c>
    </row>
    <row r="60" spans="2:3">
      <c r="B60" s="951" t="s">
        <v>383</v>
      </c>
      <c r="C60" s="951" t="s">
        <v>382</v>
      </c>
    </row>
    <row r="61" spans="2:3">
      <c r="B61" s="951" t="s">
        <v>381</v>
      </c>
      <c r="C61" s="951" t="s">
        <v>380</v>
      </c>
    </row>
    <row r="62" spans="2:3">
      <c r="B62" s="951" t="s">
        <v>379</v>
      </c>
      <c r="C62" s="951" t="s">
        <v>378</v>
      </c>
    </row>
    <row r="63" spans="2:3">
      <c r="B63" s="951" t="s">
        <v>377</v>
      </c>
      <c r="C63" s="951" t="s">
        <v>376</v>
      </c>
    </row>
    <row r="64" spans="2:3">
      <c r="B64" s="951" t="s">
        <v>375</v>
      </c>
      <c r="C64" s="951" t="s">
        <v>374</v>
      </c>
    </row>
    <row r="65" spans="2:3">
      <c r="B65" s="951" t="s">
        <v>373</v>
      </c>
      <c r="C65" s="951" t="s">
        <v>372</v>
      </c>
    </row>
    <row r="66" spans="2:3">
      <c r="B66" s="951" t="s">
        <v>371</v>
      </c>
      <c r="C66" s="951" t="s">
        <v>370</v>
      </c>
    </row>
    <row r="67" spans="2:3">
      <c r="B67" s="951" t="s">
        <v>369</v>
      </c>
      <c r="C67" s="951" t="s">
        <v>368</v>
      </c>
    </row>
    <row r="68" spans="2:3">
      <c r="B68" s="951" t="s">
        <v>367</v>
      </c>
      <c r="C68" s="951" t="s">
        <v>366</v>
      </c>
    </row>
    <row r="69" spans="2:3">
      <c r="B69" s="951" t="s">
        <v>365</v>
      </c>
      <c r="C69" s="951" t="s">
        <v>364</v>
      </c>
    </row>
    <row r="70" spans="2:3">
      <c r="B70" s="951" t="s">
        <v>363</v>
      </c>
      <c r="C70" s="951" t="s">
        <v>362</v>
      </c>
    </row>
    <row r="71" spans="2:3">
      <c r="B71" s="951" t="s">
        <v>361</v>
      </c>
      <c r="C71" s="951" t="s">
        <v>360</v>
      </c>
    </row>
    <row r="72" spans="2:3">
      <c r="B72" s="951" t="s">
        <v>359</v>
      </c>
      <c r="C72" s="951" t="s">
        <v>358</v>
      </c>
    </row>
    <row r="73" spans="2:3">
      <c r="B73" s="951" t="s">
        <v>357</v>
      </c>
      <c r="C73" s="951" t="s">
        <v>356</v>
      </c>
    </row>
    <row r="74" spans="2:3">
      <c r="B74" s="951" t="s">
        <v>355</v>
      </c>
      <c r="C74" s="951" t="s">
        <v>354</v>
      </c>
    </row>
    <row r="75" spans="2:3">
      <c r="B75" s="952" t="s">
        <v>353</v>
      </c>
      <c r="C75" s="952"/>
    </row>
    <row r="76" spans="2:3">
      <c r="B76" s="951" t="s">
        <v>352</v>
      </c>
      <c r="C76" s="951" t="s">
        <v>351</v>
      </c>
    </row>
    <row r="77" spans="2:3">
      <c r="B77" s="951" t="s">
        <v>350</v>
      </c>
      <c r="C77" s="951" t="s">
        <v>349</v>
      </c>
    </row>
    <row r="78" spans="2:3">
      <c r="B78" s="951" t="s">
        <v>348</v>
      </c>
      <c r="C78" s="951" t="s">
        <v>347</v>
      </c>
    </row>
    <row r="79" spans="2:3">
      <c r="B79" s="951" t="s">
        <v>346</v>
      </c>
      <c r="C79" s="951" t="s">
        <v>345</v>
      </c>
    </row>
    <row r="80" spans="2:3">
      <c r="B80" s="951" t="s">
        <v>344</v>
      </c>
      <c r="C80" s="951" t="s">
        <v>343</v>
      </c>
    </row>
    <row r="81" spans="2:3">
      <c r="B81" s="951" t="s">
        <v>342</v>
      </c>
      <c r="C81" s="951" t="s">
        <v>341</v>
      </c>
    </row>
    <row r="82" spans="2:3">
      <c r="B82" s="951" t="s">
        <v>340</v>
      </c>
      <c r="C82" s="951" t="s">
        <v>339</v>
      </c>
    </row>
    <row r="83" spans="2:3">
      <c r="B83" s="951" t="s">
        <v>338</v>
      </c>
      <c r="C83" s="951" t="s">
        <v>337</v>
      </c>
    </row>
    <row r="84" spans="2:3">
      <c r="B84" s="951" t="s">
        <v>336</v>
      </c>
      <c r="C84" s="951" t="s">
        <v>335</v>
      </c>
    </row>
    <row r="85" spans="2:3">
      <c r="B85" s="951" t="s">
        <v>334</v>
      </c>
      <c r="C85" s="951" t="s">
        <v>333</v>
      </c>
    </row>
    <row r="86" spans="2:3">
      <c r="B86" s="951" t="s">
        <v>332</v>
      </c>
      <c r="C86" s="951" t="s">
        <v>331</v>
      </c>
    </row>
    <row r="87" spans="2:3">
      <c r="B87" s="951" t="s">
        <v>330</v>
      </c>
      <c r="C87" s="951" t="s">
        <v>329</v>
      </c>
    </row>
    <row r="88" spans="2:3">
      <c r="B88" s="951" t="s">
        <v>328</v>
      </c>
      <c r="C88" s="951" t="s">
        <v>327</v>
      </c>
    </row>
    <row r="89" spans="2:3">
      <c r="B89" s="951" t="s">
        <v>326</v>
      </c>
      <c r="C89" s="951" t="s">
        <v>325</v>
      </c>
    </row>
    <row r="90" spans="2:3">
      <c r="B90" s="951" t="s">
        <v>324</v>
      </c>
      <c r="C90" s="951" t="s">
        <v>323</v>
      </c>
    </row>
    <row r="91" spans="2:3">
      <c r="B91" s="951" t="s">
        <v>322</v>
      </c>
      <c r="C91" s="951" t="s">
        <v>321</v>
      </c>
    </row>
    <row r="92" spans="2:3">
      <c r="B92" s="951" t="s">
        <v>320</v>
      </c>
      <c r="C92" s="951" t="s">
        <v>319</v>
      </c>
    </row>
    <row r="93" spans="2:3">
      <c r="B93" s="951" t="s">
        <v>318</v>
      </c>
      <c r="C93" s="951" t="s">
        <v>317</v>
      </c>
    </row>
    <row r="94" spans="2:3">
      <c r="B94" s="951" t="s">
        <v>316</v>
      </c>
      <c r="C94" s="951" t="s">
        <v>315</v>
      </c>
    </row>
    <row r="95" spans="2:3">
      <c r="B95" s="952" t="s">
        <v>314</v>
      </c>
      <c r="C95" s="952"/>
    </row>
    <row r="96" spans="2:3">
      <c r="B96" s="951" t="s">
        <v>313</v>
      </c>
      <c r="C96" s="951" t="s">
        <v>312</v>
      </c>
    </row>
    <row r="97" spans="2:3">
      <c r="B97" s="951" t="s">
        <v>311</v>
      </c>
      <c r="C97" s="951" t="s">
        <v>310</v>
      </c>
    </row>
    <row r="98" spans="2:3">
      <c r="B98" s="951" t="s">
        <v>309</v>
      </c>
      <c r="C98" s="951" t="s">
        <v>308</v>
      </c>
    </row>
    <row r="99" spans="2:3">
      <c r="B99" s="951" t="s">
        <v>307</v>
      </c>
      <c r="C99" s="951" t="s">
        <v>306</v>
      </c>
    </row>
    <row r="100" spans="2:3">
      <c r="B100" s="951" t="s">
        <v>305</v>
      </c>
      <c r="C100" s="951" t="s">
        <v>304</v>
      </c>
    </row>
    <row r="101" spans="2:3">
      <c r="B101" s="952" t="s">
        <v>303</v>
      </c>
      <c r="C101" s="952"/>
    </row>
    <row r="102" spans="2:3">
      <c r="B102" s="951" t="s">
        <v>302</v>
      </c>
      <c r="C102" s="951" t="s">
        <v>301</v>
      </c>
    </row>
    <row r="103" spans="2:3">
      <c r="B103" s="951" t="s">
        <v>300</v>
      </c>
      <c r="C103" s="951" t="s">
        <v>299</v>
      </c>
    </row>
    <row r="104" spans="2:3">
      <c r="B104" s="951" t="s">
        <v>298</v>
      </c>
      <c r="C104" s="951" t="s">
        <v>297</v>
      </c>
    </row>
    <row r="105" spans="2:3">
      <c r="B105" s="954" t="s">
        <v>296</v>
      </c>
      <c r="C105" s="953"/>
    </row>
    <row r="106" spans="2:3">
      <c r="B106" s="952" t="s">
        <v>295</v>
      </c>
      <c r="C106" s="952"/>
    </row>
    <row r="107" spans="2:3">
      <c r="B107" s="951" t="s">
        <v>294</v>
      </c>
      <c r="C107" s="951" t="s">
        <v>293</v>
      </c>
    </row>
    <row r="108" spans="2:3">
      <c r="B108" s="951" t="s">
        <v>292</v>
      </c>
      <c r="C108" s="951" t="s">
        <v>291</v>
      </c>
    </row>
    <row r="109" spans="2:3">
      <c r="B109" s="951" t="s">
        <v>290</v>
      </c>
      <c r="C109" s="951" t="s">
        <v>289</v>
      </c>
    </row>
    <row r="110" spans="2:3">
      <c r="B110" s="951" t="s">
        <v>288</v>
      </c>
      <c r="C110" s="951" t="s">
        <v>287</v>
      </c>
    </row>
    <row r="111" spans="2:3">
      <c r="B111" s="951" t="s">
        <v>286</v>
      </c>
      <c r="C111" s="951" t="s">
        <v>285</v>
      </c>
    </row>
    <row r="112" spans="2:3">
      <c r="B112" s="951" t="s">
        <v>284</v>
      </c>
      <c r="C112" s="951" t="s">
        <v>283</v>
      </c>
    </row>
    <row r="113" spans="2:3">
      <c r="B113" s="951" t="s">
        <v>282</v>
      </c>
      <c r="C113" s="951" t="s">
        <v>281</v>
      </c>
    </row>
    <row r="114" spans="2:3">
      <c r="B114" s="952" t="s">
        <v>280</v>
      </c>
      <c r="C114" s="952"/>
    </row>
    <row r="115" spans="2:3">
      <c r="B115" s="951" t="s">
        <v>279</v>
      </c>
      <c r="C115" s="951" t="s">
        <v>278</v>
      </c>
    </row>
    <row r="116" spans="2:3">
      <c r="B116" s="951" t="s">
        <v>277</v>
      </c>
      <c r="C116" s="951" t="s">
        <v>276</v>
      </c>
    </row>
    <row r="117" spans="2:3">
      <c r="B117" s="951" t="s">
        <v>275</v>
      </c>
      <c r="C117" s="951" t="s">
        <v>274</v>
      </c>
    </row>
    <row r="118" spans="2:3">
      <c r="B118" s="951" t="s">
        <v>273</v>
      </c>
      <c r="C118" s="951" t="s">
        <v>272</v>
      </c>
    </row>
    <row r="119" spans="2:3">
      <c r="B119" s="951" t="s">
        <v>271</v>
      </c>
      <c r="C119" s="951" t="s">
        <v>270</v>
      </c>
    </row>
    <row r="120" spans="2:3">
      <c r="B120" s="951" t="s">
        <v>269</v>
      </c>
      <c r="C120" s="951" t="s">
        <v>268</v>
      </c>
    </row>
    <row r="121" spans="2:3">
      <c r="B121" s="951" t="s">
        <v>267</v>
      </c>
      <c r="C121" s="951" t="s">
        <v>266</v>
      </c>
    </row>
    <row r="122" spans="2:3">
      <c r="B122" s="952" t="s">
        <v>265</v>
      </c>
      <c r="C122" s="952"/>
    </row>
    <row r="123" spans="2:3">
      <c r="B123" s="951" t="s">
        <v>264</v>
      </c>
      <c r="C123" s="951" t="s">
        <v>263</v>
      </c>
    </row>
    <row r="124" spans="2:3">
      <c r="B124" s="951" t="s">
        <v>262</v>
      </c>
      <c r="C124" s="951" t="s">
        <v>261</v>
      </c>
    </row>
    <row r="125" spans="2:3">
      <c r="B125" s="951" t="s">
        <v>260</v>
      </c>
      <c r="C125" s="951" t="s">
        <v>259</v>
      </c>
    </row>
    <row r="126" spans="2:3">
      <c r="B126" s="951" t="s">
        <v>258</v>
      </c>
      <c r="C126" s="951" t="s">
        <v>257</v>
      </c>
    </row>
    <row r="127" spans="2:3">
      <c r="B127" s="951" t="s">
        <v>256</v>
      </c>
      <c r="C127" s="951" t="s">
        <v>255</v>
      </c>
    </row>
    <row r="128" spans="2:3">
      <c r="B128" s="951" t="s">
        <v>254</v>
      </c>
      <c r="C128" s="951" t="s">
        <v>253</v>
      </c>
    </row>
    <row r="129" spans="2:3">
      <c r="B129" s="951" t="s">
        <v>252</v>
      </c>
      <c r="C129" s="951" t="s">
        <v>251</v>
      </c>
    </row>
  </sheetData>
  <mergeCells count="1">
    <mergeCell ref="B49:C4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1"/>
  <sheetViews>
    <sheetView view="pageBreakPreview" zoomScale="80" zoomScaleNormal="65" zoomScaleSheetLayoutView="80" workbookViewId="0">
      <pane xSplit="2" ySplit="1" topLeftCell="W2" activePane="bottomRight" state="frozen"/>
      <selection activeCell="C3" sqref="C3"/>
      <selection pane="topRight" activeCell="C3" sqref="C3"/>
      <selection pane="bottomLeft" activeCell="C3" sqref="C3"/>
      <selection pane="bottomRight" activeCell="AL31" sqref="AL31"/>
    </sheetView>
  </sheetViews>
  <sheetFormatPr defaultColWidth="9.140625" defaultRowHeight="12.75"/>
  <cols>
    <col min="1" max="1" width="38.140625" style="14" customWidth="1"/>
    <col min="2" max="2" width="13" style="8" bestFit="1" customWidth="1"/>
    <col min="3" max="4" width="7.5703125" style="13" bestFit="1" customWidth="1"/>
    <col min="5" max="5" width="9.140625" style="13"/>
    <col min="6" max="6" width="6.140625" style="15" customWidth="1"/>
    <col min="7" max="7" width="5.85546875" style="15" bestFit="1" customWidth="1"/>
    <col min="8" max="8" width="6.42578125" style="13" bestFit="1" customWidth="1"/>
    <col min="9" max="9" width="6.140625" style="15" bestFit="1" customWidth="1"/>
    <col min="10" max="10" width="6" style="15" bestFit="1" customWidth="1"/>
    <col min="11" max="11" width="6.85546875" style="15" bestFit="1" customWidth="1"/>
    <col min="12" max="12" width="8.7109375" style="12" bestFit="1" customWidth="1"/>
    <col min="13" max="13" width="8.140625" style="8" bestFit="1" customWidth="1"/>
    <col min="14" max="14" width="8.140625" style="8" customWidth="1"/>
    <col min="15" max="15" width="5.28515625" style="8" customWidth="1"/>
    <col min="16" max="16" width="7.42578125" style="8" customWidth="1"/>
    <col min="17" max="17" width="7.42578125" style="8" bestFit="1" customWidth="1"/>
    <col min="18" max="18" width="8.140625" style="8" bestFit="1" customWidth="1"/>
    <col min="19" max="19" width="7.28515625" style="8" bestFit="1" customWidth="1"/>
    <col min="20" max="20" width="7.42578125" style="8" bestFit="1" customWidth="1"/>
    <col min="21" max="21" width="8.42578125" style="8" bestFit="1" customWidth="1"/>
    <col min="22" max="22" width="6.85546875" style="8" bestFit="1" customWidth="1"/>
    <col min="23" max="25" width="5.42578125" style="8" customWidth="1"/>
    <col min="26" max="26" width="5.42578125" style="15" customWidth="1"/>
    <col min="27" max="27" width="8.140625" style="12" bestFit="1" customWidth="1"/>
    <col min="28" max="28" width="6.7109375" style="12" bestFit="1" customWidth="1"/>
    <col min="29" max="30" width="5.5703125" style="8" customWidth="1"/>
    <col min="31" max="31" width="8.7109375" style="8" bestFit="1" customWidth="1"/>
    <col min="32" max="32" width="8.7109375" style="8" customWidth="1"/>
    <col min="33" max="33" width="5.5703125" style="8" customWidth="1"/>
    <col min="34" max="34" width="5.85546875" style="8" bestFit="1" customWidth="1"/>
    <col min="35" max="36" width="7" style="8" customWidth="1"/>
    <col min="37" max="40" width="5.5703125" style="8" customWidth="1"/>
    <col min="41" max="41" width="8.7109375" style="12" bestFit="1" customWidth="1"/>
    <col min="42" max="42" width="4.42578125" style="12" bestFit="1" customWidth="1"/>
    <col min="43" max="43" width="9.140625" style="8" bestFit="1" customWidth="1"/>
    <col min="44" max="44" width="9.140625" style="8"/>
    <col min="45" max="45" width="9.140625" style="10"/>
    <col min="46" max="16384" width="9.140625" style="8"/>
  </cols>
  <sheetData>
    <row r="1" spans="1:45" ht="105.75" customHeight="1" thickBot="1">
      <c r="A1" s="24" t="s">
        <v>169</v>
      </c>
      <c r="B1" s="25" t="s">
        <v>170</v>
      </c>
      <c r="C1" s="26" t="s">
        <v>60</v>
      </c>
      <c r="D1" s="27" t="s">
        <v>61</v>
      </c>
      <c r="E1" s="28" t="s">
        <v>62</v>
      </c>
      <c r="F1" s="29" t="s">
        <v>63</v>
      </c>
      <c r="G1" s="29" t="s">
        <v>64</v>
      </c>
      <c r="H1" s="30" t="s">
        <v>65</v>
      </c>
      <c r="I1" s="27" t="s">
        <v>66</v>
      </c>
      <c r="J1" s="28" t="s">
        <v>67</v>
      </c>
      <c r="K1" s="28" t="s">
        <v>68</v>
      </c>
      <c r="L1" s="30" t="s">
        <v>69</v>
      </c>
      <c r="M1" s="27" t="s">
        <v>70</v>
      </c>
      <c r="N1" s="27" t="s">
        <v>171</v>
      </c>
      <c r="O1" s="28" t="s">
        <v>71</v>
      </c>
      <c r="P1" s="28" t="s">
        <v>72</v>
      </c>
      <c r="Q1" s="28" t="s">
        <v>73</v>
      </c>
      <c r="R1" s="28" t="s">
        <v>74</v>
      </c>
      <c r="S1" s="28" t="s">
        <v>75</v>
      </c>
      <c r="T1" s="28" t="s">
        <v>76</v>
      </c>
      <c r="U1" s="28" t="s">
        <v>77</v>
      </c>
      <c r="V1" s="28" t="s">
        <v>78</v>
      </c>
      <c r="W1" s="29" t="s">
        <v>79</v>
      </c>
      <c r="X1" s="29" t="s">
        <v>80</v>
      </c>
      <c r="Y1" s="29" t="s">
        <v>81</v>
      </c>
      <c r="Z1" s="28" t="s">
        <v>82</v>
      </c>
      <c r="AA1" s="30" t="s">
        <v>83</v>
      </c>
      <c r="AB1" s="31" t="s">
        <v>84</v>
      </c>
      <c r="AC1" s="32" t="s">
        <v>85</v>
      </c>
      <c r="AD1" s="28" t="s">
        <v>86</v>
      </c>
      <c r="AE1" s="28" t="s">
        <v>172</v>
      </c>
      <c r="AF1" s="28" t="s">
        <v>173</v>
      </c>
      <c r="AG1" s="28" t="s">
        <v>87</v>
      </c>
      <c r="AH1" s="28" t="s">
        <v>88</v>
      </c>
      <c r="AI1" s="28" t="s">
        <v>174</v>
      </c>
      <c r="AJ1" s="28" t="s">
        <v>175</v>
      </c>
      <c r="AK1" s="28" t="s">
        <v>176</v>
      </c>
      <c r="AL1" s="28" t="s">
        <v>177</v>
      </c>
      <c r="AM1" s="29" t="s">
        <v>178</v>
      </c>
      <c r="AN1" s="30" t="s">
        <v>89</v>
      </c>
      <c r="AO1" s="30" t="s">
        <v>90</v>
      </c>
      <c r="AP1" s="31" t="s">
        <v>91</v>
      </c>
      <c r="AQ1" s="33" t="s">
        <v>92</v>
      </c>
      <c r="AS1" s="9"/>
    </row>
    <row r="2" spans="1:45" ht="12.75" customHeight="1">
      <c r="A2" s="34" t="s">
        <v>93</v>
      </c>
      <c r="B2" s="35"/>
      <c r="C2" s="36">
        <f>SUM(D2:G2)</f>
        <v>0</v>
      </c>
      <c r="D2" s="37">
        <v>0</v>
      </c>
      <c r="E2" s="38"/>
      <c r="F2" s="39"/>
      <c r="G2" s="39"/>
      <c r="H2" s="40">
        <f>SUM(I2:K2)</f>
        <v>815.92434898628403</v>
      </c>
      <c r="I2" s="41">
        <v>688.22034898628408</v>
      </c>
      <c r="J2" s="42">
        <v>127.70399999999999</v>
      </c>
      <c r="K2" s="42"/>
      <c r="L2" s="40">
        <f>SUM(M2:Z2)</f>
        <v>0</v>
      </c>
      <c r="M2" s="41"/>
      <c r="N2" s="43"/>
      <c r="O2" s="44"/>
      <c r="P2" s="44"/>
      <c r="Q2" s="44"/>
      <c r="R2" s="44"/>
      <c r="S2" s="44"/>
      <c r="T2" s="44"/>
      <c r="U2" s="44"/>
      <c r="V2" s="44"/>
      <c r="W2" s="39"/>
      <c r="X2" s="39"/>
      <c r="Y2" s="39"/>
      <c r="Z2" s="42"/>
      <c r="AA2" s="40">
        <v>2751.9191872187112</v>
      </c>
      <c r="AB2" s="45">
        <f>SUM(AC2:AM2)</f>
        <v>1331.2863828445347</v>
      </c>
      <c r="AC2" s="46">
        <v>59.691708987970003</v>
      </c>
      <c r="AD2" s="42">
        <v>743.01992281532614</v>
      </c>
      <c r="AE2" s="42">
        <v>249.68174480509879</v>
      </c>
      <c r="AF2" s="42">
        <v>139.99992739520798</v>
      </c>
      <c r="AG2" s="42">
        <v>33.531818868055431</v>
      </c>
      <c r="AH2" s="42">
        <v>16.813132576534866</v>
      </c>
      <c r="AI2" s="42">
        <v>27.095124147648001</v>
      </c>
      <c r="AJ2" s="42">
        <v>2.6691993220799999</v>
      </c>
      <c r="AK2" s="41">
        <v>1.4323955643044282</v>
      </c>
      <c r="AL2" s="41">
        <v>13.54608560366562</v>
      </c>
      <c r="AM2" s="39">
        <v>43.805322758643676</v>
      </c>
      <c r="AN2" s="47">
        <v>145.43710297949829</v>
      </c>
      <c r="AO2" s="47"/>
      <c r="AP2" s="45"/>
      <c r="AQ2" s="48">
        <f>C2+H2+L2+AA2+AB2+AN2+AO2+AP2</f>
        <v>5044.5670220290285</v>
      </c>
    </row>
    <row r="3" spans="1:45" ht="12.75" customHeight="1">
      <c r="A3" s="49" t="s">
        <v>94</v>
      </c>
      <c r="B3" s="50"/>
      <c r="C3" s="51">
        <f>SUM(D3:G3)</f>
        <v>935.78934491090115</v>
      </c>
      <c r="D3" s="52">
        <v>802.24865041659757</v>
      </c>
      <c r="E3" s="53">
        <v>125.38500136039437</v>
      </c>
      <c r="F3" s="54"/>
      <c r="G3" s="54">
        <v>8.1556931339092724</v>
      </c>
      <c r="H3" s="55">
        <f>SUM(I3:K3)</f>
        <v>0</v>
      </c>
      <c r="I3" s="56"/>
      <c r="J3" s="57"/>
      <c r="K3" s="57"/>
      <c r="L3" s="55">
        <f>SUM(M3:Z3)</f>
        <v>9146.774069288922</v>
      </c>
      <c r="M3" s="56">
        <v>3053.4742963851995</v>
      </c>
      <c r="N3" s="56">
        <v>16.633377499200002</v>
      </c>
      <c r="O3" s="57">
        <v>0</v>
      </c>
      <c r="P3" s="57">
        <v>564.2282843555555</v>
      </c>
      <c r="Q3" s="57">
        <v>369.55541863968</v>
      </c>
      <c r="R3" s="57">
        <v>1543.1782335883197</v>
      </c>
      <c r="S3" s="57">
        <v>82.827948630790956</v>
      </c>
      <c r="T3" s="57">
        <v>157.5463640726893</v>
      </c>
      <c r="U3" s="57">
        <v>2941.4703035056637</v>
      </c>
      <c r="V3" s="57">
        <v>164.48328641762765</v>
      </c>
      <c r="W3" s="54">
        <v>7.5616539426795564</v>
      </c>
      <c r="X3" s="54">
        <v>200.83222211696253</v>
      </c>
      <c r="Y3" s="54">
        <v>1.2281470084248403</v>
      </c>
      <c r="Z3" s="57">
        <v>43.754533126130625</v>
      </c>
      <c r="AA3" s="55">
        <v>1728.338063506957</v>
      </c>
      <c r="AB3" s="58">
        <f>SUM(AC3:AM3)</f>
        <v>150.18873559012798</v>
      </c>
      <c r="AC3" s="59"/>
      <c r="AD3" s="57"/>
      <c r="AE3" s="57">
        <v>23.169037781663999</v>
      </c>
      <c r="AF3" s="57"/>
      <c r="AG3" s="57"/>
      <c r="AH3" s="57"/>
      <c r="AI3" s="57">
        <v>104.16969909062398</v>
      </c>
      <c r="AJ3" s="57">
        <v>22.849998717839998</v>
      </c>
      <c r="AK3" s="56"/>
      <c r="AL3" s="56"/>
      <c r="AM3" s="54"/>
      <c r="AN3" s="60"/>
      <c r="AO3" s="60">
        <v>139.45061680000001</v>
      </c>
      <c r="AP3" s="58"/>
      <c r="AQ3" s="61">
        <f t="shared" ref="AQ3:AQ20" si="0">C3+H3+L3+AA3+AB3+AN3+AO3+AP3</f>
        <v>12100.540830096908</v>
      </c>
    </row>
    <row r="4" spans="1:45" ht="12.75" customHeight="1">
      <c r="A4" s="49" t="s">
        <v>95</v>
      </c>
      <c r="B4" s="50"/>
      <c r="C4" s="51">
        <f>SUM(D4:G4)</f>
        <v>15.186580890896002</v>
      </c>
      <c r="D4" s="52">
        <v>0</v>
      </c>
      <c r="E4" s="62">
        <v>14.097722162000002</v>
      </c>
      <c r="F4" s="54"/>
      <c r="G4" s="54">
        <v>1.0888587288959999</v>
      </c>
      <c r="H4" s="55">
        <f>SUM(I4:K4)</f>
        <v>7.0330680000000001</v>
      </c>
      <c r="I4" s="56"/>
      <c r="J4" s="57"/>
      <c r="K4" s="57">
        <v>7.0330680000000001</v>
      </c>
      <c r="L4" s="55">
        <f>SUM(M4:Z4)</f>
        <v>1717.0624747879344</v>
      </c>
      <c r="M4" s="56">
        <v>0</v>
      </c>
      <c r="N4" s="56">
        <v>0</v>
      </c>
      <c r="O4" s="57"/>
      <c r="P4" s="57">
        <v>364.52221864444448</v>
      </c>
      <c r="Q4" s="57">
        <v>21.672508399360005</v>
      </c>
      <c r="R4" s="57">
        <v>156.29379915984001</v>
      </c>
      <c r="S4" s="57">
        <v>986.60611760112999</v>
      </c>
      <c r="T4" s="57">
        <v>35.289733288720633</v>
      </c>
      <c r="U4" s="57">
        <v>102.14625414775992</v>
      </c>
      <c r="V4" s="57">
        <v>2.9088437938490893E-3</v>
      </c>
      <c r="W4" s="54">
        <v>36.297317128453038</v>
      </c>
      <c r="X4" s="54">
        <v>5.4694689952000006</v>
      </c>
      <c r="Y4" s="54">
        <v>1.8500297569930473E-2</v>
      </c>
      <c r="Z4" s="57">
        <v>8.7436482816626366</v>
      </c>
      <c r="AA4" s="55">
        <v>0</v>
      </c>
      <c r="AB4" s="58">
        <f>SUM(AC4:AM4)</f>
        <v>9.4476585178560004</v>
      </c>
      <c r="AC4" s="59"/>
      <c r="AD4" s="57"/>
      <c r="AE4" s="57">
        <v>0.41264639999999991</v>
      </c>
      <c r="AF4" s="57"/>
      <c r="AG4" s="57"/>
      <c r="AH4" s="57"/>
      <c r="AI4" s="57">
        <v>9.0350121178560006</v>
      </c>
      <c r="AJ4" s="57">
        <v>0</v>
      </c>
      <c r="AK4" s="56"/>
      <c r="AL4" s="56"/>
      <c r="AM4" s="54"/>
      <c r="AN4" s="60"/>
      <c r="AO4" s="60">
        <v>141.83539077999998</v>
      </c>
      <c r="AP4" s="58"/>
      <c r="AQ4" s="61">
        <f t="shared" si="0"/>
        <v>1890.5651729766864</v>
      </c>
    </row>
    <row r="5" spans="1:45" ht="12.75" customHeight="1">
      <c r="A5" s="49" t="s">
        <v>96</v>
      </c>
      <c r="B5" s="50"/>
      <c r="C5" s="51">
        <f>SUM(D5:G5)</f>
        <v>0</v>
      </c>
      <c r="D5" s="52"/>
      <c r="E5" s="62"/>
      <c r="F5" s="54"/>
      <c r="G5" s="54"/>
      <c r="H5" s="55">
        <f>SUM(I5:K5)</f>
        <v>0</v>
      </c>
      <c r="I5" s="56"/>
      <c r="J5" s="57"/>
      <c r="K5" s="57"/>
      <c r="L5" s="55">
        <f>SUM(M5:Z5)</f>
        <v>162.14899063248015</v>
      </c>
      <c r="M5" s="56"/>
      <c r="N5" s="56"/>
      <c r="O5" s="57"/>
      <c r="P5" s="57"/>
      <c r="Q5" s="57"/>
      <c r="R5" s="57"/>
      <c r="S5" s="57">
        <v>15.730078096892656</v>
      </c>
      <c r="T5" s="57"/>
      <c r="U5" s="57">
        <v>146.41891253558748</v>
      </c>
      <c r="V5" s="57"/>
      <c r="W5" s="54"/>
      <c r="X5" s="54"/>
      <c r="Y5" s="54"/>
      <c r="Z5" s="57"/>
      <c r="AA5" s="55"/>
      <c r="AB5" s="58">
        <f>SUM(AC5:AM5)</f>
        <v>0</v>
      </c>
      <c r="AC5" s="59"/>
      <c r="AD5" s="57"/>
      <c r="AE5" s="57"/>
      <c r="AF5" s="57"/>
      <c r="AG5" s="57"/>
      <c r="AH5" s="57"/>
      <c r="AI5" s="57"/>
      <c r="AJ5" s="57"/>
      <c r="AK5" s="56"/>
      <c r="AL5" s="56"/>
      <c r="AM5" s="54"/>
      <c r="AN5" s="60"/>
      <c r="AO5" s="60"/>
      <c r="AP5" s="58"/>
      <c r="AQ5" s="61">
        <f t="shared" si="0"/>
        <v>162.14899063248015</v>
      </c>
    </row>
    <row r="6" spans="1:45" ht="12.75" customHeight="1" thickBot="1">
      <c r="A6" s="63" t="s">
        <v>97</v>
      </c>
      <c r="B6" s="64"/>
      <c r="C6" s="51">
        <f>SUM(D6:G6)</f>
        <v>-105.50045932171129</v>
      </c>
      <c r="D6" s="65">
        <v>-106.11399866466098</v>
      </c>
      <c r="E6" s="54">
        <v>-0.8079766727235479</v>
      </c>
      <c r="F6" s="66"/>
      <c r="G6" s="66">
        <v>1.4215160156732278</v>
      </c>
      <c r="H6" s="67">
        <f>SUM(I6:K6)</f>
        <v>-122.93905189963694</v>
      </c>
      <c r="I6" s="68">
        <v>-136.53826589963694</v>
      </c>
      <c r="J6" s="68">
        <v>0</v>
      </c>
      <c r="K6" s="68">
        <v>13.599214000000003</v>
      </c>
      <c r="L6" s="67">
        <f>SUM(M6:Z6)</f>
        <v>151.33981188504902</v>
      </c>
      <c r="M6" s="56">
        <v>38.730964773999993</v>
      </c>
      <c r="N6" s="56">
        <v>-8.8751519999999999</v>
      </c>
      <c r="O6" s="57"/>
      <c r="P6" s="57">
        <v>-9.6980083333333713</v>
      </c>
      <c r="Q6" s="57">
        <v>12.883201938880001</v>
      </c>
      <c r="R6" s="57">
        <v>82.12024884504001</v>
      </c>
      <c r="S6" s="57">
        <v>23.637599999999999</v>
      </c>
      <c r="T6" s="57">
        <v>1.4659197380156652</v>
      </c>
      <c r="U6" s="57">
        <v>8.3874136006762399</v>
      </c>
      <c r="V6" s="57">
        <v>3.2040911090633046</v>
      </c>
      <c r="W6" s="66">
        <v>-0.51646778729281662</v>
      </c>
      <c r="X6" s="66">
        <v>0</v>
      </c>
      <c r="Y6" s="66">
        <v>0</v>
      </c>
      <c r="Z6" s="68">
        <v>0</v>
      </c>
      <c r="AA6" s="67">
        <v>0</v>
      </c>
      <c r="AB6" s="69">
        <f>SUM(AC6:AM6)</f>
        <v>4.4601014379600006</v>
      </c>
      <c r="AC6" s="70"/>
      <c r="AD6" s="71"/>
      <c r="AE6" s="71">
        <v>0.26707427819999968</v>
      </c>
      <c r="AF6" s="71"/>
      <c r="AG6" s="71"/>
      <c r="AH6" s="71"/>
      <c r="AI6" s="71">
        <v>1.7828522013120007</v>
      </c>
      <c r="AJ6" s="71">
        <v>2.4101749584479997</v>
      </c>
      <c r="AK6" s="68"/>
      <c r="AL6" s="68"/>
      <c r="AM6" s="66"/>
      <c r="AN6" s="72"/>
      <c r="AO6" s="72"/>
      <c r="AP6" s="69"/>
      <c r="AQ6" s="73">
        <f t="shared" si="0"/>
        <v>-72.639597898339204</v>
      </c>
    </row>
    <row r="7" spans="1:45" s="12" customFormat="1" ht="12.75" customHeight="1">
      <c r="A7" s="74" t="s">
        <v>98</v>
      </c>
      <c r="B7" s="75"/>
      <c r="C7" s="76">
        <f t="shared" ref="C7:AP7" si="1">C2+C3-C4-C5+C6</f>
        <v>815.10230469829378</v>
      </c>
      <c r="D7" s="77">
        <f t="shared" si="1"/>
        <v>696.13465175193664</v>
      </c>
      <c r="E7" s="78">
        <f t="shared" si="1"/>
        <v>110.47930252567083</v>
      </c>
      <c r="F7" s="78">
        <f t="shared" si="1"/>
        <v>0</v>
      </c>
      <c r="G7" s="78">
        <f t="shared" si="1"/>
        <v>8.4883504206865013</v>
      </c>
      <c r="H7" s="79">
        <f t="shared" si="1"/>
        <v>685.95222908664709</v>
      </c>
      <c r="I7" s="77">
        <f t="shared" si="1"/>
        <v>551.68208308664714</v>
      </c>
      <c r="J7" s="78">
        <f t="shared" si="1"/>
        <v>127.70399999999999</v>
      </c>
      <c r="K7" s="78">
        <f t="shared" si="1"/>
        <v>6.5661460000000034</v>
      </c>
      <c r="L7" s="79">
        <f t="shared" si="1"/>
        <v>7418.9024157535559</v>
      </c>
      <c r="M7" s="77">
        <f t="shared" si="1"/>
        <v>3092.2052611591994</v>
      </c>
      <c r="N7" s="77">
        <f t="shared" si="1"/>
        <v>7.7582254992000017</v>
      </c>
      <c r="O7" s="78">
        <f t="shared" si="1"/>
        <v>0</v>
      </c>
      <c r="P7" s="78">
        <f t="shared" si="1"/>
        <v>190.00805737777765</v>
      </c>
      <c r="Q7" s="78">
        <f t="shared" si="1"/>
        <v>360.76611217919998</v>
      </c>
      <c r="R7" s="78">
        <f t="shared" si="1"/>
        <v>1469.0046832735197</v>
      </c>
      <c r="S7" s="78">
        <f t="shared" si="1"/>
        <v>-895.87064706723163</v>
      </c>
      <c r="T7" s="78">
        <f t="shared" si="1"/>
        <v>123.72255052198433</v>
      </c>
      <c r="U7" s="78">
        <f t="shared" si="1"/>
        <v>2701.2925504229925</v>
      </c>
      <c r="V7" s="78">
        <f t="shared" si="1"/>
        <v>167.68446868289712</v>
      </c>
      <c r="W7" s="78">
        <f t="shared" si="1"/>
        <v>-29.252130973066301</v>
      </c>
      <c r="X7" s="78">
        <f t="shared" si="1"/>
        <v>195.36275312176252</v>
      </c>
      <c r="Y7" s="78">
        <f t="shared" si="1"/>
        <v>1.2096467108549098</v>
      </c>
      <c r="Z7" s="78">
        <f t="shared" si="1"/>
        <v>35.010884844467988</v>
      </c>
      <c r="AA7" s="79">
        <f t="shared" si="1"/>
        <v>4480.2572507256682</v>
      </c>
      <c r="AB7" s="79">
        <f t="shared" si="1"/>
        <v>1476.4875613547667</v>
      </c>
      <c r="AC7" s="77">
        <f t="shared" si="1"/>
        <v>59.691708987970003</v>
      </c>
      <c r="AD7" s="78">
        <f t="shared" si="1"/>
        <v>743.01992281532614</v>
      </c>
      <c r="AE7" s="78">
        <f t="shared" si="1"/>
        <v>272.70521046496276</v>
      </c>
      <c r="AF7" s="78">
        <f t="shared" si="1"/>
        <v>139.99992739520798</v>
      </c>
      <c r="AG7" s="78">
        <f t="shared" si="1"/>
        <v>33.531818868055431</v>
      </c>
      <c r="AH7" s="78">
        <f t="shared" si="1"/>
        <v>16.813132576534866</v>
      </c>
      <c r="AI7" s="78">
        <f t="shared" si="1"/>
        <v>124.01266332172798</v>
      </c>
      <c r="AJ7" s="78">
        <f t="shared" si="1"/>
        <v>27.929372998367999</v>
      </c>
      <c r="AK7" s="80">
        <f t="shared" si="1"/>
        <v>1.4323955643044282</v>
      </c>
      <c r="AL7" s="80">
        <f t="shared" si="1"/>
        <v>13.54608560366562</v>
      </c>
      <c r="AM7" s="77">
        <f t="shared" si="1"/>
        <v>43.805322758643676</v>
      </c>
      <c r="AN7" s="79">
        <f t="shared" si="1"/>
        <v>145.43710297949829</v>
      </c>
      <c r="AO7" s="79">
        <f t="shared" si="1"/>
        <v>-2.3847739799999772</v>
      </c>
      <c r="AP7" s="81">
        <f t="shared" si="1"/>
        <v>0</v>
      </c>
      <c r="AQ7" s="82">
        <f t="shared" si="0"/>
        <v>15019.754090618429</v>
      </c>
      <c r="AR7" s="8"/>
      <c r="AS7" s="11"/>
    </row>
    <row r="8" spans="1:45" s="12" customFormat="1" ht="12.75" customHeight="1" thickBot="1">
      <c r="A8" s="83" t="s">
        <v>99</v>
      </c>
      <c r="B8" s="84"/>
      <c r="C8" s="85">
        <f t="shared" ref="C8:AP8" si="2">C7-C27</f>
        <v>815.10230469829378</v>
      </c>
      <c r="D8" s="86">
        <f t="shared" si="2"/>
        <v>696.13465175193664</v>
      </c>
      <c r="E8" s="87">
        <f t="shared" si="2"/>
        <v>110.47930252567083</v>
      </c>
      <c r="F8" s="88">
        <f t="shared" si="2"/>
        <v>0</v>
      </c>
      <c r="G8" s="88">
        <f t="shared" si="2"/>
        <v>8.4883504206865013</v>
      </c>
      <c r="H8" s="89">
        <f t="shared" si="2"/>
        <v>685.95222908664709</v>
      </c>
      <c r="I8" s="86">
        <f t="shared" si="2"/>
        <v>551.68208308664714</v>
      </c>
      <c r="J8" s="87">
        <f t="shared" si="2"/>
        <v>127.70399999999999</v>
      </c>
      <c r="K8" s="87">
        <f t="shared" si="2"/>
        <v>6.5661460000000034</v>
      </c>
      <c r="L8" s="89">
        <f t="shared" si="2"/>
        <v>7187.3191310764705</v>
      </c>
      <c r="M8" s="86">
        <f t="shared" si="2"/>
        <v>3092.2052611591994</v>
      </c>
      <c r="N8" s="86">
        <f t="shared" si="2"/>
        <v>7.7582254992000017</v>
      </c>
      <c r="O8" s="87">
        <f t="shared" si="2"/>
        <v>0</v>
      </c>
      <c r="P8" s="87">
        <f t="shared" si="2"/>
        <v>190.00805737777765</v>
      </c>
      <c r="Q8" s="87">
        <f t="shared" si="2"/>
        <v>360.76611217919998</v>
      </c>
      <c r="R8" s="87">
        <f t="shared" si="2"/>
        <v>1469.0046832735197</v>
      </c>
      <c r="S8" s="87">
        <f t="shared" si="2"/>
        <v>-895.87064706723163</v>
      </c>
      <c r="T8" s="87">
        <f t="shared" si="2"/>
        <v>123.72255052198433</v>
      </c>
      <c r="U8" s="87">
        <f t="shared" si="2"/>
        <v>2701.2925504229925</v>
      </c>
      <c r="V8" s="87">
        <f t="shared" si="2"/>
        <v>167.68446868289712</v>
      </c>
      <c r="W8" s="88">
        <f t="shared" si="2"/>
        <v>-29.252130973066301</v>
      </c>
      <c r="X8" s="88">
        <f t="shared" si="2"/>
        <v>0</v>
      </c>
      <c r="Y8" s="88">
        <f t="shared" si="2"/>
        <v>0</v>
      </c>
      <c r="Z8" s="87">
        <f t="shared" si="2"/>
        <v>0</v>
      </c>
      <c r="AA8" s="89">
        <f t="shared" si="2"/>
        <v>4480.2572507256682</v>
      </c>
      <c r="AB8" s="90">
        <f t="shared" si="2"/>
        <v>1476.4875613547667</v>
      </c>
      <c r="AC8" s="86">
        <f t="shared" si="2"/>
        <v>59.691708987970003</v>
      </c>
      <c r="AD8" s="87">
        <f t="shared" si="2"/>
        <v>743.01992281532614</v>
      </c>
      <c r="AE8" s="87">
        <f t="shared" si="2"/>
        <v>272.70521046496276</v>
      </c>
      <c r="AF8" s="87">
        <f t="shared" si="2"/>
        <v>139.99992739520798</v>
      </c>
      <c r="AG8" s="87">
        <f t="shared" si="2"/>
        <v>33.531818868055431</v>
      </c>
      <c r="AH8" s="87">
        <f t="shared" si="2"/>
        <v>16.813132576534866</v>
      </c>
      <c r="AI8" s="87">
        <f t="shared" si="2"/>
        <v>124.01266332172798</v>
      </c>
      <c r="AJ8" s="87">
        <f t="shared" si="2"/>
        <v>27.929372998367999</v>
      </c>
      <c r="AK8" s="91">
        <f t="shared" si="2"/>
        <v>1.4323955643044282</v>
      </c>
      <c r="AL8" s="91">
        <f t="shared" si="2"/>
        <v>13.54608560366562</v>
      </c>
      <c r="AM8" s="86">
        <f t="shared" si="2"/>
        <v>43.805322758643676</v>
      </c>
      <c r="AN8" s="89">
        <f t="shared" si="2"/>
        <v>145.43710297949829</v>
      </c>
      <c r="AO8" s="89">
        <f t="shared" si="2"/>
        <v>-2.3847739799999772</v>
      </c>
      <c r="AP8" s="86">
        <f t="shared" si="2"/>
        <v>0</v>
      </c>
      <c r="AQ8" s="92">
        <f t="shared" si="0"/>
        <v>14788.170805941343</v>
      </c>
      <c r="AR8" s="8"/>
      <c r="AS8" s="11"/>
    </row>
    <row r="9" spans="1:45" s="12" customFormat="1" ht="12.75" customHeight="1">
      <c r="A9" s="74" t="s">
        <v>100</v>
      </c>
      <c r="B9" s="75"/>
      <c r="C9" s="76">
        <f t="shared" ref="C9:AP9" si="3">SUM(C10:C14)</f>
        <v>488.64939432989598</v>
      </c>
      <c r="D9" s="80">
        <f t="shared" si="3"/>
        <v>488.64939432989598</v>
      </c>
      <c r="E9" s="78">
        <f t="shared" si="3"/>
        <v>0</v>
      </c>
      <c r="F9" s="93">
        <f t="shared" si="3"/>
        <v>0</v>
      </c>
      <c r="G9" s="93">
        <f t="shared" si="3"/>
        <v>0</v>
      </c>
      <c r="H9" s="79">
        <f t="shared" si="3"/>
        <v>541.02658367795425</v>
      </c>
      <c r="I9" s="80">
        <f t="shared" si="3"/>
        <v>541.02658367795425</v>
      </c>
      <c r="J9" s="78">
        <f t="shared" si="3"/>
        <v>0</v>
      </c>
      <c r="K9" s="78">
        <f t="shared" si="3"/>
        <v>0</v>
      </c>
      <c r="L9" s="79">
        <f t="shared" si="3"/>
        <v>3165.7216476484605</v>
      </c>
      <c r="M9" s="78">
        <f t="shared" si="3"/>
        <v>3092.2052611591994</v>
      </c>
      <c r="N9" s="78">
        <f>SUM(N10:N14)</f>
        <v>38.786602361842682</v>
      </c>
      <c r="O9" s="78">
        <f t="shared" si="3"/>
        <v>0</v>
      </c>
      <c r="P9" s="78">
        <f t="shared" si="3"/>
        <v>0</v>
      </c>
      <c r="Q9" s="78">
        <f t="shared" si="3"/>
        <v>0</v>
      </c>
      <c r="R9" s="78">
        <f t="shared" si="3"/>
        <v>0</v>
      </c>
      <c r="S9" s="78">
        <f t="shared" si="3"/>
        <v>25.868327226603597</v>
      </c>
      <c r="T9" s="78">
        <f t="shared" si="3"/>
        <v>0.63499472294399995</v>
      </c>
      <c r="U9" s="78">
        <f t="shared" si="3"/>
        <v>8.2264621778709284</v>
      </c>
      <c r="V9" s="78">
        <f t="shared" si="3"/>
        <v>0</v>
      </c>
      <c r="W9" s="93">
        <f t="shared" si="3"/>
        <v>0</v>
      </c>
      <c r="X9" s="93">
        <f t="shared" si="3"/>
        <v>0</v>
      </c>
      <c r="Y9" s="93">
        <f t="shared" si="3"/>
        <v>0</v>
      </c>
      <c r="Z9" s="78">
        <f t="shared" si="3"/>
        <v>0</v>
      </c>
      <c r="AA9" s="79">
        <f t="shared" si="3"/>
        <v>2501.2994242635782</v>
      </c>
      <c r="AB9" s="77">
        <f t="shared" si="3"/>
        <v>215.90352917717644</v>
      </c>
      <c r="AC9" s="94">
        <f t="shared" si="3"/>
        <v>0</v>
      </c>
      <c r="AD9" s="78">
        <f t="shared" si="3"/>
        <v>0</v>
      </c>
      <c r="AE9" s="78">
        <f t="shared" si="3"/>
        <v>76.028615684916531</v>
      </c>
      <c r="AF9" s="78">
        <f>SUM(AF10:AF14)</f>
        <v>99.30702317107577</v>
      </c>
      <c r="AG9" s="78">
        <f t="shared" si="3"/>
        <v>33.531818868055431</v>
      </c>
      <c r="AH9" s="78">
        <f t="shared" si="3"/>
        <v>7.0360714531287174</v>
      </c>
      <c r="AI9" s="78">
        <f t="shared" si="3"/>
        <v>0</v>
      </c>
      <c r="AJ9" s="78">
        <f>SUM(AJ10:AJ14)</f>
        <v>0</v>
      </c>
      <c r="AK9" s="80">
        <f t="shared" si="3"/>
        <v>0</v>
      </c>
      <c r="AL9" s="80">
        <f>SUM(AL10:AL14)</f>
        <v>0</v>
      </c>
      <c r="AM9" s="93">
        <f t="shared" si="3"/>
        <v>0</v>
      </c>
      <c r="AN9" s="79">
        <f t="shared" si="3"/>
        <v>90.714163374524205</v>
      </c>
      <c r="AO9" s="79">
        <f t="shared" si="3"/>
        <v>54.38453208</v>
      </c>
      <c r="AP9" s="77">
        <f t="shared" si="3"/>
        <v>0</v>
      </c>
      <c r="AQ9" s="95">
        <f t="shared" si="0"/>
        <v>7057.699274551589</v>
      </c>
      <c r="AR9" s="8"/>
      <c r="AS9" s="11"/>
    </row>
    <row r="10" spans="1:45" ht="12.75" customHeight="1">
      <c r="A10" s="96" t="s">
        <v>101</v>
      </c>
      <c r="B10" s="97"/>
      <c r="C10" s="98">
        <f>SUM(D10:G10)</f>
        <v>488.64939432989598</v>
      </c>
      <c r="D10" s="99">
        <v>488.64939432989598</v>
      </c>
      <c r="E10" s="100"/>
      <c r="F10" s="101"/>
      <c r="G10" s="101"/>
      <c r="H10" s="102">
        <f>SUM(I10:K10)</f>
        <v>467.10845991760607</v>
      </c>
      <c r="I10" s="99">
        <v>467.10845991760607</v>
      </c>
      <c r="J10" s="100">
        <v>0</v>
      </c>
      <c r="K10" s="100"/>
      <c r="L10" s="102">
        <f>SUM(M10:Z10)</f>
        <v>34.094789404474525</v>
      </c>
      <c r="M10" s="100"/>
      <c r="N10" s="100"/>
      <c r="O10" s="100"/>
      <c r="P10" s="100"/>
      <c r="Q10" s="100"/>
      <c r="R10" s="100"/>
      <c r="S10" s="100">
        <v>25.868327226603597</v>
      </c>
      <c r="T10" s="100"/>
      <c r="U10" s="100">
        <v>8.2264621778709284</v>
      </c>
      <c r="V10" s="100"/>
      <c r="W10" s="101"/>
      <c r="X10" s="101"/>
      <c r="Y10" s="101"/>
      <c r="Z10" s="100"/>
      <c r="AA10" s="102">
        <v>2187.6033883210698</v>
      </c>
      <c r="AB10" s="103">
        <f>SUM(AC10:AM10)</f>
        <v>205.30590173319058</v>
      </c>
      <c r="AC10" s="104"/>
      <c r="AD10" s="100"/>
      <c r="AE10" s="100">
        <v>72.467059694059387</v>
      </c>
      <c r="AF10" s="100">
        <v>99.30702317107577</v>
      </c>
      <c r="AG10" s="100">
        <v>33.531818868055431</v>
      </c>
      <c r="AH10" s="100"/>
      <c r="AI10" s="100"/>
      <c r="AJ10" s="100"/>
      <c r="AK10" s="99"/>
      <c r="AL10" s="99"/>
      <c r="AM10" s="101"/>
      <c r="AN10" s="105">
        <v>90.714163374524205</v>
      </c>
      <c r="AO10" s="102"/>
      <c r="AP10" s="103"/>
      <c r="AQ10" s="106">
        <f t="shared" si="0"/>
        <v>3473.4760970807611</v>
      </c>
    </row>
    <row r="11" spans="1:45" ht="12.75" customHeight="1">
      <c r="A11" s="49" t="s">
        <v>102</v>
      </c>
      <c r="B11" s="50"/>
      <c r="C11" s="51">
        <f>SUM(D11:G11)</f>
        <v>0</v>
      </c>
      <c r="D11" s="56">
        <v>0</v>
      </c>
      <c r="E11" s="57"/>
      <c r="F11" s="54"/>
      <c r="G11" s="54"/>
      <c r="H11" s="55">
        <f>SUM(I11:K11)</f>
        <v>5.8425469182429177</v>
      </c>
      <c r="I11" s="56">
        <v>5.8425469182429177</v>
      </c>
      <c r="J11" s="57"/>
      <c r="K11" s="57"/>
      <c r="L11" s="55">
        <f>SUM(M11:Z11)</f>
        <v>0.63499472294399995</v>
      </c>
      <c r="M11" s="57"/>
      <c r="N11" s="107"/>
      <c r="O11" s="107">
        <v>0</v>
      </c>
      <c r="P11" s="57"/>
      <c r="Q11" s="57"/>
      <c r="R11" s="57"/>
      <c r="S11" s="57">
        <v>0</v>
      </c>
      <c r="T11" s="57">
        <v>0.63499472294399995</v>
      </c>
      <c r="U11" s="57">
        <v>0</v>
      </c>
      <c r="V11" s="57"/>
      <c r="W11" s="54"/>
      <c r="X11" s="54"/>
      <c r="Y11" s="54"/>
      <c r="Z11" s="57"/>
      <c r="AA11" s="55">
        <v>272.96145103491432</v>
      </c>
      <c r="AB11" s="58">
        <f>SUM(AC11:AM11)</f>
        <v>10.597627443985861</v>
      </c>
      <c r="AC11" s="59"/>
      <c r="AD11" s="57"/>
      <c r="AE11" s="57">
        <v>3.5615559908571428</v>
      </c>
      <c r="AF11" s="57"/>
      <c r="AG11" s="57"/>
      <c r="AH11" s="57">
        <v>7.0360714531287174</v>
      </c>
      <c r="AI11" s="57"/>
      <c r="AJ11" s="57"/>
      <c r="AK11" s="56"/>
      <c r="AL11" s="56"/>
      <c r="AM11" s="54"/>
      <c r="AN11" s="60"/>
      <c r="AO11" s="60"/>
      <c r="AP11" s="58"/>
      <c r="AQ11" s="61">
        <f t="shared" si="0"/>
        <v>290.03662012008709</v>
      </c>
    </row>
    <row r="12" spans="1:45" ht="12.75" customHeight="1">
      <c r="A12" s="49" t="s">
        <v>103</v>
      </c>
      <c r="B12" s="50"/>
      <c r="C12" s="51"/>
      <c r="D12" s="56"/>
      <c r="E12" s="57"/>
      <c r="F12" s="54"/>
      <c r="G12" s="54"/>
      <c r="H12" s="55"/>
      <c r="I12" s="56"/>
      <c r="J12" s="57"/>
      <c r="K12" s="57"/>
      <c r="L12" s="55"/>
      <c r="M12" s="57"/>
      <c r="N12" s="107"/>
      <c r="O12" s="107"/>
      <c r="P12" s="57"/>
      <c r="Q12" s="57"/>
      <c r="R12" s="57"/>
      <c r="S12" s="57"/>
      <c r="T12" s="57"/>
      <c r="U12" s="57"/>
      <c r="V12" s="57"/>
      <c r="W12" s="54"/>
      <c r="X12" s="54"/>
      <c r="Y12" s="54"/>
      <c r="Z12" s="57"/>
      <c r="AA12" s="55"/>
      <c r="AB12" s="58"/>
      <c r="AC12" s="59"/>
      <c r="AD12" s="57"/>
      <c r="AE12" s="57"/>
      <c r="AF12" s="57"/>
      <c r="AG12" s="57"/>
      <c r="AH12" s="57"/>
      <c r="AI12" s="57"/>
      <c r="AJ12" s="57"/>
      <c r="AK12" s="56"/>
      <c r="AL12" s="56"/>
      <c r="AM12" s="54"/>
      <c r="AN12" s="60"/>
      <c r="AO12" s="60">
        <v>42.942060079999997</v>
      </c>
      <c r="AP12" s="58"/>
      <c r="AQ12" s="61">
        <f t="shared" si="0"/>
        <v>42.942060079999997</v>
      </c>
    </row>
    <row r="13" spans="1:45" ht="12.75" customHeight="1">
      <c r="A13" s="49" t="s">
        <v>104</v>
      </c>
      <c r="B13" s="50"/>
      <c r="C13" s="51">
        <f>SUM(D13:G13)</f>
        <v>0</v>
      </c>
      <c r="D13" s="56"/>
      <c r="E13" s="54"/>
      <c r="F13" s="54"/>
      <c r="G13" s="54"/>
      <c r="H13" s="55">
        <f>SUM(I13:K13)</f>
        <v>68.075576842105264</v>
      </c>
      <c r="I13" s="56">
        <v>68.075576842105264</v>
      </c>
      <c r="J13" s="57"/>
      <c r="K13" s="57"/>
      <c r="L13" s="55">
        <f>SUM(M13:Z13)</f>
        <v>0</v>
      </c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4"/>
      <c r="X13" s="54"/>
      <c r="Y13" s="54"/>
      <c r="Z13" s="57"/>
      <c r="AA13" s="55"/>
      <c r="AB13" s="58">
        <f>SUM(AC13:AM13)</f>
        <v>0</v>
      </c>
      <c r="AC13" s="59"/>
      <c r="AD13" s="57"/>
      <c r="AE13" s="57"/>
      <c r="AF13" s="57"/>
      <c r="AG13" s="57"/>
      <c r="AH13" s="57"/>
      <c r="AI13" s="57"/>
      <c r="AJ13" s="57"/>
      <c r="AK13" s="56"/>
      <c r="AL13" s="56"/>
      <c r="AM13" s="54"/>
      <c r="AN13" s="60"/>
      <c r="AO13" s="60"/>
      <c r="AP13" s="58"/>
      <c r="AQ13" s="61">
        <f t="shared" si="0"/>
        <v>68.075576842105264</v>
      </c>
    </row>
    <row r="14" spans="1:45" ht="12.75" customHeight="1">
      <c r="A14" s="108" t="s">
        <v>105</v>
      </c>
      <c r="B14" s="109"/>
      <c r="C14" s="110">
        <f>SUM(D14:G14)</f>
        <v>0</v>
      </c>
      <c r="D14" s="111"/>
      <c r="E14" s="112"/>
      <c r="F14" s="113"/>
      <c r="G14" s="113"/>
      <c r="H14" s="114">
        <f>SUM(I14:K14)</f>
        <v>0</v>
      </c>
      <c r="I14" s="111"/>
      <c r="J14" s="112"/>
      <c r="K14" s="112"/>
      <c r="L14" s="114">
        <f>SUM(M14:Z14)</f>
        <v>3130.991863521042</v>
      </c>
      <c r="M14" s="112">
        <v>3092.2052611591994</v>
      </c>
      <c r="N14" s="112">
        <v>38.786602361842682</v>
      </c>
      <c r="O14" s="112"/>
      <c r="P14" s="112"/>
      <c r="Q14" s="112"/>
      <c r="R14" s="112"/>
      <c r="S14" s="112"/>
      <c r="T14" s="112"/>
      <c r="U14" s="112"/>
      <c r="V14" s="112"/>
      <c r="W14" s="113"/>
      <c r="X14" s="113"/>
      <c r="Y14" s="113"/>
      <c r="Z14" s="112"/>
      <c r="AA14" s="114">
        <v>40.734584907594211</v>
      </c>
      <c r="AB14" s="115">
        <f>SUM(AC14:AM14)</f>
        <v>0</v>
      </c>
      <c r="AC14" s="116"/>
      <c r="AD14" s="112"/>
      <c r="AE14" s="112"/>
      <c r="AF14" s="112"/>
      <c r="AG14" s="112"/>
      <c r="AH14" s="112"/>
      <c r="AI14" s="112"/>
      <c r="AJ14" s="112"/>
      <c r="AK14" s="111"/>
      <c r="AL14" s="111"/>
      <c r="AM14" s="113"/>
      <c r="AN14" s="117"/>
      <c r="AO14" s="117">
        <v>11.442471999999999</v>
      </c>
      <c r="AP14" s="115"/>
      <c r="AQ14" s="118">
        <f t="shared" si="0"/>
        <v>3183.1689204286363</v>
      </c>
    </row>
    <row r="15" spans="1:45" s="12" customFormat="1" ht="12.75" customHeight="1">
      <c r="A15" s="119" t="s">
        <v>106</v>
      </c>
      <c r="B15" s="120"/>
      <c r="C15" s="121">
        <f t="shared" ref="C15:AP15" si="4">SUM(C16:C20)</f>
        <v>0</v>
      </c>
      <c r="D15" s="122">
        <f t="shared" si="4"/>
        <v>0</v>
      </c>
      <c r="E15" s="123">
        <f t="shared" si="4"/>
        <v>0</v>
      </c>
      <c r="F15" s="124">
        <f t="shared" si="4"/>
        <v>0</v>
      </c>
      <c r="G15" s="124">
        <f t="shared" si="4"/>
        <v>0</v>
      </c>
      <c r="H15" s="125">
        <f t="shared" si="4"/>
        <v>64.671797999999995</v>
      </c>
      <c r="I15" s="122">
        <f t="shared" si="4"/>
        <v>0</v>
      </c>
      <c r="J15" s="123">
        <f t="shared" si="4"/>
        <v>0</v>
      </c>
      <c r="K15" s="123">
        <f t="shared" si="4"/>
        <v>64.671797999999995</v>
      </c>
      <c r="L15" s="125">
        <f t="shared" si="4"/>
        <v>3166.7858692089685</v>
      </c>
      <c r="M15" s="123">
        <f t="shared" si="4"/>
        <v>0</v>
      </c>
      <c r="N15" s="123">
        <f t="shared" si="4"/>
        <v>0</v>
      </c>
      <c r="O15" s="123">
        <f t="shared" si="4"/>
        <v>90.017983923640699</v>
      </c>
      <c r="P15" s="123">
        <f t="shared" si="4"/>
        <v>640.53679657777786</v>
      </c>
      <c r="Q15" s="123">
        <f t="shared" si="4"/>
        <v>226.77459106847999</v>
      </c>
      <c r="R15" s="123">
        <f t="shared" si="4"/>
        <v>0</v>
      </c>
      <c r="S15" s="123">
        <f t="shared" si="4"/>
        <v>960.95017928079096</v>
      </c>
      <c r="T15" s="123">
        <f t="shared" si="4"/>
        <v>64.797462901984332</v>
      </c>
      <c r="U15" s="123">
        <f t="shared" si="4"/>
        <v>1146.9502117491124</v>
      </c>
      <c r="V15" s="123">
        <f t="shared" si="4"/>
        <v>0</v>
      </c>
      <c r="W15" s="124">
        <f t="shared" si="4"/>
        <v>36.758643707182323</v>
      </c>
      <c r="X15" s="124">
        <f t="shared" si="4"/>
        <v>0</v>
      </c>
      <c r="Y15" s="124">
        <f t="shared" si="4"/>
        <v>0</v>
      </c>
      <c r="Z15" s="123">
        <f t="shared" si="4"/>
        <v>0</v>
      </c>
      <c r="AA15" s="125">
        <f t="shared" si="4"/>
        <v>0</v>
      </c>
      <c r="AB15" s="126">
        <f t="shared" si="4"/>
        <v>0</v>
      </c>
      <c r="AC15" s="127">
        <f t="shared" si="4"/>
        <v>0</v>
      </c>
      <c r="AD15" s="123">
        <f t="shared" si="4"/>
        <v>0</v>
      </c>
      <c r="AE15" s="123">
        <f t="shared" si="4"/>
        <v>0</v>
      </c>
      <c r="AF15" s="123">
        <f t="shared" si="4"/>
        <v>0</v>
      </c>
      <c r="AG15" s="128">
        <f t="shared" si="4"/>
        <v>0</v>
      </c>
      <c r="AH15" s="128">
        <f t="shared" si="4"/>
        <v>0</v>
      </c>
      <c r="AI15" s="128">
        <f t="shared" si="4"/>
        <v>0</v>
      </c>
      <c r="AJ15" s="128">
        <f t="shared" si="4"/>
        <v>0</v>
      </c>
      <c r="AK15" s="122">
        <f t="shared" si="4"/>
        <v>0</v>
      </c>
      <c r="AL15" s="122">
        <f t="shared" si="4"/>
        <v>0</v>
      </c>
      <c r="AM15" s="124">
        <f t="shared" si="4"/>
        <v>0</v>
      </c>
      <c r="AN15" s="125">
        <f t="shared" si="4"/>
        <v>0</v>
      </c>
      <c r="AO15" s="125">
        <f t="shared" si="4"/>
        <v>1873.361490524092</v>
      </c>
      <c r="AP15" s="126">
        <f t="shared" si="4"/>
        <v>0</v>
      </c>
      <c r="AQ15" s="129">
        <f t="shared" si="0"/>
        <v>5104.8191577330599</v>
      </c>
      <c r="AR15" s="8"/>
      <c r="AS15" s="11"/>
    </row>
    <row r="16" spans="1:45" ht="12.75" customHeight="1">
      <c r="A16" s="96" t="s">
        <v>101</v>
      </c>
      <c r="B16" s="97"/>
      <c r="C16" s="98">
        <f>SUM(D16:G16)</f>
        <v>0</v>
      </c>
      <c r="D16" s="99"/>
      <c r="E16" s="100"/>
      <c r="F16" s="101"/>
      <c r="G16" s="101"/>
      <c r="H16" s="102">
        <f>SUM(I16:K16)</f>
        <v>0</v>
      </c>
      <c r="I16" s="99"/>
      <c r="J16" s="100"/>
      <c r="K16" s="100"/>
      <c r="L16" s="102">
        <f>SUM(M16:Z16)</f>
        <v>0</v>
      </c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1"/>
      <c r="X16" s="101"/>
      <c r="Y16" s="101"/>
      <c r="Z16" s="100"/>
      <c r="AA16" s="102"/>
      <c r="AB16" s="103">
        <f>SUM(AC16:AL16)</f>
        <v>0</v>
      </c>
      <c r="AC16" s="104"/>
      <c r="AD16" s="100"/>
      <c r="AE16" s="100"/>
      <c r="AF16" s="100"/>
      <c r="AG16" s="107"/>
      <c r="AH16" s="107"/>
      <c r="AI16" s="107"/>
      <c r="AJ16" s="107"/>
      <c r="AK16" s="99"/>
      <c r="AL16" s="99"/>
      <c r="AM16" s="101"/>
      <c r="AN16" s="105"/>
      <c r="AO16" s="105">
        <v>1667.7865923774164</v>
      </c>
      <c r="AP16" s="103"/>
      <c r="AQ16" s="130">
        <f>C16+H16+L16+AA16+AO16+AP16</f>
        <v>1667.7865923774164</v>
      </c>
    </row>
    <row r="17" spans="1:45" ht="12.75" customHeight="1">
      <c r="A17" s="49" t="s">
        <v>102</v>
      </c>
      <c r="B17" s="50"/>
      <c r="C17" s="51">
        <f>SUM(D17:G17)</f>
        <v>0</v>
      </c>
      <c r="D17" s="56"/>
      <c r="E17" s="57"/>
      <c r="F17" s="54"/>
      <c r="G17" s="54"/>
      <c r="H17" s="55">
        <f>SUM(I17:K17)</f>
        <v>0</v>
      </c>
      <c r="I17" s="56"/>
      <c r="J17" s="57"/>
      <c r="K17" s="57"/>
      <c r="L17" s="55">
        <f>SUM(M17:Z17)</f>
        <v>0</v>
      </c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4"/>
      <c r="X17" s="54"/>
      <c r="Y17" s="54"/>
      <c r="Z17" s="57"/>
      <c r="AA17" s="55"/>
      <c r="AB17" s="58">
        <f>SUM(AC17:AL17)</f>
        <v>0</v>
      </c>
      <c r="AC17" s="59"/>
      <c r="AD17" s="57"/>
      <c r="AE17" s="57"/>
      <c r="AF17" s="57"/>
      <c r="AG17" s="57"/>
      <c r="AH17" s="57"/>
      <c r="AI17" s="57"/>
      <c r="AJ17" s="57"/>
      <c r="AK17" s="56"/>
      <c r="AL17" s="56"/>
      <c r="AM17" s="54"/>
      <c r="AN17" s="60"/>
      <c r="AO17" s="131">
        <v>185.14395873624346</v>
      </c>
      <c r="AP17" s="58"/>
      <c r="AQ17" s="61">
        <f>C17+H17+L17+AA17+AO17+AP17</f>
        <v>185.14395873624346</v>
      </c>
    </row>
    <row r="18" spans="1:45" ht="12.75" customHeight="1">
      <c r="A18" s="49" t="s">
        <v>107</v>
      </c>
      <c r="B18" s="50"/>
      <c r="C18" s="51"/>
      <c r="D18" s="56"/>
      <c r="E18" s="57"/>
      <c r="F18" s="54"/>
      <c r="G18" s="54"/>
      <c r="H18" s="55"/>
      <c r="I18" s="56"/>
      <c r="J18" s="57"/>
      <c r="K18" s="57"/>
      <c r="L18" s="55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4"/>
      <c r="X18" s="54"/>
      <c r="Y18" s="54"/>
      <c r="Z18" s="57"/>
      <c r="AA18" s="55"/>
      <c r="AB18" s="58"/>
      <c r="AC18" s="59"/>
      <c r="AD18" s="57"/>
      <c r="AE18" s="57"/>
      <c r="AF18" s="57"/>
      <c r="AG18" s="57"/>
      <c r="AH18" s="57"/>
      <c r="AI18" s="57"/>
      <c r="AJ18" s="57"/>
      <c r="AK18" s="56"/>
      <c r="AL18" s="56"/>
      <c r="AM18" s="54"/>
      <c r="AN18" s="60"/>
      <c r="AO18" s="60">
        <v>20.430939410432</v>
      </c>
      <c r="AP18" s="58"/>
      <c r="AQ18" s="61">
        <f t="shared" si="0"/>
        <v>20.430939410432</v>
      </c>
    </row>
    <row r="19" spans="1:45" ht="12.75" customHeight="1">
      <c r="A19" s="49" t="s">
        <v>104</v>
      </c>
      <c r="B19" s="50"/>
      <c r="C19" s="51"/>
      <c r="D19" s="132"/>
      <c r="E19" s="57"/>
      <c r="F19" s="54"/>
      <c r="G19" s="54"/>
      <c r="H19" s="55">
        <f>SUM(I19:K19)</f>
        <v>64.671797999999995</v>
      </c>
      <c r="I19" s="56"/>
      <c r="J19" s="57"/>
      <c r="K19" s="57">
        <v>64.671797999999995</v>
      </c>
      <c r="L19" s="55">
        <f>SUM(M19:Z19)</f>
        <v>0</v>
      </c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4"/>
      <c r="X19" s="54"/>
      <c r="Y19" s="54"/>
      <c r="Z19" s="57"/>
      <c r="AA19" s="55"/>
      <c r="AB19" s="58">
        <f>SUM(AC19:AL19)</f>
        <v>0</v>
      </c>
      <c r="AC19" s="59"/>
      <c r="AD19" s="57"/>
      <c r="AE19" s="57"/>
      <c r="AF19" s="57"/>
      <c r="AG19" s="57"/>
      <c r="AH19" s="57"/>
      <c r="AI19" s="57"/>
      <c r="AJ19" s="57"/>
      <c r="AK19" s="56"/>
      <c r="AL19" s="56"/>
      <c r="AM19" s="54"/>
      <c r="AN19" s="60"/>
      <c r="AO19" s="60"/>
      <c r="AP19" s="58"/>
      <c r="AQ19" s="61">
        <f t="shared" si="0"/>
        <v>64.671797999999995</v>
      </c>
    </row>
    <row r="20" spans="1:45" ht="12.75" customHeight="1">
      <c r="A20" s="108" t="s">
        <v>108</v>
      </c>
      <c r="B20" s="109"/>
      <c r="C20" s="110"/>
      <c r="D20" s="111"/>
      <c r="E20" s="112"/>
      <c r="F20" s="113"/>
      <c r="G20" s="113"/>
      <c r="H20" s="114">
        <f>SUM(I20:K20)</f>
        <v>0</v>
      </c>
      <c r="I20" s="111"/>
      <c r="J20" s="112"/>
      <c r="K20" s="112"/>
      <c r="L20" s="114">
        <f>SUM(M20:Z20)</f>
        <v>3166.7858692089685</v>
      </c>
      <c r="M20" s="112"/>
      <c r="N20" s="112"/>
      <c r="O20" s="112">
        <v>90.017983923640699</v>
      </c>
      <c r="P20" s="112">
        <v>640.53679657777786</v>
      </c>
      <c r="Q20" s="112">
        <v>226.77459106847999</v>
      </c>
      <c r="R20" s="112">
        <v>0</v>
      </c>
      <c r="S20" s="112">
        <v>960.95017928079096</v>
      </c>
      <c r="T20" s="112">
        <v>64.797462901984332</v>
      </c>
      <c r="U20" s="112">
        <v>1146.9502117491124</v>
      </c>
      <c r="V20" s="112"/>
      <c r="W20" s="113">
        <v>36.758643707182323</v>
      </c>
      <c r="X20" s="113"/>
      <c r="Y20" s="113"/>
      <c r="Z20" s="112"/>
      <c r="AA20" s="114"/>
      <c r="AB20" s="115">
        <f>SUM(AC20:AL20)</f>
        <v>0</v>
      </c>
      <c r="AC20" s="116"/>
      <c r="AD20" s="112"/>
      <c r="AE20" s="112"/>
      <c r="AF20" s="112"/>
      <c r="AG20" s="112"/>
      <c r="AH20" s="112"/>
      <c r="AI20" s="112"/>
      <c r="AJ20" s="112"/>
      <c r="AK20" s="111"/>
      <c r="AL20" s="111"/>
      <c r="AM20" s="113"/>
      <c r="AN20" s="117"/>
      <c r="AO20" s="117"/>
      <c r="AP20" s="115"/>
      <c r="AQ20" s="118">
        <f t="shared" si="0"/>
        <v>3166.7858692089685</v>
      </c>
    </row>
    <row r="21" spans="1:45" ht="12.75" customHeight="1">
      <c r="A21" s="133" t="s">
        <v>109</v>
      </c>
      <c r="B21" s="134"/>
      <c r="C21" s="135">
        <f>SUM(C22:C24)</f>
        <v>22.240061570656763</v>
      </c>
      <c r="D21" s="136">
        <f>SUM(D22:D24)</f>
        <v>-17.141361188350004</v>
      </c>
      <c r="E21" s="137">
        <f>SUM(E22:E24)</f>
        <v>39.381422759006767</v>
      </c>
      <c r="F21" s="138">
        <f>SUM(F22:F24)</f>
        <v>0</v>
      </c>
      <c r="G21" s="138">
        <f>SUM(G22:G24)</f>
        <v>0</v>
      </c>
      <c r="H21" s="139">
        <f>SUM(I21:K21)</f>
        <v>0</v>
      </c>
      <c r="I21" s="136">
        <f>SUM(I22:I24)</f>
        <v>0</v>
      </c>
      <c r="J21" s="137">
        <f>SUM(J22:J24)</f>
        <v>0</v>
      </c>
      <c r="K21" s="137">
        <f>SUM(K22:K24)</f>
        <v>0</v>
      </c>
      <c r="L21" s="139">
        <f>SUM(M21:Z21)</f>
        <v>-24.953759699422424</v>
      </c>
      <c r="M21" s="137">
        <f t="shared" ref="M21:AQ21" si="5">SUM(M22:M24)</f>
        <v>0</v>
      </c>
      <c r="N21" s="137">
        <f t="shared" si="5"/>
        <v>30.880435114089789</v>
      </c>
      <c r="O21" s="137">
        <f t="shared" si="5"/>
        <v>0</v>
      </c>
      <c r="P21" s="137">
        <f t="shared" si="5"/>
        <v>-31.080771455555681</v>
      </c>
      <c r="Q21" s="137">
        <f t="shared" si="5"/>
        <v>374.46366644960005</v>
      </c>
      <c r="R21" s="137">
        <f t="shared" si="5"/>
        <v>-373.64776418279996</v>
      </c>
      <c r="S21" s="137">
        <f t="shared" si="5"/>
        <v>0</v>
      </c>
      <c r="T21" s="137">
        <f t="shared" si="5"/>
        <v>0</v>
      </c>
      <c r="U21" s="137">
        <f t="shared" si="5"/>
        <v>-3.3292640540998377</v>
      </c>
      <c r="V21" s="137">
        <f t="shared" si="5"/>
        <v>-22.240061570656767</v>
      </c>
      <c r="W21" s="138">
        <f t="shared" si="5"/>
        <v>0</v>
      </c>
      <c r="X21" s="138">
        <f t="shared" si="5"/>
        <v>0</v>
      </c>
      <c r="Y21" s="138">
        <f t="shared" si="5"/>
        <v>0</v>
      </c>
      <c r="Z21" s="137">
        <f t="shared" si="5"/>
        <v>0</v>
      </c>
      <c r="AA21" s="139">
        <f t="shared" si="5"/>
        <v>0</v>
      </c>
      <c r="AB21" s="140">
        <f t="shared" si="5"/>
        <v>-804.14402736760053</v>
      </c>
      <c r="AC21" s="141">
        <f t="shared" si="5"/>
        <v>-59.691708987970003</v>
      </c>
      <c r="AD21" s="137">
        <f t="shared" si="5"/>
        <v>-743.01992281532614</v>
      </c>
      <c r="AE21" s="137">
        <f t="shared" si="5"/>
        <v>0</v>
      </c>
      <c r="AF21" s="137">
        <f t="shared" si="5"/>
        <v>0</v>
      </c>
      <c r="AG21" s="142">
        <f t="shared" si="5"/>
        <v>0</v>
      </c>
      <c r="AH21" s="142">
        <f t="shared" si="5"/>
        <v>0</v>
      </c>
      <c r="AI21" s="142">
        <f t="shared" si="5"/>
        <v>0</v>
      </c>
      <c r="AJ21" s="142">
        <f t="shared" si="5"/>
        <v>0</v>
      </c>
      <c r="AK21" s="136">
        <f t="shared" si="5"/>
        <v>-1.4323955643044282</v>
      </c>
      <c r="AL21" s="142">
        <f t="shared" si="5"/>
        <v>0</v>
      </c>
      <c r="AM21" s="138">
        <f t="shared" si="5"/>
        <v>0</v>
      </c>
      <c r="AN21" s="143">
        <f t="shared" si="5"/>
        <v>0</v>
      </c>
      <c r="AO21" s="139">
        <f t="shared" si="5"/>
        <v>804.14402736760053</v>
      </c>
      <c r="AP21" s="140">
        <f t="shared" si="5"/>
        <v>0</v>
      </c>
      <c r="AQ21" s="144">
        <f t="shared" si="5"/>
        <v>-2.7136981287656603</v>
      </c>
    </row>
    <row r="22" spans="1:45" ht="12.75" customHeight="1">
      <c r="A22" s="96" t="s">
        <v>110</v>
      </c>
      <c r="B22" s="97"/>
      <c r="C22" s="145"/>
      <c r="D22" s="146"/>
      <c r="E22" s="147"/>
      <c r="F22" s="101"/>
      <c r="G22" s="101"/>
      <c r="H22" s="102"/>
      <c r="I22" s="148"/>
      <c r="J22" s="100"/>
      <c r="K22" s="100"/>
      <c r="L22" s="102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1"/>
      <c r="X22" s="101"/>
      <c r="Y22" s="101"/>
      <c r="Z22" s="100"/>
      <c r="AA22" s="102"/>
      <c r="AB22" s="103">
        <f>SUM(AC22:AM22)</f>
        <v>-804.14402736760053</v>
      </c>
      <c r="AC22" s="104">
        <f>-AC2</f>
        <v>-59.691708987970003</v>
      </c>
      <c r="AD22" s="100">
        <f>-AD2</f>
        <v>-743.01992281532614</v>
      </c>
      <c r="AE22" s="100"/>
      <c r="AF22" s="100"/>
      <c r="AG22" s="107"/>
      <c r="AH22" s="107"/>
      <c r="AI22" s="107"/>
      <c r="AJ22" s="107"/>
      <c r="AK22" s="99">
        <v>-1.4323955643044282</v>
      </c>
      <c r="AL22" s="107"/>
      <c r="AM22" s="101"/>
      <c r="AN22" s="105"/>
      <c r="AO22" s="102">
        <f>-(C22+H22+L22+AA22+AB22)</f>
        <v>804.14402736760053</v>
      </c>
      <c r="AP22" s="103"/>
      <c r="AQ22" s="130">
        <f>C22+H22+L22+AA22+AB22+AN22+AO22+AP22</f>
        <v>0</v>
      </c>
    </row>
    <row r="23" spans="1:45" ht="12.75" customHeight="1">
      <c r="A23" s="149" t="s">
        <v>111</v>
      </c>
      <c r="B23" s="120"/>
      <c r="C23" s="150"/>
      <c r="D23" s="151"/>
      <c r="E23" s="123"/>
      <c r="F23" s="152"/>
      <c r="G23" s="152"/>
      <c r="H23" s="125"/>
      <c r="I23" s="153"/>
      <c r="J23" s="154"/>
      <c r="K23" s="154"/>
      <c r="L23" s="125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2"/>
      <c r="X23" s="152"/>
      <c r="Y23" s="152"/>
      <c r="Z23" s="154"/>
      <c r="AA23" s="125"/>
      <c r="AB23" s="126"/>
      <c r="AC23" s="155"/>
      <c r="AD23" s="154"/>
      <c r="AE23" s="154"/>
      <c r="AF23" s="154"/>
      <c r="AG23" s="154"/>
      <c r="AH23" s="154"/>
      <c r="AI23" s="154"/>
      <c r="AJ23" s="154"/>
      <c r="AK23" s="156"/>
      <c r="AL23" s="156"/>
      <c r="AM23" s="152"/>
      <c r="AN23" s="157"/>
      <c r="AO23" s="125"/>
      <c r="AP23" s="126"/>
      <c r="AQ23" s="158">
        <f>C23+H23+L23+AA23+AB23+AN23+AO23+AP23</f>
        <v>0</v>
      </c>
    </row>
    <row r="24" spans="1:45" ht="12.75" customHeight="1" thickBot="1">
      <c r="A24" s="63" t="s">
        <v>112</v>
      </c>
      <c r="B24" s="64"/>
      <c r="C24" s="159">
        <f>SUM(D24:G24)</f>
        <v>22.240061570656763</v>
      </c>
      <c r="D24" s="160">
        <v>-17.141361188350004</v>
      </c>
      <c r="E24" s="71">
        <f>-D24-V24</f>
        <v>39.381422759006767</v>
      </c>
      <c r="F24" s="66"/>
      <c r="G24" s="66"/>
      <c r="H24" s="67"/>
      <c r="I24" s="161"/>
      <c r="J24" s="71"/>
      <c r="K24" s="71"/>
      <c r="L24" s="67">
        <f>SUM(N24:Z24)</f>
        <v>-24.953759699422424</v>
      </c>
      <c r="M24" s="71"/>
      <c r="N24" s="71">
        <v>30.880435114089789</v>
      </c>
      <c r="O24" s="71"/>
      <c r="P24" s="71">
        <v>-31.080771455555681</v>
      </c>
      <c r="Q24" s="71">
        <v>374.46366644960005</v>
      </c>
      <c r="R24" s="71">
        <v>-373.64776418279996</v>
      </c>
      <c r="S24" s="71">
        <v>0</v>
      </c>
      <c r="T24" s="71"/>
      <c r="U24" s="71">
        <v>-3.3292640540998377</v>
      </c>
      <c r="V24" s="66">
        <v>-22.240061570656767</v>
      </c>
      <c r="W24" s="66">
        <v>0</v>
      </c>
      <c r="X24" s="66"/>
      <c r="Y24" s="66"/>
      <c r="Z24" s="71"/>
      <c r="AA24" s="67"/>
      <c r="AB24" s="67">
        <f>SUM(AC24:AM24)</f>
        <v>0</v>
      </c>
      <c r="AC24" s="70"/>
      <c r="AD24" s="71"/>
      <c r="AE24" s="71"/>
      <c r="AF24" s="71"/>
      <c r="AG24" s="71"/>
      <c r="AH24" s="71"/>
      <c r="AI24" s="71"/>
      <c r="AJ24" s="71"/>
      <c r="AK24" s="68"/>
      <c r="AL24" s="68"/>
      <c r="AM24" s="66"/>
      <c r="AN24" s="72"/>
      <c r="AO24" s="67"/>
      <c r="AP24" s="69"/>
      <c r="AQ24" s="73">
        <f>C24+H24+L24+AA24+AB24+AN24+AO24+AP24</f>
        <v>-2.7136981287656603</v>
      </c>
    </row>
    <row r="25" spans="1:45" ht="12.75" customHeight="1" thickBot="1">
      <c r="A25" s="119" t="s">
        <v>113</v>
      </c>
      <c r="B25" s="120"/>
      <c r="C25" s="121">
        <f>SUM(D25:G25)</f>
        <v>0</v>
      </c>
      <c r="D25" s="122"/>
      <c r="E25" s="123"/>
      <c r="F25" s="152"/>
      <c r="G25" s="152"/>
      <c r="H25" s="125">
        <f>SUM(I25:K25)</f>
        <v>10.28324833984202</v>
      </c>
      <c r="I25" s="152">
        <v>10.28324833984202</v>
      </c>
      <c r="J25" s="154"/>
      <c r="K25" s="154"/>
      <c r="L25" s="125">
        <f>SUM(O25:Z25)</f>
        <v>98.284657617035819</v>
      </c>
      <c r="M25" s="154"/>
      <c r="N25" s="154"/>
      <c r="O25" s="154">
        <v>95.274692021714102</v>
      </c>
      <c r="P25" s="154"/>
      <c r="Q25" s="154"/>
      <c r="R25" s="154"/>
      <c r="S25" s="154">
        <v>0</v>
      </c>
      <c r="T25" s="154">
        <v>4.1693256233877908E-3</v>
      </c>
      <c r="U25" s="154">
        <v>3.0057962696983291</v>
      </c>
      <c r="V25" s="154"/>
      <c r="W25" s="152"/>
      <c r="X25" s="152"/>
      <c r="Y25" s="152"/>
      <c r="Z25" s="154"/>
      <c r="AA25" s="125">
        <v>57.528599543766255</v>
      </c>
      <c r="AB25" s="126">
        <f>SUM(AC25:AI25)</f>
        <v>0</v>
      </c>
      <c r="AC25" s="127"/>
      <c r="AD25" s="154"/>
      <c r="AE25" s="154"/>
      <c r="AF25" s="154"/>
      <c r="AG25" s="154"/>
      <c r="AH25" s="154"/>
      <c r="AI25" s="154"/>
      <c r="AJ25" s="154"/>
      <c r="AK25" s="156"/>
      <c r="AL25" s="156"/>
      <c r="AM25" s="152"/>
      <c r="AN25" s="157"/>
      <c r="AO25" s="125">
        <v>259.46681438260055</v>
      </c>
      <c r="AP25" s="126"/>
      <c r="AQ25" s="158">
        <f>C25+H25+L25+AA25+AB25+AN25+AO25+AP25</f>
        <v>425.56331988324462</v>
      </c>
    </row>
    <row r="26" spans="1:45" s="12" customFormat="1" ht="12.75" customHeight="1" thickBot="1">
      <c r="A26" s="162" t="s">
        <v>114</v>
      </c>
      <c r="B26" s="163"/>
      <c r="C26" s="164">
        <f t="shared" ref="C26:AP26" si="6">C7-C9+C15+C21-C25</f>
        <v>348.69297193905459</v>
      </c>
      <c r="D26" s="165">
        <f t="shared" si="6"/>
        <v>190.34389623369066</v>
      </c>
      <c r="E26" s="166">
        <f t="shared" si="6"/>
        <v>149.86072528467759</v>
      </c>
      <c r="F26" s="166">
        <f t="shared" si="6"/>
        <v>0</v>
      </c>
      <c r="G26" s="166">
        <f t="shared" si="6"/>
        <v>8.4883504206865013</v>
      </c>
      <c r="H26" s="167">
        <f t="shared" si="6"/>
        <v>199.31419506885081</v>
      </c>
      <c r="I26" s="165">
        <f t="shared" si="6"/>
        <v>0.37225106885087023</v>
      </c>
      <c r="J26" s="166">
        <f t="shared" si="6"/>
        <v>127.70399999999999</v>
      </c>
      <c r="K26" s="166">
        <f t="shared" si="6"/>
        <v>71.237943999999999</v>
      </c>
      <c r="L26" s="167">
        <f t="shared" si="6"/>
        <v>7296.7282199976062</v>
      </c>
      <c r="M26" s="166">
        <f t="shared" si="6"/>
        <v>0</v>
      </c>
      <c r="N26" s="166">
        <f t="shared" si="6"/>
        <v>-0.14794174855289199</v>
      </c>
      <c r="O26" s="166">
        <f t="shared" si="6"/>
        <v>-5.2567080980734033</v>
      </c>
      <c r="P26" s="166">
        <f t="shared" si="6"/>
        <v>799.46408249999979</v>
      </c>
      <c r="Q26" s="166">
        <f t="shared" si="6"/>
        <v>962.00436969728003</v>
      </c>
      <c r="R26" s="166">
        <f t="shared" si="6"/>
        <v>1095.3569190907197</v>
      </c>
      <c r="S26" s="166">
        <f t="shared" si="6"/>
        <v>39.21120498695575</v>
      </c>
      <c r="T26" s="166">
        <f t="shared" si="6"/>
        <v>187.88084937540125</v>
      </c>
      <c r="U26" s="166">
        <f t="shared" si="6"/>
        <v>3833.6812396704358</v>
      </c>
      <c r="V26" s="166">
        <f t="shared" si="6"/>
        <v>145.44440711224036</v>
      </c>
      <c r="W26" s="166">
        <f t="shared" si="6"/>
        <v>7.506512734116022</v>
      </c>
      <c r="X26" s="166">
        <f t="shared" si="6"/>
        <v>195.36275312176252</v>
      </c>
      <c r="Y26" s="166">
        <f t="shared" si="6"/>
        <v>1.2096467108549098</v>
      </c>
      <c r="Z26" s="166">
        <f t="shared" si="6"/>
        <v>35.010884844467988</v>
      </c>
      <c r="AA26" s="167">
        <f t="shared" si="6"/>
        <v>1921.4292269183238</v>
      </c>
      <c r="AB26" s="168">
        <f t="shared" si="6"/>
        <v>456.44000480998989</v>
      </c>
      <c r="AC26" s="94">
        <f t="shared" si="6"/>
        <v>0</v>
      </c>
      <c r="AD26" s="78">
        <f t="shared" si="6"/>
        <v>0</v>
      </c>
      <c r="AE26" s="78">
        <f t="shared" si="6"/>
        <v>196.67659478004623</v>
      </c>
      <c r="AF26" s="78">
        <f t="shared" si="6"/>
        <v>40.692904224132207</v>
      </c>
      <c r="AG26" s="78">
        <f t="shared" si="6"/>
        <v>0</v>
      </c>
      <c r="AH26" s="78">
        <f t="shared" si="6"/>
        <v>9.7770611234061491</v>
      </c>
      <c r="AI26" s="78">
        <f t="shared" si="6"/>
        <v>124.01266332172798</v>
      </c>
      <c r="AJ26" s="78">
        <f t="shared" si="6"/>
        <v>27.929372998367999</v>
      </c>
      <c r="AK26" s="80">
        <f t="shared" si="6"/>
        <v>0</v>
      </c>
      <c r="AL26" s="80">
        <f t="shared" si="6"/>
        <v>13.54608560366562</v>
      </c>
      <c r="AM26" s="169">
        <f t="shared" si="6"/>
        <v>43.805322758643676</v>
      </c>
      <c r="AN26" s="167">
        <f t="shared" si="6"/>
        <v>54.722939604974087</v>
      </c>
      <c r="AO26" s="167">
        <f t="shared" si="6"/>
        <v>2361.2693974490917</v>
      </c>
      <c r="AP26" s="168">
        <f t="shared" si="6"/>
        <v>0</v>
      </c>
      <c r="AQ26" s="170">
        <f>C26+H26+L26+AA26+AB26+AN26+AO26+AP26</f>
        <v>12638.596955787891</v>
      </c>
      <c r="AR26" s="8"/>
      <c r="AS26" s="11"/>
    </row>
    <row r="27" spans="1:45" s="12" customFormat="1" ht="12.75" customHeight="1">
      <c r="A27" s="74" t="s">
        <v>115</v>
      </c>
      <c r="B27" s="75"/>
      <c r="C27" s="76">
        <f t="shared" ref="C27:V27" si="7">C28</f>
        <v>0</v>
      </c>
      <c r="D27" s="80">
        <f t="shared" si="7"/>
        <v>0</v>
      </c>
      <c r="E27" s="78">
        <f t="shared" si="7"/>
        <v>0</v>
      </c>
      <c r="F27" s="93">
        <f t="shared" si="7"/>
        <v>0</v>
      </c>
      <c r="G27" s="93">
        <f t="shared" si="7"/>
        <v>0</v>
      </c>
      <c r="H27" s="79">
        <f t="shared" si="7"/>
        <v>0</v>
      </c>
      <c r="I27" s="80">
        <f t="shared" si="7"/>
        <v>0</v>
      </c>
      <c r="J27" s="78">
        <f t="shared" si="7"/>
        <v>0</v>
      </c>
      <c r="K27" s="78">
        <f t="shared" si="7"/>
        <v>0</v>
      </c>
      <c r="L27" s="79">
        <f t="shared" si="7"/>
        <v>231.58328467708543</v>
      </c>
      <c r="M27" s="78">
        <f t="shared" si="7"/>
        <v>0</v>
      </c>
      <c r="N27" s="78">
        <f t="shared" si="7"/>
        <v>0</v>
      </c>
      <c r="O27" s="78">
        <f t="shared" si="7"/>
        <v>0</v>
      </c>
      <c r="P27" s="78">
        <f t="shared" si="7"/>
        <v>0</v>
      </c>
      <c r="Q27" s="78">
        <f t="shared" si="7"/>
        <v>0</v>
      </c>
      <c r="R27" s="78">
        <f t="shared" si="7"/>
        <v>0</v>
      </c>
      <c r="S27" s="78">
        <f t="shared" si="7"/>
        <v>0</v>
      </c>
      <c r="T27" s="78">
        <f t="shared" si="7"/>
        <v>0</v>
      </c>
      <c r="U27" s="78">
        <f t="shared" si="7"/>
        <v>0</v>
      </c>
      <c r="V27" s="78">
        <f t="shared" si="7"/>
        <v>0</v>
      </c>
      <c r="W27" s="93"/>
      <c r="X27" s="93">
        <f t="shared" ref="X27:AQ27" si="8">X28</f>
        <v>195.36275312176252</v>
      </c>
      <c r="Y27" s="93">
        <f t="shared" si="8"/>
        <v>1.2096467108549098</v>
      </c>
      <c r="Z27" s="78">
        <f t="shared" si="8"/>
        <v>35.010884844467988</v>
      </c>
      <c r="AA27" s="79">
        <f t="shared" si="8"/>
        <v>0</v>
      </c>
      <c r="AB27" s="77">
        <f t="shared" si="8"/>
        <v>0</v>
      </c>
      <c r="AC27" s="94">
        <f t="shared" si="8"/>
        <v>0</v>
      </c>
      <c r="AD27" s="78">
        <f t="shared" si="8"/>
        <v>0</v>
      </c>
      <c r="AE27" s="78">
        <f t="shared" si="8"/>
        <v>0</v>
      </c>
      <c r="AF27" s="78">
        <f t="shared" si="8"/>
        <v>0</v>
      </c>
      <c r="AG27" s="78">
        <f t="shared" si="8"/>
        <v>0</v>
      </c>
      <c r="AH27" s="78">
        <f t="shared" si="8"/>
        <v>0</v>
      </c>
      <c r="AI27" s="78">
        <f t="shared" si="8"/>
        <v>0</v>
      </c>
      <c r="AJ27" s="78">
        <f t="shared" si="8"/>
        <v>0</v>
      </c>
      <c r="AK27" s="80">
        <f t="shared" si="8"/>
        <v>0</v>
      </c>
      <c r="AL27" s="80">
        <f t="shared" si="8"/>
        <v>0</v>
      </c>
      <c r="AM27" s="93">
        <f t="shared" si="8"/>
        <v>0</v>
      </c>
      <c r="AN27" s="79">
        <f t="shared" si="8"/>
        <v>0</v>
      </c>
      <c r="AO27" s="79">
        <f t="shared" si="8"/>
        <v>0</v>
      </c>
      <c r="AP27" s="77">
        <f t="shared" si="8"/>
        <v>0</v>
      </c>
      <c r="AQ27" s="82">
        <f t="shared" si="8"/>
        <v>231.58328467708543</v>
      </c>
      <c r="AR27" s="8"/>
      <c r="AS27" s="11"/>
    </row>
    <row r="28" spans="1:45" ht="12.75" customHeight="1" thickBot="1">
      <c r="A28" s="171" t="s">
        <v>116</v>
      </c>
      <c r="B28" s="172"/>
      <c r="C28" s="173">
        <f>SUM(D28:G28)</f>
        <v>0</v>
      </c>
      <c r="D28" s="136"/>
      <c r="E28" s="137"/>
      <c r="F28" s="138"/>
      <c r="G28" s="138"/>
      <c r="H28" s="143">
        <f>SUM(I28:K28)</f>
        <v>0</v>
      </c>
      <c r="I28" s="136"/>
      <c r="J28" s="137"/>
      <c r="K28" s="137"/>
      <c r="L28" s="143">
        <f>SUM(M28:Z28)</f>
        <v>231.58328467708543</v>
      </c>
      <c r="M28" s="137"/>
      <c r="N28" s="137"/>
      <c r="O28" s="137"/>
      <c r="P28" s="137"/>
      <c r="Q28" s="137"/>
      <c r="R28" s="137"/>
      <c r="S28" s="137"/>
      <c r="T28" s="137"/>
      <c r="U28" s="137"/>
      <c r="V28" s="137"/>
      <c r="W28" s="138"/>
      <c r="X28" s="138">
        <f>X26</f>
        <v>195.36275312176252</v>
      </c>
      <c r="Y28" s="138">
        <f>Y26</f>
        <v>1.2096467108549098</v>
      </c>
      <c r="Z28" s="137">
        <f>Z26</f>
        <v>35.010884844467988</v>
      </c>
      <c r="AA28" s="143">
        <v>0</v>
      </c>
      <c r="AB28" s="174">
        <f>SUM(AC28:AI28)</f>
        <v>0</v>
      </c>
      <c r="AC28" s="141"/>
      <c r="AD28" s="137"/>
      <c r="AE28" s="137"/>
      <c r="AF28" s="137"/>
      <c r="AG28" s="137"/>
      <c r="AH28" s="137"/>
      <c r="AI28" s="137"/>
      <c r="AJ28" s="137"/>
      <c r="AK28" s="136"/>
      <c r="AL28" s="136"/>
      <c r="AM28" s="138"/>
      <c r="AN28" s="143"/>
      <c r="AO28" s="143"/>
      <c r="AP28" s="174"/>
      <c r="AQ28" s="144">
        <f t="shared" ref="AQ28:AQ72" si="9">C28+H28+L28+AA28+AB28+AN28+AO28+AP28</f>
        <v>231.58328467708543</v>
      </c>
    </row>
    <row r="29" spans="1:45" s="12" customFormat="1" ht="12.75" customHeight="1" thickBot="1">
      <c r="A29" s="74" t="s">
        <v>117</v>
      </c>
      <c r="B29" s="75"/>
      <c r="C29" s="76">
        <f t="shared" ref="C29:AQ29" si="10">C30+C45+C56+C58+C65+C70+C71</f>
        <v>351.41289633822032</v>
      </c>
      <c r="D29" s="80">
        <f t="shared" si="10"/>
        <v>190.16205136582681</v>
      </c>
      <c r="E29" s="78">
        <f t="shared" si="10"/>
        <v>153.30941368399715</v>
      </c>
      <c r="F29" s="93">
        <f t="shared" si="10"/>
        <v>0</v>
      </c>
      <c r="G29" s="93">
        <f t="shared" si="10"/>
        <v>7.795884678396293</v>
      </c>
      <c r="H29" s="79">
        <f t="shared" si="10"/>
        <v>197.36847005356</v>
      </c>
      <c r="I29" s="80">
        <f t="shared" si="10"/>
        <v>0.82966372355999995</v>
      </c>
      <c r="J29" s="80">
        <f t="shared" si="10"/>
        <v>127.70399999999999</v>
      </c>
      <c r="K29" s="80">
        <f t="shared" si="10"/>
        <v>68.834806329999992</v>
      </c>
      <c r="L29" s="79">
        <f t="shared" si="10"/>
        <v>7065.3194555859664</v>
      </c>
      <c r="M29" s="78">
        <f t="shared" si="10"/>
        <v>0</v>
      </c>
      <c r="N29" s="78">
        <f t="shared" si="10"/>
        <v>0</v>
      </c>
      <c r="O29" s="78">
        <f t="shared" si="10"/>
        <v>0</v>
      </c>
      <c r="P29" s="78">
        <f t="shared" si="10"/>
        <v>821.48002832197096</v>
      </c>
      <c r="Q29" s="78">
        <f t="shared" si="10"/>
        <v>946.63395628255989</v>
      </c>
      <c r="R29" s="78">
        <f t="shared" si="10"/>
        <v>1102.0673096951998</v>
      </c>
      <c r="S29" s="78">
        <f t="shared" si="10"/>
        <v>31.039400915077643</v>
      </c>
      <c r="T29" s="78">
        <f t="shared" si="10"/>
        <v>181.32381570558749</v>
      </c>
      <c r="U29" s="78">
        <f t="shared" si="10"/>
        <v>3838.1558666328419</v>
      </c>
      <c r="V29" s="78">
        <f t="shared" si="10"/>
        <v>144.61907803272823</v>
      </c>
      <c r="W29" s="93">
        <f t="shared" si="10"/>
        <v>0</v>
      </c>
      <c r="X29" s="93">
        <f t="shared" si="10"/>
        <v>0</v>
      </c>
      <c r="Y29" s="93">
        <f t="shared" si="10"/>
        <v>0</v>
      </c>
      <c r="Z29" s="80">
        <f t="shared" si="10"/>
        <v>0</v>
      </c>
      <c r="AA29" s="167">
        <f t="shared" si="10"/>
        <v>1961.7039372255224</v>
      </c>
      <c r="AB29" s="77">
        <f t="shared" si="10"/>
        <v>464.57031831216926</v>
      </c>
      <c r="AC29" s="94">
        <f t="shared" si="10"/>
        <v>0</v>
      </c>
      <c r="AD29" s="78">
        <f t="shared" si="10"/>
        <v>0</v>
      </c>
      <c r="AE29" s="78">
        <f t="shared" si="10"/>
        <v>202.50934255862566</v>
      </c>
      <c r="AF29" s="78">
        <f t="shared" si="10"/>
        <v>40.692904224132199</v>
      </c>
      <c r="AG29" s="78">
        <f t="shared" si="10"/>
        <v>0</v>
      </c>
      <c r="AH29" s="78">
        <f t="shared" si="10"/>
        <v>9.7770611234061491</v>
      </c>
      <c r="AI29" s="78">
        <f t="shared" si="10"/>
        <v>126.968349188928</v>
      </c>
      <c r="AJ29" s="78">
        <f t="shared" si="10"/>
        <v>27.271252854767997</v>
      </c>
      <c r="AK29" s="77">
        <f t="shared" si="10"/>
        <v>0</v>
      </c>
      <c r="AL29" s="77">
        <f>AL30+AL45+AL56+AL58+AL65+AL70+AL71</f>
        <v>13.546085603665619</v>
      </c>
      <c r="AM29" s="77">
        <f t="shared" si="10"/>
        <v>43.805322758643683</v>
      </c>
      <c r="AN29" s="77">
        <f t="shared" si="10"/>
        <v>54.722939604974094</v>
      </c>
      <c r="AO29" s="79">
        <f t="shared" si="10"/>
        <v>2397.4208343089181</v>
      </c>
      <c r="AP29" s="77">
        <f t="shared" si="10"/>
        <v>0</v>
      </c>
      <c r="AQ29" s="170">
        <f t="shared" si="10"/>
        <v>12492.518851429331</v>
      </c>
      <c r="AR29" s="8"/>
      <c r="AS29" s="11"/>
    </row>
    <row r="30" spans="1:45" s="12" customFormat="1" ht="12.75" customHeight="1">
      <c r="A30" s="175" t="s">
        <v>118</v>
      </c>
      <c r="B30" s="176"/>
      <c r="C30" s="177">
        <f>SUM(C31:C44)</f>
        <v>105.57009591000003</v>
      </c>
      <c r="D30" s="178">
        <v>105.4245493</v>
      </c>
      <c r="E30" s="178">
        <v>0</v>
      </c>
      <c r="F30" s="179"/>
      <c r="G30" s="179"/>
      <c r="H30" s="180">
        <f t="shared" ref="H30:P30" si="11">SUM(H31:H44)</f>
        <v>0.82966372355999995</v>
      </c>
      <c r="I30" s="181">
        <f t="shared" si="11"/>
        <v>0.82966372355999995</v>
      </c>
      <c r="J30" s="178">
        <f t="shared" si="11"/>
        <v>0</v>
      </c>
      <c r="K30" s="178">
        <f t="shared" si="11"/>
        <v>0</v>
      </c>
      <c r="L30" s="180">
        <f t="shared" si="11"/>
        <v>374.2907898235643</v>
      </c>
      <c r="M30" s="178">
        <f t="shared" si="11"/>
        <v>0</v>
      </c>
      <c r="N30" s="178">
        <f t="shared" si="11"/>
        <v>0</v>
      </c>
      <c r="O30" s="178">
        <f t="shared" si="11"/>
        <v>0</v>
      </c>
      <c r="P30" s="178">
        <f t="shared" si="11"/>
        <v>0</v>
      </c>
      <c r="Q30" s="178">
        <v>9.5497368091127406</v>
      </c>
      <c r="R30" s="178">
        <f>SUM(R31:R44)</f>
        <v>0</v>
      </c>
      <c r="S30" s="178">
        <v>30.396553446461994</v>
      </c>
      <c r="T30" s="178">
        <v>55.909311724159259</v>
      </c>
      <c r="U30" s="178">
        <v>137.32678867057862</v>
      </c>
      <c r="V30" s="178">
        <v>141.10839917325163</v>
      </c>
      <c r="W30" s="178">
        <f>SUM(W31:W44)</f>
        <v>0</v>
      </c>
      <c r="X30" s="178">
        <f>SUM(X31:X44)</f>
        <v>0</v>
      </c>
      <c r="Y30" s="178">
        <f>SUM(Y31:Y44)</f>
        <v>0</v>
      </c>
      <c r="Z30" s="178">
        <f>SUM(Z31:Z44)</f>
        <v>0</v>
      </c>
      <c r="AA30" s="180">
        <v>937.35749564856553</v>
      </c>
      <c r="AB30" s="182">
        <f t="shared" ref="AB30:AN30" si="12">SUM(AB31:AB44)</f>
        <v>196.85576511692614</v>
      </c>
      <c r="AC30" s="183">
        <f t="shared" si="12"/>
        <v>0</v>
      </c>
      <c r="AD30" s="178">
        <f t="shared" si="12"/>
        <v>0</v>
      </c>
      <c r="AE30" s="178">
        <f t="shared" si="12"/>
        <v>153.9273551380638</v>
      </c>
      <c r="AF30" s="178">
        <f t="shared" si="12"/>
        <v>40.692904224132199</v>
      </c>
      <c r="AG30" s="178">
        <f t="shared" si="12"/>
        <v>0</v>
      </c>
      <c r="AH30" s="178">
        <f t="shared" si="12"/>
        <v>2.2355057547301662</v>
      </c>
      <c r="AI30" s="178">
        <f t="shared" si="12"/>
        <v>0</v>
      </c>
      <c r="AJ30" s="178">
        <f t="shared" si="12"/>
        <v>0</v>
      </c>
      <c r="AK30" s="178">
        <f t="shared" si="12"/>
        <v>0</v>
      </c>
      <c r="AL30" s="178">
        <f t="shared" si="12"/>
        <v>0</v>
      </c>
      <c r="AM30" s="184">
        <f t="shared" si="12"/>
        <v>0</v>
      </c>
      <c r="AN30" s="181">
        <f t="shared" si="12"/>
        <v>54.722939604974094</v>
      </c>
      <c r="AO30" s="180">
        <v>621.72214114590861</v>
      </c>
      <c r="AP30" s="182">
        <f>SUM(AP31:AP44)</f>
        <v>0</v>
      </c>
      <c r="AQ30" s="95">
        <f>C30+H30+L30+AA30+AB30+AN30+AO30+AP30</f>
        <v>2291.3488909734988</v>
      </c>
      <c r="AR30" s="8"/>
      <c r="AS30" s="16"/>
    </row>
    <row r="31" spans="1:45" ht="12.75" customHeight="1">
      <c r="A31" s="185" t="s">
        <v>119</v>
      </c>
      <c r="B31" s="186" t="s">
        <v>120</v>
      </c>
      <c r="C31" s="187">
        <f t="shared" ref="C31:C43" si="13">SUM(D31:G31)</f>
        <v>0</v>
      </c>
      <c r="D31" s="104">
        <v>0</v>
      </c>
      <c r="E31" s="188"/>
      <c r="F31" s="188"/>
      <c r="G31" s="189"/>
      <c r="H31" s="190">
        <f t="shared" ref="H31:H43" si="14">SUM(I31:K31)</f>
        <v>0</v>
      </c>
      <c r="I31" s="191"/>
      <c r="J31" s="107"/>
      <c r="K31" s="107"/>
      <c r="L31" s="190">
        <f t="shared" ref="L31:L43" si="15">SUM(M31:Z31)</f>
        <v>22.334930091304539</v>
      </c>
      <c r="M31" s="107"/>
      <c r="N31" s="107"/>
      <c r="O31" s="107"/>
      <c r="P31" s="192"/>
      <c r="Q31" s="148">
        <v>0.34591578903338577</v>
      </c>
      <c r="R31" s="188"/>
      <c r="S31" s="148">
        <v>0</v>
      </c>
      <c r="T31" s="148">
        <v>1.3603740574248424</v>
      </c>
      <c r="U31" s="148">
        <v>20.628640244846309</v>
      </c>
      <c r="V31" s="148">
        <v>0</v>
      </c>
      <c r="W31" s="188"/>
      <c r="X31" s="191"/>
      <c r="Y31" s="192"/>
      <c r="Z31" s="107"/>
      <c r="AA31" s="105">
        <v>8.7861347374034651</v>
      </c>
      <c r="AB31" s="193">
        <f t="shared" ref="AB31:AB43" si="16">SUM(AC31:AM31)</f>
        <v>0</v>
      </c>
      <c r="AC31" s="194"/>
      <c r="AD31" s="107"/>
      <c r="AE31" s="107"/>
      <c r="AF31" s="107"/>
      <c r="AG31" s="107"/>
      <c r="AH31" s="107"/>
      <c r="AI31" s="107"/>
      <c r="AJ31" s="107"/>
      <c r="AK31" s="99"/>
      <c r="AL31" s="101"/>
      <c r="AM31" s="107"/>
      <c r="AN31" s="105"/>
      <c r="AO31" s="105">
        <v>18.350912208427118</v>
      </c>
      <c r="AP31" s="193"/>
      <c r="AQ31" s="106">
        <f t="shared" si="9"/>
        <v>49.471977037135119</v>
      </c>
    </row>
    <row r="32" spans="1:45" ht="12.75" customHeight="1">
      <c r="A32" s="195" t="s">
        <v>121</v>
      </c>
      <c r="B32" s="196" t="s">
        <v>122</v>
      </c>
      <c r="C32" s="51">
        <f t="shared" si="13"/>
        <v>18.505815952000003</v>
      </c>
      <c r="D32" s="59">
        <v>18.505815952000003</v>
      </c>
      <c r="E32" s="197"/>
      <c r="F32" s="197"/>
      <c r="G32" s="198"/>
      <c r="H32" s="55">
        <f t="shared" si="14"/>
        <v>0.82966372355999995</v>
      </c>
      <c r="I32" s="56">
        <v>0.82966372355999995</v>
      </c>
      <c r="J32" s="57"/>
      <c r="K32" s="57"/>
      <c r="L32" s="55">
        <f t="shared" si="15"/>
        <v>71.784094369696632</v>
      </c>
      <c r="M32" s="57"/>
      <c r="N32" s="57"/>
      <c r="O32" s="57"/>
      <c r="P32" s="192"/>
      <c r="Q32" s="197">
        <v>2.0660606672266768</v>
      </c>
      <c r="R32" s="197"/>
      <c r="S32" s="197">
        <v>22.968462416696998</v>
      </c>
      <c r="T32" s="197">
        <v>30.662877604409012</v>
      </c>
      <c r="U32" s="197">
        <v>16.086693681363943</v>
      </c>
      <c r="V32" s="197">
        <v>0</v>
      </c>
      <c r="W32" s="197"/>
      <c r="X32" s="56"/>
      <c r="Y32" s="54"/>
      <c r="Z32" s="57"/>
      <c r="AA32" s="60">
        <v>265.46537885977392</v>
      </c>
      <c r="AB32" s="58">
        <f t="shared" si="16"/>
        <v>26.063524749810167</v>
      </c>
      <c r="AC32" s="59"/>
      <c r="AD32" s="57"/>
      <c r="AE32" s="57">
        <v>23.828018995080001</v>
      </c>
      <c r="AF32" s="57"/>
      <c r="AG32" s="107"/>
      <c r="AH32" s="107">
        <v>2.2355057547301662</v>
      </c>
      <c r="AI32" s="107"/>
      <c r="AJ32" s="107"/>
      <c r="AK32" s="56"/>
      <c r="AL32" s="54"/>
      <c r="AM32" s="57"/>
      <c r="AN32" s="60"/>
      <c r="AO32" s="60">
        <v>148.76072128018708</v>
      </c>
      <c r="AP32" s="58"/>
      <c r="AQ32" s="61">
        <f t="shared" si="9"/>
        <v>531.4091989350278</v>
      </c>
    </row>
    <row r="33" spans="1:45" ht="12.75" customHeight="1">
      <c r="A33" s="195" t="s">
        <v>123</v>
      </c>
      <c r="B33" s="199" t="s">
        <v>124</v>
      </c>
      <c r="C33" s="51">
        <f t="shared" si="13"/>
        <v>0</v>
      </c>
      <c r="D33" s="59">
        <v>0</v>
      </c>
      <c r="E33" s="197"/>
      <c r="F33" s="197"/>
      <c r="G33" s="198"/>
      <c r="H33" s="55">
        <f t="shared" si="14"/>
        <v>0</v>
      </c>
      <c r="I33" s="56"/>
      <c r="J33" s="57"/>
      <c r="K33" s="57"/>
      <c r="L33" s="55">
        <f t="shared" si="15"/>
        <v>3.9848369673637745</v>
      </c>
      <c r="M33" s="57"/>
      <c r="N33" s="57"/>
      <c r="O33" s="57"/>
      <c r="P33" s="192"/>
      <c r="Q33" s="197">
        <v>6.1845550160514413E-2</v>
      </c>
      <c r="R33" s="197"/>
      <c r="S33" s="197">
        <v>0</v>
      </c>
      <c r="T33" s="197">
        <v>3.2282811958991577</v>
      </c>
      <c r="U33" s="197">
        <v>0.69471022130410232</v>
      </c>
      <c r="V33" s="197">
        <v>0</v>
      </c>
      <c r="W33" s="197"/>
      <c r="X33" s="56"/>
      <c r="Y33" s="54"/>
      <c r="Z33" s="57"/>
      <c r="AA33" s="60">
        <v>19.827078866680154</v>
      </c>
      <c r="AB33" s="58">
        <f t="shared" si="16"/>
        <v>0</v>
      </c>
      <c r="AC33" s="59"/>
      <c r="AD33" s="57"/>
      <c r="AE33" s="57"/>
      <c r="AF33" s="57"/>
      <c r="AG33" s="107"/>
      <c r="AH33" s="107"/>
      <c r="AI33" s="107"/>
      <c r="AJ33" s="107"/>
      <c r="AK33" s="56"/>
      <c r="AL33" s="54"/>
      <c r="AM33" s="57"/>
      <c r="AN33" s="60"/>
      <c r="AO33" s="60">
        <v>4.8844128009868593</v>
      </c>
      <c r="AP33" s="58"/>
      <c r="AQ33" s="61">
        <f t="shared" si="9"/>
        <v>28.696328635030788</v>
      </c>
    </row>
    <row r="34" spans="1:45" ht="12.75" customHeight="1">
      <c r="A34" s="195" t="s">
        <v>125</v>
      </c>
      <c r="B34" s="199" t="s">
        <v>126</v>
      </c>
      <c r="C34" s="51">
        <f t="shared" si="13"/>
        <v>0</v>
      </c>
      <c r="D34" s="59">
        <v>0</v>
      </c>
      <c r="E34" s="197"/>
      <c r="F34" s="197"/>
      <c r="G34" s="198"/>
      <c r="H34" s="55">
        <f t="shared" si="14"/>
        <v>0</v>
      </c>
      <c r="I34" s="56"/>
      <c r="J34" s="57"/>
      <c r="K34" s="57"/>
      <c r="L34" s="55">
        <f t="shared" si="15"/>
        <v>2.6182891559382289</v>
      </c>
      <c r="M34" s="57"/>
      <c r="N34" s="57"/>
      <c r="O34" s="57"/>
      <c r="P34" s="192"/>
      <c r="Q34" s="197">
        <v>8.9099521417690272E-2</v>
      </c>
      <c r="R34" s="197"/>
      <c r="S34" s="197">
        <v>0</v>
      </c>
      <c r="T34" s="197">
        <v>0.28505282634285456</v>
      </c>
      <c r="U34" s="197">
        <v>2.244136808177684</v>
      </c>
      <c r="V34" s="197">
        <v>0</v>
      </c>
      <c r="W34" s="197"/>
      <c r="X34" s="56"/>
      <c r="Y34" s="54"/>
      <c r="Z34" s="57"/>
      <c r="AA34" s="60">
        <v>3.0214445851101197</v>
      </c>
      <c r="AB34" s="58">
        <f t="shared" si="16"/>
        <v>127.87356205415999</v>
      </c>
      <c r="AC34" s="59"/>
      <c r="AD34" s="57"/>
      <c r="AE34" s="57">
        <v>127.87356205415999</v>
      </c>
      <c r="AF34" s="57"/>
      <c r="AG34" s="107"/>
      <c r="AH34" s="107"/>
      <c r="AI34" s="107"/>
      <c r="AJ34" s="107"/>
      <c r="AK34" s="56"/>
      <c r="AL34" s="54"/>
      <c r="AM34" s="57"/>
      <c r="AN34" s="60"/>
      <c r="AO34" s="60">
        <v>26.251691103783244</v>
      </c>
      <c r="AP34" s="58"/>
      <c r="AQ34" s="61">
        <f t="shared" si="9"/>
        <v>159.76498689899159</v>
      </c>
    </row>
    <row r="35" spans="1:45" ht="12.75" customHeight="1">
      <c r="A35" s="195" t="s">
        <v>127</v>
      </c>
      <c r="B35" s="199" t="s">
        <v>128</v>
      </c>
      <c r="C35" s="51">
        <f t="shared" si="13"/>
        <v>0</v>
      </c>
      <c r="D35" s="59">
        <v>0</v>
      </c>
      <c r="E35" s="197"/>
      <c r="F35" s="197"/>
      <c r="G35" s="198"/>
      <c r="H35" s="55">
        <f t="shared" si="14"/>
        <v>0</v>
      </c>
      <c r="I35" s="56"/>
      <c r="J35" s="57"/>
      <c r="K35" s="57"/>
      <c r="L35" s="55">
        <f t="shared" si="15"/>
        <v>0.83838358845358163</v>
      </c>
      <c r="M35" s="57"/>
      <c r="N35" s="57"/>
      <c r="O35" s="57"/>
      <c r="P35" s="192"/>
      <c r="Q35" s="197">
        <v>0.19497071745518102</v>
      </c>
      <c r="R35" s="197"/>
      <c r="S35" s="197">
        <v>0</v>
      </c>
      <c r="T35" s="197">
        <v>5.0985058370266664E-2</v>
      </c>
      <c r="U35" s="197">
        <v>0.59242781262813393</v>
      </c>
      <c r="V35" s="197">
        <v>0</v>
      </c>
      <c r="W35" s="197"/>
      <c r="X35" s="56"/>
      <c r="Y35" s="54"/>
      <c r="Z35" s="57"/>
      <c r="AA35" s="60">
        <v>4.5940947412447954</v>
      </c>
      <c r="AB35" s="58">
        <f t="shared" si="16"/>
        <v>0</v>
      </c>
      <c r="AC35" s="59"/>
      <c r="AD35" s="57"/>
      <c r="AE35" s="57"/>
      <c r="AF35" s="57"/>
      <c r="AG35" s="107"/>
      <c r="AH35" s="107"/>
      <c r="AI35" s="107"/>
      <c r="AJ35" s="107"/>
      <c r="AK35" s="56"/>
      <c r="AL35" s="54"/>
      <c r="AM35" s="57"/>
      <c r="AN35" s="60"/>
      <c r="AO35" s="60">
        <v>10.638816275668107</v>
      </c>
      <c r="AP35" s="58"/>
      <c r="AQ35" s="61">
        <f t="shared" si="9"/>
        <v>16.071294605366482</v>
      </c>
    </row>
    <row r="36" spans="1:45" ht="12.75" customHeight="1">
      <c r="A36" s="195" t="s">
        <v>129</v>
      </c>
      <c r="B36" s="199" t="s">
        <v>130</v>
      </c>
      <c r="C36" s="51">
        <f t="shared" si="13"/>
        <v>0</v>
      </c>
      <c r="D36" s="194">
        <v>0</v>
      </c>
      <c r="E36" s="197"/>
      <c r="F36" s="197"/>
      <c r="G36" s="198"/>
      <c r="H36" s="55">
        <f t="shared" si="14"/>
        <v>0</v>
      </c>
      <c r="I36" s="56"/>
      <c r="J36" s="57"/>
      <c r="K36" s="57"/>
      <c r="L36" s="55">
        <f t="shared" si="15"/>
        <v>20.491702651385793</v>
      </c>
      <c r="M36" s="57"/>
      <c r="N36" s="57"/>
      <c r="O36" s="57"/>
      <c r="P36" s="192"/>
      <c r="Q36" s="188">
        <v>0.29140784651903406</v>
      </c>
      <c r="R36" s="197"/>
      <c r="S36" s="188">
        <v>2.7458233928999998</v>
      </c>
      <c r="T36" s="188">
        <v>2.7311768767890574</v>
      </c>
      <c r="U36" s="188">
        <v>4.9055048279840703</v>
      </c>
      <c r="V36" s="188">
        <v>9.8177897071936346</v>
      </c>
      <c r="W36" s="197"/>
      <c r="X36" s="56"/>
      <c r="Y36" s="54"/>
      <c r="Z36" s="57"/>
      <c r="AA36" s="200">
        <v>128.0014006524043</v>
      </c>
      <c r="AB36" s="58">
        <f t="shared" si="16"/>
        <v>0</v>
      </c>
      <c r="AC36" s="59"/>
      <c r="AD36" s="57"/>
      <c r="AE36" s="57">
        <v>0</v>
      </c>
      <c r="AF36" s="57"/>
      <c r="AG36" s="107"/>
      <c r="AH36" s="107"/>
      <c r="AI36" s="107"/>
      <c r="AJ36" s="107"/>
      <c r="AK36" s="191"/>
      <c r="AL36" s="192"/>
      <c r="AM36" s="57"/>
      <c r="AN36" s="200"/>
      <c r="AO36" s="200">
        <v>104.62854472087723</v>
      </c>
      <c r="AP36" s="58"/>
      <c r="AQ36" s="61">
        <f t="shared" si="9"/>
        <v>253.12164802466731</v>
      </c>
    </row>
    <row r="37" spans="1:45" ht="12.75" customHeight="1">
      <c r="A37" s="195" t="s">
        <v>131</v>
      </c>
      <c r="B37" s="199" t="s">
        <v>132</v>
      </c>
      <c r="C37" s="51">
        <f t="shared" si="13"/>
        <v>0</v>
      </c>
      <c r="D37" s="59">
        <v>0</v>
      </c>
      <c r="E37" s="197"/>
      <c r="F37" s="197"/>
      <c r="G37" s="198"/>
      <c r="H37" s="55">
        <f t="shared" si="14"/>
        <v>0</v>
      </c>
      <c r="I37" s="56"/>
      <c r="J37" s="57"/>
      <c r="K37" s="57"/>
      <c r="L37" s="55">
        <f t="shared" si="15"/>
        <v>4.5221622064203446</v>
      </c>
      <c r="M37" s="57"/>
      <c r="N37" s="57"/>
      <c r="O37" s="57"/>
      <c r="P37" s="192"/>
      <c r="Q37" s="197">
        <v>1.8396430598593692</v>
      </c>
      <c r="R37" s="197"/>
      <c r="S37" s="197">
        <v>0</v>
      </c>
      <c r="T37" s="197">
        <v>1.2363876654789667</v>
      </c>
      <c r="U37" s="197">
        <v>1.446131481082009</v>
      </c>
      <c r="V37" s="197">
        <v>0</v>
      </c>
      <c r="W37" s="197"/>
      <c r="X37" s="56"/>
      <c r="Y37" s="54"/>
      <c r="Z37" s="57"/>
      <c r="AA37" s="60">
        <v>2.284026640331299</v>
      </c>
      <c r="AB37" s="58">
        <f t="shared" si="16"/>
        <v>0</v>
      </c>
      <c r="AC37" s="59"/>
      <c r="AD37" s="57"/>
      <c r="AE37" s="57"/>
      <c r="AF37" s="57"/>
      <c r="AG37" s="107"/>
      <c r="AH37" s="107"/>
      <c r="AI37" s="107"/>
      <c r="AJ37" s="107"/>
      <c r="AK37" s="56"/>
      <c r="AL37" s="54"/>
      <c r="AM37" s="57"/>
      <c r="AN37" s="60"/>
      <c r="AO37" s="60">
        <v>20.435816256672165</v>
      </c>
      <c r="AP37" s="58"/>
      <c r="AQ37" s="61">
        <f t="shared" si="9"/>
        <v>27.242005103423807</v>
      </c>
    </row>
    <row r="38" spans="1:45" ht="12.75" customHeight="1">
      <c r="A38" s="195" t="s">
        <v>133</v>
      </c>
      <c r="B38" s="199" t="s">
        <v>134</v>
      </c>
      <c r="C38" s="51">
        <f t="shared" si="13"/>
        <v>86.919212076000022</v>
      </c>
      <c r="D38" s="59">
        <v>86.919212076000022</v>
      </c>
      <c r="E38" s="197"/>
      <c r="F38" s="197"/>
      <c r="G38" s="198"/>
      <c r="H38" s="55">
        <f t="shared" si="14"/>
        <v>0</v>
      </c>
      <c r="I38" s="56"/>
      <c r="J38" s="57"/>
      <c r="K38" s="57"/>
      <c r="L38" s="55">
        <f t="shared" si="15"/>
        <v>165.25524621751634</v>
      </c>
      <c r="M38" s="57"/>
      <c r="N38" s="57"/>
      <c r="O38" s="57"/>
      <c r="P38" s="192"/>
      <c r="Q38" s="197">
        <v>1.7086143518921777</v>
      </c>
      <c r="R38" s="197"/>
      <c r="S38" s="197">
        <v>0</v>
      </c>
      <c r="T38" s="197">
        <v>2.4472828017727997</v>
      </c>
      <c r="U38" s="197">
        <v>29.80873959779337</v>
      </c>
      <c r="V38" s="197">
        <v>131.29060946605799</v>
      </c>
      <c r="W38" s="197"/>
      <c r="X38" s="56"/>
      <c r="Y38" s="54"/>
      <c r="Z38" s="57"/>
      <c r="AA38" s="60">
        <v>20.60514689627021</v>
      </c>
      <c r="AB38" s="58">
        <f t="shared" si="16"/>
        <v>42.918678312955997</v>
      </c>
      <c r="AC38" s="59"/>
      <c r="AD38" s="57"/>
      <c r="AE38" s="57">
        <v>2.2257740888237998</v>
      </c>
      <c r="AF38" s="57">
        <v>40.692904224132199</v>
      </c>
      <c r="AG38" s="107"/>
      <c r="AH38" s="107"/>
      <c r="AI38" s="107"/>
      <c r="AJ38" s="107"/>
      <c r="AK38" s="56"/>
      <c r="AL38" s="54"/>
      <c r="AM38" s="57"/>
      <c r="AN38" s="60">
        <v>54.722939604974094</v>
      </c>
      <c r="AO38" s="60">
        <v>54.010284601158837</v>
      </c>
      <c r="AP38" s="58"/>
      <c r="AQ38" s="61">
        <f t="shared" si="9"/>
        <v>424.43150770887547</v>
      </c>
      <c r="AR38" s="308"/>
    </row>
    <row r="39" spans="1:45" ht="12.75" customHeight="1">
      <c r="A39" s="195" t="s">
        <v>135</v>
      </c>
      <c r="B39" s="199" t="s">
        <v>136</v>
      </c>
      <c r="C39" s="51">
        <f t="shared" si="13"/>
        <v>0.14506788200000253</v>
      </c>
      <c r="D39" s="59">
        <v>0.14506788200000253</v>
      </c>
      <c r="E39" s="197"/>
      <c r="F39" s="197"/>
      <c r="G39" s="198"/>
      <c r="H39" s="55">
        <f t="shared" si="14"/>
        <v>0</v>
      </c>
      <c r="I39" s="56"/>
      <c r="J39" s="57"/>
      <c r="K39" s="57"/>
      <c r="L39" s="55">
        <f t="shared" si="15"/>
        <v>8.534515108025424</v>
      </c>
      <c r="M39" s="57"/>
      <c r="N39" s="57"/>
      <c r="O39" s="57"/>
      <c r="P39" s="192"/>
      <c r="Q39" s="197">
        <v>0.75262889856354831</v>
      </c>
      <c r="R39" s="197"/>
      <c r="S39" s="197">
        <v>1.0397614907400001</v>
      </c>
      <c r="T39" s="197">
        <v>3.4113639055014784</v>
      </c>
      <c r="U39" s="197">
        <v>3.3307608132203974</v>
      </c>
      <c r="V39" s="197">
        <v>0</v>
      </c>
      <c r="W39" s="197"/>
      <c r="X39" s="56"/>
      <c r="Y39" s="54"/>
      <c r="Z39" s="57"/>
      <c r="AA39" s="60">
        <v>408.68833080126041</v>
      </c>
      <c r="AB39" s="58">
        <f t="shared" si="16"/>
        <v>0</v>
      </c>
      <c r="AC39" s="59"/>
      <c r="AD39" s="57"/>
      <c r="AE39" s="57"/>
      <c r="AF39" s="57"/>
      <c r="AG39" s="107"/>
      <c r="AH39" s="107"/>
      <c r="AI39" s="107"/>
      <c r="AJ39" s="107"/>
      <c r="AK39" s="56"/>
      <c r="AL39" s="54"/>
      <c r="AM39" s="57"/>
      <c r="AN39" s="60"/>
      <c r="AO39" s="60">
        <v>49.329922605876547</v>
      </c>
      <c r="AP39" s="58"/>
      <c r="AQ39" s="61">
        <f t="shared" si="9"/>
        <v>466.6978363971624</v>
      </c>
    </row>
    <row r="40" spans="1:45" ht="12.75" customHeight="1">
      <c r="A40" s="195" t="s">
        <v>137</v>
      </c>
      <c r="B40" s="199" t="s">
        <v>138</v>
      </c>
      <c r="C40" s="51">
        <f t="shared" si="13"/>
        <v>0</v>
      </c>
      <c r="D40" s="59">
        <v>0</v>
      </c>
      <c r="E40" s="197"/>
      <c r="F40" s="197"/>
      <c r="G40" s="198"/>
      <c r="H40" s="55">
        <f t="shared" si="14"/>
        <v>0</v>
      </c>
      <c r="I40" s="56"/>
      <c r="J40" s="57"/>
      <c r="K40" s="57"/>
      <c r="L40" s="55">
        <f t="shared" si="15"/>
        <v>4.4175991624811015</v>
      </c>
      <c r="M40" s="57"/>
      <c r="N40" s="57"/>
      <c r="O40" s="57"/>
      <c r="P40" s="192"/>
      <c r="Q40" s="197">
        <v>0.21069416241124406</v>
      </c>
      <c r="R40" s="197"/>
      <c r="S40" s="197">
        <v>0</v>
      </c>
      <c r="T40" s="197">
        <v>2.0741648746085759</v>
      </c>
      <c r="U40" s="197">
        <v>2.1327401254612819</v>
      </c>
      <c r="V40" s="197">
        <v>0</v>
      </c>
      <c r="W40" s="197"/>
      <c r="X40" s="56"/>
      <c r="Y40" s="54"/>
      <c r="Z40" s="57"/>
      <c r="AA40" s="60">
        <v>7.9737681987539286</v>
      </c>
      <c r="AB40" s="58">
        <f t="shared" si="16"/>
        <v>0</v>
      </c>
      <c r="AC40" s="59"/>
      <c r="AD40" s="57"/>
      <c r="AE40" s="57"/>
      <c r="AF40" s="57"/>
      <c r="AG40" s="107"/>
      <c r="AH40" s="107"/>
      <c r="AI40" s="107"/>
      <c r="AJ40" s="107"/>
      <c r="AK40" s="56"/>
      <c r="AL40" s="54"/>
      <c r="AM40" s="57"/>
      <c r="AN40" s="60"/>
      <c r="AO40" s="60">
        <v>18.411529811795422</v>
      </c>
      <c r="AP40" s="58"/>
      <c r="AQ40" s="61">
        <f t="shared" si="9"/>
        <v>30.802897173030452</v>
      </c>
    </row>
    <row r="41" spans="1:45" ht="12.75" customHeight="1">
      <c r="A41" s="195" t="s">
        <v>139</v>
      </c>
      <c r="B41" s="199" t="s">
        <v>140</v>
      </c>
      <c r="C41" s="51">
        <f t="shared" si="13"/>
        <v>0</v>
      </c>
      <c r="D41" s="194">
        <v>0</v>
      </c>
      <c r="E41" s="197"/>
      <c r="F41" s="197"/>
      <c r="G41" s="198"/>
      <c r="H41" s="55">
        <f t="shared" si="14"/>
        <v>0</v>
      </c>
      <c r="I41" s="56"/>
      <c r="J41" s="57"/>
      <c r="K41" s="57"/>
      <c r="L41" s="55">
        <f t="shared" si="15"/>
        <v>3.5291908924471116</v>
      </c>
      <c r="M41" s="57"/>
      <c r="N41" s="57"/>
      <c r="O41" s="57"/>
      <c r="P41" s="192"/>
      <c r="Q41" s="188">
        <v>0.4496905257434014</v>
      </c>
      <c r="R41" s="197"/>
      <c r="S41" s="188">
        <v>0</v>
      </c>
      <c r="T41" s="188">
        <v>2.0880698905277391</v>
      </c>
      <c r="U41" s="188">
        <v>0.99143047617597102</v>
      </c>
      <c r="V41" s="188">
        <v>0</v>
      </c>
      <c r="W41" s="197"/>
      <c r="X41" s="56"/>
      <c r="Y41" s="54"/>
      <c r="Z41" s="57"/>
      <c r="AA41" s="200">
        <v>18.389717274057872</v>
      </c>
      <c r="AB41" s="58">
        <f t="shared" si="16"/>
        <v>0</v>
      </c>
      <c r="AC41" s="59"/>
      <c r="AD41" s="57"/>
      <c r="AE41" s="57"/>
      <c r="AF41" s="57"/>
      <c r="AG41" s="107"/>
      <c r="AH41" s="107"/>
      <c r="AI41" s="107"/>
      <c r="AJ41" s="107"/>
      <c r="AK41" s="191"/>
      <c r="AL41" s="192"/>
      <c r="AM41" s="57"/>
      <c r="AN41" s="200"/>
      <c r="AO41" s="200">
        <v>80.043410825191572</v>
      </c>
      <c r="AP41" s="58"/>
      <c r="AQ41" s="61">
        <f t="shared" si="9"/>
        <v>101.96231899169655</v>
      </c>
    </row>
    <row r="42" spans="1:45" ht="12.75" customHeight="1">
      <c r="A42" s="195" t="s">
        <v>141</v>
      </c>
      <c r="B42" s="199" t="s">
        <v>142</v>
      </c>
      <c r="C42" s="51">
        <f t="shared" si="13"/>
        <v>0</v>
      </c>
      <c r="D42" s="59">
        <v>0</v>
      </c>
      <c r="E42" s="197"/>
      <c r="F42" s="197"/>
      <c r="G42" s="198"/>
      <c r="H42" s="55">
        <f t="shared" si="14"/>
        <v>0</v>
      </c>
      <c r="I42" s="56"/>
      <c r="J42" s="57"/>
      <c r="K42" s="57"/>
      <c r="L42" s="55">
        <f t="shared" si="15"/>
        <v>1.41139605019423</v>
      </c>
      <c r="M42" s="57"/>
      <c r="N42" s="57"/>
      <c r="O42" s="57"/>
      <c r="P42" s="192"/>
      <c r="Q42" s="197">
        <v>5.2411483186876627E-2</v>
      </c>
      <c r="R42" s="197"/>
      <c r="S42" s="197">
        <v>0</v>
      </c>
      <c r="T42" s="197">
        <v>0.92352480729778486</v>
      </c>
      <c r="U42" s="197">
        <v>0.43545975970956852</v>
      </c>
      <c r="V42" s="197">
        <v>0</v>
      </c>
      <c r="W42" s="197"/>
      <c r="X42" s="56"/>
      <c r="Y42" s="54"/>
      <c r="Z42" s="57"/>
      <c r="AA42" s="60">
        <v>0.27057712702478681</v>
      </c>
      <c r="AB42" s="58">
        <f t="shared" si="16"/>
        <v>0</v>
      </c>
      <c r="AC42" s="59"/>
      <c r="AD42" s="57"/>
      <c r="AE42" s="57"/>
      <c r="AF42" s="57"/>
      <c r="AG42" s="107"/>
      <c r="AH42" s="107"/>
      <c r="AI42" s="107"/>
      <c r="AJ42" s="107"/>
      <c r="AK42" s="156"/>
      <c r="AL42" s="152"/>
      <c r="AM42" s="57"/>
      <c r="AN42" s="157"/>
      <c r="AO42" s="60">
        <v>2.2633417821038564</v>
      </c>
      <c r="AP42" s="58"/>
      <c r="AQ42" s="61">
        <f t="shared" si="9"/>
        <v>3.9453149593228733</v>
      </c>
    </row>
    <row r="43" spans="1:45" ht="12.75" customHeight="1">
      <c r="A43" s="195" t="s">
        <v>143</v>
      </c>
      <c r="B43" s="199" t="s">
        <v>144</v>
      </c>
      <c r="C43" s="51">
        <f t="shared" si="13"/>
        <v>0</v>
      </c>
      <c r="D43" s="59">
        <v>0</v>
      </c>
      <c r="E43" s="197"/>
      <c r="F43" s="197"/>
      <c r="G43" s="198"/>
      <c r="H43" s="55">
        <f t="shared" si="14"/>
        <v>0</v>
      </c>
      <c r="I43" s="56"/>
      <c r="J43" s="57"/>
      <c r="K43" s="57">
        <v>0</v>
      </c>
      <c r="L43" s="55">
        <f t="shared" si="15"/>
        <v>12.511675497016565</v>
      </c>
      <c r="M43" s="57"/>
      <c r="N43" s="57"/>
      <c r="O43" s="57"/>
      <c r="P43" s="54"/>
      <c r="Q43" s="197">
        <v>0.76415942486466115</v>
      </c>
      <c r="R43" s="197"/>
      <c r="S43" s="197">
        <v>3.6425061461249997</v>
      </c>
      <c r="T43" s="197">
        <v>4.9362806513030915</v>
      </c>
      <c r="U43" s="197">
        <v>3.1687292747238134</v>
      </c>
      <c r="V43" s="197">
        <v>0</v>
      </c>
      <c r="W43" s="197"/>
      <c r="X43" s="56"/>
      <c r="Y43" s="54"/>
      <c r="Z43" s="57"/>
      <c r="AA43" s="60">
        <v>30.013736057345717</v>
      </c>
      <c r="AB43" s="58">
        <f t="shared" si="16"/>
        <v>0</v>
      </c>
      <c r="AC43" s="59"/>
      <c r="AD43" s="57"/>
      <c r="AE43" s="57"/>
      <c r="AF43" s="57"/>
      <c r="AG43" s="57"/>
      <c r="AH43" s="57"/>
      <c r="AI43" s="57"/>
      <c r="AJ43" s="57"/>
      <c r="AK43" s="56"/>
      <c r="AL43" s="54"/>
      <c r="AM43" s="57"/>
      <c r="AN43" s="60"/>
      <c r="AO43" s="60">
        <v>59.095333131604164</v>
      </c>
      <c r="AP43" s="58"/>
      <c r="AQ43" s="61">
        <f t="shared" si="9"/>
        <v>101.62074468596644</v>
      </c>
    </row>
    <row r="44" spans="1:45" ht="12.75" customHeight="1">
      <c r="A44" s="201" t="s">
        <v>179</v>
      </c>
      <c r="B44" s="202" t="s">
        <v>180</v>
      </c>
      <c r="C44" s="110">
        <f>SUM(D44:G44)</f>
        <v>0</v>
      </c>
      <c r="D44" s="116">
        <v>0</v>
      </c>
      <c r="E44" s="203"/>
      <c r="F44" s="203"/>
      <c r="G44" s="204"/>
      <c r="H44" s="114">
        <f>SUM(I44:K44)</f>
        <v>0</v>
      </c>
      <c r="I44" s="111"/>
      <c r="J44" s="112"/>
      <c r="K44" s="112"/>
      <c r="L44" s="114">
        <f>SUM(M44:Z44)</f>
        <v>52.05676786532063</v>
      </c>
      <c r="M44" s="112"/>
      <c r="N44" s="112"/>
      <c r="O44" s="112"/>
      <c r="P44" s="113"/>
      <c r="Q44" s="203">
        <v>0.72259481077897947</v>
      </c>
      <c r="R44" s="203"/>
      <c r="S44" s="203">
        <v>0</v>
      </c>
      <c r="T44" s="203">
        <v>0.47348950843364052</v>
      </c>
      <c r="U44" s="203">
        <v>50.860683546108007</v>
      </c>
      <c r="V44" s="203">
        <v>0</v>
      </c>
      <c r="W44" s="203"/>
      <c r="X44" s="111"/>
      <c r="Y44" s="113"/>
      <c r="Z44" s="112"/>
      <c r="AA44" s="117">
        <v>19.436660210904712</v>
      </c>
      <c r="AB44" s="115">
        <f>SUM(AC44:AM44)</f>
        <v>0</v>
      </c>
      <c r="AC44" s="116"/>
      <c r="AD44" s="112"/>
      <c r="AE44" s="112"/>
      <c r="AF44" s="112"/>
      <c r="AG44" s="112"/>
      <c r="AH44" s="112"/>
      <c r="AI44" s="112"/>
      <c r="AJ44" s="112"/>
      <c r="AK44" s="111"/>
      <c r="AL44" s="113"/>
      <c r="AM44" s="112"/>
      <c r="AN44" s="117"/>
      <c r="AO44" s="117">
        <v>24.617403741576357</v>
      </c>
      <c r="AP44" s="115"/>
      <c r="AQ44" s="118">
        <f>C44+H44+L44+AA44+AB44+AN44+AO44+AP44</f>
        <v>96.110831817801696</v>
      </c>
    </row>
    <row r="45" spans="1:45" s="12" customFormat="1" ht="12.75" customHeight="1">
      <c r="A45" s="119" t="s">
        <v>145</v>
      </c>
      <c r="B45" s="120"/>
      <c r="C45" s="205">
        <f t="shared" ref="C45:AP45" si="17">SUM(C46:C55)</f>
        <v>0</v>
      </c>
      <c r="D45" s="206">
        <f t="shared" si="17"/>
        <v>0</v>
      </c>
      <c r="E45" s="206">
        <f t="shared" si="17"/>
        <v>0</v>
      </c>
      <c r="F45" s="207">
        <f t="shared" si="17"/>
        <v>0</v>
      </c>
      <c r="G45" s="207">
        <f t="shared" si="17"/>
        <v>0</v>
      </c>
      <c r="H45" s="208">
        <f t="shared" si="17"/>
        <v>0</v>
      </c>
      <c r="I45" s="209">
        <f t="shared" si="17"/>
        <v>0</v>
      </c>
      <c r="J45" s="206">
        <f t="shared" si="17"/>
        <v>0</v>
      </c>
      <c r="K45" s="206">
        <f t="shared" si="17"/>
        <v>0</v>
      </c>
      <c r="L45" s="208">
        <f t="shared" si="17"/>
        <v>5019.9247759387081</v>
      </c>
      <c r="M45" s="206">
        <f t="shared" si="17"/>
        <v>0</v>
      </c>
      <c r="N45" s="206">
        <f>SUM(N46:N55)</f>
        <v>0</v>
      </c>
      <c r="O45" s="206">
        <f t="shared" si="17"/>
        <v>0</v>
      </c>
      <c r="P45" s="206">
        <f t="shared" si="17"/>
        <v>821.48002832197096</v>
      </c>
      <c r="Q45" s="206">
        <f t="shared" si="17"/>
        <v>0</v>
      </c>
      <c r="R45" s="206">
        <f t="shared" si="17"/>
        <v>1102.0673096951998</v>
      </c>
      <c r="S45" s="206">
        <f t="shared" si="17"/>
        <v>0</v>
      </c>
      <c r="T45" s="206">
        <f t="shared" si="17"/>
        <v>1.8520724281984335</v>
      </c>
      <c r="U45" s="206">
        <f>SUM(U46:U55)</f>
        <v>3094.5253654933395</v>
      </c>
      <c r="V45" s="206">
        <f t="shared" si="17"/>
        <v>0</v>
      </c>
      <c r="W45" s="207">
        <f t="shared" si="17"/>
        <v>0</v>
      </c>
      <c r="X45" s="207">
        <f t="shared" si="17"/>
        <v>0</v>
      </c>
      <c r="Y45" s="207">
        <f t="shared" si="17"/>
        <v>0</v>
      </c>
      <c r="Z45" s="206">
        <f t="shared" si="17"/>
        <v>0</v>
      </c>
      <c r="AA45" s="208">
        <f t="shared" si="17"/>
        <v>22.560835415583806</v>
      </c>
      <c r="AB45" s="210">
        <f t="shared" si="17"/>
        <v>154.23960204369601</v>
      </c>
      <c r="AC45" s="211">
        <f t="shared" si="17"/>
        <v>0</v>
      </c>
      <c r="AD45" s="206">
        <f t="shared" si="17"/>
        <v>0</v>
      </c>
      <c r="AE45" s="206">
        <f t="shared" si="17"/>
        <v>0</v>
      </c>
      <c r="AF45" s="206">
        <f>SUM(AF46:AF55)</f>
        <v>0</v>
      </c>
      <c r="AG45" s="206">
        <f t="shared" si="17"/>
        <v>0</v>
      </c>
      <c r="AH45" s="206">
        <f t="shared" si="17"/>
        <v>0</v>
      </c>
      <c r="AI45" s="206">
        <f t="shared" si="17"/>
        <v>126.968349188928</v>
      </c>
      <c r="AJ45" s="206">
        <f>SUM(AJ46:AJ55)</f>
        <v>27.271252854767997</v>
      </c>
      <c r="AK45" s="209">
        <f t="shared" si="17"/>
        <v>0</v>
      </c>
      <c r="AL45" s="207">
        <f>SUM(AL46:AL55)</f>
        <v>0</v>
      </c>
      <c r="AM45" s="206">
        <f t="shared" si="17"/>
        <v>0</v>
      </c>
      <c r="AN45" s="208">
        <f t="shared" si="17"/>
        <v>0</v>
      </c>
      <c r="AO45" s="208">
        <f t="shared" si="17"/>
        <v>5.3733816232262495</v>
      </c>
      <c r="AP45" s="210">
        <f t="shared" si="17"/>
        <v>0</v>
      </c>
      <c r="AQ45" s="212">
        <f t="shared" si="9"/>
        <v>5202.0985950212144</v>
      </c>
      <c r="AR45" s="8"/>
      <c r="AS45" s="11"/>
    </row>
    <row r="46" spans="1:45" ht="12.75" customHeight="1">
      <c r="A46" s="213" t="s">
        <v>146</v>
      </c>
      <c r="B46" s="97"/>
      <c r="C46" s="98">
        <f t="shared" ref="C46:C64" si="18">SUM(D46:G46)</f>
        <v>0</v>
      </c>
      <c r="D46" s="214"/>
      <c r="E46" s="147"/>
      <c r="F46" s="101"/>
      <c r="G46" s="101"/>
      <c r="H46" s="102">
        <f t="shared" ref="H46:H64" si="19">SUM(I46:K46)</f>
        <v>0</v>
      </c>
      <c r="I46" s="99"/>
      <c r="J46" s="100"/>
      <c r="K46" s="100"/>
      <c r="L46" s="102">
        <f t="shared" ref="L46:L64" si="20">SUM(M46:Z46)</f>
        <v>702.41214426261672</v>
      </c>
      <c r="M46" s="100"/>
      <c r="N46" s="100"/>
      <c r="O46" s="100"/>
      <c r="P46" s="100"/>
      <c r="Q46" s="100"/>
      <c r="R46" s="100"/>
      <c r="S46" s="100"/>
      <c r="T46" s="100"/>
      <c r="U46" s="100">
        <v>702.41214426261672</v>
      </c>
      <c r="V46" s="100"/>
      <c r="W46" s="101"/>
      <c r="X46" s="101"/>
      <c r="Y46" s="101"/>
      <c r="Z46" s="100"/>
      <c r="AA46" s="105">
        <v>2.9723185667999998E-2</v>
      </c>
      <c r="AB46" s="103">
        <f t="shared" ref="AB46:AB64" si="21">SUM(AC46:AM46)</f>
        <v>30.002374318707627</v>
      </c>
      <c r="AC46" s="104"/>
      <c r="AD46" s="100"/>
      <c r="AE46" s="100"/>
      <c r="AF46" s="100"/>
      <c r="AG46" s="100"/>
      <c r="AH46" s="100"/>
      <c r="AI46" s="100">
        <v>30.002374318707627</v>
      </c>
      <c r="AJ46" s="100">
        <v>0</v>
      </c>
      <c r="AK46" s="99"/>
      <c r="AL46" s="101"/>
      <c r="AM46" s="100"/>
      <c r="AN46" s="102"/>
      <c r="AO46" s="105"/>
      <c r="AP46" s="103"/>
      <c r="AQ46" s="130">
        <f t="shared" si="9"/>
        <v>732.44424176699238</v>
      </c>
    </row>
    <row r="47" spans="1:45" ht="12.75" customHeight="1">
      <c r="A47" s="185" t="s">
        <v>147</v>
      </c>
      <c r="B47" s="215"/>
      <c r="C47" s="51">
        <f t="shared" si="18"/>
        <v>0</v>
      </c>
      <c r="D47" s="216"/>
      <c r="E47" s="217"/>
      <c r="F47" s="192"/>
      <c r="G47" s="192"/>
      <c r="H47" s="55">
        <f t="shared" si="19"/>
        <v>0</v>
      </c>
      <c r="I47" s="191"/>
      <c r="J47" s="107"/>
      <c r="K47" s="107"/>
      <c r="L47" s="190">
        <f t="shared" si="20"/>
        <v>319.57486919365164</v>
      </c>
      <c r="M47" s="107"/>
      <c r="N47" s="107"/>
      <c r="O47" s="107"/>
      <c r="P47" s="107"/>
      <c r="Q47" s="107"/>
      <c r="R47" s="107"/>
      <c r="S47" s="107"/>
      <c r="T47" s="107"/>
      <c r="U47" s="107">
        <v>319.57486919365164</v>
      </c>
      <c r="V47" s="107"/>
      <c r="W47" s="192"/>
      <c r="X47" s="192"/>
      <c r="Y47" s="192"/>
      <c r="Z47" s="107"/>
      <c r="AA47" s="200"/>
      <c r="AB47" s="193">
        <f t="shared" si="21"/>
        <v>13.65011258235765</v>
      </c>
      <c r="AC47" s="194"/>
      <c r="AD47" s="107"/>
      <c r="AE47" s="107"/>
      <c r="AF47" s="107"/>
      <c r="AG47" s="107"/>
      <c r="AH47" s="107"/>
      <c r="AI47" s="107">
        <v>13.65011258235765</v>
      </c>
      <c r="AJ47" s="107">
        <v>0</v>
      </c>
      <c r="AK47" s="191"/>
      <c r="AL47" s="192"/>
      <c r="AM47" s="107"/>
      <c r="AN47" s="190"/>
      <c r="AO47" s="200"/>
      <c r="AP47" s="193"/>
      <c r="AQ47" s="106">
        <f t="shared" si="9"/>
        <v>333.22498177600926</v>
      </c>
    </row>
    <row r="48" spans="1:45" ht="12.75" customHeight="1">
      <c r="A48" s="195" t="s">
        <v>148</v>
      </c>
      <c r="B48" s="50"/>
      <c r="C48" s="51">
        <f t="shared" si="18"/>
        <v>0</v>
      </c>
      <c r="D48" s="52"/>
      <c r="E48" s="62"/>
      <c r="F48" s="54"/>
      <c r="G48" s="54"/>
      <c r="H48" s="55">
        <f t="shared" si="19"/>
        <v>0</v>
      </c>
      <c r="I48" s="56"/>
      <c r="J48" s="57"/>
      <c r="K48" s="57"/>
      <c r="L48" s="55">
        <f t="shared" si="20"/>
        <v>1985.7767970742025</v>
      </c>
      <c r="M48" s="57"/>
      <c r="N48" s="57"/>
      <c r="O48" s="57"/>
      <c r="P48" s="57">
        <v>673.74419325959013</v>
      </c>
      <c r="Q48" s="57"/>
      <c r="R48" s="57"/>
      <c r="S48" s="57"/>
      <c r="T48" s="57">
        <v>1.8520724281984335</v>
      </c>
      <c r="U48" s="57">
        <v>1310.180531386414</v>
      </c>
      <c r="V48" s="57"/>
      <c r="W48" s="54"/>
      <c r="X48" s="54"/>
      <c r="Y48" s="54"/>
      <c r="Z48" s="57"/>
      <c r="AA48" s="60"/>
      <c r="AB48" s="58">
        <f t="shared" si="21"/>
        <v>78.347166728170066</v>
      </c>
      <c r="AC48" s="59"/>
      <c r="AD48" s="57"/>
      <c r="AE48" s="57"/>
      <c r="AF48" s="57"/>
      <c r="AG48" s="57"/>
      <c r="AH48" s="57"/>
      <c r="AI48" s="57">
        <v>55.96219690791942</v>
      </c>
      <c r="AJ48" s="57">
        <v>22.384969820250642</v>
      </c>
      <c r="AK48" s="56"/>
      <c r="AL48" s="54"/>
      <c r="AM48" s="57"/>
      <c r="AN48" s="55"/>
      <c r="AO48" s="60">
        <v>1.0652907432262495</v>
      </c>
      <c r="AP48" s="58"/>
      <c r="AQ48" s="61">
        <f t="shared" si="9"/>
        <v>2065.1892545455989</v>
      </c>
    </row>
    <row r="49" spans="1:45" ht="12.75" customHeight="1">
      <c r="A49" s="195" t="s">
        <v>149</v>
      </c>
      <c r="B49" s="50"/>
      <c r="C49" s="51">
        <f t="shared" si="18"/>
        <v>0</v>
      </c>
      <c r="D49" s="52"/>
      <c r="E49" s="62"/>
      <c r="F49" s="54"/>
      <c r="G49" s="54"/>
      <c r="H49" s="55">
        <f t="shared" si="19"/>
        <v>0</v>
      </c>
      <c r="I49" s="56"/>
      <c r="J49" s="57"/>
      <c r="K49" s="57"/>
      <c r="L49" s="55">
        <f t="shared" si="20"/>
        <v>131.85233821544426</v>
      </c>
      <c r="M49" s="57"/>
      <c r="N49" s="57"/>
      <c r="O49" s="57"/>
      <c r="P49" s="57">
        <v>6.3769522656162847</v>
      </c>
      <c r="Q49" s="57"/>
      <c r="R49" s="57"/>
      <c r="S49" s="57"/>
      <c r="T49" s="57"/>
      <c r="U49" s="57">
        <v>125.47538594982798</v>
      </c>
      <c r="V49" s="57"/>
      <c r="W49" s="54"/>
      <c r="X49" s="54"/>
      <c r="Y49" s="54"/>
      <c r="Z49" s="57"/>
      <c r="AA49" s="60"/>
      <c r="AB49" s="58">
        <f t="shared" si="21"/>
        <v>5.5713463444749705</v>
      </c>
      <c r="AC49" s="59"/>
      <c r="AD49" s="57"/>
      <c r="AE49" s="57"/>
      <c r="AF49" s="57"/>
      <c r="AG49" s="57"/>
      <c r="AH49" s="57"/>
      <c r="AI49" s="57">
        <v>5.3594738186126225</v>
      </c>
      <c r="AJ49" s="57">
        <v>0.21187252586234828</v>
      </c>
      <c r="AK49" s="56"/>
      <c r="AL49" s="54"/>
      <c r="AM49" s="57"/>
      <c r="AN49" s="55"/>
      <c r="AO49" s="60"/>
      <c r="AP49" s="58"/>
      <c r="AQ49" s="61">
        <f t="shared" si="9"/>
        <v>137.42368455991922</v>
      </c>
    </row>
    <row r="50" spans="1:45" ht="12.75" customHeight="1">
      <c r="A50" s="195" t="s">
        <v>150</v>
      </c>
      <c r="B50" s="50"/>
      <c r="C50" s="51">
        <f t="shared" si="18"/>
        <v>0</v>
      </c>
      <c r="D50" s="52"/>
      <c r="E50" s="62"/>
      <c r="F50" s="54"/>
      <c r="G50" s="54"/>
      <c r="H50" s="55">
        <f t="shared" si="19"/>
        <v>0</v>
      </c>
      <c r="I50" s="56"/>
      <c r="J50" s="57"/>
      <c r="K50" s="57"/>
      <c r="L50" s="55">
        <f t="shared" si="20"/>
        <v>38.043221783939138</v>
      </c>
      <c r="M50" s="57"/>
      <c r="N50" s="57"/>
      <c r="O50" s="57"/>
      <c r="P50" s="57"/>
      <c r="Q50" s="57"/>
      <c r="R50" s="218"/>
      <c r="S50" s="57"/>
      <c r="T50" s="57"/>
      <c r="U50" s="57">
        <v>38.043221783939138</v>
      </c>
      <c r="V50" s="57"/>
      <c r="W50" s="54"/>
      <c r="X50" s="54"/>
      <c r="Y50" s="54"/>
      <c r="Z50" s="57"/>
      <c r="AA50" s="60"/>
      <c r="AB50" s="58">
        <f t="shared" si="21"/>
        <v>0</v>
      </c>
      <c r="AC50" s="59"/>
      <c r="AD50" s="57"/>
      <c r="AE50" s="57"/>
      <c r="AF50" s="57"/>
      <c r="AG50" s="57"/>
      <c r="AH50" s="57"/>
      <c r="AI50" s="57">
        <v>0</v>
      </c>
      <c r="AJ50" s="57"/>
      <c r="AK50" s="56"/>
      <c r="AL50" s="54"/>
      <c r="AM50" s="57"/>
      <c r="AN50" s="55"/>
      <c r="AO50" s="60">
        <v>4.30809088</v>
      </c>
      <c r="AP50" s="58"/>
      <c r="AQ50" s="61">
        <f t="shared" si="9"/>
        <v>42.35131266393914</v>
      </c>
    </row>
    <row r="51" spans="1:45" ht="12.75" customHeight="1">
      <c r="A51" s="195" t="s">
        <v>151</v>
      </c>
      <c r="B51" s="50"/>
      <c r="C51" s="51">
        <f t="shared" si="18"/>
        <v>0</v>
      </c>
      <c r="D51" s="52"/>
      <c r="E51" s="62"/>
      <c r="F51" s="54"/>
      <c r="G51" s="54"/>
      <c r="H51" s="55">
        <f t="shared" si="19"/>
        <v>0</v>
      </c>
      <c r="I51" s="56"/>
      <c r="J51" s="57"/>
      <c r="K51" s="57"/>
      <c r="L51" s="55">
        <f t="shared" si="20"/>
        <v>5.5768892778871404</v>
      </c>
      <c r="M51" s="57"/>
      <c r="N51" s="57"/>
      <c r="O51" s="57"/>
      <c r="P51" s="57">
        <v>0.66818888888888883</v>
      </c>
      <c r="Q51" s="57"/>
      <c r="R51" s="57">
        <v>4.9087003889982519</v>
      </c>
      <c r="S51" s="57"/>
      <c r="T51" s="57"/>
      <c r="U51" s="57"/>
      <c r="V51" s="57"/>
      <c r="W51" s="54"/>
      <c r="X51" s="54"/>
      <c r="Y51" s="54"/>
      <c r="Z51" s="57"/>
      <c r="AA51" s="60"/>
      <c r="AB51" s="58">
        <f t="shared" si="21"/>
        <v>0</v>
      </c>
      <c r="AC51" s="59"/>
      <c r="AD51" s="57"/>
      <c r="AE51" s="57"/>
      <c r="AF51" s="57"/>
      <c r="AG51" s="57"/>
      <c r="AH51" s="57"/>
      <c r="AI51" s="57"/>
      <c r="AJ51" s="57"/>
      <c r="AK51" s="56"/>
      <c r="AL51" s="54"/>
      <c r="AM51" s="57"/>
      <c r="AN51" s="55"/>
      <c r="AO51" s="60"/>
      <c r="AP51" s="58"/>
      <c r="AQ51" s="61">
        <f t="shared" si="9"/>
        <v>5.5768892778871404</v>
      </c>
    </row>
    <row r="52" spans="1:45" ht="12.75" customHeight="1">
      <c r="A52" s="195" t="s">
        <v>152</v>
      </c>
      <c r="B52" s="199"/>
      <c r="C52" s="219">
        <f t="shared" si="18"/>
        <v>0</v>
      </c>
      <c r="D52" s="218"/>
      <c r="E52" s="218"/>
      <c r="F52" s="220"/>
      <c r="G52" s="220"/>
      <c r="H52" s="221">
        <f t="shared" si="19"/>
        <v>0</v>
      </c>
      <c r="I52" s="222"/>
      <c r="J52" s="218"/>
      <c r="K52" s="218"/>
      <c r="L52" s="221">
        <f t="shared" si="20"/>
        <v>1097.1586093062015</v>
      </c>
      <c r="M52" s="218"/>
      <c r="N52" s="218"/>
      <c r="O52" s="218"/>
      <c r="P52" s="107"/>
      <c r="Q52" s="218"/>
      <c r="R52" s="218">
        <v>1097.1586093062015</v>
      </c>
      <c r="S52" s="218"/>
      <c r="T52" s="218"/>
      <c r="U52" s="218"/>
      <c r="V52" s="218"/>
      <c r="W52" s="220"/>
      <c r="X52" s="220"/>
      <c r="Y52" s="220"/>
      <c r="Z52" s="218"/>
      <c r="AA52" s="200"/>
      <c r="AB52" s="223">
        <f t="shared" si="21"/>
        <v>0</v>
      </c>
      <c r="AC52" s="224"/>
      <c r="AD52" s="218"/>
      <c r="AE52" s="218"/>
      <c r="AF52" s="218"/>
      <c r="AG52" s="218"/>
      <c r="AH52" s="218"/>
      <c r="AI52" s="218"/>
      <c r="AJ52" s="218"/>
      <c r="AK52" s="191"/>
      <c r="AL52" s="192"/>
      <c r="AM52" s="218"/>
      <c r="AN52" s="200"/>
      <c r="AO52" s="200"/>
      <c r="AP52" s="223"/>
      <c r="AQ52" s="225">
        <f t="shared" si="9"/>
        <v>1097.1586093062015</v>
      </c>
    </row>
    <row r="53" spans="1:45" ht="12.75" customHeight="1">
      <c r="A53" s="195" t="s">
        <v>153</v>
      </c>
      <c r="B53" s="199"/>
      <c r="C53" s="219">
        <f t="shared" si="18"/>
        <v>0</v>
      </c>
      <c r="D53" s="222"/>
      <c r="E53" s="218"/>
      <c r="F53" s="220"/>
      <c r="G53" s="220"/>
      <c r="H53" s="221">
        <f t="shared" si="19"/>
        <v>0</v>
      </c>
      <c r="I53" s="222"/>
      <c r="J53" s="218"/>
      <c r="K53" s="218"/>
      <c r="L53" s="221">
        <f t="shared" si="20"/>
        <v>176.94052908505745</v>
      </c>
      <c r="M53" s="218"/>
      <c r="N53" s="218"/>
      <c r="O53" s="218"/>
      <c r="P53" s="218">
        <v>0</v>
      </c>
      <c r="Q53" s="218"/>
      <c r="R53" s="218"/>
      <c r="S53" s="218"/>
      <c r="T53" s="218"/>
      <c r="U53" s="218">
        <v>176.94052908505745</v>
      </c>
      <c r="V53" s="218"/>
      <c r="W53" s="220"/>
      <c r="X53" s="220"/>
      <c r="Y53" s="220"/>
      <c r="Z53" s="218"/>
      <c r="AA53" s="200"/>
      <c r="AB53" s="223">
        <f t="shared" si="21"/>
        <v>7.5577223843887342</v>
      </c>
      <c r="AC53" s="224"/>
      <c r="AD53" s="218"/>
      <c r="AE53" s="218"/>
      <c r="AF53" s="218"/>
      <c r="AG53" s="218"/>
      <c r="AH53" s="218"/>
      <c r="AI53" s="57">
        <v>7.5577223843887342</v>
      </c>
      <c r="AJ53" s="57">
        <v>0</v>
      </c>
      <c r="AK53" s="218"/>
      <c r="AL53" s="218"/>
      <c r="AM53" s="218"/>
      <c r="AN53" s="200"/>
      <c r="AO53" s="60"/>
      <c r="AP53" s="223"/>
      <c r="AQ53" s="225">
        <f t="shared" si="9"/>
        <v>184.49825146944619</v>
      </c>
    </row>
    <row r="54" spans="1:45" ht="12.75" customHeight="1">
      <c r="A54" s="49" t="s">
        <v>154</v>
      </c>
      <c r="B54" s="50"/>
      <c r="C54" s="219">
        <f t="shared" si="18"/>
        <v>0</v>
      </c>
      <c r="D54" s="222"/>
      <c r="E54" s="218"/>
      <c r="F54" s="220"/>
      <c r="G54" s="220"/>
      <c r="H54" s="221">
        <f t="shared" si="19"/>
        <v>0</v>
      </c>
      <c r="I54" s="222"/>
      <c r="J54" s="218"/>
      <c r="K54" s="218"/>
      <c r="L54" s="221">
        <f t="shared" si="20"/>
        <v>83.913724293678101</v>
      </c>
      <c r="M54" s="218"/>
      <c r="N54" s="218"/>
      <c r="O54" s="218"/>
      <c r="P54" s="218"/>
      <c r="Q54" s="218"/>
      <c r="R54" s="218"/>
      <c r="S54" s="218"/>
      <c r="T54" s="218"/>
      <c r="U54" s="218">
        <v>83.913724293678101</v>
      </c>
      <c r="V54" s="218"/>
      <c r="W54" s="220"/>
      <c r="X54" s="220"/>
      <c r="Y54" s="220"/>
      <c r="Z54" s="218"/>
      <c r="AA54" s="157"/>
      <c r="AB54" s="223">
        <f t="shared" si="21"/>
        <v>0</v>
      </c>
      <c r="AC54" s="224"/>
      <c r="AD54" s="218"/>
      <c r="AE54" s="218"/>
      <c r="AF54" s="218"/>
      <c r="AG54" s="218"/>
      <c r="AH54" s="218"/>
      <c r="AI54" s="218"/>
      <c r="AJ54" s="218"/>
      <c r="AK54" s="218"/>
      <c r="AL54" s="218"/>
      <c r="AM54" s="218"/>
      <c r="AN54" s="157"/>
      <c r="AO54" s="200"/>
      <c r="AP54" s="223"/>
      <c r="AQ54" s="225">
        <f t="shared" si="9"/>
        <v>83.913724293678101</v>
      </c>
    </row>
    <row r="55" spans="1:45" ht="12.75" customHeight="1">
      <c r="A55" s="108" t="s">
        <v>155</v>
      </c>
      <c r="B55" s="109"/>
      <c r="C55" s="110">
        <f t="shared" si="18"/>
        <v>0</v>
      </c>
      <c r="D55" s="226"/>
      <c r="E55" s="227"/>
      <c r="F55" s="113"/>
      <c r="G55" s="113"/>
      <c r="H55" s="114">
        <f t="shared" si="19"/>
        <v>0</v>
      </c>
      <c r="I55" s="111"/>
      <c r="J55" s="112"/>
      <c r="K55" s="112"/>
      <c r="L55" s="114">
        <f t="shared" si="20"/>
        <v>478.67565344603031</v>
      </c>
      <c r="M55" s="112"/>
      <c r="N55" s="112"/>
      <c r="O55" s="112"/>
      <c r="P55" s="112">
        <v>140.69069390787573</v>
      </c>
      <c r="Q55" s="112"/>
      <c r="R55" s="112"/>
      <c r="S55" s="112">
        <v>0</v>
      </c>
      <c r="T55" s="112"/>
      <c r="U55" s="112">
        <v>337.98495953815461</v>
      </c>
      <c r="V55" s="112"/>
      <c r="W55" s="113"/>
      <c r="X55" s="113"/>
      <c r="Y55" s="113"/>
      <c r="Z55" s="112"/>
      <c r="AA55" s="117">
        <v>22.531112229915806</v>
      </c>
      <c r="AB55" s="115">
        <f t="shared" si="21"/>
        <v>19.110879685596952</v>
      </c>
      <c r="AC55" s="116"/>
      <c r="AD55" s="112"/>
      <c r="AE55" s="112"/>
      <c r="AF55" s="112"/>
      <c r="AG55" s="112"/>
      <c r="AH55" s="112"/>
      <c r="AI55" s="112">
        <v>14.436469176941943</v>
      </c>
      <c r="AJ55" s="112">
        <v>4.6744105086550087</v>
      </c>
      <c r="AK55" s="111"/>
      <c r="AL55" s="113"/>
      <c r="AM55" s="112"/>
      <c r="AN55" s="114"/>
      <c r="AO55" s="117"/>
      <c r="AP55" s="115"/>
      <c r="AQ55" s="118">
        <f t="shared" si="9"/>
        <v>520.3176453615431</v>
      </c>
    </row>
    <row r="56" spans="1:45" s="12" customFormat="1" ht="12.75" customHeight="1">
      <c r="A56" s="228" t="s">
        <v>156</v>
      </c>
      <c r="B56" s="229"/>
      <c r="C56" s="230">
        <f t="shared" si="18"/>
        <v>245.30288163122782</v>
      </c>
      <c r="D56" s="231">
        <v>84.19758326883435</v>
      </c>
      <c r="E56" s="53">
        <v>153.30941368399715</v>
      </c>
      <c r="F56" s="232"/>
      <c r="G56" s="232">
        <v>7.795884678396293</v>
      </c>
      <c r="H56" s="233">
        <f t="shared" si="19"/>
        <v>196.53880633</v>
      </c>
      <c r="I56" s="231"/>
      <c r="J56" s="128">
        <v>127.70399999999999</v>
      </c>
      <c r="K56" s="128">
        <v>68.834806329999992</v>
      </c>
      <c r="L56" s="233">
        <f t="shared" si="20"/>
        <v>1204.833103126648</v>
      </c>
      <c r="M56" s="128"/>
      <c r="N56" s="128"/>
      <c r="O56" s="128"/>
      <c r="P56" s="128">
        <v>0</v>
      </c>
      <c r="Q56" s="128">
        <v>863.40024232349867</v>
      </c>
      <c r="R56" s="128"/>
      <c r="S56" s="128">
        <v>0</v>
      </c>
      <c r="T56" s="128">
        <v>53.841522983216713</v>
      </c>
      <c r="U56" s="128">
        <v>284.08105108362315</v>
      </c>
      <c r="V56" s="128">
        <v>3.5102867363093639</v>
      </c>
      <c r="W56" s="232"/>
      <c r="X56" s="232"/>
      <c r="Y56" s="232"/>
      <c r="Z56" s="128"/>
      <c r="AA56" s="233">
        <v>604.09375845912712</v>
      </c>
      <c r="AB56" s="234">
        <f t="shared" si="21"/>
        <v>72.095627568998594</v>
      </c>
      <c r="AC56" s="235"/>
      <c r="AD56" s="128"/>
      <c r="AE56" s="128">
        <v>30.588864173321877</v>
      </c>
      <c r="AF56" s="128"/>
      <c r="AG56" s="128"/>
      <c r="AH56" s="128"/>
      <c r="AI56" s="128"/>
      <c r="AJ56" s="128"/>
      <c r="AK56" s="231"/>
      <c r="AL56" s="232">
        <v>13.379590942008413</v>
      </c>
      <c r="AM56" s="128">
        <v>28.127172453668308</v>
      </c>
      <c r="AN56" s="233"/>
      <c r="AO56" s="233">
        <v>702.94473599999992</v>
      </c>
      <c r="AP56" s="234"/>
      <c r="AQ56" s="129">
        <f t="shared" si="9"/>
        <v>3025.8089131160013</v>
      </c>
      <c r="AR56" s="8"/>
      <c r="AS56" s="17"/>
    </row>
    <row r="57" spans="1:45" s="12" customFormat="1" ht="12.75" customHeight="1">
      <c r="A57" s="228" t="s">
        <v>181</v>
      </c>
      <c r="B57" s="229"/>
      <c r="C57" s="230">
        <f>C58+C65</f>
        <v>0.53991879699248124</v>
      </c>
      <c r="D57" s="128">
        <f t="shared" ref="D57:AP57" si="22">D58+D65</f>
        <v>0.53991879699248124</v>
      </c>
      <c r="E57" s="128">
        <f t="shared" si="22"/>
        <v>0</v>
      </c>
      <c r="F57" s="232">
        <f t="shared" si="22"/>
        <v>0</v>
      </c>
      <c r="G57" s="232">
        <f t="shared" si="22"/>
        <v>0</v>
      </c>
      <c r="H57" s="233">
        <f t="shared" si="22"/>
        <v>0</v>
      </c>
      <c r="I57" s="231">
        <f t="shared" si="22"/>
        <v>0</v>
      </c>
      <c r="J57" s="231">
        <f t="shared" si="22"/>
        <v>0</v>
      </c>
      <c r="K57" s="231">
        <f t="shared" si="22"/>
        <v>0</v>
      </c>
      <c r="L57" s="233">
        <f t="shared" si="22"/>
        <v>263.55542937744985</v>
      </c>
      <c r="M57" s="128">
        <f t="shared" si="22"/>
        <v>0</v>
      </c>
      <c r="N57" s="128">
        <f t="shared" si="22"/>
        <v>0</v>
      </c>
      <c r="O57" s="128">
        <f t="shared" si="22"/>
        <v>0</v>
      </c>
      <c r="P57" s="128">
        <f t="shared" si="22"/>
        <v>0</v>
      </c>
      <c r="Q57" s="128">
        <f t="shared" si="22"/>
        <v>73.683977149948603</v>
      </c>
      <c r="R57" s="128">
        <f t="shared" si="22"/>
        <v>0</v>
      </c>
      <c r="S57" s="128">
        <f t="shared" si="22"/>
        <v>0.64284746861564912</v>
      </c>
      <c r="T57" s="128">
        <f t="shared" si="22"/>
        <v>69.72090857001308</v>
      </c>
      <c r="U57" s="128">
        <f t="shared" si="22"/>
        <v>119.50730406570531</v>
      </c>
      <c r="V57" s="128">
        <f t="shared" si="22"/>
        <v>3.9212316723240829E-4</v>
      </c>
      <c r="W57" s="232">
        <f t="shared" si="22"/>
        <v>0</v>
      </c>
      <c r="X57" s="232">
        <f t="shared" si="22"/>
        <v>0</v>
      </c>
      <c r="Y57" s="232">
        <f t="shared" si="22"/>
        <v>0</v>
      </c>
      <c r="Z57" s="231">
        <f t="shared" si="22"/>
        <v>0</v>
      </c>
      <c r="AA57" s="233">
        <f t="shared" si="22"/>
        <v>397.69184770224592</v>
      </c>
      <c r="AB57" s="234">
        <f t="shared" si="22"/>
        <v>41.379323582548558</v>
      </c>
      <c r="AC57" s="235">
        <f t="shared" si="22"/>
        <v>0</v>
      </c>
      <c r="AD57" s="128">
        <f t="shared" si="22"/>
        <v>0</v>
      </c>
      <c r="AE57" s="128">
        <f t="shared" si="22"/>
        <v>17.99312324724</v>
      </c>
      <c r="AF57" s="128">
        <f t="shared" si="22"/>
        <v>0</v>
      </c>
      <c r="AG57" s="128">
        <f t="shared" si="22"/>
        <v>0</v>
      </c>
      <c r="AH57" s="128">
        <f t="shared" si="22"/>
        <v>7.541555368675982</v>
      </c>
      <c r="AI57" s="128">
        <f t="shared" si="22"/>
        <v>0</v>
      </c>
      <c r="AJ57" s="128">
        <f t="shared" si="22"/>
        <v>0</v>
      </c>
      <c r="AK57" s="128">
        <f t="shared" si="22"/>
        <v>0</v>
      </c>
      <c r="AL57" s="128">
        <f t="shared" si="22"/>
        <v>0.16649466165720572</v>
      </c>
      <c r="AM57" s="231">
        <f t="shared" si="22"/>
        <v>15.678150304975372</v>
      </c>
      <c r="AN57" s="233">
        <f t="shared" si="22"/>
        <v>0</v>
      </c>
      <c r="AO57" s="233">
        <f t="shared" si="22"/>
        <v>1019.3925755397834</v>
      </c>
      <c r="AP57" s="234">
        <f t="shared" si="22"/>
        <v>0</v>
      </c>
      <c r="AQ57" s="236">
        <f t="shared" si="9"/>
        <v>1722.5590949990201</v>
      </c>
      <c r="AR57" s="8"/>
      <c r="AS57" s="17"/>
    </row>
    <row r="58" spans="1:45" ht="12.75" customHeight="1">
      <c r="A58" s="228" t="s">
        <v>182</v>
      </c>
      <c r="B58" s="229"/>
      <c r="C58" s="230">
        <f t="shared" si="18"/>
        <v>0.53991879699248124</v>
      </c>
      <c r="D58" s="235">
        <v>0.53991879699248124</v>
      </c>
      <c r="E58" s="234">
        <v>0</v>
      </c>
      <c r="F58" s="234">
        <f>SUM(F59:F64)</f>
        <v>0</v>
      </c>
      <c r="G58" s="237">
        <v>0</v>
      </c>
      <c r="H58" s="233">
        <f t="shared" si="19"/>
        <v>0</v>
      </c>
      <c r="I58" s="231">
        <f>SUM(I59:I64)</f>
        <v>0</v>
      </c>
      <c r="J58" s="231">
        <f>SUM(J59:J64)</f>
        <v>0</v>
      </c>
      <c r="K58" s="231">
        <f>SUM(K59:K64)</f>
        <v>0</v>
      </c>
      <c r="L58" s="233">
        <f t="shared" si="20"/>
        <v>123.39297948584372</v>
      </c>
      <c r="M58" s="128">
        <f t="shared" ref="M58:AN58" si="23">SUM(M59:M64)</f>
        <v>0</v>
      </c>
      <c r="N58" s="232">
        <f t="shared" si="23"/>
        <v>0</v>
      </c>
      <c r="O58" s="232">
        <f t="shared" si="23"/>
        <v>0</v>
      </c>
      <c r="P58" s="234">
        <f t="shared" si="23"/>
        <v>0</v>
      </c>
      <c r="Q58" s="234">
        <v>25.817592108194308</v>
      </c>
      <c r="R58" s="234">
        <f t="shared" si="23"/>
        <v>0</v>
      </c>
      <c r="S58" s="234">
        <v>0</v>
      </c>
      <c r="T58" s="234">
        <v>53.639757659500326</v>
      </c>
      <c r="U58" s="234">
        <v>43.935237594981864</v>
      </c>
      <c r="V58" s="234">
        <f t="shared" si="23"/>
        <v>3.9212316723240829E-4</v>
      </c>
      <c r="W58" s="234">
        <f t="shared" si="23"/>
        <v>0</v>
      </c>
      <c r="X58" s="234">
        <f t="shared" si="23"/>
        <v>0</v>
      </c>
      <c r="Y58" s="232">
        <f t="shared" si="23"/>
        <v>0</v>
      </c>
      <c r="Z58" s="231">
        <f t="shared" si="23"/>
        <v>0</v>
      </c>
      <c r="AA58" s="233">
        <v>205.61511570855646</v>
      </c>
      <c r="AB58" s="234">
        <f t="shared" si="21"/>
        <v>23.586836774290585</v>
      </c>
      <c r="AC58" s="235">
        <f t="shared" si="23"/>
        <v>0</v>
      </c>
      <c r="AD58" s="128">
        <f t="shared" si="23"/>
        <v>0</v>
      </c>
      <c r="AE58" s="128">
        <f t="shared" si="23"/>
        <v>5.0179504193776099</v>
      </c>
      <c r="AF58" s="128"/>
      <c r="AG58" s="128">
        <f t="shared" si="23"/>
        <v>0</v>
      </c>
      <c r="AH58" s="128">
        <f t="shared" si="23"/>
        <v>2.7242413882803982</v>
      </c>
      <c r="AI58" s="128">
        <f t="shared" si="23"/>
        <v>0</v>
      </c>
      <c r="AJ58" s="128">
        <f t="shared" si="23"/>
        <v>0</v>
      </c>
      <c r="AK58" s="128"/>
      <c r="AL58" s="128">
        <v>0.16649466165720572</v>
      </c>
      <c r="AM58" s="232">
        <v>15.678150304975372</v>
      </c>
      <c r="AN58" s="233">
        <f t="shared" si="23"/>
        <v>0</v>
      </c>
      <c r="AO58" s="233">
        <v>684.51532146142654</v>
      </c>
      <c r="AP58" s="234">
        <f>SUM(AP59:AP64)</f>
        <v>0</v>
      </c>
      <c r="AQ58" s="236">
        <f t="shared" si="9"/>
        <v>1037.6501722271098</v>
      </c>
      <c r="AS58" s="18"/>
    </row>
    <row r="59" spans="1:45" ht="12.75" customHeight="1">
      <c r="A59" s="238" t="s">
        <v>183</v>
      </c>
      <c r="B59" s="239" t="s">
        <v>184</v>
      </c>
      <c r="C59" s="98">
        <f t="shared" si="18"/>
        <v>9.9984962406015031E-3</v>
      </c>
      <c r="D59" s="240">
        <v>9.9984962406015031E-3</v>
      </c>
      <c r="E59" s="103"/>
      <c r="F59" s="103"/>
      <c r="G59" s="145"/>
      <c r="H59" s="102">
        <f t="shared" si="19"/>
        <v>0</v>
      </c>
      <c r="I59" s="214"/>
      <c r="J59" s="214"/>
      <c r="K59" s="214"/>
      <c r="L59" s="102">
        <f t="shared" si="20"/>
        <v>32.327049654868127</v>
      </c>
      <c r="M59" s="147"/>
      <c r="N59" s="241"/>
      <c r="O59" s="241"/>
      <c r="P59" s="103"/>
      <c r="Q59" s="242">
        <v>8.0278057943609493</v>
      </c>
      <c r="R59" s="103"/>
      <c r="S59" s="242">
        <v>0</v>
      </c>
      <c r="T59" s="242">
        <v>15.105482293518097</v>
      </c>
      <c r="U59" s="242">
        <v>9.19376156698908</v>
      </c>
      <c r="V59" s="242">
        <v>0</v>
      </c>
      <c r="W59" s="103"/>
      <c r="X59" s="103"/>
      <c r="Y59" s="241"/>
      <c r="Z59" s="214"/>
      <c r="AA59" s="243">
        <v>57.532573159401849</v>
      </c>
      <c r="AB59" s="103">
        <f t="shared" si="21"/>
        <v>1.2773333532141125</v>
      </c>
      <c r="AC59" s="244"/>
      <c r="AD59" s="147"/>
      <c r="AE59" s="245">
        <v>1.2773333532141125</v>
      </c>
      <c r="AF59" s="245"/>
      <c r="AG59" s="245"/>
      <c r="AH59" s="245">
        <v>0</v>
      </c>
      <c r="AI59" s="245"/>
      <c r="AJ59" s="245"/>
      <c r="AK59" s="245"/>
      <c r="AL59" s="245">
        <v>0</v>
      </c>
      <c r="AM59" s="246">
        <v>0</v>
      </c>
      <c r="AN59" s="102"/>
      <c r="AO59" s="243">
        <v>227.43297899256885</v>
      </c>
      <c r="AP59" s="103"/>
      <c r="AQ59" s="247">
        <f t="shared" si="9"/>
        <v>318.57993365629352</v>
      </c>
      <c r="AS59" s="18"/>
    </row>
    <row r="60" spans="1:45" ht="12.75" customHeight="1">
      <c r="A60" s="238" t="s">
        <v>185</v>
      </c>
      <c r="B60" s="239" t="s">
        <v>186</v>
      </c>
      <c r="C60" s="51">
        <f t="shared" si="18"/>
        <v>1.0998345864661654E-2</v>
      </c>
      <c r="D60" s="240">
        <v>1.0998345864661654E-2</v>
      </c>
      <c r="E60" s="58"/>
      <c r="F60" s="58"/>
      <c r="G60" s="248"/>
      <c r="H60" s="55">
        <f t="shared" si="19"/>
        <v>0</v>
      </c>
      <c r="I60" s="52"/>
      <c r="J60" s="52"/>
      <c r="K60" s="52"/>
      <c r="L60" s="55">
        <f t="shared" si="20"/>
        <v>24.137833390343388</v>
      </c>
      <c r="M60" s="62"/>
      <c r="N60" s="53"/>
      <c r="O60" s="53"/>
      <c r="P60" s="58"/>
      <c r="Q60" s="242">
        <v>5.3543303518790886</v>
      </c>
      <c r="R60" s="58"/>
      <c r="S60" s="242">
        <v>0</v>
      </c>
      <c r="T60" s="242">
        <v>5.393987425308894</v>
      </c>
      <c r="U60" s="242">
        <v>13.389515613155407</v>
      </c>
      <c r="V60" s="242">
        <v>0</v>
      </c>
      <c r="W60" s="58"/>
      <c r="X60" s="58"/>
      <c r="Y60" s="53"/>
      <c r="Z60" s="52"/>
      <c r="AA60" s="243">
        <v>17.076846566169994</v>
      </c>
      <c r="AB60" s="58">
        <f t="shared" si="21"/>
        <v>6.7770858417357749E-2</v>
      </c>
      <c r="AC60" s="249"/>
      <c r="AD60" s="62"/>
      <c r="AE60" s="250">
        <v>6.7770858417357749E-2</v>
      </c>
      <c r="AF60" s="250"/>
      <c r="AG60" s="250"/>
      <c r="AH60" s="250">
        <v>0</v>
      </c>
      <c r="AI60" s="250"/>
      <c r="AJ60" s="250"/>
      <c r="AK60" s="250"/>
      <c r="AL60" s="250">
        <v>0</v>
      </c>
      <c r="AM60" s="251">
        <v>0</v>
      </c>
      <c r="AN60" s="55"/>
      <c r="AO60" s="243">
        <v>69.841724309024471</v>
      </c>
      <c r="AP60" s="58"/>
      <c r="AQ60" s="252">
        <f t="shared" si="9"/>
        <v>111.13517346981988</v>
      </c>
      <c r="AS60" s="18"/>
    </row>
    <row r="61" spans="1:45" ht="12.75" customHeight="1">
      <c r="A61" s="238" t="s">
        <v>187</v>
      </c>
      <c r="B61" s="239" t="s">
        <v>188</v>
      </c>
      <c r="C61" s="51">
        <f t="shared" si="18"/>
        <v>0.48392721804511274</v>
      </c>
      <c r="D61" s="240">
        <v>0.48392721804511274</v>
      </c>
      <c r="E61" s="58"/>
      <c r="F61" s="58"/>
      <c r="G61" s="248"/>
      <c r="H61" s="55">
        <f t="shared" si="19"/>
        <v>0</v>
      </c>
      <c r="I61" s="52"/>
      <c r="J61" s="52"/>
      <c r="K61" s="52"/>
      <c r="L61" s="55">
        <f t="shared" si="20"/>
        <v>31.333616383670492</v>
      </c>
      <c r="M61" s="62"/>
      <c r="N61" s="53"/>
      <c r="O61" s="53"/>
      <c r="P61" s="58"/>
      <c r="Q61" s="242">
        <v>4.9790317487546645</v>
      </c>
      <c r="R61" s="58"/>
      <c r="S61" s="242">
        <v>0</v>
      </c>
      <c r="T61" s="242">
        <v>19.202826984364982</v>
      </c>
      <c r="U61" s="242">
        <v>7.1517576505508451</v>
      </c>
      <c r="V61" s="242">
        <v>0</v>
      </c>
      <c r="W61" s="58"/>
      <c r="X61" s="58"/>
      <c r="Y61" s="53"/>
      <c r="Z61" s="52"/>
      <c r="AA61" s="243">
        <v>37.147190784142389</v>
      </c>
      <c r="AB61" s="58">
        <f t="shared" si="21"/>
        <v>2.1318354810851448</v>
      </c>
      <c r="AC61" s="249"/>
      <c r="AD61" s="62"/>
      <c r="AE61" s="250">
        <v>2.1318354810851448</v>
      </c>
      <c r="AF61" s="250"/>
      <c r="AG61" s="250"/>
      <c r="AH61" s="250">
        <v>0</v>
      </c>
      <c r="AI61" s="250"/>
      <c r="AJ61" s="250"/>
      <c r="AK61" s="250"/>
      <c r="AL61" s="250">
        <v>0</v>
      </c>
      <c r="AM61" s="251">
        <v>0</v>
      </c>
      <c r="AN61" s="55"/>
      <c r="AO61" s="243">
        <v>87.896378653102275</v>
      </c>
      <c r="AP61" s="58"/>
      <c r="AQ61" s="252">
        <f t="shared" si="9"/>
        <v>158.99294852004542</v>
      </c>
      <c r="AS61" s="18"/>
    </row>
    <row r="62" spans="1:45" ht="12.75" customHeight="1">
      <c r="A62" s="238" t="s">
        <v>189</v>
      </c>
      <c r="B62" s="239" t="s">
        <v>190</v>
      </c>
      <c r="C62" s="51">
        <f t="shared" si="18"/>
        <v>0</v>
      </c>
      <c r="D62" s="240">
        <v>0</v>
      </c>
      <c r="E62" s="58"/>
      <c r="F62" s="58"/>
      <c r="G62" s="248"/>
      <c r="H62" s="55">
        <f t="shared" si="19"/>
        <v>0</v>
      </c>
      <c r="I62" s="52"/>
      <c r="J62" s="52"/>
      <c r="K62" s="52"/>
      <c r="L62" s="55">
        <f t="shared" si="20"/>
        <v>5.4379501694305112</v>
      </c>
      <c r="M62" s="62"/>
      <c r="N62" s="53"/>
      <c r="O62" s="53"/>
      <c r="P62" s="58"/>
      <c r="Q62" s="242">
        <v>1.5602301478206442</v>
      </c>
      <c r="R62" s="58"/>
      <c r="S62" s="242">
        <v>0</v>
      </c>
      <c r="T62" s="242">
        <v>1.6396331271347122</v>
      </c>
      <c r="U62" s="242">
        <v>2.2380868944751544</v>
      </c>
      <c r="V62" s="242">
        <v>0</v>
      </c>
      <c r="W62" s="58"/>
      <c r="X62" s="58"/>
      <c r="Y62" s="53"/>
      <c r="Z62" s="52"/>
      <c r="AA62" s="243">
        <v>9.7954001243574229</v>
      </c>
      <c r="AB62" s="58">
        <f t="shared" si="21"/>
        <v>3.8305267801115254E-2</v>
      </c>
      <c r="AC62" s="249"/>
      <c r="AD62" s="62"/>
      <c r="AE62" s="250">
        <v>3.8305267801115254E-2</v>
      </c>
      <c r="AF62" s="250"/>
      <c r="AG62" s="250"/>
      <c r="AH62" s="250">
        <v>0</v>
      </c>
      <c r="AI62" s="250"/>
      <c r="AJ62" s="250"/>
      <c r="AK62" s="250"/>
      <c r="AL62" s="250">
        <v>0</v>
      </c>
      <c r="AM62" s="251">
        <v>0</v>
      </c>
      <c r="AN62" s="55"/>
      <c r="AO62" s="243">
        <v>168.21982573047418</v>
      </c>
      <c r="AP62" s="58"/>
      <c r="AQ62" s="252">
        <f t="shared" si="9"/>
        <v>183.49148129206324</v>
      </c>
      <c r="AS62" s="18"/>
    </row>
    <row r="63" spans="1:45" ht="12.75" customHeight="1">
      <c r="A63" s="238" t="s">
        <v>191</v>
      </c>
      <c r="B63" s="239" t="s">
        <v>192</v>
      </c>
      <c r="C63" s="51">
        <f t="shared" si="18"/>
        <v>3.4994736842105266E-2</v>
      </c>
      <c r="D63" s="253">
        <v>3.4994736842105266E-2</v>
      </c>
      <c r="E63" s="58"/>
      <c r="F63" s="58"/>
      <c r="G63" s="248"/>
      <c r="H63" s="55">
        <f t="shared" si="19"/>
        <v>0</v>
      </c>
      <c r="I63" s="52"/>
      <c r="J63" s="52"/>
      <c r="K63" s="52"/>
      <c r="L63" s="55">
        <f t="shared" si="20"/>
        <v>2.5994355613729017</v>
      </c>
      <c r="M63" s="62"/>
      <c r="N63" s="53"/>
      <c r="O63" s="53"/>
      <c r="P63" s="58"/>
      <c r="Q63" s="254">
        <v>0.92243336442098911</v>
      </c>
      <c r="R63" s="58"/>
      <c r="S63" s="254">
        <v>0</v>
      </c>
      <c r="T63" s="254">
        <v>0.18424146092891816</v>
      </c>
      <c r="U63" s="254">
        <v>1.4927607360229946</v>
      </c>
      <c r="V63" s="254">
        <v>0</v>
      </c>
      <c r="W63" s="58"/>
      <c r="X63" s="58"/>
      <c r="Y63" s="53"/>
      <c r="Z63" s="52"/>
      <c r="AA63" s="255">
        <v>15.333339022313094</v>
      </c>
      <c r="AB63" s="58">
        <f t="shared" si="21"/>
        <v>0</v>
      </c>
      <c r="AC63" s="249"/>
      <c r="AD63" s="62"/>
      <c r="AE63" s="250">
        <v>0</v>
      </c>
      <c r="AF63" s="250"/>
      <c r="AG63" s="250"/>
      <c r="AH63" s="250">
        <v>0</v>
      </c>
      <c r="AI63" s="250"/>
      <c r="AJ63" s="250"/>
      <c r="AK63" s="250"/>
      <c r="AL63" s="250">
        <v>0</v>
      </c>
      <c r="AM63" s="251">
        <v>0</v>
      </c>
      <c r="AN63" s="55"/>
      <c r="AO63" s="255">
        <v>37.594013086148287</v>
      </c>
      <c r="AP63" s="58"/>
      <c r="AQ63" s="252">
        <f t="shared" si="9"/>
        <v>55.561782406676386</v>
      </c>
      <c r="AS63" s="18"/>
    </row>
    <row r="64" spans="1:45" ht="12.75" customHeight="1">
      <c r="A64" s="256" t="s">
        <v>193</v>
      </c>
      <c r="B64" s="257"/>
      <c r="C64" s="110">
        <f t="shared" si="18"/>
        <v>0</v>
      </c>
      <c r="D64" s="253">
        <v>0</v>
      </c>
      <c r="E64" s="115"/>
      <c r="F64" s="115"/>
      <c r="G64" s="258"/>
      <c r="H64" s="114">
        <f t="shared" si="19"/>
        <v>0</v>
      </c>
      <c r="I64" s="226"/>
      <c r="J64" s="226"/>
      <c r="K64" s="226"/>
      <c r="L64" s="114">
        <f t="shared" si="20"/>
        <v>27.557094326158314</v>
      </c>
      <c r="M64" s="227"/>
      <c r="N64" s="259"/>
      <c r="O64" s="259"/>
      <c r="P64" s="115"/>
      <c r="Q64" s="254">
        <v>4.9737607009579721</v>
      </c>
      <c r="R64" s="115"/>
      <c r="S64" s="254">
        <v>0</v>
      </c>
      <c r="T64" s="254">
        <v>12.11358636824472</v>
      </c>
      <c r="U64" s="254">
        <v>10.469355133788389</v>
      </c>
      <c r="V64" s="254">
        <v>3.9212316723240829E-4</v>
      </c>
      <c r="W64" s="115"/>
      <c r="X64" s="115"/>
      <c r="Y64" s="259"/>
      <c r="Z64" s="226"/>
      <c r="AA64" s="255">
        <v>68.729766052171726</v>
      </c>
      <c r="AB64" s="115">
        <f t="shared" si="21"/>
        <v>20.071591813772855</v>
      </c>
      <c r="AC64" s="260"/>
      <c r="AD64" s="227"/>
      <c r="AE64" s="261">
        <v>1.5027054588598796</v>
      </c>
      <c r="AF64" s="261"/>
      <c r="AG64" s="261"/>
      <c r="AH64" s="261">
        <v>2.7242413882803982</v>
      </c>
      <c r="AI64" s="261"/>
      <c r="AJ64" s="261"/>
      <c r="AK64" s="261"/>
      <c r="AL64" s="261">
        <v>0.16649466165720572</v>
      </c>
      <c r="AM64" s="262">
        <v>15.678150304975372</v>
      </c>
      <c r="AN64" s="114"/>
      <c r="AO64" s="255">
        <v>93.530400690108436</v>
      </c>
      <c r="AP64" s="115"/>
      <c r="AQ64" s="263">
        <f t="shared" si="9"/>
        <v>209.88885288221132</v>
      </c>
      <c r="AS64" s="18"/>
    </row>
    <row r="65" spans="1:45" ht="12.75" customHeight="1">
      <c r="A65" s="228" t="s">
        <v>194</v>
      </c>
      <c r="B65" s="229"/>
      <c r="C65" s="110">
        <f t="shared" ref="C65:C71" si="24">SUM(D65:G65)</f>
        <v>0</v>
      </c>
      <c r="D65" s="235">
        <f>SUM(D66:D69)</f>
        <v>0</v>
      </c>
      <c r="E65" s="203"/>
      <c r="F65" s="203"/>
      <c r="G65" s="204"/>
      <c r="H65" s="114">
        <f t="shared" ref="H65:H71" si="25">SUM(I65:K65)</f>
        <v>0</v>
      </c>
      <c r="I65" s="111"/>
      <c r="J65" s="112">
        <v>0</v>
      </c>
      <c r="K65" s="112">
        <v>0</v>
      </c>
      <c r="L65" s="114">
        <f t="shared" ref="L65:L71" si="26">SUM(M65:Z65)</f>
        <v>140.16244989160612</v>
      </c>
      <c r="M65" s="112"/>
      <c r="N65" s="113"/>
      <c r="O65" s="113"/>
      <c r="P65" s="203"/>
      <c r="Q65" s="234">
        <v>47.866385041754299</v>
      </c>
      <c r="R65" s="203"/>
      <c r="S65" s="234">
        <v>0.64284746861564912</v>
      </c>
      <c r="T65" s="234">
        <v>16.081150910512747</v>
      </c>
      <c r="U65" s="234">
        <v>75.572066470723442</v>
      </c>
      <c r="V65" s="234">
        <f>SUM(V66:V69)</f>
        <v>0</v>
      </c>
      <c r="W65" s="203"/>
      <c r="X65" s="203"/>
      <c r="Y65" s="113"/>
      <c r="Z65" s="112"/>
      <c r="AA65" s="233">
        <v>192.07673199368949</v>
      </c>
      <c r="AB65" s="115">
        <f t="shared" ref="AB65:AB71" si="27">SUM(AC65:AM65)</f>
        <v>17.792486808257973</v>
      </c>
      <c r="AC65" s="116"/>
      <c r="AD65" s="112"/>
      <c r="AE65" s="112">
        <f>SUM(AE66:AE69)</f>
        <v>12.975172827862389</v>
      </c>
      <c r="AF65" s="112"/>
      <c r="AG65" s="112"/>
      <c r="AH65" s="112">
        <v>4.8173139803955838</v>
      </c>
      <c r="AI65" s="112"/>
      <c r="AJ65" s="112"/>
      <c r="AK65" s="112"/>
      <c r="AL65" s="112"/>
      <c r="AM65" s="113"/>
      <c r="AN65" s="114"/>
      <c r="AO65" s="233">
        <v>334.87725407835688</v>
      </c>
      <c r="AP65" s="115"/>
      <c r="AQ65" s="264">
        <f t="shared" si="9"/>
        <v>684.90892277191051</v>
      </c>
      <c r="AS65" s="18"/>
    </row>
    <row r="66" spans="1:45" ht="12.75" customHeight="1">
      <c r="A66" s="265" t="s">
        <v>195</v>
      </c>
      <c r="B66" s="266" t="s">
        <v>196</v>
      </c>
      <c r="C66" s="98">
        <f t="shared" si="24"/>
        <v>0</v>
      </c>
      <c r="D66" s="267">
        <v>0</v>
      </c>
      <c r="E66" s="148"/>
      <c r="F66" s="148"/>
      <c r="G66" s="268"/>
      <c r="H66" s="102">
        <f t="shared" si="25"/>
        <v>0</v>
      </c>
      <c r="I66" s="269"/>
      <c r="J66" s="100"/>
      <c r="K66" s="270"/>
      <c r="L66" s="102">
        <f t="shared" si="26"/>
        <v>11.083842216367572</v>
      </c>
      <c r="M66" s="269"/>
      <c r="N66" s="148"/>
      <c r="O66" s="101"/>
      <c r="P66" s="148"/>
      <c r="Q66" s="271">
        <v>0.2530102942411856</v>
      </c>
      <c r="R66" s="148"/>
      <c r="S66" s="271">
        <v>0.3129380842779857</v>
      </c>
      <c r="T66" s="271">
        <v>1.0521462045500485</v>
      </c>
      <c r="U66" s="271">
        <v>9.4657476332983528</v>
      </c>
      <c r="V66" s="271">
        <v>0</v>
      </c>
      <c r="W66" s="148"/>
      <c r="X66" s="148"/>
      <c r="Y66" s="101"/>
      <c r="Z66" s="100"/>
      <c r="AA66" s="272">
        <v>8.4437848043838404</v>
      </c>
      <c r="AB66" s="103">
        <f t="shared" si="27"/>
        <v>5.4773432101994155</v>
      </c>
      <c r="AC66" s="104"/>
      <c r="AD66" s="100"/>
      <c r="AE66" s="100">
        <v>0.66002922980383205</v>
      </c>
      <c r="AF66" s="100"/>
      <c r="AG66" s="100"/>
      <c r="AH66" s="100">
        <v>4.8173139803955838</v>
      </c>
      <c r="AI66" s="100"/>
      <c r="AJ66" s="100"/>
      <c r="AK66" s="100"/>
      <c r="AL66" s="100"/>
      <c r="AM66" s="101"/>
      <c r="AN66" s="102"/>
      <c r="AO66" s="272">
        <v>55.850156928746095</v>
      </c>
      <c r="AP66" s="103"/>
      <c r="AQ66" s="130">
        <f t="shared" si="9"/>
        <v>80.85512715969692</v>
      </c>
      <c r="AS66" s="18"/>
    </row>
    <row r="67" spans="1:45" ht="12.75" customHeight="1">
      <c r="A67" s="273" t="s">
        <v>197</v>
      </c>
      <c r="B67" s="274">
        <v>84</v>
      </c>
      <c r="C67" s="51">
        <f t="shared" si="24"/>
        <v>0</v>
      </c>
      <c r="D67" s="275">
        <v>0</v>
      </c>
      <c r="E67" s="197"/>
      <c r="F67" s="197"/>
      <c r="G67" s="198"/>
      <c r="H67" s="55">
        <f t="shared" si="25"/>
        <v>0</v>
      </c>
      <c r="I67" s="276"/>
      <c r="J67" s="57"/>
      <c r="K67" s="277"/>
      <c r="L67" s="55">
        <f t="shared" si="26"/>
        <v>59.95397707725251</v>
      </c>
      <c r="M67" s="276"/>
      <c r="N67" s="197"/>
      <c r="O67" s="54"/>
      <c r="P67" s="197"/>
      <c r="Q67" s="278">
        <v>11.981091641879475</v>
      </c>
      <c r="R67" s="197"/>
      <c r="S67" s="278">
        <v>0.20048339509750321</v>
      </c>
      <c r="T67" s="278">
        <v>7.85054023769447</v>
      </c>
      <c r="U67" s="278">
        <v>39.921861802581063</v>
      </c>
      <c r="V67" s="278">
        <v>0</v>
      </c>
      <c r="W67" s="197"/>
      <c r="X67" s="197"/>
      <c r="Y67" s="54"/>
      <c r="Z67" s="57"/>
      <c r="AA67" s="279">
        <v>66.187230278743982</v>
      </c>
      <c r="AB67" s="58">
        <f t="shared" si="27"/>
        <v>9.4672942649987188</v>
      </c>
      <c r="AC67" s="59"/>
      <c r="AD67" s="57"/>
      <c r="AE67" s="57">
        <v>9.4672942649987188</v>
      </c>
      <c r="AF67" s="57"/>
      <c r="AG67" s="57"/>
      <c r="AH67" s="57">
        <v>0</v>
      </c>
      <c r="AI67" s="57"/>
      <c r="AJ67" s="57"/>
      <c r="AK67" s="57"/>
      <c r="AL67" s="57"/>
      <c r="AM67" s="54"/>
      <c r="AN67" s="55"/>
      <c r="AO67" s="279">
        <v>154.30936641104071</v>
      </c>
      <c r="AP67" s="58"/>
      <c r="AQ67" s="61">
        <f t="shared" si="9"/>
        <v>289.91786803203593</v>
      </c>
      <c r="AS67" s="18"/>
    </row>
    <row r="68" spans="1:45" ht="12.75" customHeight="1">
      <c r="A68" s="238" t="s">
        <v>198</v>
      </c>
      <c r="B68" s="239">
        <v>85</v>
      </c>
      <c r="C68" s="51">
        <f t="shared" si="24"/>
        <v>0</v>
      </c>
      <c r="D68" s="275">
        <v>0</v>
      </c>
      <c r="E68" s="197"/>
      <c r="F68" s="197"/>
      <c r="G68" s="198"/>
      <c r="H68" s="55">
        <f t="shared" si="25"/>
        <v>0</v>
      </c>
      <c r="I68" s="276"/>
      <c r="J68" s="57"/>
      <c r="K68" s="277"/>
      <c r="L68" s="55">
        <f t="shared" si="26"/>
        <v>42.831123161298109</v>
      </c>
      <c r="M68" s="276"/>
      <c r="N68" s="197"/>
      <c r="O68" s="54"/>
      <c r="P68" s="197"/>
      <c r="Q68" s="278">
        <v>21.281328374361724</v>
      </c>
      <c r="R68" s="197"/>
      <c r="S68" s="278">
        <v>3.2197887029108509E-2</v>
      </c>
      <c r="T68" s="278">
        <v>4.5585277188324795</v>
      </c>
      <c r="U68" s="278">
        <v>16.959069181074796</v>
      </c>
      <c r="V68" s="278">
        <v>0</v>
      </c>
      <c r="W68" s="197"/>
      <c r="X68" s="197"/>
      <c r="Y68" s="54"/>
      <c r="Z68" s="57"/>
      <c r="AA68" s="279">
        <v>53.929324235430926</v>
      </c>
      <c r="AB68" s="58">
        <f t="shared" si="27"/>
        <v>1.3804629203709615</v>
      </c>
      <c r="AC68" s="59"/>
      <c r="AD68" s="57"/>
      <c r="AE68" s="57">
        <v>1.3804629203709615</v>
      </c>
      <c r="AF68" s="57"/>
      <c r="AG68" s="57"/>
      <c r="AH68" s="57">
        <v>0</v>
      </c>
      <c r="AI68" s="57"/>
      <c r="AJ68" s="57"/>
      <c r="AK68" s="57"/>
      <c r="AL68" s="57"/>
      <c r="AM68" s="54"/>
      <c r="AN68" s="55"/>
      <c r="AO68" s="279">
        <v>74.178871141573552</v>
      </c>
      <c r="AP68" s="58"/>
      <c r="AQ68" s="61">
        <f t="shared" si="9"/>
        <v>172.31978145867356</v>
      </c>
      <c r="AS68" s="18"/>
    </row>
    <row r="69" spans="1:45" ht="12.75" customHeight="1">
      <c r="A69" s="256" t="s">
        <v>199</v>
      </c>
      <c r="B69" s="257" t="s">
        <v>200</v>
      </c>
      <c r="C69" s="219">
        <f t="shared" si="24"/>
        <v>0</v>
      </c>
      <c r="D69" s="280">
        <v>0</v>
      </c>
      <c r="E69" s="203"/>
      <c r="F69" s="203"/>
      <c r="G69" s="204"/>
      <c r="H69" s="221">
        <f t="shared" si="25"/>
        <v>0</v>
      </c>
      <c r="I69" s="281"/>
      <c r="J69" s="112"/>
      <c r="K69" s="282"/>
      <c r="L69" s="221">
        <f t="shared" si="26"/>
        <v>26.293507436687939</v>
      </c>
      <c r="M69" s="281"/>
      <c r="N69" s="203"/>
      <c r="O69" s="113"/>
      <c r="P69" s="203"/>
      <c r="Q69" s="283">
        <v>14.35095473127191</v>
      </c>
      <c r="R69" s="203"/>
      <c r="S69" s="283">
        <v>9.7228102211051784E-2</v>
      </c>
      <c r="T69" s="283">
        <v>2.6199367494357482</v>
      </c>
      <c r="U69" s="283">
        <v>9.2253878537692273</v>
      </c>
      <c r="V69" s="283">
        <v>0</v>
      </c>
      <c r="W69" s="203"/>
      <c r="X69" s="203"/>
      <c r="Y69" s="113"/>
      <c r="Z69" s="112"/>
      <c r="AA69" s="284">
        <v>63.51639267513076</v>
      </c>
      <c r="AB69" s="223">
        <f t="shared" si="27"/>
        <v>1.4673864126888767</v>
      </c>
      <c r="AC69" s="224"/>
      <c r="AD69" s="218"/>
      <c r="AE69" s="218">
        <v>1.4673864126888767</v>
      </c>
      <c r="AF69" s="218"/>
      <c r="AG69" s="218"/>
      <c r="AH69" s="218">
        <v>0</v>
      </c>
      <c r="AI69" s="218"/>
      <c r="AJ69" s="218"/>
      <c r="AK69" s="218"/>
      <c r="AL69" s="218"/>
      <c r="AM69" s="220"/>
      <c r="AN69" s="221"/>
      <c r="AO69" s="284">
        <v>50.538859596996531</v>
      </c>
      <c r="AP69" s="223"/>
      <c r="AQ69" s="225">
        <f t="shared" si="9"/>
        <v>141.81614612150412</v>
      </c>
      <c r="AS69" s="18"/>
    </row>
    <row r="70" spans="1:45" s="12" customFormat="1" ht="12.75" customHeight="1">
      <c r="A70" s="133" t="s">
        <v>157</v>
      </c>
      <c r="B70" s="134"/>
      <c r="C70" s="135">
        <f t="shared" si="24"/>
        <v>0</v>
      </c>
      <c r="D70" s="285">
        <v>0</v>
      </c>
      <c r="E70" s="286"/>
      <c r="F70" s="287"/>
      <c r="G70" s="287"/>
      <c r="H70" s="139">
        <f t="shared" si="25"/>
        <v>0</v>
      </c>
      <c r="I70" s="285"/>
      <c r="J70" s="286"/>
      <c r="K70" s="286"/>
      <c r="L70" s="139">
        <f t="shared" si="26"/>
        <v>175.46549158593075</v>
      </c>
      <c r="M70" s="286"/>
      <c r="N70" s="286"/>
      <c r="O70" s="286"/>
      <c r="P70" s="286">
        <v>0</v>
      </c>
      <c r="Q70" s="286">
        <v>0</v>
      </c>
      <c r="R70" s="286"/>
      <c r="S70" s="286"/>
      <c r="T70" s="288">
        <v>0</v>
      </c>
      <c r="U70" s="286">
        <v>175.46549158593075</v>
      </c>
      <c r="V70" s="100"/>
      <c r="W70" s="287"/>
      <c r="X70" s="287"/>
      <c r="Y70" s="287"/>
      <c r="Z70" s="286"/>
      <c r="AA70" s="139">
        <v>0</v>
      </c>
      <c r="AB70" s="140">
        <f t="shared" si="27"/>
        <v>0</v>
      </c>
      <c r="AC70" s="289"/>
      <c r="AD70" s="286"/>
      <c r="AE70" s="286"/>
      <c r="AF70" s="286"/>
      <c r="AG70" s="286"/>
      <c r="AH70" s="286"/>
      <c r="AI70" s="286"/>
      <c r="AJ70" s="286"/>
      <c r="AK70" s="285"/>
      <c r="AL70" s="287"/>
      <c r="AM70" s="286"/>
      <c r="AN70" s="139"/>
      <c r="AO70" s="139">
        <v>47.988</v>
      </c>
      <c r="AP70" s="140"/>
      <c r="AQ70" s="129">
        <f t="shared" si="9"/>
        <v>223.45349158593075</v>
      </c>
      <c r="AR70" s="8"/>
      <c r="AS70" s="11"/>
    </row>
    <row r="71" spans="1:45" s="12" customFormat="1" ht="12.75" customHeight="1" thickBot="1">
      <c r="A71" s="290" t="s">
        <v>158</v>
      </c>
      <c r="B71" s="109"/>
      <c r="C71" s="110">
        <f t="shared" si="24"/>
        <v>0</v>
      </c>
      <c r="D71" s="111"/>
      <c r="E71" s="112"/>
      <c r="F71" s="113"/>
      <c r="G71" s="113"/>
      <c r="H71" s="114">
        <f t="shared" si="25"/>
        <v>0</v>
      </c>
      <c r="I71" s="111"/>
      <c r="J71" s="112"/>
      <c r="K71" s="112"/>
      <c r="L71" s="114">
        <f t="shared" si="26"/>
        <v>27.249865733664667</v>
      </c>
      <c r="M71" s="112"/>
      <c r="N71" s="112"/>
      <c r="O71" s="112"/>
      <c r="P71" s="112"/>
      <c r="Q71" s="112"/>
      <c r="R71" s="112"/>
      <c r="S71" s="112"/>
      <c r="T71" s="112"/>
      <c r="U71" s="227">
        <v>27.249865733664667</v>
      </c>
      <c r="V71" s="112"/>
      <c r="W71" s="113"/>
      <c r="X71" s="113"/>
      <c r="Y71" s="113"/>
      <c r="Z71" s="112"/>
      <c r="AA71" s="114"/>
      <c r="AB71" s="115">
        <f t="shared" si="27"/>
        <v>0</v>
      </c>
      <c r="AC71" s="116"/>
      <c r="AD71" s="112"/>
      <c r="AE71" s="112"/>
      <c r="AF71" s="112"/>
      <c r="AG71" s="112"/>
      <c r="AH71" s="112"/>
      <c r="AI71" s="112"/>
      <c r="AJ71" s="112"/>
      <c r="AK71" s="111"/>
      <c r="AL71" s="113"/>
      <c r="AM71" s="112"/>
      <c r="AN71" s="114"/>
      <c r="AO71" s="117"/>
      <c r="AP71" s="115"/>
      <c r="AQ71" s="291">
        <f t="shared" si="9"/>
        <v>27.249865733664667</v>
      </c>
      <c r="AR71" s="8"/>
      <c r="AS71" s="11"/>
    </row>
    <row r="72" spans="1:45" s="12" customFormat="1" ht="12.75" customHeight="1" thickBot="1">
      <c r="A72" s="162" t="s">
        <v>159</v>
      </c>
      <c r="B72" s="163"/>
      <c r="C72" s="164">
        <f t="shared" ref="C72:AP72" si="28">C26-C27-C29</f>
        <v>-2.719924399165734</v>
      </c>
      <c r="D72" s="165">
        <f t="shared" si="28"/>
        <v>0.18184486786384468</v>
      </c>
      <c r="E72" s="166">
        <f t="shared" si="28"/>
        <v>-3.4486883993195647</v>
      </c>
      <c r="F72" s="169">
        <f t="shared" si="28"/>
        <v>0</v>
      </c>
      <c r="G72" s="169">
        <f t="shared" si="28"/>
        <v>0.6924657422902083</v>
      </c>
      <c r="H72" s="167">
        <f t="shared" si="28"/>
        <v>1.9457250152908045</v>
      </c>
      <c r="I72" s="165">
        <f t="shared" si="28"/>
        <v>-0.45741265470912973</v>
      </c>
      <c r="J72" s="166">
        <f t="shared" si="28"/>
        <v>0</v>
      </c>
      <c r="K72" s="166">
        <f t="shared" si="28"/>
        <v>2.4031376700000067</v>
      </c>
      <c r="L72" s="167">
        <f t="shared" si="28"/>
        <v>-0.17452026544560795</v>
      </c>
      <c r="M72" s="166">
        <f t="shared" si="28"/>
        <v>0</v>
      </c>
      <c r="N72" s="166">
        <f t="shared" si="28"/>
        <v>-0.14794174855289199</v>
      </c>
      <c r="O72" s="166">
        <f t="shared" si="28"/>
        <v>-5.2567080980734033</v>
      </c>
      <c r="P72" s="166">
        <f t="shared" si="28"/>
        <v>-22.015945821971172</v>
      </c>
      <c r="Q72" s="166">
        <f t="shared" si="28"/>
        <v>15.370413414720133</v>
      </c>
      <c r="R72" s="166">
        <f t="shared" si="28"/>
        <v>-6.7103906044801533</v>
      </c>
      <c r="S72" s="166">
        <f t="shared" si="28"/>
        <v>8.1718040718781069</v>
      </c>
      <c r="T72" s="166">
        <f t="shared" si="28"/>
        <v>6.5570336698137623</v>
      </c>
      <c r="U72" s="166">
        <f t="shared" si="28"/>
        <v>-4.4746269624060915</v>
      </c>
      <c r="V72" s="166">
        <f t="shared" si="28"/>
        <v>0.82532907951213019</v>
      </c>
      <c r="W72" s="169">
        <f t="shared" si="28"/>
        <v>7.506512734116022</v>
      </c>
      <c r="X72" s="169">
        <f t="shared" si="28"/>
        <v>0</v>
      </c>
      <c r="Y72" s="169">
        <f t="shared" si="28"/>
        <v>0</v>
      </c>
      <c r="Z72" s="166">
        <f t="shared" si="28"/>
        <v>0</v>
      </c>
      <c r="AA72" s="167">
        <f t="shared" si="28"/>
        <v>-40.274710307198575</v>
      </c>
      <c r="AB72" s="168">
        <f t="shared" si="28"/>
        <v>-8.1303135021793764</v>
      </c>
      <c r="AC72" s="292">
        <f t="shared" si="28"/>
        <v>0</v>
      </c>
      <c r="AD72" s="166">
        <f t="shared" si="28"/>
        <v>0</v>
      </c>
      <c r="AE72" s="166">
        <f t="shared" si="28"/>
        <v>-5.8327477785794315</v>
      </c>
      <c r="AF72" s="166">
        <f t="shared" si="28"/>
        <v>0</v>
      </c>
      <c r="AG72" s="166">
        <f t="shared" si="28"/>
        <v>0</v>
      </c>
      <c r="AH72" s="166">
        <f t="shared" si="28"/>
        <v>0</v>
      </c>
      <c r="AI72" s="166">
        <f t="shared" si="28"/>
        <v>-2.9556858672000175</v>
      </c>
      <c r="AJ72" s="166">
        <f t="shared" si="28"/>
        <v>0.65812014360000148</v>
      </c>
      <c r="AK72" s="165">
        <f t="shared" si="28"/>
        <v>0</v>
      </c>
      <c r="AL72" s="169">
        <f t="shared" si="28"/>
        <v>0</v>
      </c>
      <c r="AM72" s="166">
        <f t="shared" si="28"/>
        <v>0</v>
      </c>
      <c r="AN72" s="167">
        <f t="shared" si="28"/>
        <v>0</v>
      </c>
      <c r="AO72" s="167">
        <f t="shared" si="28"/>
        <v>-36.15143685982639</v>
      </c>
      <c r="AP72" s="168">
        <f t="shared" si="28"/>
        <v>0</v>
      </c>
      <c r="AQ72" s="170">
        <f t="shared" si="9"/>
        <v>-85.505180318524879</v>
      </c>
      <c r="AR72" s="8"/>
      <c r="AS72" s="11"/>
    </row>
    <row r="73" spans="1:45" ht="12.75" customHeight="1">
      <c r="A73" s="293"/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  <c r="M73" s="293"/>
      <c r="N73" s="293"/>
      <c r="O73" s="293"/>
      <c r="P73" s="293"/>
      <c r="Q73" s="293"/>
      <c r="R73" s="293"/>
      <c r="S73" s="293"/>
      <c r="T73" s="293"/>
      <c r="U73" s="293"/>
      <c r="V73" s="293"/>
      <c r="W73" s="293"/>
      <c r="X73" s="293"/>
      <c r="Y73" s="293"/>
      <c r="Z73" s="293"/>
      <c r="AA73" s="293"/>
      <c r="AB73" s="293"/>
      <c r="AC73" s="293"/>
      <c r="AD73" s="293"/>
      <c r="AE73" s="293"/>
      <c r="AF73" s="293"/>
      <c r="AG73" s="293"/>
      <c r="AH73" s="293"/>
      <c r="AI73" s="293"/>
      <c r="AJ73" s="293"/>
      <c r="AK73" s="293"/>
      <c r="AL73" s="293"/>
      <c r="AM73" s="293"/>
      <c r="AN73" s="293"/>
      <c r="AO73" s="293"/>
      <c r="AP73" s="293"/>
      <c r="AQ73" s="293"/>
    </row>
    <row r="74" spans="1:45" s="12" customFormat="1" ht="15" customHeight="1">
      <c r="A74" s="149" t="s">
        <v>201</v>
      </c>
      <c r="B74" s="126"/>
      <c r="C74" s="126"/>
      <c r="D74" s="126"/>
      <c r="E74" s="126"/>
      <c r="F74" s="126"/>
      <c r="G74" s="126"/>
      <c r="H74" s="126"/>
      <c r="I74" s="126"/>
      <c r="J74" s="126"/>
      <c r="K74" s="126"/>
      <c r="L74" s="19"/>
      <c r="M74" s="126"/>
      <c r="N74" s="126"/>
      <c r="O74" s="294"/>
      <c r="P74" s="294"/>
      <c r="Q74" s="126"/>
      <c r="R74" s="126"/>
      <c r="S74" s="126"/>
      <c r="T74" s="126"/>
      <c r="U74" s="126"/>
      <c r="V74" s="126"/>
      <c r="W74" s="119"/>
      <c r="X74" s="294"/>
      <c r="Y74" s="126"/>
      <c r="Z74" s="126"/>
      <c r="AA74" s="126"/>
      <c r="AB74" s="126"/>
      <c r="AC74" s="126"/>
      <c r="AD74" s="126"/>
      <c r="AE74" s="126"/>
      <c r="AF74" s="126"/>
      <c r="AG74" s="126"/>
      <c r="AH74" s="126"/>
      <c r="AI74" s="126"/>
      <c r="AJ74" s="126"/>
      <c r="AK74" s="126"/>
      <c r="AL74" s="126"/>
      <c r="AM74" s="126"/>
      <c r="AN74" s="126"/>
      <c r="AO74" s="126"/>
      <c r="AP74" s="126"/>
      <c r="AQ74" s="126"/>
      <c r="AS74" s="11"/>
    </row>
    <row r="75" spans="1:45" ht="12.75" customHeight="1">
      <c r="A75" s="295" t="s">
        <v>202</v>
      </c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  <c r="M75" s="293"/>
      <c r="N75" s="293"/>
      <c r="O75" s="293"/>
      <c r="P75" s="293"/>
      <c r="Q75" s="293"/>
      <c r="R75" s="293"/>
      <c r="S75" s="293"/>
      <c r="T75" s="293"/>
      <c r="U75" s="293"/>
      <c r="V75" s="293"/>
      <c r="W75" s="293"/>
      <c r="X75" s="293"/>
      <c r="Y75" s="293"/>
      <c r="Z75" s="293"/>
      <c r="AA75" s="293"/>
      <c r="AB75" s="293"/>
      <c r="AC75" s="293"/>
      <c r="AD75" s="293"/>
      <c r="AE75" s="293"/>
      <c r="AF75" s="293"/>
      <c r="AG75" s="293"/>
      <c r="AH75" s="293"/>
      <c r="AI75" s="293"/>
      <c r="AJ75" s="293"/>
      <c r="AK75" s="293"/>
      <c r="AL75" s="293"/>
      <c r="AM75" s="293"/>
      <c r="AN75" s="293"/>
      <c r="AO75" s="293"/>
      <c r="AP75" s="293"/>
      <c r="AQ75" s="293"/>
    </row>
    <row r="76" spans="1:45" ht="12.75" customHeight="1">
      <c r="A76" s="296" t="s">
        <v>160</v>
      </c>
      <c r="B76" s="297"/>
      <c r="C76" s="293"/>
      <c r="D76" s="293"/>
      <c r="E76" s="293"/>
      <c r="F76" s="293"/>
      <c r="G76" s="293"/>
      <c r="H76" s="293"/>
      <c r="I76" s="293"/>
      <c r="J76" s="293"/>
      <c r="K76" s="293"/>
      <c r="L76" s="293"/>
      <c r="M76" s="293"/>
      <c r="N76" s="293"/>
      <c r="O76" s="293"/>
      <c r="P76" s="293"/>
      <c r="Q76" s="293"/>
      <c r="R76" s="293"/>
      <c r="S76" s="293"/>
      <c r="T76" s="293"/>
      <c r="U76" s="293"/>
      <c r="V76" s="293"/>
      <c r="W76" s="293"/>
      <c r="X76" s="293"/>
      <c r="Y76" s="293"/>
      <c r="Z76" s="293"/>
      <c r="AA76" s="293"/>
      <c r="AB76" s="293"/>
      <c r="AC76" s="293"/>
      <c r="AD76" s="293"/>
      <c r="AE76" s="293"/>
      <c r="AF76" s="293"/>
      <c r="AG76" s="293"/>
      <c r="AH76" s="293"/>
      <c r="AI76" s="293"/>
      <c r="AJ76" s="293"/>
      <c r="AK76" s="293"/>
      <c r="AL76" s="293"/>
      <c r="AM76" s="293"/>
      <c r="AN76" s="293"/>
      <c r="AO76" s="293"/>
      <c r="AP76" s="293"/>
      <c r="AQ76" s="293"/>
    </row>
    <row r="77" spans="1:45" ht="12.75" customHeight="1">
      <c r="A77" s="298" t="s">
        <v>161</v>
      </c>
      <c r="B77" s="295"/>
      <c r="C77" s="293"/>
      <c r="D77" s="293"/>
      <c r="E77" s="293"/>
      <c r="F77" s="293"/>
      <c r="G77" s="293"/>
      <c r="H77" s="293"/>
      <c r="I77" s="293"/>
      <c r="J77" s="293"/>
      <c r="K77" s="293"/>
      <c r="L77" s="293"/>
      <c r="M77" s="293"/>
      <c r="N77" s="293"/>
      <c r="O77" s="293"/>
      <c r="P77" s="293"/>
      <c r="Q77" s="293"/>
      <c r="R77" s="293"/>
      <c r="S77" s="293"/>
      <c r="T77" s="293"/>
      <c r="U77" s="293"/>
      <c r="V77" s="293"/>
      <c r="W77" s="293"/>
      <c r="X77" s="293"/>
      <c r="Y77" s="293"/>
      <c r="Z77" s="293"/>
      <c r="AA77" s="293"/>
      <c r="AB77" s="293"/>
      <c r="AC77" s="293"/>
      <c r="AD77" s="293"/>
      <c r="AE77" s="293"/>
      <c r="AF77" s="293"/>
      <c r="AG77" s="293"/>
      <c r="AH77" s="293"/>
      <c r="AI77" s="293"/>
      <c r="AJ77" s="293"/>
      <c r="AK77" s="293"/>
      <c r="AL77" s="293"/>
      <c r="AM77" s="293"/>
      <c r="AN77" s="293"/>
      <c r="AO77" s="293"/>
      <c r="AP77" s="293"/>
      <c r="AQ77" s="293"/>
    </row>
    <row r="78" spans="1:45" ht="12.75" customHeight="1">
      <c r="A78" s="299" t="s">
        <v>162</v>
      </c>
      <c r="B78" s="295"/>
      <c r="C78" s="293"/>
      <c r="D78" s="293"/>
      <c r="E78" s="293"/>
      <c r="F78" s="293"/>
      <c r="G78" s="293"/>
      <c r="H78" s="293"/>
      <c r="I78" s="293"/>
      <c r="J78" s="293"/>
      <c r="K78" s="293"/>
      <c r="L78" s="293"/>
      <c r="M78" s="293"/>
      <c r="N78" s="293"/>
      <c r="O78" s="293"/>
      <c r="P78" s="293"/>
      <c r="Q78" s="293"/>
      <c r="R78" s="293"/>
      <c r="S78" s="293"/>
      <c r="T78" s="293"/>
      <c r="U78" s="293"/>
      <c r="V78" s="293"/>
      <c r="W78" s="293"/>
      <c r="X78" s="293"/>
      <c r="Y78" s="293"/>
      <c r="Z78" s="293"/>
      <c r="AA78" s="293"/>
      <c r="AB78" s="293"/>
      <c r="AC78" s="293"/>
      <c r="AD78" s="293"/>
      <c r="AE78" s="293"/>
      <c r="AF78" s="293"/>
      <c r="AG78" s="293"/>
      <c r="AH78" s="293"/>
      <c r="AI78" s="293"/>
      <c r="AJ78" s="293"/>
      <c r="AK78" s="293"/>
      <c r="AL78" s="293"/>
      <c r="AM78" s="293"/>
      <c r="AN78" s="293"/>
      <c r="AO78" s="293"/>
      <c r="AP78" s="293"/>
      <c r="AQ78" s="293"/>
    </row>
    <row r="79" spans="1:45" ht="12.75" customHeight="1">
      <c r="A79" s="300" t="s">
        <v>163</v>
      </c>
      <c r="B79" s="301"/>
      <c r="C79" s="301"/>
      <c r="D79" s="301"/>
      <c r="E79" s="302"/>
      <c r="F79" s="303"/>
      <c r="G79" s="303"/>
      <c r="H79" s="304"/>
      <c r="I79" s="303"/>
      <c r="J79" s="303"/>
      <c r="K79" s="303"/>
      <c r="L79" s="304"/>
      <c r="M79" s="303"/>
      <c r="N79" s="303"/>
      <c r="O79" s="303"/>
      <c r="P79" s="303"/>
      <c r="Q79" s="303"/>
      <c r="R79" s="303"/>
      <c r="S79" s="305"/>
      <c r="T79"/>
      <c r="U79" s="305"/>
      <c r="V79" s="305"/>
      <c r="W79" s="303"/>
      <c r="X79" s="303"/>
      <c r="Y79" s="303"/>
      <c r="Z79" s="303"/>
      <c r="AA79" s="304"/>
      <c r="AB79" s="306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4"/>
      <c r="AP79" s="306"/>
      <c r="AQ79" s="303"/>
    </row>
    <row r="80" spans="1:45" ht="12.75" customHeight="1">
      <c r="A80" s="300" t="s">
        <v>164</v>
      </c>
      <c r="B80" s="301"/>
      <c r="C80" s="301"/>
      <c r="D80" s="301"/>
      <c r="E80" s="302"/>
      <c r="F80" s="303"/>
      <c r="G80" s="303"/>
      <c r="H80" s="304"/>
      <c r="I80" s="303"/>
      <c r="J80" s="303"/>
      <c r="K80" s="303"/>
      <c r="L80" s="304"/>
      <c r="M80" s="303"/>
      <c r="N80" s="303"/>
      <c r="O80" s="303"/>
      <c r="P80" s="303"/>
      <c r="Q80" s="303"/>
      <c r="R80" s="303"/>
      <c r="S80" s="305"/>
      <c r="T80"/>
      <c r="U80" s="305"/>
      <c r="V80" s="305"/>
      <c r="W80" s="303"/>
      <c r="X80" s="303"/>
      <c r="Y80" s="303"/>
      <c r="Z80" s="303"/>
      <c r="AA80" s="304"/>
      <c r="AB80" s="306"/>
      <c r="AC80" s="303"/>
      <c r="AD80" s="303"/>
      <c r="AE80" s="303"/>
      <c r="AF80" s="303"/>
      <c r="AG80" s="303"/>
      <c r="AH80" s="303"/>
      <c r="AI80" s="303"/>
      <c r="AJ80" s="303"/>
      <c r="AK80" s="303"/>
      <c r="AL80" s="303"/>
      <c r="AM80" s="303"/>
      <c r="AN80" s="303"/>
      <c r="AO80" s="304"/>
      <c r="AP80" s="306"/>
      <c r="AQ80" s="303"/>
    </row>
    <row r="81" spans="1:43">
      <c r="A81" s="307"/>
      <c r="B81" s="132"/>
      <c r="C81" s="126"/>
      <c r="D81" s="126"/>
      <c r="E81" s="126"/>
      <c r="F81" s="153"/>
      <c r="G81" s="153"/>
      <c r="H81" s="126"/>
      <c r="I81" s="153"/>
      <c r="J81" s="153"/>
      <c r="K81" s="153"/>
      <c r="L81" s="304"/>
      <c r="M81" s="303"/>
      <c r="N81" s="303"/>
      <c r="O81" s="303"/>
      <c r="P81" s="303"/>
      <c r="Q81" s="303"/>
      <c r="R81" s="303"/>
      <c r="S81" s="303"/>
      <c r="T81" s="303"/>
      <c r="U81" s="303"/>
      <c r="V81" s="303"/>
      <c r="W81" s="303"/>
      <c r="X81" s="303"/>
      <c r="Y81" s="303"/>
      <c r="Z81" s="153"/>
      <c r="AA81" s="304"/>
      <c r="AB81" s="304"/>
      <c r="AC81" s="303"/>
      <c r="AD81" s="303"/>
      <c r="AE81" s="303"/>
      <c r="AF81" s="303"/>
      <c r="AG81" s="303"/>
      <c r="AH81" s="303"/>
      <c r="AI81" s="303"/>
      <c r="AJ81" s="303"/>
      <c r="AK81" s="303"/>
      <c r="AL81" s="303"/>
      <c r="AM81" s="303"/>
      <c r="AN81" s="303"/>
      <c r="AO81" s="304"/>
      <c r="AP81" s="304"/>
      <c r="AQ81" s="303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="80" zoomScaleNormal="80" zoomScaleSheetLayoutView="80" workbookViewId="0">
      <pane xSplit="2" ySplit="1" topLeftCell="Q5" activePane="bottomRight" state="frozen"/>
      <selection activeCell="AJ80" sqref="AJ80"/>
      <selection pane="topRight" activeCell="AJ80" sqref="AJ80"/>
      <selection pane="bottomLeft" activeCell="AJ80" sqref="AJ80"/>
      <selection pane="bottomRight" activeCell="AK8" sqref="AK8"/>
    </sheetView>
  </sheetViews>
  <sheetFormatPr defaultRowHeight="12.75"/>
  <cols>
    <col min="1" max="1" width="38.140625" style="594" customWidth="1"/>
    <col min="2" max="2" width="13" style="319" bestFit="1" customWidth="1"/>
    <col min="3" max="3" width="7.5703125" style="413" bestFit="1" customWidth="1"/>
    <col min="4" max="4" width="8" style="413" bestFit="1" customWidth="1"/>
    <col min="5" max="5" width="9.28515625" style="413" bestFit="1" customWidth="1"/>
    <col min="6" max="6" width="6.140625" style="439" customWidth="1"/>
    <col min="7" max="7" width="6" style="439" bestFit="1" customWidth="1"/>
    <col min="8" max="8" width="6.42578125" style="413" bestFit="1" customWidth="1"/>
    <col min="9" max="9" width="6.28515625" style="439" bestFit="1" customWidth="1"/>
    <col min="10" max="10" width="6.140625" style="439" bestFit="1" customWidth="1"/>
    <col min="11" max="11" width="7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5703125" style="589" bestFit="1" customWidth="1"/>
    <col min="18" max="18" width="8.28515625" style="589" bestFit="1" customWidth="1"/>
    <col min="19" max="19" width="7.42578125" style="589" bestFit="1" customWidth="1"/>
    <col min="20" max="20" width="7.5703125" style="589" bestFit="1" customWidth="1"/>
    <col min="21" max="21" width="8.5703125" style="589" bestFit="1" customWidth="1"/>
    <col min="22" max="22" width="7" style="589" bestFit="1" customWidth="1"/>
    <col min="23" max="25" width="5.42578125" style="589" customWidth="1"/>
    <col min="26" max="26" width="5.42578125" style="439" customWidth="1"/>
    <col min="27" max="27" width="7.42578125" style="590" bestFit="1" customWidth="1"/>
    <col min="28" max="28" width="7.28515625" style="590" bestFit="1" customWidth="1"/>
    <col min="29" max="33" width="5.5703125" style="589" customWidth="1"/>
    <col min="34" max="34" width="6" style="589" customWidth="1"/>
    <col min="35" max="35" width="7" style="589" customWidth="1"/>
    <col min="36" max="36" width="7.42578125" style="589" bestFit="1" customWidth="1"/>
    <col min="37" max="38" width="5.5703125" style="589" customWidth="1"/>
    <col min="39" max="39" width="7.28515625" style="589" bestFit="1" customWidth="1"/>
    <col min="40" max="40" width="5.5703125" style="589" customWidth="1"/>
    <col min="41" max="41" width="8.85546875" style="590" bestFit="1" customWidth="1"/>
    <col min="42" max="42" width="7.7109375" style="590" bestFit="1" customWidth="1"/>
    <col min="43" max="43" width="9.42578125" style="589" bestFit="1" customWidth="1"/>
    <col min="44" max="16384" width="9.140625" style="319"/>
  </cols>
  <sheetData>
    <row r="1" spans="1:44" ht="105.75" customHeight="1" thickBot="1">
      <c r="A1" s="309" t="s">
        <v>203</v>
      </c>
      <c r="B1" s="310" t="s">
        <v>170</v>
      </c>
      <c r="C1" s="311" t="s">
        <v>60</v>
      </c>
      <c r="D1" s="312" t="s">
        <v>61</v>
      </c>
      <c r="E1" s="313" t="s">
        <v>62</v>
      </c>
      <c r="F1" s="314" t="s">
        <v>63</v>
      </c>
      <c r="G1" s="314" t="s">
        <v>64</v>
      </c>
      <c r="H1" s="315" t="s">
        <v>65</v>
      </c>
      <c r="I1" s="312" t="s">
        <v>66</v>
      </c>
      <c r="J1" s="313" t="s">
        <v>67</v>
      </c>
      <c r="K1" s="313" t="s">
        <v>68</v>
      </c>
      <c r="L1" s="315" t="s">
        <v>69</v>
      </c>
      <c r="M1" s="312" t="s">
        <v>70</v>
      </c>
      <c r="N1" s="312" t="s">
        <v>171</v>
      </c>
      <c r="O1" s="313" t="s">
        <v>71</v>
      </c>
      <c r="P1" s="313" t="s">
        <v>72</v>
      </c>
      <c r="Q1" s="313" t="s">
        <v>73</v>
      </c>
      <c r="R1" s="313" t="s">
        <v>74</v>
      </c>
      <c r="S1" s="313" t="s">
        <v>75</v>
      </c>
      <c r="T1" s="313" t="s">
        <v>76</v>
      </c>
      <c r="U1" s="313" t="s">
        <v>77</v>
      </c>
      <c r="V1" s="313" t="s">
        <v>78</v>
      </c>
      <c r="W1" s="314" t="s">
        <v>79</v>
      </c>
      <c r="X1" s="314" t="s">
        <v>80</v>
      </c>
      <c r="Y1" s="314" t="s">
        <v>81</v>
      </c>
      <c r="Z1" s="313" t="s">
        <v>82</v>
      </c>
      <c r="AA1" s="315" t="s">
        <v>83</v>
      </c>
      <c r="AB1" s="316" t="s">
        <v>84</v>
      </c>
      <c r="AC1" s="317" t="s">
        <v>85</v>
      </c>
      <c r="AD1" s="313" t="s">
        <v>86</v>
      </c>
      <c r="AE1" s="313" t="s">
        <v>172</v>
      </c>
      <c r="AF1" s="313" t="s">
        <v>173</v>
      </c>
      <c r="AG1" s="313" t="s">
        <v>87</v>
      </c>
      <c r="AH1" s="313" t="s">
        <v>88</v>
      </c>
      <c r="AI1" s="313" t="s">
        <v>174</v>
      </c>
      <c r="AJ1" s="313" t="s">
        <v>175</v>
      </c>
      <c r="AK1" s="313" t="s">
        <v>176</v>
      </c>
      <c r="AL1" s="313" t="s">
        <v>177</v>
      </c>
      <c r="AM1" s="314" t="s">
        <v>178</v>
      </c>
      <c r="AN1" s="315" t="s">
        <v>89</v>
      </c>
      <c r="AO1" s="315" t="s">
        <v>90</v>
      </c>
      <c r="AP1" s="316" t="s">
        <v>91</v>
      </c>
      <c r="AQ1" s="318" t="s">
        <v>92</v>
      </c>
    </row>
    <row r="2" spans="1:44" ht="12.75" customHeight="1">
      <c r="A2" s="320" t="s">
        <v>93</v>
      </c>
      <c r="B2" s="321"/>
      <c r="C2" s="322">
        <f>SUM(D2:G2)</f>
        <v>0</v>
      </c>
      <c r="D2" s="323">
        <v>0</v>
      </c>
      <c r="E2" s="324"/>
      <c r="F2" s="325"/>
      <c r="G2" s="325"/>
      <c r="H2" s="326">
        <f>SUM(I2:K2)</f>
        <v>390.56915758919979</v>
      </c>
      <c r="I2" s="327">
        <v>262.86515758919978</v>
      </c>
      <c r="J2" s="328">
        <v>127.70399999999999</v>
      </c>
      <c r="K2" s="328"/>
      <c r="L2" s="326">
        <f>SUM(M2:Z2)</f>
        <v>0</v>
      </c>
      <c r="M2" s="327"/>
      <c r="N2" s="329"/>
      <c r="O2" s="330"/>
      <c r="P2" s="330"/>
      <c r="Q2" s="330"/>
      <c r="R2" s="330"/>
      <c r="S2" s="330"/>
      <c r="T2" s="330"/>
      <c r="U2" s="330"/>
      <c r="V2" s="330"/>
      <c r="W2" s="325"/>
      <c r="X2" s="325"/>
      <c r="Y2" s="325"/>
      <c r="Z2" s="328"/>
      <c r="AA2" s="326">
        <v>2146.9500460596769</v>
      </c>
      <c r="AB2" s="331">
        <f>SUM(AC2:AM2)</f>
        <v>1461.1529356923584</v>
      </c>
      <c r="AC2" s="332">
        <v>76.246216633583984</v>
      </c>
      <c r="AD2" s="328">
        <v>861.67565739932616</v>
      </c>
      <c r="AE2" s="328">
        <v>236.83999031702001</v>
      </c>
      <c r="AF2" s="328">
        <v>136.78221700850077</v>
      </c>
      <c r="AG2" s="328">
        <v>31.098271201309991</v>
      </c>
      <c r="AH2" s="328">
        <v>18.859900908697988</v>
      </c>
      <c r="AI2" s="328">
        <v>29.561173673375997</v>
      </c>
      <c r="AJ2" s="328">
        <v>4.2536494817759998</v>
      </c>
      <c r="AK2" s="327">
        <v>1.8420933108829929</v>
      </c>
      <c r="AL2" s="327">
        <v>13.690577884670216</v>
      </c>
      <c r="AM2" s="325">
        <v>50.303187873214497</v>
      </c>
      <c r="AN2" s="333">
        <v>145.29115639080388</v>
      </c>
      <c r="AO2" s="333"/>
      <c r="AP2" s="331"/>
      <c r="AQ2" s="334">
        <f t="shared" ref="AQ2:AQ20" si="0">C2+H2+L2+AA2+AB2+AN2+AO2+AP2</f>
        <v>4143.9632957320391</v>
      </c>
    </row>
    <row r="3" spans="1:44" ht="12.75" customHeight="1">
      <c r="A3" s="335" t="s">
        <v>94</v>
      </c>
      <c r="B3" s="336"/>
      <c r="C3" s="337">
        <f>SUM(D3:G3)</f>
        <v>216.2269400770389</v>
      </c>
      <c r="D3" s="338">
        <v>128.72999085634012</v>
      </c>
      <c r="E3" s="339">
        <v>81.100612657744094</v>
      </c>
      <c r="F3" s="340"/>
      <c r="G3" s="340">
        <v>6.3963365629547004</v>
      </c>
      <c r="H3" s="341">
        <f>SUM(I3:K3)</f>
        <v>0</v>
      </c>
      <c r="I3" s="342"/>
      <c r="J3" s="343"/>
      <c r="K3" s="343"/>
      <c r="L3" s="341">
        <f>SUM(M3:Z3)</f>
        <v>9051.6449685567914</v>
      </c>
      <c r="M3" s="342">
        <v>2653.5268465452</v>
      </c>
      <c r="N3" s="342">
        <v>157.3369951368</v>
      </c>
      <c r="O3" s="343">
        <v>0</v>
      </c>
      <c r="P3" s="343">
        <v>542.64897193333343</v>
      </c>
      <c r="Q3" s="343">
        <v>348.38683425727999</v>
      </c>
      <c r="R3" s="343">
        <v>1570.8211576005599</v>
      </c>
      <c r="S3" s="343">
        <v>111.941671459887</v>
      </c>
      <c r="T3" s="343">
        <v>156.63083509070498</v>
      </c>
      <c r="U3" s="343">
        <v>3092.3130134485209</v>
      </c>
      <c r="V3" s="343">
        <v>159.59155079089038</v>
      </c>
      <c r="W3" s="340">
        <v>0</v>
      </c>
      <c r="X3" s="340">
        <v>211.59482930061003</v>
      </c>
      <c r="Y3" s="340">
        <v>2.1803598931513903</v>
      </c>
      <c r="Z3" s="343">
        <v>44.671903099853381</v>
      </c>
      <c r="AA3" s="341">
        <v>2423.8880448134109</v>
      </c>
      <c r="AB3" s="344">
        <f>SUM(AC3:AM3)</f>
        <v>176.29067528511339</v>
      </c>
      <c r="AC3" s="345"/>
      <c r="AD3" s="343"/>
      <c r="AE3" s="343">
        <v>24.899000522649388</v>
      </c>
      <c r="AF3" s="343"/>
      <c r="AG3" s="343"/>
      <c r="AH3" s="343"/>
      <c r="AI3" s="343">
        <v>126.245745852672</v>
      </c>
      <c r="AJ3" s="343">
        <v>25.145928909791998</v>
      </c>
      <c r="AK3" s="342"/>
      <c r="AL3" s="342"/>
      <c r="AM3" s="340"/>
      <c r="AN3" s="346"/>
      <c r="AO3" s="346">
        <v>187.44378883999997</v>
      </c>
      <c r="AP3" s="344"/>
      <c r="AQ3" s="347">
        <f t="shared" si="0"/>
        <v>12055.494417572356</v>
      </c>
    </row>
    <row r="4" spans="1:44" ht="12.75" customHeight="1">
      <c r="A4" s="335" t="s">
        <v>95</v>
      </c>
      <c r="B4" s="336"/>
      <c r="C4" s="337">
        <f>SUM(D4:G4)</f>
        <v>8.1980002577136002</v>
      </c>
      <c r="D4" s="338">
        <v>0</v>
      </c>
      <c r="E4" s="348">
        <v>7.9590085080000001</v>
      </c>
      <c r="F4" s="340"/>
      <c r="G4" s="340">
        <v>0.23899174971359999</v>
      </c>
      <c r="H4" s="341">
        <f>SUM(I4:K4)</f>
        <v>5.8493720000000007</v>
      </c>
      <c r="I4" s="342"/>
      <c r="J4" s="343"/>
      <c r="K4" s="343">
        <v>5.8493720000000007</v>
      </c>
      <c r="L4" s="341">
        <f>SUM(M4:Z4)</f>
        <v>1570.6152883671778</v>
      </c>
      <c r="M4" s="342">
        <v>43.019193902199994</v>
      </c>
      <c r="N4" s="342">
        <v>7.8404003039999992</v>
      </c>
      <c r="O4" s="343"/>
      <c r="P4" s="343">
        <v>432.94982474444441</v>
      </c>
      <c r="Q4" s="343">
        <v>74.101066224640022</v>
      </c>
      <c r="R4" s="343">
        <v>63.608879690399995</v>
      </c>
      <c r="S4" s="343">
        <v>712.70293289209042</v>
      </c>
      <c r="T4" s="343">
        <v>23.602785146527417</v>
      </c>
      <c r="U4" s="343">
        <v>164.05672925173289</v>
      </c>
      <c r="V4" s="343">
        <v>2.9787871963443114E-2</v>
      </c>
      <c r="W4" s="340">
        <v>28.749403849447511</v>
      </c>
      <c r="X4" s="340">
        <v>9.4524658296000013</v>
      </c>
      <c r="Y4" s="340">
        <v>1.892128948431742E-2</v>
      </c>
      <c r="Z4" s="343">
        <v>10.482897370647416</v>
      </c>
      <c r="AA4" s="341">
        <v>0</v>
      </c>
      <c r="AB4" s="344">
        <f>SUM(AC4:AM4)</f>
        <v>6.7010671151039993</v>
      </c>
      <c r="AC4" s="345"/>
      <c r="AD4" s="343"/>
      <c r="AE4" s="343">
        <v>0</v>
      </c>
      <c r="AF4" s="343"/>
      <c r="AG4" s="343"/>
      <c r="AH4" s="343"/>
      <c r="AI4" s="343">
        <v>6.7010671151039993</v>
      </c>
      <c r="AJ4" s="343">
        <v>0</v>
      </c>
      <c r="AK4" s="342"/>
      <c r="AL4" s="342"/>
      <c r="AM4" s="340"/>
      <c r="AN4" s="346"/>
      <c r="AO4" s="346">
        <v>132.01331443999996</v>
      </c>
      <c r="AP4" s="344"/>
      <c r="AQ4" s="347">
        <f t="shared" si="0"/>
        <v>1723.3770421799952</v>
      </c>
    </row>
    <row r="5" spans="1:44" ht="12.75" customHeight="1">
      <c r="A5" s="335" t="s">
        <v>96</v>
      </c>
      <c r="B5" s="336"/>
      <c r="C5" s="337">
        <f>SUM(D5:G5)</f>
        <v>0</v>
      </c>
      <c r="D5" s="338"/>
      <c r="E5" s="348"/>
      <c r="F5" s="340"/>
      <c r="G5" s="340"/>
      <c r="H5" s="341">
        <f>SUM(I5:K5)</f>
        <v>0</v>
      </c>
      <c r="I5" s="342"/>
      <c r="J5" s="343"/>
      <c r="K5" s="343"/>
      <c r="L5" s="341">
        <f>SUM(M5:Z5)</f>
        <v>142.11508265739909</v>
      </c>
      <c r="M5" s="342"/>
      <c r="N5" s="342"/>
      <c r="O5" s="343"/>
      <c r="P5" s="343"/>
      <c r="Q5" s="343"/>
      <c r="R5" s="343"/>
      <c r="S5" s="343">
        <v>10.240727745480227</v>
      </c>
      <c r="T5" s="343"/>
      <c r="U5" s="343">
        <v>131.87435491191886</v>
      </c>
      <c r="V5" s="343"/>
      <c r="W5" s="340"/>
      <c r="X5" s="340"/>
      <c r="Y5" s="340"/>
      <c r="Z5" s="343"/>
      <c r="AA5" s="341"/>
      <c r="AB5" s="344">
        <f>SUM(AC5:AM5)</f>
        <v>0</v>
      </c>
      <c r="AC5" s="345"/>
      <c r="AD5" s="343"/>
      <c r="AE5" s="343"/>
      <c r="AF5" s="343"/>
      <c r="AG5" s="343"/>
      <c r="AH5" s="343"/>
      <c r="AI5" s="343"/>
      <c r="AJ5" s="343"/>
      <c r="AK5" s="342"/>
      <c r="AL5" s="342"/>
      <c r="AM5" s="340"/>
      <c r="AN5" s="346"/>
      <c r="AO5" s="346"/>
      <c r="AP5" s="344"/>
      <c r="AQ5" s="347">
        <f t="shared" si="0"/>
        <v>142.11508265739909</v>
      </c>
    </row>
    <row r="6" spans="1:44" ht="12.75" customHeight="1" thickBot="1">
      <c r="A6" s="349" t="s">
        <v>97</v>
      </c>
      <c r="B6" s="350"/>
      <c r="C6" s="337">
        <f>SUM(D6:G6)</f>
        <v>172.37879135438916</v>
      </c>
      <c r="D6" s="351">
        <v>171.52594296968098</v>
      </c>
      <c r="E6" s="340">
        <v>1.0966176076410648</v>
      </c>
      <c r="F6" s="352"/>
      <c r="G6" s="352">
        <v>-0.24376922293288805</v>
      </c>
      <c r="H6" s="353">
        <f>SUM(I6:K6)</f>
        <v>244.39862473091318</v>
      </c>
      <c r="I6" s="354">
        <v>237.15180923091319</v>
      </c>
      <c r="J6" s="354">
        <v>0</v>
      </c>
      <c r="K6" s="354">
        <v>7.2468155000000012</v>
      </c>
      <c r="L6" s="353">
        <f>SUM(M6:Z6)</f>
        <v>92.875510950167509</v>
      </c>
      <c r="M6" s="342">
        <v>-22.361378267999989</v>
      </c>
      <c r="N6" s="342">
        <v>6.6791466600000033</v>
      </c>
      <c r="O6" s="343"/>
      <c r="P6" s="343">
        <v>135.33215412222225</v>
      </c>
      <c r="Q6" s="343">
        <v>17.029071783360003</v>
      </c>
      <c r="R6" s="343">
        <v>-80.382526302000002</v>
      </c>
      <c r="S6" s="343">
        <v>-0.94198822231638402</v>
      </c>
      <c r="T6" s="343">
        <v>3.4576857142558772</v>
      </c>
      <c r="U6" s="343">
        <v>39.480528890617038</v>
      </c>
      <c r="V6" s="343">
        <v>-2.7286637325293071</v>
      </c>
      <c r="W6" s="352">
        <v>-2.6885196954419883</v>
      </c>
      <c r="X6" s="352">
        <v>0</v>
      </c>
      <c r="Y6" s="352">
        <v>0</v>
      </c>
      <c r="Z6" s="354">
        <v>0</v>
      </c>
      <c r="AA6" s="353">
        <v>0</v>
      </c>
      <c r="AB6" s="355">
        <f>SUM(AC6:AM6)</f>
        <v>-1.6037529169956004</v>
      </c>
      <c r="AC6" s="356"/>
      <c r="AD6" s="357"/>
      <c r="AE6" s="357">
        <v>0.37002461255639962</v>
      </c>
      <c r="AF6" s="357"/>
      <c r="AG6" s="357"/>
      <c r="AH6" s="357"/>
      <c r="AI6" s="357">
        <v>0.51398723596799967</v>
      </c>
      <c r="AJ6" s="357">
        <v>-2.4877647655199997</v>
      </c>
      <c r="AK6" s="354"/>
      <c r="AL6" s="354"/>
      <c r="AM6" s="352"/>
      <c r="AN6" s="358"/>
      <c r="AO6" s="358"/>
      <c r="AP6" s="355"/>
      <c r="AQ6" s="359">
        <f t="shared" si="0"/>
        <v>508.04917411847424</v>
      </c>
    </row>
    <row r="7" spans="1:44" s="369" customFormat="1" ht="12.75" customHeight="1">
      <c r="A7" s="360" t="s">
        <v>98</v>
      </c>
      <c r="B7" s="361"/>
      <c r="C7" s="362">
        <f t="shared" ref="C7:AP7" si="1">C2+C3-C4-C5+C6</f>
        <v>380.40773117371447</v>
      </c>
      <c r="D7" s="363">
        <f t="shared" si="1"/>
        <v>300.25593382602108</v>
      </c>
      <c r="E7" s="364">
        <f t="shared" si="1"/>
        <v>74.238221757385162</v>
      </c>
      <c r="F7" s="364">
        <f t="shared" si="1"/>
        <v>0</v>
      </c>
      <c r="G7" s="364">
        <f t="shared" si="1"/>
        <v>5.9135755903082128</v>
      </c>
      <c r="H7" s="365">
        <f t="shared" si="1"/>
        <v>629.11841032011296</v>
      </c>
      <c r="I7" s="363">
        <f t="shared" si="1"/>
        <v>500.016966820113</v>
      </c>
      <c r="J7" s="364">
        <f t="shared" si="1"/>
        <v>127.70399999999999</v>
      </c>
      <c r="K7" s="364">
        <f t="shared" si="1"/>
        <v>1.3974435000000005</v>
      </c>
      <c r="L7" s="365">
        <f t="shared" si="1"/>
        <v>7431.7901084823816</v>
      </c>
      <c r="M7" s="363">
        <f t="shared" si="1"/>
        <v>2588.1462743749998</v>
      </c>
      <c r="N7" s="363">
        <f t="shared" si="1"/>
        <v>156.1757414928</v>
      </c>
      <c r="O7" s="364">
        <f t="shared" si="1"/>
        <v>0</v>
      </c>
      <c r="P7" s="364">
        <f t="shared" si="1"/>
        <v>245.03130131111126</v>
      </c>
      <c r="Q7" s="364">
        <f t="shared" si="1"/>
        <v>291.31483981599996</v>
      </c>
      <c r="R7" s="364">
        <f t="shared" si="1"/>
        <v>1426.8297516081598</v>
      </c>
      <c r="S7" s="364">
        <f t="shared" si="1"/>
        <v>-611.94397739999988</v>
      </c>
      <c r="T7" s="364">
        <f t="shared" si="1"/>
        <v>136.48573565843344</v>
      </c>
      <c r="U7" s="364">
        <f t="shared" si="1"/>
        <v>2835.8624581754857</v>
      </c>
      <c r="V7" s="364">
        <f t="shared" si="1"/>
        <v>156.83309918639765</v>
      </c>
      <c r="W7" s="364">
        <f t="shared" si="1"/>
        <v>-31.4379235448895</v>
      </c>
      <c r="X7" s="364">
        <f t="shared" si="1"/>
        <v>202.14236347101001</v>
      </c>
      <c r="Y7" s="364">
        <f t="shared" si="1"/>
        <v>2.1614386036670727</v>
      </c>
      <c r="Z7" s="364">
        <f t="shared" si="1"/>
        <v>34.189005729205967</v>
      </c>
      <c r="AA7" s="365">
        <f t="shared" si="1"/>
        <v>4570.8380908730878</v>
      </c>
      <c r="AB7" s="365">
        <f t="shared" si="1"/>
        <v>1629.1387909453722</v>
      </c>
      <c r="AC7" s="363">
        <f t="shared" si="1"/>
        <v>76.246216633583984</v>
      </c>
      <c r="AD7" s="364">
        <f t="shared" si="1"/>
        <v>861.67565739932616</v>
      </c>
      <c r="AE7" s="364">
        <f t="shared" si="1"/>
        <v>262.10901545222578</v>
      </c>
      <c r="AF7" s="364">
        <f t="shared" si="1"/>
        <v>136.78221700850077</v>
      </c>
      <c r="AG7" s="364">
        <f t="shared" si="1"/>
        <v>31.098271201309991</v>
      </c>
      <c r="AH7" s="364">
        <f t="shared" si="1"/>
        <v>18.859900908697988</v>
      </c>
      <c r="AI7" s="364">
        <f t="shared" si="1"/>
        <v>149.619839646912</v>
      </c>
      <c r="AJ7" s="364">
        <f t="shared" si="1"/>
        <v>26.911813626048001</v>
      </c>
      <c r="AK7" s="366">
        <f t="shared" si="1"/>
        <v>1.8420933108829929</v>
      </c>
      <c r="AL7" s="366">
        <f t="shared" si="1"/>
        <v>13.690577884670216</v>
      </c>
      <c r="AM7" s="363">
        <f t="shared" si="1"/>
        <v>50.303187873214497</v>
      </c>
      <c r="AN7" s="365">
        <f t="shared" si="1"/>
        <v>145.29115639080388</v>
      </c>
      <c r="AO7" s="365">
        <f t="shared" si="1"/>
        <v>55.430474400000008</v>
      </c>
      <c r="AP7" s="367">
        <f t="shared" si="1"/>
        <v>0</v>
      </c>
      <c r="AQ7" s="368">
        <f t="shared" si="0"/>
        <v>14842.014762585473</v>
      </c>
      <c r="AR7" s="319"/>
    </row>
    <row r="8" spans="1:44" s="369" customFormat="1" ht="12.75" customHeight="1" thickBot="1">
      <c r="A8" s="370" t="s">
        <v>99</v>
      </c>
      <c r="B8" s="371"/>
      <c r="C8" s="372">
        <f t="shared" ref="C8:AP8" si="2">C7-C27</f>
        <v>380.40773117371447</v>
      </c>
      <c r="D8" s="373">
        <f t="shared" si="2"/>
        <v>300.25593382602108</v>
      </c>
      <c r="E8" s="374">
        <f t="shared" si="2"/>
        <v>74.238221757385162</v>
      </c>
      <c r="F8" s="375">
        <f t="shared" si="2"/>
        <v>0</v>
      </c>
      <c r="G8" s="375">
        <f t="shared" si="2"/>
        <v>5.9135755903082128</v>
      </c>
      <c r="H8" s="376">
        <f t="shared" si="2"/>
        <v>629.11841032011296</v>
      </c>
      <c r="I8" s="373">
        <f t="shared" si="2"/>
        <v>500.016966820113</v>
      </c>
      <c r="J8" s="374">
        <f t="shared" si="2"/>
        <v>127.70399999999999</v>
      </c>
      <c r="K8" s="374">
        <f t="shared" si="2"/>
        <v>1.3974435000000005</v>
      </c>
      <c r="L8" s="376">
        <f t="shared" si="2"/>
        <v>7193.2973006784987</v>
      </c>
      <c r="M8" s="373">
        <f t="shared" si="2"/>
        <v>2588.1462743749998</v>
      </c>
      <c r="N8" s="373">
        <f t="shared" si="2"/>
        <v>156.1757414928</v>
      </c>
      <c r="O8" s="374">
        <f t="shared" si="2"/>
        <v>0</v>
      </c>
      <c r="P8" s="374">
        <f t="shared" si="2"/>
        <v>245.03130131111126</v>
      </c>
      <c r="Q8" s="374">
        <f t="shared" si="2"/>
        <v>291.31483981599996</v>
      </c>
      <c r="R8" s="374">
        <f t="shared" si="2"/>
        <v>1426.8297516081598</v>
      </c>
      <c r="S8" s="374">
        <f t="shared" si="2"/>
        <v>-611.94397739999988</v>
      </c>
      <c r="T8" s="374">
        <f t="shared" si="2"/>
        <v>136.48573565843344</v>
      </c>
      <c r="U8" s="374">
        <f t="shared" si="2"/>
        <v>2835.8624581754857</v>
      </c>
      <c r="V8" s="374">
        <f t="shared" si="2"/>
        <v>156.83309918639765</v>
      </c>
      <c r="W8" s="375">
        <f t="shared" si="2"/>
        <v>-31.4379235448895</v>
      </c>
      <c r="X8" s="375">
        <f t="shared" si="2"/>
        <v>0</v>
      </c>
      <c r="Y8" s="375">
        <f t="shared" si="2"/>
        <v>0</v>
      </c>
      <c r="Z8" s="374">
        <f t="shared" si="2"/>
        <v>0</v>
      </c>
      <c r="AA8" s="376">
        <f t="shared" si="2"/>
        <v>4570.8380908730878</v>
      </c>
      <c r="AB8" s="377">
        <f t="shared" si="2"/>
        <v>1629.1387909453722</v>
      </c>
      <c r="AC8" s="373">
        <f t="shared" si="2"/>
        <v>76.246216633583984</v>
      </c>
      <c r="AD8" s="374">
        <f t="shared" si="2"/>
        <v>861.67565739932616</v>
      </c>
      <c r="AE8" s="374">
        <f t="shared" si="2"/>
        <v>262.10901545222578</v>
      </c>
      <c r="AF8" s="374">
        <f t="shared" si="2"/>
        <v>136.78221700850077</v>
      </c>
      <c r="AG8" s="374">
        <f t="shared" si="2"/>
        <v>31.098271201309991</v>
      </c>
      <c r="AH8" s="374">
        <f t="shared" si="2"/>
        <v>18.859900908697988</v>
      </c>
      <c r="AI8" s="374">
        <f t="shared" si="2"/>
        <v>149.619839646912</v>
      </c>
      <c r="AJ8" s="374">
        <f t="shared" si="2"/>
        <v>26.911813626048001</v>
      </c>
      <c r="AK8" s="378">
        <f t="shared" si="2"/>
        <v>1.8420933108829929</v>
      </c>
      <c r="AL8" s="378">
        <f t="shared" si="2"/>
        <v>13.690577884670216</v>
      </c>
      <c r="AM8" s="373">
        <f t="shared" si="2"/>
        <v>50.303187873214497</v>
      </c>
      <c r="AN8" s="376">
        <f t="shared" si="2"/>
        <v>145.29115639080388</v>
      </c>
      <c r="AO8" s="376">
        <f t="shared" si="2"/>
        <v>55.430474400000008</v>
      </c>
      <c r="AP8" s="373">
        <f t="shared" si="2"/>
        <v>0</v>
      </c>
      <c r="AQ8" s="379">
        <f t="shared" si="0"/>
        <v>14603.52195478159</v>
      </c>
      <c r="AR8" s="319"/>
    </row>
    <row r="9" spans="1:44" s="369" customFormat="1" ht="12.75" customHeight="1">
      <c r="A9" s="360" t="s">
        <v>100</v>
      </c>
      <c r="B9" s="361"/>
      <c r="C9" s="362">
        <f t="shared" ref="C9:AP9" si="3">SUM(C10:C14)</f>
        <v>151.90661079170249</v>
      </c>
      <c r="D9" s="366">
        <f t="shared" si="3"/>
        <v>151.90661079170249</v>
      </c>
      <c r="E9" s="364">
        <f t="shared" si="3"/>
        <v>0</v>
      </c>
      <c r="F9" s="380">
        <f t="shared" si="3"/>
        <v>0</v>
      </c>
      <c r="G9" s="380">
        <f t="shared" si="3"/>
        <v>0</v>
      </c>
      <c r="H9" s="365">
        <f t="shared" si="3"/>
        <v>491.61136902488784</v>
      </c>
      <c r="I9" s="366">
        <f t="shared" si="3"/>
        <v>491.61136902488784</v>
      </c>
      <c r="J9" s="364">
        <f t="shared" si="3"/>
        <v>0</v>
      </c>
      <c r="K9" s="364">
        <f t="shared" si="3"/>
        <v>0</v>
      </c>
      <c r="L9" s="365">
        <f t="shared" si="3"/>
        <v>2911.819916487354</v>
      </c>
      <c r="M9" s="364">
        <f t="shared" si="3"/>
        <v>2588.1462743749998</v>
      </c>
      <c r="N9" s="364">
        <f>SUM(N10:N14)</f>
        <v>245.21210117958225</v>
      </c>
      <c r="O9" s="364">
        <f t="shared" si="3"/>
        <v>0</v>
      </c>
      <c r="P9" s="364">
        <f t="shared" si="3"/>
        <v>0</v>
      </c>
      <c r="Q9" s="364">
        <f t="shared" si="3"/>
        <v>0</v>
      </c>
      <c r="R9" s="364">
        <f t="shared" si="3"/>
        <v>0</v>
      </c>
      <c r="S9" s="364">
        <f t="shared" si="3"/>
        <v>65.449797530529409</v>
      </c>
      <c r="T9" s="364">
        <f t="shared" si="3"/>
        <v>0.63852264334079989</v>
      </c>
      <c r="U9" s="364">
        <f t="shared" si="3"/>
        <v>12.373220758902022</v>
      </c>
      <c r="V9" s="364">
        <f t="shared" si="3"/>
        <v>0</v>
      </c>
      <c r="W9" s="380">
        <f t="shared" si="3"/>
        <v>0</v>
      </c>
      <c r="X9" s="380">
        <f t="shared" si="3"/>
        <v>0</v>
      </c>
      <c r="Y9" s="380">
        <f t="shared" si="3"/>
        <v>0</v>
      </c>
      <c r="Z9" s="364">
        <f t="shared" si="3"/>
        <v>0</v>
      </c>
      <c r="AA9" s="365">
        <f t="shared" si="3"/>
        <v>2564.9636356398232</v>
      </c>
      <c r="AB9" s="363">
        <f t="shared" si="3"/>
        <v>213.12651097035507</v>
      </c>
      <c r="AC9" s="381">
        <f t="shared" si="3"/>
        <v>0</v>
      </c>
      <c r="AD9" s="364">
        <f t="shared" si="3"/>
        <v>0</v>
      </c>
      <c r="AE9" s="364">
        <f t="shared" si="3"/>
        <v>76.966325921459557</v>
      </c>
      <c r="AF9" s="364">
        <f>SUM(AF10:AF14)</f>
        <v>96.387111983952977</v>
      </c>
      <c r="AG9" s="364">
        <f t="shared" si="3"/>
        <v>31.098271201309991</v>
      </c>
      <c r="AH9" s="364">
        <f t="shared" si="3"/>
        <v>8.6748018636325526</v>
      </c>
      <c r="AI9" s="364">
        <f t="shared" si="3"/>
        <v>0</v>
      </c>
      <c r="AJ9" s="364">
        <f>SUM(AJ10:AJ14)</f>
        <v>0</v>
      </c>
      <c r="AK9" s="366">
        <f t="shared" si="3"/>
        <v>0</v>
      </c>
      <c r="AL9" s="366">
        <f>SUM(AL10:AL14)</f>
        <v>0</v>
      </c>
      <c r="AM9" s="380">
        <f t="shared" si="3"/>
        <v>0</v>
      </c>
      <c r="AN9" s="365">
        <f t="shared" si="3"/>
        <v>88.629444098446996</v>
      </c>
      <c r="AO9" s="365">
        <f t="shared" si="3"/>
        <v>52.839245379999994</v>
      </c>
      <c r="AP9" s="363">
        <f t="shared" si="3"/>
        <v>0</v>
      </c>
      <c r="AQ9" s="382">
        <f t="shared" si="0"/>
        <v>6474.896732392569</v>
      </c>
      <c r="AR9" s="319"/>
    </row>
    <row r="10" spans="1:44" ht="12.75" customHeight="1">
      <c r="A10" s="383" t="s">
        <v>101</v>
      </c>
      <c r="B10" s="384"/>
      <c r="C10" s="385">
        <f>SUM(D10:G10)</f>
        <v>151.90661079170249</v>
      </c>
      <c r="D10" s="386">
        <v>151.90661079170249</v>
      </c>
      <c r="E10" s="387"/>
      <c r="F10" s="388"/>
      <c r="G10" s="388"/>
      <c r="H10" s="389">
        <f>SUM(I10:K10)</f>
        <v>429.59646406852596</v>
      </c>
      <c r="I10" s="386">
        <v>429.59646406852596</v>
      </c>
      <c r="J10" s="387">
        <v>0</v>
      </c>
      <c r="K10" s="387"/>
      <c r="L10" s="389">
        <f>SUM(M10:Z10)</f>
        <v>77.823018289431431</v>
      </c>
      <c r="M10" s="387"/>
      <c r="N10" s="387"/>
      <c r="O10" s="387"/>
      <c r="P10" s="387"/>
      <c r="Q10" s="387"/>
      <c r="R10" s="387"/>
      <c r="S10" s="387">
        <v>65.449797530529409</v>
      </c>
      <c r="T10" s="387"/>
      <c r="U10" s="387">
        <v>12.373220758902022</v>
      </c>
      <c r="V10" s="387"/>
      <c r="W10" s="388"/>
      <c r="X10" s="388"/>
      <c r="Y10" s="388"/>
      <c r="Z10" s="387"/>
      <c r="AA10" s="389">
        <v>2262.4883571560613</v>
      </c>
      <c r="AB10" s="390">
        <f>SUM(AC10:AM10)</f>
        <v>201.40141709300823</v>
      </c>
      <c r="AC10" s="391"/>
      <c r="AD10" s="387"/>
      <c r="AE10" s="387">
        <v>73.916033907745273</v>
      </c>
      <c r="AF10" s="387">
        <v>96.387111983952977</v>
      </c>
      <c r="AG10" s="387">
        <v>31.098271201309991</v>
      </c>
      <c r="AH10" s="387"/>
      <c r="AI10" s="387"/>
      <c r="AJ10" s="387"/>
      <c r="AK10" s="386"/>
      <c r="AL10" s="386"/>
      <c r="AM10" s="388"/>
      <c r="AN10" s="392">
        <v>88.629444098446996</v>
      </c>
      <c r="AO10" s="389"/>
      <c r="AP10" s="390"/>
      <c r="AQ10" s="393">
        <f t="shared" si="0"/>
        <v>3211.8453114971762</v>
      </c>
    </row>
    <row r="11" spans="1:44" ht="12.75" customHeight="1">
      <c r="A11" s="335" t="s">
        <v>102</v>
      </c>
      <c r="B11" s="336"/>
      <c r="C11" s="337">
        <f>SUM(D11:G11)</f>
        <v>0</v>
      </c>
      <c r="D11" s="342">
        <v>0</v>
      </c>
      <c r="E11" s="343"/>
      <c r="F11" s="340"/>
      <c r="G11" s="340"/>
      <c r="H11" s="341">
        <f>SUM(I11:K11)</f>
        <v>4.7597803142566182</v>
      </c>
      <c r="I11" s="342">
        <v>4.7597803142566182</v>
      </c>
      <c r="J11" s="343"/>
      <c r="K11" s="343"/>
      <c r="L11" s="341">
        <f>SUM(M11:Z11)</f>
        <v>0.63852264334079989</v>
      </c>
      <c r="M11" s="343"/>
      <c r="N11" s="394"/>
      <c r="O11" s="394">
        <v>0</v>
      </c>
      <c r="P11" s="343"/>
      <c r="Q11" s="343"/>
      <c r="R11" s="343"/>
      <c r="S11" s="343">
        <v>0</v>
      </c>
      <c r="T11" s="343">
        <v>0.63852264334079989</v>
      </c>
      <c r="U11" s="343">
        <v>0</v>
      </c>
      <c r="V11" s="343"/>
      <c r="W11" s="340"/>
      <c r="X11" s="340"/>
      <c r="Y11" s="340"/>
      <c r="Z11" s="343"/>
      <c r="AA11" s="341">
        <v>258.65724020816185</v>
      </c>
      <c r="AB11" s="344">
        <f>SUM(AC11:AM11)</f>
        <v>11.725093877346838</v>
      </c>
      <c r="AC11" s="345"/>
      <c r="AD11" s="343"/>
      <c r="AE11" s="343">
        <v>3.0502920137142859</v>
      </c>
      <c r="AF11" s="343"/>
      <c r="AG11" s="343"/>
      <c r="AH11" s="343">
        <v>8.6748018636325526</v>
      </c>
      <c r="AI11" s="343"/>
      <c r="AJ11" s="343"/>
      <c r="AK11" s="342"/>
      <c r="AL11" s="342"/>
      <c r="AM11" s="340"/>
      <c r="AN11" s="346"/>
      <c r="AO11" s="346"/>
      <c r="AP11" s="344"/>
      <c r="AQ11" s="347">
        <f t="shared" si="0"/>
        <v>275.78063704310614</v>
      </c>
    </row>
    <row r="12" spans="1:44" ht="12.75" customHeight="1">
      <c r="A12" s="335" t="s">
        <v>103</v>
      </c>
      <c r="B12" s="336"/>
      <c r="C12" s="337"/>
      <c r="D12" s="342"/>
      <c r="E12" s="343"/>
      <c r="F12" s="340"/>
      <c r="G12" s="340"/>
      <c r="H12" s="341"/>
      <c r="I12" s="342"/>
      <c r="J12" s="343"/>
      <c r="K12" s="343"/>
      <c r="L12" s="341"/>
      <c r="M12" s="343"/>
      <c r="N12" s="394"/>
      <c r="O12" s="394"/>
      <c r="P12" s="343"/>
      <c r="Q12" s="343"/>
      <c r="R12" s="343"/>
      <c r="S12" s="343"/>
      <c r="T12" s="343"/>
      <c r="U12" s="343"/>
      <c r="V12" s="343"/>
      <c r="W12" s="340"/>
      <c r="X12" s="340"/>
      <c r="Y12" s="340"/>
      <c r="Z12" s="343"/>
      <c r="AA12" s="341"/>
      <c r="AB12" s="344"/>
      <c r="AC12" s="345"/>
      <c r="AD12" s="343"/>
      <c r="AE12" s="343"/>
      <c r="AF12" s="343"/>
      <c r="AG12" s="343"/>
      <c r="AH12" s="343"/>
      <c r="AI12" s="343"/>
      <c r="AJ12" s="343"/>
      <c r="AK12" s="342"/>
      <c r="AL12" s="342"/>
      <c r="AM12" s="340"/>
      <c r="AN12" s="346"/>
      <c r="AO12" s="346">
        <v>41.13516138</v>
      </c>
      <c r="AP12" s="344"/>
      <c r="AQ12" s="347">
        <f t="shared" si="0"/>
        <v>41.13516138</v>
      </c>
    </row>
    <row r="13" spans="1:44" ht="12.75" customHeight="1">
      <c r="A13" s="335" t="s">
        <v>104</v>
      </c>
      <c r="B13" s="336"/>
      <c r="C13" s="337">
        <f>SUM(D13:G13)</f>
        <v>0</v>
      </c>
      <c r="D13" s="342"/>
      <c r="E13" s="340"/>
      <c r="F13" s="340"/>
      <c r="G13" s="340"/>
      <c r="H13" s="341">
        <f>SUM(I13:K13)</f>
        <v>57.255124642105272</v>
      </c>
      <c r="I13" s="342">
        <v>57.255124642105272</v>
      </c>
      <c r="J13" s="343"/>
      <c r="K13" s="343"/>
      <c r="L13" s="341">
        <f>SUM(M13:Z13)</f>
        <v>0</v>
      </c>
      <c r="M13" s="343"/>
      <c r="N13" s="343"/>
      <c r="O13" s="343"/>
      <c r="P13" s="343"/>
      <c r="Q13" s="343"/>
      <c r="R13" s="343"/>
      <c r="S13" s="343"/>
      <c r="T13" s="343"/>
      <c r="U13" s="343"/>
      <c r="V13" s="343"/>
      <c r="W13" s="340"/>
      <c r="X13" s="340"/>
      <c r="Y13" s="340"/>
      <c r="Z13" s="343"/>
      <c r="AA13" s="341"/>
      <c r="AB13" s="344">
        <f>SUM(AC13:AM13)</f>
        <v>0</v>
      </c>
      <c r="AC13" s="345"/>
      <c r="AD13" s="343"/>
      <c r="AE13" s="343"/>
      <c r="AF13" s="343"/>
      <c r="AG13" s="343"/>
      <c r="AH13" s="343"/>
      <c r="AI13" s="343"/>
      <c r="AJ13" s="343"/>
      <c r="AK13" s="342"/>
      <c r="AL13" s="342"/>
      <c r="AM13" s="340"/>
      <c r="AN13" s="346"/>
      <c r="AO13" s="346"/>
      <c r="AP13" s="344"/>
      <c r="AQ13" s="347">
        <f t="shared" si="0"/>
        <v>57.255124642105272</v>
      </c>
    </row>
    <row r="14" spans="1:44" ht="12.75" customHeight="1">
      <c r="A14" s="395" t="s">
        <v>105</v>
      </c>
      <c r="B14" s="396"/>
      <c r="C14" s="397">
        <f>SUM(D14:G14)</f>
        <v>0</v>
      </c>
      <c r="D14" s="398"/>
      <c r="E14" s="399"/>
      <c r="F14" s="400"/>
      <c r="G14" s="400"/>
      <c r="H14" s="401">
        <f>SUM(I14:K14)</f>
        <v>0</v>
      </c>
      <c r="I14" s="398"/>
      <c r="J14" s="399"/>
      <c r="K14" s="399"/>
      <c r="L14" s="401">
        <f>SUM(M14:Z14)</f>
        <v>2833.3583755545819</v>
      </c>
      <c r="M14" s="399">
        <v>2588.1462743749998</v>
      </c>
      <c r="N14" s="399">
        <v>245.21210117958225</v>
      </c>
      <c r="O14" s="399"/>
      <c r="P14" s="399"/>
      <c r="Q14" s="399"/>
      <c r="R14" s="399"/>
      <c r="S14" s="399"/>
      <c r="T14" s="399"/>
      <c r="U14" s="399"/>
      <c r="V14" s="399"/>
      <c r="W14" s="400"/>
      <c r="X14" s="400"/>
      <c r="Y14" s="400"/>
      <c r="Z14" s="399"/>
      <c r="AA14" s="401">
        <v>43.818038275599775</v>
      </c>
      <c r="AB14" s="402">
        <f>SUM(AC14:AM14)</f>
        <v>0</v>
      </c>
      <c r="AC14" s="403"/>
      <c r="AD14" s="399"/>
      <c r="AE14" s="399"/>
      <c r="AF14" s="399"/>
      <c r="AG14" s="399"/>
      <c r="AH14" s="399"/>
      <c r="AI14" s="399"/>
      <c r="AJ14" s="399"/>
      <c r="AK14" s="398"/>
      <c r="AL14" s="398"/>
      <c r="AM14" s="400"/>
      <c r="AN14" s="404"/>
      <c r="AO14" s="404">
        <v>11.704083999999998</v>
      </c>
      <c r="AP14" s="402"/>
      <c r="AQ14" s="405">
        <f t="shared" si="0"/>
        <v>2888.8804978301819</v>
      </c>
    </row>
    <row r="15" spans="1:44" s="369" customFormat="1" ht="12.75" customHeight="1">
      <c r="A15" s="406" t="s">
        <v>106</v>
      </c>
      <c r="B15" s="407"/>
      <c r="C15" s="408">
        <f t="shared" ref="C15:AP15" si="4">SUM(C16:C20)</f>
        <v>0</v>
      </c>
      <c r="D15" s="409">
        <f t="shared" si="4"/>
        <v>0</v>
      </c>
      <c r="E15" s="410">
        <f t="shared" si="4"/>
        <v>0</v>
      </c>
      <c r="F15" s="411">
        <f t="shared" si="4"/>
        <v>0</v>
      </c>
      <c r="G15" s="411">
        <f t="shared" si="4"/>
        <v>0</v>
      </c>
      <c r="H15" s="412">
        <f t="shared" si="4"/>
        <v>54.392368410000003</v>
      </c>
      <c r="I15" s="409">
        <f t="shared" si="4"/>
        <v>0</v>
      </c>
      <c r="J15" s="410">
        <f t="shared" si="4"/>
        <v>0</v>
      </c>
      <c r="K15" s="410">
        <f t="shared" si="4"/>
        <v>54.392368410000003</v>
      </c>
      <c r="L15" s="412">
        <f t="shared" si="4"/>
        <v>2846.9512205408546</v>
      </c>
      <c r="M15" s="410">
        <f t="shared" si="4"/>
        <v>0</v>
      </c>
      <c r="N15" s="410">
        <f t="shared" si="4"/>
        <v>0</v>
      </c>
      <c r="O15" s="410">
        <f t="shared" si="4"/>
        <v>75.653671857279122</v>
      </c>
      <c r="P15" s="410">
        <f t="shared" si="4"/>
        <v>541.6665488777777</v>
      </c>
      <c r="Q15" s="410">
        <f t="shared" si="4"/>
        <v>323.67830540864009</v>
      </c>
      <c r="R15" s="410">
        <f t="shared" si="4"/>
        <v>0</v>
      </c>
      <c r="S15" s="410">
        <f t="shared" si="4"/>
        <v>713.77717964435033</v>
      </c>
      <c r="T15" s="410">
        <f t="shared" si="4"/>
        <v>50.547599406892957</v>
      </c>
      <c r="U15" s="410">
        <f t="shared" si="4"/>
        <v>1097.9678707029586</v>
      </c>
      <c r="V15" s="410">
        <f t="shared" si="4"/>
        <v>0</v>
      </c>
      <c r="W15" s="411">
        <f t="shared" si="4"/>
        <v>43.660044642955796</v>
      </c>
      <c r="X15" s="411">
        <f t="shared" si="4"/>
        <v>0</v>
      </c>
      <c r="Y15" s="411">
        <f t="shared" si="4"/>
        <v>0</v>
      </c>
      <c r="Z15" s="410">
        <f t="shared" si="4"/>
        <v>0</v>
      </c>
      <c r="AA15" s="412">
        <f t="shared" si="4"/>
        <v>0</v>
      </c>
      <c r="AB15" s="413">
        <f t="shared" si="4"/>
        <v>0</v>
      </c>
      <c r="AC15" s="414">
        <f t="shared" si="4"/>
        <v>0</v>
      </c>
      <c r="AD15" s="410">
        <f t="shared" si="4"/>
        <v>0</v>
      </c>
      <c r="AE15" s="410">
        <f t="shared" si="4"/>
        <v>0</v>
      </c>
      <c r="AF15" s="410">
        <f t="shared" si="4"/>
        <v>0</v>
      </c>
      <c r="AG15" s="415">
        <f t="shared" si="4"/>
        <v>0</v>
      </c>
      <c r="AH15" s="415">
        <f t="shared" si="4"/>
        <v>0</v>
      </c>
      <c r="AI15" s="415">
        <f t="shared" si="4"/>
        <v>0</v>
      </c>
      <c r="AJ15" s="415">
        <f t="shared" si="4"/>
        <v>0</v>
      </c>
      <c r="AK15" s="409">
        <f t="shared" si="4"/>
        <v>0</v>
      </c>
      <c r="AL15" s="409">
        <f t="shared" si="4"/>
        <v>0</v>
      </c>
      <c r="AM15" s="411">
        <f t="shared" si="4"/>
        <v>0</v>
      </c>
      <c r="AN15" s="412">
        <f t="shared" si="4"/>
        <v>0</v>
      </c>
      <c r="AO15" s="412">
        <f t="shared" si="4"/>
        <v>1721.1296169409065</v>
      </c>
      <c r="AP15" s="413">
        <f t="shared" si="4"/>
        <v>0</v>
      </c>
      <c r="AQ15" s="416">
        <f t="shared" si="0"/>
        <v>4622.4732058917616</v>
      </c>
      <c r="AR15" s="319"/>
    </row>
    <row r="16" spans="1:44" ht="12.75" customHeight="1">
      <c r="A16" s="383" t="s">
        <v>101</v>
      </c>
      <c r="B16" s="384"/>
      <c r="C16" s="385">
        <f>SUM(D16:G16)</f>
        <v>0</v>
      </c>
      <c r="D16" s="386"/>
      <c r="E16" s="387"/>
      <c r="F16" s="388"/>
      <c r="G16" s="388"/>
      <c r="H16" s="389">
        <f>SUM(I16:K16)</f>
        <v>0</v>
      </c>
      <c r="I16" s="386"/>
      <c r="J16" s="387"/>
      <c r="K16" s="387"/>
      <c r="L16" s="389">
        <f>SUM(M16:Z16)</f>
        <v>0</v>
      </c>
      <c r="M16" s="387"/>
      <c r="N16" s="387"/>
      <c r="O16" s="387"/>
      <c r="P16" s="387"/>
      <c r="Q16" s="387"/>
      <c r="R16" s="387"/>
      <c r="S16" s="387"/>
      <c r="T16" s="387"/>
      <c r="U16" s="387"/>
      <c r="V16" s="387"/>
      <c r="W16" s="388"/>
      <c r="X16" s="388"/>
      <c r="Y16" s="388"/>
      <c r="Z16" s="387"/>
      <c r="AA16" s="389"/>
      <c r="AB16" s="390">
        <f>SUM(AC16:AL16)</f>
        <v>0</v>
      </c>
      <c r="AC16" s="391"/>
      <c r="AD16" s="387"/>
      <c r="AE16" s="387"/>
      <c r="AF16" s="387"/>
      <c r="AG16" s="394"/>
      <c r="AH16" s="394"/>
      <c r="AI16" s="394"/>
      <c r="AJ16" s="394"/>
      <c r="AK16" s="386"/>
      <c r="AL16" s="386"/>
      <c r="AM16" s="388"/>
      <c r="AN16" s="392"/>
      <c r="AO16" s="392">
        <v>1520.8409931295994</v>
      </c>
      <c r="AP16" s="390"/>
      <c r="AQ16" s="417">
        <f>C16+H16+L16+AA16+AO16+AP16</f>
        <v>1520.8409931295994</v>
      </c>
    </row>
    <row r="17" spans="1:44" ht="12.75" customHeight="1">
      <c r="A17" s="335" t="s">
        <v>102</v>
      </c>
      <c r="B17" s="336"/>
      <c r="C17" s="337">
        <f>SUM(D17:G17)</f>
        <v>0</v>
      </c>
      <c r="D17" s="342"/>
      <c r="E17" s="343"/>
      <c r="F17" s="340"/>
      <c r="G17" s="340"/>
      <c r="H17" s="341">
        <f>SUM(I17:K17)</f>
        <v>0</v>
      </c>
      <c r="I17" s="342"/>
      <c r="J17" s="343"/>
      <c r="K17" s="343"/>
      <c r="L17" s="341">
        <f>SUM(M17:Z17)</f>
        <v>0</v>
      </c>
      <c r="M17" s="343"/>
      <c r="N17" s="343"/>
      <c r="O17" s="343"/>
      <c r="P17" s="343"/>
      <c r="Q17" s="343"/>
      <c r="R17" s="343"/>
      <c r="S17" s="343"/>
      <c r="T17" s="343"/>
      <c r="U17" s="343"/>
      <c r="V17" s="343"/>
      <c r="W17" s="340"/>
      <c r="X17" s="340"/>
      <c r="Y17" s="340"/>
      <c r="Z17" s="343"/>
      <c r="AA17" s="341"/>
      <c r="AB17" s="344">
        <f>SUM(AC17:AL17)</f>
        <v>0</v>
      </c>
      <c r="AC17" s="345"/>
      <c r="AD17" s="343"/>
      <c r="AE17" s="343"/>
      <c r="AF17" s="343"/>
      <c r="AG17" s="343"/>
      <c r="AH17" s="343"/>
      <c r="AI17" s="343"/>
      <c r="AJ17" s="343"/>
      <c r="AK17" s="342"/>
      <c r="AL17" s="342"/>
      <c r="AM17" s="340"/>
      <c r="AN17" s="346"/>
      <c r="AO17" s="418">
        <v>179.19120974129132</v>
      </c>
      <c r="AP17" s="344"/>
      <c r="AQ17" s="347">
        <f>C17+H17+L17+AA17+AO17+AP17</f>
        <v>179.19120974129132</v>
      </c>
    </row>
    <row r="18" spans="1:44" ht="12.75" customHeight="1">
      <c r="A18" s="335" t="s">
        <v>107</v>
      </c>
      <c r="B18" s="336"/>
      <c r="C18" s="337"/>
      <c r="D18" s="342"/>
      <c r="E18" s="343"/>
      <c r="F18" s="340"/>
      <c r="G18" s="340"/>
      <c r="H18" s="341"/>
      <c r="I18" s="342"/>
      <c r="J18" s="343"/>
      <c r="K18" s="343"/>
      <c r="L18" s="341"/>
      <c r="M18" s="343"/>
      <c r="N18" s="343"/>
      <c r="O18" s="343"/>
      <c r="P18" s="343"/>
      <c r="Q18" s="343"/>
      <c r="R18" s="343"/>
      <c r="S18" s="343"/>
      <c r="T18" s="343"/>
      <c r="U18" s="343"/>
      <c r="V18" s="343"/>
      <c r="W18" s="340"/>
      <c r="X18" s="340"/>
      <c r="Y18" s="340"/>
      <c r="Z18" s="343"/>
      <c r="AA18" s="341"/>
      <c r="AB18" s="344"/>
      <c r="AC18" s="345"/>
      <c r="AD18" s="343"/>
      <c r="AE18" s="343"/>
      <c r="AF18" s="343"/>
      <c r="AG18" s="343"/>
      <c r="AH18" s="343"/>
      <c r="AI18" s="343"/>
      <c r="AJ18" s="343"/>
      <c r="AK18" s="342"/>
      <c r="AL18" s="342"/>
      <c r="AM18" s="340"/>
      <c r="AN18" s="346"/>
      <c r="AO18" s="346">
        <v>21.097414070016001</v>
      </c>
      <c r="AP18" s="344"/>
      <c r="AQ18" s="347">
        <f t="shared" si="0"/>
        <v>21.097414070016001</v>
      </c>
    </row>
    <row r="19" spans="1:44" ht="12.75" customHeight="1">
      <c r="A19" s="335" t="s">
        <v>104</v>
      </c>
      <c r="B19" s="336"/>
      <c r="C19" s="337"/>
      <c r="D19" s="319"/>
      <c r="E19" s="343"/>
      <c r="F19" s="340"/>
      <c r="G19" s="340"/>
      <c r="H19" s="341">
        <f>SUM(I19:K19)</f>
        <v>54.392368410000003</v>
      </c>
      <c r="I19" s="342"/>
      <c r="J19" s="343"/>
      <c r="K19" s="343">
        <v>54.392368410000003</v>
      </c>
      <c r="L19" s="341">
        <f>SUM(M19:Z19)</f>
        <v>0</v>
      </c>
      <c r="M19" s="343"/>
      <c r="N19" s="343"/>
      <c r="O19" s="343"/>
      <c r="P19" s="343"/>
      <c r="Q19" s="343"/>
      <c r="R19" s="343"/>
      <c r="S19" s="343"/>
      <c r="T19" s="343"/>
      <c r="U19" s="343"/>
      <c r="V19" s="343"/>
      <c r="W19" s="340"/>
      <c r="X19" s="340"/>
      <c r="Y19" s="340"/>
      <c r="Z19" s="343"/>
      <c r="AA19" s="341"/>
      <c r="AB19" s="344">
        <f>SUM(AC19:AL19)</f>
        <v>0</v>
      </c>
      <c r="AC19" s="345"/>
      <c r="AD19" s="343"/>
      <c r="AE19" s="343"/>
      <c r="AF19" s="343"/>
      <c r="AG19" s="343"/>
      <c r="AH19" s="343"/>
      <c r="AI19" s="343"/>
      <c r="AJ19" s="343"/>
      <c r="AK19" s="342"/>
      <c r="AL19" s="342"/>
      <c r="AM19" s="340"/>
      <c r="AN19" s="346"/>
      <c r="AO19" s="346"/>
      <c r="AP19" s="344"/>
      <c r="AQ19" s="347">
        <f t="shared" si="0"/>
        <v>54.392368410000003</v>
      </c>
    </row>
    <row r="20" spans="1:44" ht="12.75" customHeight="1">
      <c r="A20" s="395" t="s">
        <v>108</v>
      </c>
      <c r="B20" s="396"/>
      <c r="C20" s="397"/>
      <c r="D20" s="398"/>
      <c r="E20" s="399"/>
      <c r="F20" s="400"/>
      <c r="G20" s="400"/>
      <c r="H20" s="401">
        <f>SUM(I20:K20)</f>
        <v>0</v>
      </c>
      <c r="I20" s="398"/>
      <c r="J20" s="399"/>
      <c r="K20" s="399"/>
      <c r="L20" s="401">
        <f>SUM(M20:Z20)</f>
        <v>2846.9512205408546</v>
      </c>
      <c r="M20" s="399"/>
      <c r="N20" s="399"/>
      <c r="O20" s="399">
        <v>75.653671857279122</v>
      </c>
      <c r="P20" s="399">
        <v>541.6665488777777</v>
      </c>
      <c r="Q20" s="399">
        <v>323.67830540864009</v>
      </c>
      <c r="R20" s="399">
        <v>0</v>
      </c>
      <c r="S20" s="399">
        <v>713.77717964435033</v>
      </c>
      <c r="T20" s="399">
        <v>50.547599406892957</v>
      </c>
      <c r="U20" s="399">
        <v>1097.9678707029586</v>
      </c>
      <c r="V20" s="399"/>
      <c r="W20" s="400">
        <v>43.660044642955796</v>
      </c>
      <c r="X20" s="400"/>
      <c r="Y20" s="400"/>
      <c r="Z20" s="399"/>
      <c r="AA20" s="401"/>
      <c r="AB20" s="402">
        <f>SUM(AC20:AL20)</f>
        <v>0</v>
      </c>
      <c r="AC20" s="403"/>
      <c r="AD20" s="399"/>
      <c r="AE20" s="399"/>
      <c r="AF20" s="399"/>
      <c r="AG20" s="399"/>
      <c r="AH20" s="399"/>
      <c r="AI20" s="399"/>
      <c r="AJ20" s="399"/>
      <c r="AK20" s="398"/>
      <c r="AL20" s="398"/>
      <c r="AM20" s="400"/>
      <c r="AN20" s="404"/>
      <c r="AO20" s="404"/>
      <c r="AP20" s="402"/>
      <c r="AQ20" s="405">
        <f t="shared" si="0"/>
        <v>2846.9512205408546</v>
      </c>
    </row>
    <row r="21" spans="1:44" ht="12.75" customHeight="1">
      <c r="A21" s="419" t="s">
        <v>109</v>
      </c>
      <c r="B21" s="420"/>
      <c r="C21" s="421">
        <f>SUM(C22:C24)</f>
        <v>17.334133906438232</v>
      </c>
      <c r="D21" s="422">
        <f>SUM(D22:D24)</f>
        <v>-16.109346637649999</v>
      </c>
      <c r="E21" s="423">
        <f>SUM(E22:E24)</f>
        <v>33.443480544088231</v>
      </c>
      <c r="F21" s="424">
        <f>SUM(F22:F24)</f>
        <v>0</v>
      </c>
      <c r="G21" s="424">
        <f>SUM(G22:G24)</f>
        <v>0</v>
      </c>
      <c r="H21" s="425">
        <f>SUM(I21:K21)</f>
        <v>0</v>
      </c>
      <c r="I21" s="422">
        <f>SUM(I22:I24)</f>
        <v>0</v>
      </c>
      <c r="J21" s="423">
        <f>SUM(J22:J24)</f>
        <v>0</v>
      </c>
      <c r="K21" s="423">
        <f>SUM(K22:K24)</f>
        <v>0</v>
      </c>
      <c r="L21" s="425">
        <f>SUM(M21:Z21)</f>
        <v>-52.092126820392735</v>
      </c>
      <c r="M21" s="423">
        <f t="shared" ref="M21:AQ21" si="5">SUM(M22:M24)</f>
        <v>0</v>
      </c>
      <c r="N21" s="423">
        <f t="shared" si="5"/>
        <v>88.101697295581062</v>
      </c>
      <c r="O21" s="423">
        <f t="shared" si="5"/>
        <v>0</v>
      </c>
      <c r="P21" s="423">
        <f t="shared" si="5"/>
        <v>-49.151990444444422</v>
      </c>
      <c r="Q21" s="423">
        <f t="shared" si="5"/>
        <v>307.59405473888006</v>
      </c>
      <c r="R21" s="423">
        <f t="shared" si="5"/>
        <v>-306.92385170184002</v>
      </c>
      <c r="S21" s="423">
        <f t="shared" si="5"/>
        <v>-4.3509951412429373E-2</v>
      </c>
      <c r="T21" s="423">
        <f t="shared" si="5"/>
        <v>0</v>
      </c>
      <c r="U21" s="423">
        <f t="shared" si="5"/>
        <v>-70.130392850718735</v>
      </c>
      <c r="V21" s="423">
        <f t="shared" si="5"/>
        <v>-17.334133906438232</v>
      </c>
      <c r="W21" s="424">
        <f t="shared" si="5"/>
        <v>-4.2039999999999997</v>
      </c>
      <c r="X21" s="424">
        <f t="shared" si="5"/>
        <v>0</v>
      </c>
      <c r="Y21" s="424">
        <f t="shared" si="5"/>
        <v>0</v>
      </c>
      <c r="Z21" s="423">
        <f t="shared" si="5"/>
        <v>0</v>
      </c>
      <c r="AA21" s="425">
        <f t="shared" si="5"/>
        <v>0</v>
      </c>
      <c r="AB21" s="426">
        <f t="shared" si="5"/>
        <v>-939.76396734379318</v>
      </c>
      <c r="AC21" s="427">
        <f t="shared" si="5"/>
        <v>-76.246216633583984</v>
      </c>
      <c r="AD21" s="423">
        <f t="shared" si="5"/>
        <v>-861.67565739932616</v>
      </c>
      <c r="AE21" s="423">
        <f t="shared" si="5"/>
        <v>0</v>
      </c>
      <c r="AF21" s="423">
        <f t="shared" si="5"/>
        <v>0</v>
      </c>
      <c r="AG21" s="428">
        <f t="shared" si="5"/>
        <v>0</v>
      </c>
      <c r="AH21" s="428">
        <f t="shared" si="5"/>
        <v>0</v>
      </c>
      <c r="AI21" s="428">
        <f t="shared" si="5"/>
        <v>0</v>
      </c>
      <c r="AJ21" s="428">
        <f t="shared" si="5"/>
        <v>0</v>
      </c>
      <c r="AK21" s="422">
        <f t="shared" si="5"/>
        <v>-1.8420933108829929</v>
      </c>
      <c r="AL21" s="428">
        <f t="shared" si="5"/>
        <v>0</v>
      </c>
      <c r="AM21" s="424">
        <f t="shared" si="5"/>
        <v>0</v>
      </c>
      <c r="AN21" s="429">
        <f t="shared" si="5"/>
        <v>0</v>
      </c>
      <c r="AO21" s="425">
        <f t="shared" si="5"/>
        <v>939.76396734379318</v>
      </c>
      <c r="AP21" s="426">
        <f t="shared" si="5"/>
        <v>0</v>
      </c>
      <c r="AQ21" s="430">
        <f t="shared" si="5"/>
        <v>-34.757992913954503</v>
      </c>
    </row>
    <row r="22" spans="1:44" ht="12.75" customHeight="1">
      <c r="A22" s="383" t="s">
        <v>110</v>
      </c>
      <c r="B22" s="384"/>
      <c r="C22" s="431"/>
      <c r="D22" s="432"/>
      <c r="E22" s="433"/>
      <c r="F22" s="388"/>
      <c r="G22" s="388"/>
      <c r="H22" s="389"/>
      <c r="I22" s="434"/>
      <c r="J22" s="387"/>
      <c r="K22" s="387"/>
      <c r="L22" s="389"/>
      <c r="M22" s="387"/>
      <c r="N22" s="387"/>
      <c r="O22" s="387"/>
      <c r="P22" s="387"/>
      <c r="Q22" s="387"/>
      <c r="R22" s="387"/>
      <c r="S22" s="387"/>
      <c r="T22" s="387"/>
      <c r="U22" s="387"/>
      <c r="V22" s="387"/>
      <c r="W22" s="388"/>
      <c r="X22" s="388"/>
      <c r="Y22" s="388"/>
      <c r="Z22" s="387"/>
      <c r="AA22" s="389"/>
      <c r="AB22" s="390">
        <f>SUM(AC22:AM22)</f>
        <v>-939.76396734379318</v>
      </c>
      <c r="AC22" s="391">
        <f>-AC2</f>
        <v>-76.246216633583984</v>
      </c>
      <c r="AD22" s="387">
        <f>-AD2</f>
        <v>-861.67565739932616</v>
      </c>
      <c r="AE22" s="387"/>
      <c r="AF22" s="387"/>
      <c r="AG22" s="394"/>
      <c r="AH22" s="394"/>
      <c r="AI22" s="394"/>
      <c r="AJ22" s="394"/>
      <c r="AK22" s="386">
        <v>-1.8420933108829929</v>
      </c>
      <c r="AL22" s="394"/>
      <c r="AM22" s="388"/>
      <c r="AN22" s="392"/>
      <c r="AO22" s="389">
        <f>-(C22+H22+L22+AA22+AB22)</f>
        <v>939.76396734379318</v>
      </c>
      <c r="AP22" s="390"/>
      <c r="AQ22" s="417">
        <f>C22+H22+L22+AA22+AB22+AN22+AO22+AP22</f>
        <v>0</v>
      </c>
    </row>
    <row r="23" spans="1:44" ht="12.75" customHeight="1">
      <c r="A23" s="435" t="s">
        <v>111</v>
      </c>
      <c r="B23" s="407"/>
      <c r="C23" s="436"/>
      <c r="D23" s="437"/>
      <c r="E23" s="410"/>
      <c r="F23" s="438"/>
      <c r="G23" s="438"/>
      <c r="H23" s="412"/>
      <c r="J23" s="440"/>
      <c r="K23" s="440"/>
      <c r="L23" s="412"/>
      <c r="M23" s="440"/>
      <c r="N23" s="440"/>
      <c r="O23" s="440"/>
      <c r="P23" s="440"/>
      <c r="Q23" s="440"/>
      <c r="R23" s="440"/>
      <c r="S23" s="440"/>
      <c r="T23" s="440"/>
      <c r="U23" s="440"/>
      <c r="V23" s="440"/>
      <c r="W23" s="438"/>
      <c r="X23" s="438"/>
      <c r="Y23" s="438"/>
      <c r="Z23" s="440"/>
      <c r="AA23" s="412"/>
      <c r="AB23" s="413"/>
      <c r="AC23" s="441"/>
      <c r="AD23" s="440"/>
      <c r="AE23" s="440"/>
      <c r="AF23" s="440"/>
      <c r="AG23" s="440"/>
      <c r="AH23" s="440"/>
      <c r="AI23" s="440"/>
      <c r="AJ23" s="440"/>
      <c r="AK23" s="442"/>
      <c r="AL23" s="442"/>
      <c r="AM23" s="438"/>
      <c r="AN23" s="443"/>
      <c r="AO23" s="412"/>
      <c r="AP23" s="413"/>
      <c r="AQ23" s="444">
        <f>C23+H23+L23+AA23+AB23+AN23+AO23+AP23</f>
        <v>0</v>
      </c>
    </row>
    <row r="24" spans="1:44" ht="12.75" customHeight="1" thickBot="1">
      <c r="A24" s="349" t="s">
        <v>112</v>
      </c>
      <c r="B24" s="350"/>
      <c r="C24" s="445">
        <f>SUM(D24:G24)</f>
        <v>17.334133906438232</v>
      </c>
      <c r="D24" s="446">
        <v>-16.109346637649999</v>
      </c>
      <c r="E24" s="357">
        <f>-D24-V24</f>
        <v>33.443480544088231</v>
      </c>
      <c r="F24" s="352"/>
      <c r="G24" s="352"/>
      <c r="H24" s="353"/>
      <c r="I24" s="447"/>
      <c r="J24" s="357"/>
      <c r="K24" s="357"/>
      <c r="L24" s="353">
        <f>SUM(N24:Z24)</f>
        <v>-52.092126820392735</v>
      </c>
      <c r="M24" s="357"/>
      <c r="N24" s="357">
        <v>88.101697295581062</v>
      </c>
      <c r="O24" s="357"/>
      <c r="P24" s="357">
        <v>-49.151990444444422</v>
      </c>
      <c r="Q24" s="357">
        <v>307.59405473888006</v>
      </c>
      <c r="R24" s="357">
        <v>-306.92385170184002</v>
      </c>
      <c r="S24" s="357">
        <v>-4.3509951412429373E-2</v>
      </c>
      <c r="T24" s="357"/>
      <c r="U24" s="357">
        <v>-70.130392850718735</v>
      </c>
      <c r="V24" s="352">
        <v>-17.334133906438232</v>
      </c>
      <c r="W24" s="352">
        <v>-4.2039999999999997</v>
      </c>
      <c r="X24" s="352"/>
      <c r="Y24" s="352"/>
      <c r="Z24" s="357"/>
      <c r="AA24" s="353"/>
      <c r="AB24" s="353">
        <f>SUM(AC24:AM24)</f>
        <v>0</v>
      </c>
      <c r="AC24" s="356"/>
      <c r="AD24" s="357"/>
      <c r="AE24" s="357"/>
      <c r="AF24" s="357"/>
      <c r="AG24" s="357"/>
      <c r="AH24" s="357"/>
      <c r="AI24" s="357"/>
      <c r="AJ24" s="357"/>
      <c r="AK24" s="354"/>
      <c r="AL24" s="354"/>
      <c r="AM24" s="352"/>
      <c r="AN24" s="358"/>
      <c r="AO24" s="353"/>
      <c r="AP24" s="355"/>
      <c r="AQ24" s="359">
        <f>C24+H24+L24+AA24+AB24+AN24+AO24+AP24</f>
        <v>-34.757992913954503</v>
      </c>
    </row>
    <row r="25" spans="1:44" ht="12.75" customHeight="1" thickBot="1">
      <c r="A25" s="406" t="s">
        <v>113</v>
      </c>
      <c r="B25" s="407"/>
      <c r="C25" s="408">
        <f>SUM(D25:G25)</f>
        <v>0</v>
      </c>
      <c r="D25" s="409"/>
      <c r="E25" s="410"/>
      <c r="F25" s="438"/>
      <c r="G25" s="438"/>
      <c r="H25" s="412">
        <f>SUM(I25:K25)</f>
        <v>8.4053952768869742</v>
      </c>
      <c r="I25" s="438">
        <v>8.4053952768869742</v>
      </c>
      <c r="J25" s="440"/>
      <c r="K25" s="440"/>
      <c r="L25" s="412">
        <f>SUM(O25:Z25)</f>
        <v>80.738116363066425</v>
      </c>
      <c r="M25" s="440"/>
      <c r="N25" s="440"/>
      <c r="O25" s="440">
        <v>78.615680943016514</v>
      </c>
      <c r="P25" s="440"/>
      <c r="Q25" s="440"/>
      <c r="R25" s="440"/>
      <c r="S25" s="440">
        <v>0</v>
      </c>
      <c r="T25" s="440">
        <v>4.1693256233877908E-3</v>
      </c>
      <c r="U25" s="440">
        <v>2.1182660944265104</v>
      </c>
      <c r="V25" s="440"/>
      <c r="W25" s="438"/>
      <c r="X25" s="438"/>
      <c r="Y25" s="438"/>
      <c r="Z25" s="440"/>
      <c r="AA25" s="412">
        <v>65.860932825608458</v>
      </c>
      <c r="AB25" s="413">
        <f>SUM(AC25:AI25)</f>
        <v>0</v>
      </c>
      <c r="AC25" s="414"/>
      <c r="AD25" s="440"/>
      <c r="AE25" s="440"/>
      <c r="AF25" s="440"/>
      <c r="AG25" s="440"/>
      <c r="AH25" s="440"/>
      <c r="AI25" s="440"/>
      <c r="AJ25" s="440"/>
      <c r="AK25" s="442"/>
      <c r="AL25" s="442"/>
      <c r="AM25" s="438"/>
      <c r="AN25" s="443"/>
      <c r="AO25" s="412">
        <v>254.46894194643659</v>
      </c>
      <c r="AP25" s="413"/>
      <c r="AQ25" s="444">
        <f>C25+H25+L25+AA25+AB25+AN25+AO25+AP25</f>
        <v>409.47338641199843</v>
      </c>
    </row>
    <row r="26" spans="1:44" s="369" customFormat="1" ht="12.75" customHeight="1" thickBot="1">
      <c r="A26" s="448" t="s">
        <v>114</v>
      </c>
      <c r="B26" s="449"/>
      <c r="C26" s="450">
        <f t="shared" ref="C26:AP26" si="6">C7-C9+C15+C21-C25</f>
        <v>245.83525428845022</v>
      </c>
      <c r="D26" s="451">
        <f t="shared" si="6"/>
        <v>132.2399763966686</v>
      </c>
      <c r="E26" s="452">
        <f t="shared" si="6"/>
        <v>107.68170230147339</v>
      </c>
      <c r="F26" s="452">
        <f t="shared" si="6"/>
        <v>0</v>
      </c>
      <c r="G26" s="452">
        <f t="shared" si="6"/>
        <v>5.9135755903082128</v>
      </c>
      <c r="H26" s="453">
        <f t="shared" si="6"/>
        <v>183.49401442833818</v>
      </c>
      <c r="I26" s="451">
        <f t="shared" si="6"/>
        <v>2.0251833818818454E-4</v>
      </c>
      <c r="J26" s="452">
        <f t="shared" si="6"/>
        <v>127.70399999999999</v>
      </c>
      <c r="K26" s="452">
        <f t="shared" si="6"/>
        <v>55.789811910000005</v>
      </c>
      <c r="L26" s="453">
        <f t="shared" si="6"/>
        <v>7234.0911693524231</v>
      </c>
      <c r="M26" s="452">
        <f t="shared" si="6"/>
        <v>0</v>
      </c>
      <c r="N26" s="452">
        <f t="shared" si="6"/>
        <v>-0.93466239120118644</v>
      </c>
      <c r="O26" s="452">
        <f t="shared" si="6"/>
        <v>-2.9620090857373924</v>
      </c>
      <c r="P26" s="452">
        <f t="shared" si="6"/>
        <v>737.54585974444456</v>
      </c>
      <c r="Q26" s="452">
        <f t="shared" si="6"/>
        <v>922.58719996352011</v>
      </c>
      <c r="R26" s="452">
        <f t="shared" si="6"/>
        <v>1119.9058999063197</v>
      </c>
      <c r="S26" s="452">
        <f t="shared" si="6"/>
        <v>36.339894762408619</v>
      </c>
      <c r="T26" s="452">
        <f t="shared" si="6"/>
        <v>186.3906430963622</v>
      </c>
      <c r="U26" s="452">
        <f t="shared" si="6"/>
        <v>3849.2084491743976</v>
      </c>
      <c r="V26" s="452">
        <f t="shared" si="6"/>
        <v>139.49896527995941</v>
      </c>
      <c r="W26" s="452">
        <f t="shared" si="6"/>
        <v>8.0181210980662954</v>
      </c>
      <c r="X26" s="452">
        <f t="shared" si="6"/>
        <v>202.14236347101001</v>
      </c>
      <c r="Y26" s="452">
        <f t="shared" si="6"/>
        <v>2.1614386036670727</v>
      </c>
      <c r="Z26" s="452">
        <f t="shared" si="6"/>
        <v>34.189005729205967</v>
      </c>
      <c r="AA26" s="453">
        <f t="shared" si="6"/>
        <v>1940.0135224076562</v>
      </c>
      <c r="AB26" s="454">
        <f t="shared" si="6"/>
        <v>476.24831263122383</v>
      </c>
      <c r="AC26" s="381">
        <f t="shared" si="6"/>
        <v>0</v>
      </c>
      <c r="AD26" s="364">
        <f t="shared" si="6"/>
        <v>0</v>
      </c>
      <c r="AE26" s="364">
        <f t="shared" si="6"/>
        <v>185.14268953076623</v>
      </c>
      <c r="AF26" s="364">
        <f t="shared" si="6"/>
        <v>40.395105024547789</v>
      </c>
      <c r="AG26" s="364">
        <f t="shared" si="6"/>
        <v>0</v>
      </c>
      <c r="AH26" s="364">
        <f t="shared" si="6"/>
        <v>10.185099045065435</v>
      </c>
      <c r="AI26" s="364">
        <f t="shared" si="6"/>
        <v>149.619839646912</v>
      </c>
      <c r="AJ26" s="364">
        <f t="shared" si="6"/>
        <v>26.911813626048001</v>
      </c>
      <c r="AK26" s="366">
        <f t="shared" si="6"/>
        <v>0</v>
      </c>
      <c r="AL26" s="366">
        <f t="shared" si="6"/>
        <v>13.690577884670216</v>
      </c>
      <c r="AM26" s="455">
        <f t="shared" si="6"/>
        <v>50.303187873214497</v>
      </c>
      <c r="AN26" s="453">
        <f t="shared" si="6"/>
        <v>56.661712292356881</v>
      </c>
      <c r="AO26" s="453">
        <f t="shared" si="6"/>
        <v>2409.0158713582632</v>
      </c>
      <c r="AP26" s="454">
        <f t="shared" si="6"/>
        <v>0</v>
      </c>
      <c r="AQ26" s="456">
        <f>C26+H26+L26+AA26+AB26+AN26+AO26+AP26</f>
        <v>12545.359856758711</v>
      </c>
      <c r="AR26" s="319"/>
    </row>
    <row r="27" spans="1:44" s="369" customFormat="1" ht="12.75" customHeight="1">
      <c r="A27" s="360" t="s">
        <v>115</v>
      </c>
      <c r="B27" s="361"/>
      <c r="C27" s="362">
        <f t="shared" ref="C27:V27" si="7">C28</f>
        <v>0</v>
      </c>
      <c r="D27" s="366">
        <f t="shared" si="7"/>
        <v>0</v>
      </c>
      <c r="E27" s="364">
        <f t="shared" si="7"/>
        <v>0</v>
      </c>
      <c r="F27" s="380">
        <f t="shared" si="7"/>
        <v>0</v>
      </c>
      <c r="G27" s="380">
        <f t="shared" si="7"/>
        <v>0</v>
      </c>
      <c r="H27" s="365">
        <f t="shared" si="7"/>
        <v>0</v>
      </c>
      <c r="I27" s="366">
        <f t="shared" si="7"/>
        <v>0</v>
      </c>
      <c r="J27" s="364">
        <f t="shared" si="7"/>
        <v>0</v>
      </c>
      <c r="K27" s="364">
        <f t="shared" si="7"/>
        <v>0</v>
      </c>
      <c r="L27" s="365">
        <f t="shared" si="7"/>
        <v>238.49280780388307</v>
      </c>
      <c r="M27" s="364">
        <f t="shared" si="7"/>
        <v>0</v>
      </c>
      <c r="N27" s="364">
        <f t="shared" si="7"/>
        <v>0</v>
      </c>
      <c r="O27" s="364">
        <f t="shared" si="7"/>
        <v>0</v>
      </c>
      <c r="P27" s="364">
        <f t="shared" si="7"/>
        <v>0</v>
      </c>
      <c r="Q27" s="364">
        <f t="shared" si="7"/>
        <v>0</v>
      </c>
      <c r="R27" s="364">
        <f t="shared" si="7"/>
        <v>0</v>
      </c>
      <c r="S27" s="364">
        <f t="shared" si="7"/>
        <v>0</v>
      </c>
      <c r="T27" s="364">
        <f t="shared" si="7"/>
        <v>0</v>
      </c>
      <c r="U27" s="364">
        <f t="shared" si="7"/>
        <v>0</v>
      </c>
      <c r="V27" s="364">
        <f t="shared" si="7"/>
        <v>0</v>
      </c>
      <c r="W27" s="380"/>
      <c r="X27" s="380">
        <f t="shared" ref="X27:AQ27" si="8">X28</f>
        <v>202.14236347101001</v>
      </c>
      <c r="Y27" s="380">
        <f t="shared" si="8"/>
        <v>2.1614386036670727</v>
      </c>
      <c r="Z27" s="364">
        <f t="shared" si="8"/>
        <v>34.189005729205967</v>
      </c>
      <c r="AA27" s="365">
        <f t="shared" si="8"/>
        <v>0</v>
      </c>
      <c r="AB27" s="363">
        <f t="shared" si="8"/>
        <v>0</v>
      </c>
      <c r="AC27" s="381">
        <f t="shared" si="8"/>
        <v>0</v>
      </c>
      <c r="AD27" s="364">
        <f t="shared" si="8"/>
        <v>0</v>
      </c>
      <c r="AE27" s="364">
        <f t="shared" si="8"/>
        <v>0</v>
      </c>
      <c r="AF27" s="364">
        <f t="shared" si="8"/>
        <v>0</v>
      </c>
      <c r="AG27" s="364">
        <f t="shared" si="8"/>
        <v>0</v>
      </c>
      <c r="AH27" s="364">
        <f t="shared" si="8"/>
        <v>0</v>
      </c>
      <c r="AI27" s="364">
        <f t="shared" si="8"/>
        <v>0</v>
      </c>
      <c r="AJ27" s="364">
        <f t="shared" si="8"/>
        <v>0</v>
      </c>
      <c r="AK27" s="366">
        <f t="shared" si="8"/>
        <v>0</v>
      </c>
      <c r="AL27" s="366">
        <f t="shared" si="8"/>
        <v>0</v>
      </c>
      <c r="AM27" s="380">
        <f t="shared" si="8"/>
        <v>0</v>
      </c>
      <c r="AN27" s="365">
        <f t="shared" si="8"/>
        <v>0</v>
      </c>
      <c r="AO27" s="365">
        <f t="shared" si="8"/>
        <v>0</v>
      </c>
      <c r="AP27" s="363">
        <f t="shared" si="8"/>
        <v>0</v>
      </c>
      <c r="AQ27" s="368">
        <f t="shared" si="8"/>
        <v>238.49280780388307</v>
      </c>
      <c r="AR27" s="319"/>
    </row>
    <row r="28" spans="1:44" ht="12.75" customHeight="1" thickBot="1">
      <c r="A28" s="457" t="s">
        <v>116</v>
      </c>
      <c r="B28" s="458"/>
      <c r="C28" s="459">
        <f>SUM(D28:G28)</f>
        <v>0</v>
      </c>
      <c r="D28" s="422"/>
      <c r="E28" s="423"/>
      <c r="F28" s="424"/>
      <c r="G28" s="424"/>
      <c r="H28" s="429">
        <f>SUM(I28:K28)</f>
        <v>0</v>
      </c>
      <c r="I28" s="422"/>
      <c r="J28" s="423"/>
      <c r="K28" s="423"/>
      <c r="L28" s="429">
        <f>SUM(M28:Z28)</f>
        <v>238.49280780388307</v>
      </c>
      <c r="M28" s="423"/>
      <c r="N28" s="423"/>
      <c r="O28" s="423"/>
      <c r="P28" s="423"/>
      <c r="Q28" s="423"/>
      <c r="R28" s="423"/>
      <c r="S28" s="423"/>
      <c r="T28" s="423"/>
      <c r="U28" s="423"/>
      <c r="V28" s="423"/>
      <c r="W28" s="424"/>
      <c r="X28" s="424">
        <f>X26</f>
        <v>202.14236347101001</v>
      </c>
      <c r="Y28" s="424">
        <f>Y26</f>
        <v>2.1614386036670727</v>
      </c>
      <c r="Z28" s="423">
        <f>Z26</f>
        <v>34.189005729205967</v>
      </c>
      <c r="AA28" s="429">
        <v>0</v>
      </c>
      <c r="AB28" s="460">
        <f>SUM(AC28:AI28)</f>
        <v>0</v>
      </c>
      <c r="AC28" s="427"/>
      <c r="AD28" s="423"/>
      <c r="AE28" s="423"/>
      <c r="AF28" s="423"/>
      <c r="AG28" s="423"/>
      <c r="AH28" s="423"/>
      <c r="AI28" s="423"/>
      <c r="AJ28" s="423"/>
      <c r="AK28" s="422"/>
      <c r="AL28" s="422"/>
      <c r="AM28" s="424"/>
      <c r="AN28" s="429"/>
      <c r="AO28" s="429"/>
      <c r="AP28" s="460"/>
      <c r="AQ28" s="430">
        <f>C28+H28+L28+AA28+AB28+AN28+AO28+AP28</f>
        <v>238.49280780388307</v>
      </c>
    </row>
    <row r="29" spans="1:44" s="369" customFormat="1" ht="12.75" customHeight="1" thickBot="1">
      <c r="A29" s="360" t="s">
        <v>117</v>
      </c>
      <c r="B29" s="361"/>
      <c r="C29" s="362">
        <f t="shared" ref="C29:AQ29" si="9">C30+C45+C56+C58+C65+C70+C71</f>
        <v>255.03404996720835</v>
      </c>
      <c r="D29" s="366">
        <f t="shared" si="9"/>
        <v>139.17105324850485</v>
      </c>
      <c r="E29" s="364">
        <f t="shared" si="9"/>
        <v>110.328690579282</v>
      </c>
      <c r="F29" s="380">
        <f t="shared" si="9"/>
        <v>0</v>
      </c>
      <c r="G29" s="380">
        <f t="shared" si="9"/>
        <v>5.3892382574214936</v>
      </c>
      <c r="H29" s="365">
        <f t="shared" si="9"/>
        <v>183.49320499999999</v>
      </c>
      <c r="I29" s="366">
        <f t="shared" si="9"/>
        <v>0</v>
      </c>
      <c r="J29" s="366">
        <f t="shared" si="9"/>
        <v>127.70399999999999</v>
      </c>
      <c r="K29" s="366">
        <f t="shared" si="9"/>
        <v>55.789205000000003</v>
      </c>
      <c r="L29" s="365">
        <f t="shared" si="9"/>
        <v>7013.9971091335983</v>
      </c>
      <c r="M29" s="364">
        <f t="shared" si="9"/>
        <v>0</v>
      </c>
      <c r="N29" s="364">
        <f t="shared" si="9"/>
        <v>0</v>
      </c>
      <c r="O29" s="364">
        <f t="shared" si="9"/>
        <v>0</v>
      </c>
      <c r="P29" s="364">
        <f t="shared" si="9"/>
        <v>773.96735156819454</v>
      </c>
      <c r="Q29" s="364">
        <f t="shared" si="9"/>
        <v>910.51333330047999</v>
      </c>
      <c r="R29" s="364">
        <f t="shared" si="9"/>
        <v>1115.6537766794397</v>
      </c>
      <c r="S29" s="364">
        <f t="shared" si="9"/>
        <v>29.695189152151887</v>
      </c>
      <c r="T29" s="364">
        <f t="shared" si="9"/>
        <v>180.27421114819845</v>
      </c>
      <c r="U29" s="364">
        <f t="shared" si="9"/>
        <v>3864.8705513708423</v>
      </c>
      <c r="V29" s="364">
        <f t="shared" si="9"/>
        <v>139.02269591428916</v>
      </c>
      <c r="W29" s="380">
        <f t="shared" si="9"/>
        <v>0</v>
      </c>
      <c r="X29" s="380">
        <f t="shared" si="9"/>
        <v>0</v>
      </c>
      <c r="Y29" s="380">
        <f t="shared" si="9"/>
        <v>0</v>
      </c>
      <c r="Z29" s="366">
        <f t="shared" si="9"/>
        <v>0</v>
      </c>
      <c r="AA29" s="453">
        <f t="shared" si="9"/>
        <v>1972.8804437063577</v>
      </c>
      <c r="AB29" s="363">
        <f t="shared" si="9"/>
        <v>487.60170405332815</v>
      </c>
      <c r="AC29" s="381">
        <f t="shared" si="9"/>
        <v>0</v>
      </c>
      <c r="AD29" s="364">
        <f t="shared" si="9"/>
        <v>0</v>
      </c>
      <c r="AE29" s="364">
        <f t="shared" si="9"/>
        <v>184.94225477768629</v>
      </c>
      <c r="AF29" s="364">
        <f t="shared" si="9"/>
        <v>40.395105024547775</v>
      </c>
      <c r="AG29" s="364">
        <f t="shared" si="9"/>
        <v>0</v>
      </c>
      <c r="AH29" s="364">
        <f t="shared" si="9"/>
        <v>10.185099045065435</v>
      </c>
      <c r="AI29" s="364">
        <f t="shared" si="9"/>
        <v>161.89653003302399</v>
      </c>
      <c r="AJ29" s="364">
        <f t="shared" si="9"/>
        <v>26.188949415119993</v>
      </c>
      <c r="AK29" s="363">
        <f t="shared" si="9"/>
        <v>0</v>
      </c>
      <c r="AL29" s="363">
        <f t="shared" si="9"/>
        <v>13.690577884670214</v>
      </c>
      <c r="AM29" s="363">
        <f t="shared" si="9"/>
        <v>50.303187873214497</v>
      </c>
      <c r="AN29" s="363">
        <f t="shared" si="9"/>
        <v>56.661712292356889</v>
      </c>
      <c r="AO29" s="365">
        <f t="shared" si="9"/>
        <v>2444.4490795745314</v>
      </c>
      <c r="AP29" s="363">
        <f t="shared" si="9"/>
        <v>0</v>
      </c>
      <c r="AQ29" s="456">
        <f t="shared" si="9"/>
        <v>12414.11730372738</v>
      </c>
      <c r="AR29" s="319"/>
    </row>
    <row r="30" spans="1:44" s="369" customFormat="1" ht="12.75" customHeight="1">
      <c r="A30" s="461" t="s">
        <v>118</v>
      </c>
      <c r="B30" s="462"/>
      <c r="C30" s="463">
        <f>SUM(C31:C44)</f>
        <v>79.296243284500008</v>
      </c>
      <c r="D30" s="464">
        <v>79.151175402500002</v>
      </c>
      <c r="E30" s="464">
        <v>0</v>
      </c>
      <c r="F30" s="465"/>
      <c r="G30" s="465"/>
      <c r="H30" s="466">
        <f t="shared" ref="H30:P30" si="10">SUM(H31:H44)</f>
        <v>0</v>
      </c>
      <c r="I30" s="467">
        <f t="shared" si="10"/>
        <v>0</v>
      </c>
      <c r="J30" s="464">
        <f t="shared" si="10"/>
        <v>0</v>
      </c>
      <c r="K30" s="464">
        <f t="shared" si="10"/>
        <v>0</v>
      </c>
      <c r="L30" s="466">
        <f t="shared" si="10"/>
        <v>370.755099266949</v>
      </c>
      <c r="M30" s="464">
        <f t="shared" si="10"/>
        <v>0</v>
      </c>
      <c r="N30" s="464">
        <f t="shared" si="10"/>
        <v>0</v>
      </c>
      <c r="O30" s="464">
        <f t="shared" si="10"/>
        <v>0</v>
      </c>
      <c r="P30" s="464">
        <f t="shared" si="10"/>
        <v>0</v>
      </c>
      <c r="Q30" s="464">
        <v>9.5599221303812527</v>
      </c>
      <c r="R30" s="464">
        <f>SUM(R31:R44)</f>
        <v>0</v>
      </c>
      <c r="S30" s="464">
        <v>29.48588602919402</v>
      </c>
      <c r="T30" s="464">
        <v>57.257582326048286</v>
      </c>
      <c r="U30" s="464">
        <v>137.47325526849036</v>
      </c>
      <c r="V30" s="464">
        <v>136.9784535128351</v>
      </c>
      <c r="W30" s="464">
        <f>SUM(W31:W44)</f>
        <v>0</v>
      </c>
      <c r="X30" s="464">
        <f>SUM(X31:X44)</f>
        <v>0</v>
      </c>
      <c r="Y30" s="464">
        <f>SUM(Y31:Y44)</f>
        <v>0</v>
      </c>
      <c r="Z30" s="464">
        <f>SUM(Z31:Z44)</f>
        <v>0</v>
      </c>
      <c r="AA30" s="466">
        <v>958.12037631427734</v>
      </c>
      <c r="AB30" s="468">
        <f t="shared" ref="AB30:AN30" si="11">SUM(AB31:AB44)</f>
        <v>188.15100459348389</v>
      </c>
      <c r="AC30" s="469">
        <f t="shared" si="11"/>
        <v>0</v>
      </c>
      <c r="AD30" s="464">
        <f t="shared" si="11"/>
        <v>0</v>
      </c>
      <c r="AE30" s="464">
        <f t="shared" si="11"/>
        <v>145.85540721028124</v>
      </c>
      <c r="AF30" s="464">
        <f t="shared" si="11"/>
        <v>40.395105024547775</v>
      </c>
      <c r="AG30" s="464">
        <f t="shared" si="11"/>
        <v>0</v>
      </c>
      <c r="AH30" s="464">
        <f t="shared" si="11"/>
        <v>1.9004923586548437</v>
      </c>
      <c r="AI30" s="464">
        <f t="shared" si="11"/>
        <v>0</v>
      </c>
      <c r="AJ30" s="464">
        <f t="shared" si="11"/>
        <v>0</v>
      </c>
      <c r="AK30" s="464">
        <f t="shared" si="11"/>
        <v>0</v>
      </c>
      <c r="AL30" s="464">
        <f t="shared" si="11"/>
        <v>0</v>
      </c>
      <c r="AM30" s="470">
        <f t="shared" si="11"/>
        <v>0</v>
      </c>
      <c r="AN30" s="467">
        <f t="shared" si="11"/>
        <v>56.661712292356889</v>
      </c>
      <c r="AO30" s="466">
        <v>641.61541115204193</v>
      </c>
      <c r="AP30" s="468">
        <f>SUM(AP31:AP44)</f>
        <v>0</v>
      </c>
      <c r="AQ30" s="382">
        <f t="shared" ref="AQ30:AQ72" si="12">C30+H30+L30+AA30+AB30+AN30+AO30+AP30</f>
        <v>2294.599846903609</v>
      </c>
      <c r="AR30" s="319"/>
    </row>
    <row r="31" spans="1:44" ht="12.75" customHeight="1">
      <c r="A31" s="471" t="s">
        <v>119</v>
      </c>
      <c r="B31" s="472" t="s">
        <v>120</v>
      </c>
      <c r="C31" s="473">
        <f t="shared" ref="C31:C43" si="13">SUM(D31:G31)</f>
        <v>0</v>
      </c>
      <c r="D31" s="391">
        <v>0</v>
      </c>
      <c r="E31" s="474"/>
      <c r="F31" s="474"/>
      <c r="G31" s="475"/>
      <c r="H31" s="476">
        <f t="shared" ref="H31:H43" si="14">SUM(I31:K31)</f>
        <v>0</v>
      </c>
      <c r="I31" s="477"/>
      <c r="J31" s="394"/>
      <c r="K31" s="394"/>
      <c r="L31" s="476">
        <f t="shared" ref="L31:L43" si="15">SUM(M31:Z31)</f>
        <v>21.386100287747887</v>
      </c>
      <c r="M31" s="394"/>
      <c r="N31" s="394"/>
      <c r="O31" s="394"/>
      <c r="P31" s="478"/>
      <c r="Q31" s="434">
        <v>0.34394877804522095</v>
      </c>
      <c r="R31" s="474"/>
      <c r="S31" s="434">
        <v>0</v>
      </c>
      <c r="T31" s="434">
        <v>1.3924892045128474</v>
      </c>
      <c r="U31" s="434">
        <v>19.649662305189818</v>
      </c>
      <c r="V31" s="434">
        <v>0</v>
      </c>
      <c r="W31" s="474"/>
      <c r="X31" s="477"/>
      <c r="Y31" s="478"/>
      <c r="Z31" s="394"/>
      <c r="AA31" s="392">
        <v>8.9693266818180462</v>
      </c>
      <c r="AB31" s="479">
        <f t="shared" ref="AB31:AB43" si="16">SUM(AC31:AM31)</f>
        <v>0</v>
      </c>
      <c r="AC31" s="480"/>
      <c r="AD31" s="394"/>
      <c r="AE31" s="394"/>
      <c r="AF31" s="394"/>
      <c r="AG31" s="394"/>
      <c r="AH31" s="394"/>
      <c r="AI31" s="394"/>
      <c r="AJ31" s="394"/>
      <c r="AK31" s="386"/>
      <c r="AL31" s="388"/>
      <c r="AM31" s="394"/>
      <c r="AN31" s="392"/>
      <c r="AO31" s="392">
        <v>18.899076286644064</v>
      </c>
      <c r="AP31" s="479"/>
      <c r="AQ31" s="393">
        <f t="shared" si="12"/>
        <v>49.25450325621</v>
      </c>
    </row>
    <row r="32" spans="1:44" ht="12.75" customHeight="1">
      <c r="A32" s="481" t="s">
        <v>121</v>
      </c>
      <c r="B32" s="482" t="s">
        <v>122</v>
      </c>
      <c r="C32" s="337">
        <f t="shared" si="13"/>
        <v>0</v>
      </c>
      <c r="D32" s="345">
        <v>0</v>
      </c>
      <c r="E32" s="483"/>
      <c r="F32" s="483"/>
      <c r="G32" s="484"/>
      <c r="H32" s="341">
        <f t="shared" si="14"/>
        <v>0</v>
      </c>
      <c r="I32" s="342">
        <v>0</v>
      </c>
      <c r="J32" s="343"/>
      <c r="K32" s="343"/>
      <c r="L32" s="341">
        <f t="shared" si="15"/>
        <v>68.078459343940352</v>
      </c>
      <c r="M32" s="343"/>
      <c r="N32" s="343"/>
      <c r="O32" s="343"/>
      <c r="P32" s="478"/>
      <c r="Q32" s="483">
        <v>2.0543122470519104</v>
      </c>
      <c r="R32" s="483"/>
      <c r="S32" s="483">
        <v>19.314129079223996</v>
      </c>
      <c r="T32" s="483">
        <v>31.386754113985496</v>
      </c>
      <c r="U32" s="483">
        <v>15.323263903678948</v>
      </c>
      <c r="V32" s="483">
        <v>0</v>
      </c>
      <c r="W32" s="483"/>
      <c r="X32" s="342"/>
      <c r="Y32" s="340"/>
      <c r="Z32" s="343"/>
      <c r="AA32" s="346">
        <v>271.00036328484168</v>
      </c>
      <c r="AB32" s="344">
        <f t="shared" si="16"/>
        <v>25.207192351214847</v>
      </c>
      <c r="AC32" s="345"/>
      <c r="AD32" s="343"/>
      <c r="AE32" s="343">
        <v>23.306699992560002</v>
      </c>
      <c r="AF32" s="343"/>
      <c r="AG32" s="394"/>
      <c r="AH32" s="394">
        <v>1.9004923586548437</v>
      </c>
      <c r="AI32" s="394"/>
      <c r="AJ32" s="394"/>
      <c r="AK32" s="342"/>
      <c r="AL32" s="340"/>
      <c r="AM32" s="343"/>
      <c r="AN32" s="346"/>
      <c r="AO32" s="346">
        <v>153.20438504628558</v>
      </c>
      <c r="AP32" s="344"/>
      <c r="AQ32" s="347">
        <f t="shared" si="12"/>
        <v>517.49040002628249</v>
      </c>
    </row>
    <row r="33" spans="1:44" ht="12.75" customHeight="1">
      <c r="A33" s="481" t="s">
        <v>123</v>
      </c>
      <c r="B33" s="485" t="s">
        <v>124</v>
      </c>
      <c r="C33" s="337">
        <f t="shared" si="13"/>
        <v>0</v>
      </c>
      <c r="D33" s="345">
        <v>0</v>
      </c>
      <c r="E33" s="483"/>
      <c r="F33" s="483"/>
      <c r="G33" s="484"/>
      <c r="H33" s="341">
        <f t="shared" si="14"/>
        <v>0</v>
      </c>
      <c r="I33" s="342"/>
      <c r="J33" s="343"/>
      <c r="K33" s="343"/>
      <c r="L33" s="341">
        <f t="shared" si="15"/>
        <v>4.0277281979784476</v>
      </c>
      <c r="M33" s="343"/>
      <c r="N33" s="343"/>
      <c r="O33" s="343"/>
      <c r="P33" s="478"/>
      <c r="Q33" s="483">
        <v>6.149387243838797E-2</v>
      </c>
      <c r="R33" s="483"/>
      <c r="S33" s="483">
        <v>0</v>
      </c>
      <c r="T33" s="483">
        <v>3.3044931207604713</v>
      </c>
      <c r="U33" s="483">
        <v>0.66174120477958809</v>
      </c>
      <c r="V33" s="483">
        <v>0</v>
      </c>
      <c r="W33" s="483"/>
      <c r="X33" s="342"/>
      <c r="Y33" s="340"/>
      <c r="Z33" s="343"/>
      <c r="AA33" s="346">
        <v>20.240475796980562</v>
      </c>
      <c r="AB33" s="344">
        <f t="shared" si="16"/>
        <v>0</v>
      </c>
      <c r="AC33" s="345"/>
      <c r="AD33" s="343"/>
      <c r="AE33" s="343"/>
      <c r="AF33" s="343"/>
      <c r="AG33" s="394"/>
      <c r="AH33" s="394"/>
      <c r="AI33" s="394"/>
      <c r="AJ33" s="394"/>
      <c r="AK33" s="342"/>
      <c r="AL33" s="340"/>
      <c r="AM33" s="343"/>
      <c r="AN33" s="346"/>
      <c r="AO33" s="346">
        <v>5.03031615501492</v>
      </c>
      <c r="AP33" s="344"/>
      <c r="AQ33" s="347">
        <f t="shared" si="12"/>
        <v>29.298520149973928</v>
      </c>
    </row>
    <row r="34" spans="1:44" ht="12.75" customHeight="1">
      <c r="A34" s="481" t="s">
        <v>125</v>
      </c>
      <c r="B34" s="485" t="s">
        <v>126</v>
      </c>
      <c r="C34" s="337">
        <f t="shared" si="13"/>
        <v>0</v>
      </c>
      <c r="D34" s="345">
        <v>0</v>
      </c>
      <c r="E34" s="483"/>
      <c r="F34" s="483"/>
      <c r="G34" s="484"/>
      <c r="H34" s="341">
        <f t="shared" si="14"/>
        <v>0</v>
      </c>
      <c r="I34" s="342"/>
      <c r="J34" s="343"/>
      <c r="K34" s="343"/>
      <c r="L34" s="341">
        <f t="shared" si="15"/>
        <v>2.5180114140796577</v>
      </c>
      <c r="M34" s="343"/>
      <c r="N34" s="343"/>
      <c r="O34" s="343"/>
      <c r="P34" s="478"/>
      <c r="Q34" s="483">
        <v>8.8592867072253875E-2</v>
      </c>
      <c r="R34" s="483"/>
      <c r="S34" s="483">
        <v>0</v>
      </c>
      <c r="T34" s="483">
        <v>0.291782235357888</v>
      </c>
      <c r="U34" s="483">
        <v>2.1376363116495156</v>
      </c>
      <c r="V34" s="483">
        <v>0</v>
      </c>
      <c r="W34" s="483"/>
      <c r="X34" s="342"/>
      <c r="Y34" s="340"/>
      <c r="Z34" s="343"/>
      <c r="AA34" s="346">
        <v>3.0844420606815905</v>
      </c>
      <c r="AB34" s="344">
        <f t="shared" si="16"/>
        <v>121.44008291049944</v>
      </c>
      <c r="AC34" s="345"/>
      <c r="AD34" s="343"/>
      <c r="AE34" s="343">
        <v>121.44008291049944</v>
      </c>
      <c r="AF34" s="343"/>
      <c r="AG34" s="394"/>
      <c r="AH34" s="394"/>
      <c r="AI34" s="394"/>
      <c r="AJ34" s="394"/>
      <c r="AK34" s="342"/>
      <c r="AL34" s="340"/>
      <c r="AM34" s="343"/>
      <c r="AN34" s="346"/>
      <c r="AO34" s="346">
        <v>27.035861061772202</v>
      </c>
      <c r="AP34" s="344"/>
      <c r="AQ34" s="347">
        <f t="shared" si="12"/>
        <v>154.0783974470329</v>
      </c>
    </row>
    <row r="35" spans="1:44" ht="12.75" customHeight="1">
      <c r="A35" s="481" t="s">
        <v>127</v>
      </c>
      <c r="B35" s="485" t="s">
        <v>128</v>
      </c>
      <c r="C35" s="337">
        <f t="shared" si="13"/>
        <v>0</v>
      </c>
      <c r="D35" s="345">
        <v>0</v>
      </c>
      <c r="E35" s="483"/>
      <c r="F35" s="483"/>
      <c r="G35" s="484"/>
      <c r="H35" s="341">
        <f t="shared" si="14"/>
        <v>0</v>
      </c>
      <c r="I35" s="342"/>
      <c r="J35" s="343"/>
      <c r="K35" s="343"/>
      <c r="L35" s="341">
        <f t="shared" si="15"/>
        <v>0.81036356601729387</v>
      </c>
      <c r="M35" s="343"/>
      <c r="N35" s="343"/>
      <c r="O35" s="343"/>
      <c r="P35" s="478"/>
      <c r="Q35" s="483">
        <v>0.19386203853457903</v>
      </c>
      <c r="R35" s="483"/>
      <c r="S35" s="483">
        <v>0</v>
      </c>
      <c r="T35" s="483">
        <v>5.2188692503036871E-2</v>
      </c>
      <c r="U35" s="483">
        <v>0.56431283497967799</v>
      </c>
      <c r="V35" s="483">
        <v>0</v>
      </c>
      <c r="W35" s="483"/>
      <c r="X35" s="342"/>
      <c r="Y35" s="340"/>
      <c r="Z35" s="343"/>
      <c r="AA35" s="346">
        <v>4.6898821578536767</v>
      </c>
      <c r="AB35" s="344">
        <f t="shared" si="16"/>
        <v>0</v>
      </c>
      <c r="AC35" s="345"/>
      <c r="AD35" s="343"/>
      <c r="AE35" s="343"/>
      <c r="AF35" s="343"/>
      <c r="AG35" s="394"/>
      <c r="AH35" s="394"/>
      <c r="AI35" s="394"/>
      <c r="AJ35" s="394"/>
      <c r="AK35" s="342"/>
      <c r="AL35" s="340"/>
      <c r="AM35" s="343"/>
      <c r="AN35" s="346"/>
      <c r="AO35" s="346">
        <v>10.956610663807187</v>
      </c>
      <c r="AP35" s="344"/>
      <c r="AQ35" s="347">
        <f t="shared" si="12"/>
        <v>16.456856387678158</v>
      </c>
    </row>
    <row r="36" spans="1:44" ht="12.75" customHeight="1">
      <c r="A36" s="481" t="s">
        <v>129</v>
      </c>
      <c r="B36" s="485" t="s">
        <v>130</v>
      </c>
      <c r="C36" s="337">
        <f t="shared" si="13"/>
        <v>0</v>
      </c>
      <c r="D36" s="480">
        <v>0</v>
      </c>
      <c r="E36" s="483"/>
      <c r="F36" s="483"/>
      <c r="G36" s="484"/>
      <c r="H36" s="341">
        <f t="shared" si="14"/>
        <v>0</v>
      </c>
      <c r="I36" s="342"/>
      <c r="J36" s="343"/>
      <c r="K36" s="343"/>
      <c r="L36" s="341">
        <f t="shared" si="15"/>
        <v>20.260370707332626</v>
      </c>
      <c r="M36" s="343"/>
      <c r="N36" s="343"/>
      <c r="O36" s="343"/>
      <c r="P36" s="478"/>
      <c r="Q36" s="474">
        <v>0.28975078877748911</v>
      </c>
      <c r="R36" s="483"/>
      <c r="S36" s="474">
        <v>3.4063190006999995</v>
      </c>
      <c r="T36" s="474">
        <v>2.7956533688558611</v>
      </c>
      <c r="U36" s="474">
        <v>4.6727032010966845</v>
      </c>
      <c r="V36" s="474">
        <v>9.0959443479025932</v>
      </c>
      <c r="W36" s="483"/>
      <c r="X36" s="342"/>
      <c r="Y36" s="340"/>
      <c r="Z36" s="343"/>
      <c r="AA36" s="486">
        <v>130.67024493651019</v>
      </c>
      <c r="AB36" s="344">
        <f t="shared" si="16"/>
        <v>0</v>
      </c>
      <c r="AC36" s="345"/>
      <c r="AD36" s="343"/>
      <c r="AE36" s="343">
        <v>0</v>
      </c>
      <c r="AF36" s="343"/>
      <c r="AG36" s="394"/>
      <c r="AH36" s="394"/>
      <c r="AI36" s="394"/>
      <c r="AJ36" s="394"/>
      <c r="AK36" s="477"/>
      <c r="AL36" s="478"/>
      <c r="AM36" s="343"/>
      <c r="AN36" s="486"/>
      <c r="AO36" s="486">
        <v>107.75392667032396</v>
      </c>
      <c r="AP36" s="344"/>
      <c r="AQ36" s="347">
        <f t="shared" si="12"/>
        <v>258.68454231416678</v>
      </c>
    </row>
    <row r="37" spans="1:44" ht="12.75" customHeight="1">
      <c r="A37" s="481" t="s">
        <v>131</v>
      </c>
      <c r="B37" s="485" t="s">
        <v>132</v>
      </c>
      <c r="C37" s="337">
        <f t="shared" si="13"/>
        <v>0</v>
      </c>
      <c r="D37" s="345">
        <v>0</v>
      </c>
      <c r="E37" s="483"/>
      <c r="F37" s="483"/>
      <c r="G37" s="484"/>
      <c r="H37" s="341">
        <f t="shared" si="14"/>
        <v>0</v>
      </c>
      <c r="I37" s="342"/>
      <c r="J37" s="343"/>
      <c r="K37" s="343"/>
      <c r="L37" s="341">
        <f t="shared" si="15"/>
        <v>4.4722600307298563</v>
      </c>
      <c r="M37" s="343"/>
      <c r="N37" s="343"/>
      <c r="O37" s="343"/>
      <c r="P37" s="478"/>
      <c r="Q37" s="483">
        <v>1.8291821377859474</v>
      </c>
      <c r="R37" s="483"/>
      <c r="S37" s="483">
        <v>0</v>
      </c>
      <c r="T37" s="483">
        <v>1.2655757931986442</v>
      </c>
      <c r="U37" s="483">
        <v>1.3775020997452652</v>
      </c>
      <c r="V37" s="483">
        <v>0</v>
      </c>
      <c r="W37" s="483"/>
      <c r="X37" s="342"/>
      <c r="Y37" s="340"/>
      <c r="Z37" s="343"/>
      <c r="AA37" s="346">
        <v>2.331648864875131</v>
      </c>
      <c r="AB37" s="344">
        <f t="shared" si="16"/>
        <v>0</v>
      </c>
      <c r="AC37" s="345"/>
      <c r="AD37" s="343"/>
      <c r="AE37" s="343"/>
      <c r="AF37" s="343"/>
      <c r="AG37" s="394"/>
      <c r="AH37" s="394"/>
      <c r="AI37" s="394"/>
      <c r="AJ37" s="394"/>
      <c r="AK37" s="342"/>
      <c r="AL37" s="340"/>
      <c r="AM37" s="343"/>
      <c r="AN37" s="346"/>
      <c r="AO37" s="346">
        <v>21.046258955853371</v>
      </c>
      <c r="AP37" s="344"/>
      <c r="AQ37" s="347">
        <f t="shared" si="12"/>
        <v>27.850167851458359</v>
      </c>
    </row>
    <row r="38" spans="1:44" ht="12.75" customHeight="1">
      <c r="A38" s="481" t="s">
        <v>133</v>
      </c>
      <c r="B38" s="485" t="s">
        <v>134</v>
      </c>
      <c r="C38" s="337">
        <f t="shared" si="13"/>
        <v>79.151175402500002</v>
      </c>
      <c r="D38" s="345">
        <v>79.151175402500002</v>
      </c>
      <c r="E38" s="483"/>
      <c r="F38" s="483"/>
      <c r="G38" s="484"/>
      <c r="H38" s="341">
        <f t="shared" si="14"/>
        <v>0</v>
      </c>
      <c r="I38" s="342"/>
      <c r="J38" s="343"/>
      <c r="K38" s="343"/>
      <c r="L38" s="341">
        <f t="shared" si="15"/>
        <v>160.48056456887974</v>
      </c>
      <c r="M38" s="343"/>
      <c r="N38" s="343"/>
      <c r="O38" s="343"/>
      <c r="P38" s="478"/>
      <c r="Q38" s="483">
        <v>1.6988985097385152</v>
      </c>
      <c r="R38" s="483"/>
      <c r="S38" s="483">
        <v>0</v>
      </c>
      <c r="T38" s="483">
        <v>2.5050572401457698</v>
      </c>
      <c r="U38" s="483">
        <v>28.394099654062941</v>
      </c>
      <c r="V38" s="483">
        <v>127.8825091649325</v>
      </c>
      <c r="W38" s="483"/>
      <c r="X38" s="342"/>
      <c r="Y38" s="340"/>
      <c r="Z38" s="343"/>
      <c r="AA38" s="346">
        <v>21.034766636655764</v>
      </c>
      <c r="AB38" s="344">
        <f t="shared" si="16"/>
        <v>41.503729331769577</v>
      </c>
      <c r="AC38" s="345"/>
      <c r="AD38" s="343"/>
      <c r="AE38" s="343">
        <v>1.1086243072218001</v>
      </c>
      <c r="AF38" s="343">
        <v>40.395105024547775</v>
      </c>
      <c r="AG38" s="394"/>
      <c r="AH38" s="394"/>
      <c r="AI38" s="394"/>
      <c r="AJ38" s="394"/>
      <c r="AK38" s="342"/>
      <c r="AL38" s="340"/>
      <c r="AM38" s="343"/>
      <c r="AN38" s="346">
        <v>56.661712292356889</v>
      </c>
      <c r="AO38" s="346">
        <v>55.623637525327545</v>
      </c>
      <c r="AP38" s="344"/>
      <c r="AQ38" s="347">
        <f t="shared" si="12"/>
        <v>414.45558575748947</v>
      </c>
    </row>
    <row r="39" spans="1:44" ht="12.75" customHeight="1">
      <c r="A39" s="481" t="s">
        <v>135</v>
      </c>
      <c r="B39" s="485" t="s">
        <v>136</v>
      </c>
      <c r="C39" s="337">
        <f t="shared" si="13"/>
        <v>0.14506788200000253</v>
      </c>
      <c r="D39" s="345">
        <v>0.14506788200000253</v>
      </c>
      <c r="E39" s="483"/>
      <c r="F39" s="483"/>
      <c r="G39" s="484"/>
      <c r="H39" s="341">
        <f t="shared" si="14"/>
        <v>0</v>
      </c>
      <c r="I39" s="342"/>
      <c r="J39" s="343"/>
      <c r="K39" s="343"/>
      <c r="L39" s="341">
        <f t="shared" si="15"/>
        <v>10.671975656994704</v>
      </c>
      <c r="M39" s="343"/>
      <c r="N39" s="343"/>
      <c r="O39" s="343"/>
      <c r="P39" s="478"/>
      <c r="Q39" s="483">
        <v>0.74834915950445036</v>
      </c>
      <c r="R39" s="483"/>
      <c r="S39" s="483">
        <v>3.2590363652700001</v>
      </c>
      <c r="T39" s="483">
        <v>3.4918979711122851</v>
      </c>
      <c r="U39" s="483">
        <v>3.1726921611079675</v>
      </c>
      <c r="V39" s="483">
        <v>0</v>
      </c>
      <c r="W39" s="483"/>
      <c r="X39" s="342"/>
      <c r="Y39" s="340"/>
      <c r="Z39" s="343"/>
      <c r="AA39" s="346">
        <v>417.20953064814074</v>
      </c>
      <c r="AB39" s="344">
        <f t="shared" si="16"/>
        <v>0</v>
      </c>
      <c r="AC39" s="345"/>
      <c r="AD39" s="343"/>
      <c r="AE39" s="343"/>
      <c r="AF39" s="343"/>
      <c r="AG39" s="394"/>
      <c r="AH39" s="394"/>
      <c r="AI39" s="394"/>
      <c r="AJ39" s="394"/>
      <c r="AK39" s="342"/>
      <c r="AL39" s="340"/>
      <c r="AM39" s="343"/>
      <c r="AN39" s="346"/>
      <c r="AO39" s="346">
        <v>50.803467421885514</v>
      </c>
      <c r="AP39" s="344"/>
      <c r="AQ39" s="347">
        <f t="shared" si="12"/>
        <v>478.83004160902095</v>
      </c>
    </row>
    <row r="40" spans="1:44" ht="12.75" customHeight="1">
      <c r="A40" s="481" t="s">
        <v>137</v>
      </c>
      <c r="B40" s="485" t="s">
        <v>138</v>
      </c>
      <c r="C40" s="337">
        <f t="shared" si="13"/>
        <v>0</v>
      </c>
      <c r="D40" s="345">
        <v>0</v>
      </c>
      <c r="E40" s="483"/>
      <c r="F40" s="483"/>
      <c r="G40" s="484"/>
      <c r="H40" s="341">
        <f t="shared" si="14"/>
        <v>0</v>
      </c>
      <c r="I40" s="342"/>
      <c r="J40" s="343"/>
      <c r="K40" s="343"/>
      <c r="L40" s="341">
        <f t="shared" si="15"/>
        <v>4.364153179382475</v>
      </c>
      <c r="M40" s="343"/>
      <c r="N40" s="343"/>
      <c r="O40" s="343"/>
      <c r="P40" s="478"/>
      <c r="Q40" s="483">
        <v>0.20949607390027095</v>
      </c>
      <c r="R40" s="483"/>
      <c r="S40" s="483">
        <v>0</v>
      </c>
      <c r="T40" s="483">
        <v>2.1231308995553637</v>
      </c>
      <c r="U40" s="483">
        <v>2.0315262059268404</v>
      </c>
      <c r="V40" s="483">
        <v>0</v>
      </c>
      <c r="W40" s="483"/>
      <c r="X40" s="342"/>
      <c r="Y40" s="340"/>
      <c r="Z40" s="343"/>
      <c r="AA40" s="346">
        <v>8.1400222051285844</v>
      </c>
      <c r="AB40" s="344">
        <f t="shared" si="16"/>
        <v>0</v>
      </c>
      <c r="AC40" s="345"/>
      <c r="AD40" s="343"/>
      <c r="AE40" s="343"/>
      <c r="AF40" s="343"/>
      <c r="AG40" s="394"/>
      <c r="AH40" s="394"/>
      <c r="AI40" s="394"/>
      <c r="AJ40" s="394"/>
      <c r="AK40" s="342"/>
      <c r="AL40" s="340"/>
      <c r="AM40" s="343"/>
      <c r="AN40" s="346"/>
      <c r="AO40" s="346">
        <v>18.961504611588314</v>
      </c>
      <c r="AP40" s="344"/>
      <c r="AQ40" s="347">
        <f t="shared" si="12"/>
        <v>31.465679996099375</v>
      </c>
    </row>
    <row r="41" spans="1:44" ht="12.75" customHeight="1">
      <c r="A41" s="481" t="s">
        <v>139</v>
      </c>
      <c r="B41" s="485" t="s">
        <v>140</v>
      </c>
      <c r="C41" s="337">
        <f t="shared" si="13"/>
        <v>0</v>
      </c>
      <c r="D41" s="480">
        <v>0</v>
      </c>
      <c r="E41" s="483"/>
      <c r="F41" s="483"/>
      <c r="G41" s="484"/>
      <c r="H41" s="341">
        <f t="shared" si="14"/>
        <v>0</v>
      </c>
      <c r="I41" s="342"/>
      <c r="J41" s="343"/>
      <c r="K41" s="343"/>
      <c r="L41" s="341">
        <f t="shared" si="15"/>
        <v>3.5288775317195089</v>
      </c>
      <c r="M41" s="343"/>
      <c r="N41" s="343"/>
      <c r="O41" s="343"/>
      <c r="P41" s="478"/>
      <c r="Q41" s="474">
        <v>0.44713341145878716</v>
      </c>
      <c r="R41" s="483"/>
      <c r="S41" s="474">
        <v>0</v>
      </c>
      <c r="T41" s="474">
        <v>2.1373641793289191</v>
      </c>
      <c r="U41" s="474">
        <v>0.94437994093180289</v>
      </c>
      <c r="V41" s="474">
        <v>0</v>
      </c>
      <c r="W41" s="483"/>
      <c r="X41" s="342"/>
      <c r="Y41" s="340"/>
      <c r="Z41" s="343"/>
      <c r="AA41" s="486">
        <v>18.773145045809141</v>
      </c>
      <c r="AB41" s="344">
        <f t="shared" si="16"/>
        <v>0</v>
      </c>
      <c r="AC41" s="345"/>
      <c r="AD41" s="343"/>
      <c r="AE41" s="343"/>
      <c r="AF41" s="343"/>
      <c r="AG41" s="394"/>
      <c r="AH41" s="394"/>
      <c r="AI41" s="394"/>
      <c r="AJ41" s="394"/>
      <c r="AK41" s="477"/>
      <c r="AL41" s="478"/>
      <c r="AM41" s="343"/>
      <c r="AN41" s="486"/>
      <c r="AO41" s="486">
        <v>82.43440490842751</v>
      </c>
      <c r="AP41" s="344"/>
      <c r="AQ41" s="347">
        <f t="shared" si="12"/>
        <v>104.73642748595616</v>
      </c>
    </row>
    <row r="42" spans="1:44" ht="12.75" customHeight="1">
      <c r="A42" s="481" t="s">
        <v>141</v>
      </c>
      <c r="B42" s="485" t="s">
        <v>142</v>
      </c>
      <c r="C42" s="337">
        <f t="shared" si="13"/>
        <v>0</v>
      </c>
      <c r="D42" s="345">
        <v>0</v>
      </c>
      <c r="E42" s="483"/>
      <c r="F42" s="483"/>
      <c r="G42" s="484"/>
      <c r="H42" s="341">
        <f t="shared" si="14"/>
        <v>0</v>
      </c>
      <c r="I42" s="342"/>
      <c r="J42" s="343"/>
      <c r="K42" s="343"/>
      <c r="L42" s="341">
        <f t="shared" si="15"/>
        <v>1.4122344991558</v>
      </c>
      <c r="M42" s="343"/>
      <c r="N42" s="343"/>
      <c r="O42" s="343"/>
      <c r="P42" s="478"/>
      <c r="Q42" s="483">
        <v>5.2113451218972866E-2</v>
      </c>
      <c r="R42" s="483"/>
      <c r="S42" s="483">
        <v>0</v>
      </c>
      <c r="T42" s="483">
        <v>0.94532699829364519</v>
      </c>
      <c r="U42" s="483">
        <v>0.41479404964318206</v>
      </c>
      <c r="V42" s="483">
        <v>0</v>
      </c>
      <c r="W42" s="483"/>
      <c r="X42" s="342"/>
      <c r="Y42" s="340"/>
      <c r="Z42" s="343"/>
      <c r="AA42" s="346">
        <v>0.27621869200133647</v>
      </c>
      <c r="AB42" s="344">
        <f t="shared" si="16"/>
        <v>0</v>
      </c>
      <c r="AC42" s="345"/>
      <c r="AD42" s="343"/>
      <c r="AE42" s="343"/>
      <c r="AF42" s="343"/>
      <c r="AG42" s="394"/>
      <c r="AH42" s="394"/>
      <c r="AI42" s="394"/>
      <c r="AJ42" s="394"/>
      <c r="AK42" s="442"/>
      <c r="AL42" s="438"/>
      <c r="AM42" s="343"/>
      <c r="AN42" s="443"/>
      <c r="AO42" s="346">
        <v>2.3309505553128043</v>
      </c>
      <c r="AP42" s="344"/>
      <c r="AQ42" s="347">
        <f t="shared" si="12"/>
        <v>4.0194037464699406</v>
      </c>
    </row>
    <row r="43" spans="1:44" ht="12.75" customHeight="1">
      <c r="A43" s="481" t="s">
        <v>143</v>
      </c>
      <c r="B43" s="485" t="s">
        <v>144</v>
      </c>
      <c r="C43" s="337">
        <f t="shared" si="13"/>
        <v>0</v>
      </c>
      <c r="D43" s="345">
        <v>0</v>
      </c>
      <c r="E43" s="483"/>
      <c r="F43" s="483"/>
      <c r="G43" s="484"/>
      <c r="H43" s="341">
        <f t="shared" si="14"/>
        <v>0</v>
      </c>
      <c r="I43" s="342"/>
      <c r="J43" s="343"/>
      <c r="K43" s="343">
        <v>0</v>
      </c>
      <c r="L43" s="341">
        <f t="shared" si="15"/>
        <v>12.337380211532542</v>
      </c>
      <c r="M43" s="343"/>
      <c r="N43" s="343"/>
      <c r="O43" s="343"/>
      <c r="P43" s="340"/>
      <c r="Q43" s="483">
        <v>0.75981411877262439</v>
      </c>
      <c r="R43" s="483"/>
      <c r="S43" s="483">
        <v>3.5064015839999998</v>
      </c>
      <c r="T43" s="483">
        <v>5.0528143196122066</v>
      </c>
      <c r="U43" s="483">
        <v>3.0183501891477129</v>
      </c>
      <c r="V43" s="483">
        <v>0</v>
      </c>
      <c r="W43" s="483"/>
      <c r="X43" s="342"/>
      <c r="Y43" s="340"/>
      <c r="Z43" s="343"/>
      <c r="AA43" s="346">
        <v>30.639525990213976</v>
      </c>
      <c r="AB43" s="344">
        <f t="shared" si="16"/>
        <v>0</v>
      </c>
      <c r="AC43" s="345"/>
      <c r="AD43" s="343"/>
      <c r="AE43" s="343"/>
      <c r="AF43" s="343"/>
      <c r="AG43" s="343"/>
      <c r="AH43" s="343"/>
      <c r="AI43" s="343"/>
      <c r="AJ43" s="343"/>
      <c r="AK43" s="342"/>
      <c r="AL43" s="340"/>
      <c r="AM43" s="343"/>
      <c r="AN43" s="346"/>
      <c r="AO43" s="346">
        <v>60.860582643186106</v>
      </c>
      <c r="AP43" s="344"/>
      <c r="AQ43" s="347">
        <f t="shared" si="12"/>
        <v>103.83748884493262</v>
      </c>
    </row>
    <row r="44" spans="1:44" ht="12.75" customHeight="1">
      <c r="A44" s="487" t="s">
        <v>179</v>
      </c>
      <c r="B44" s="488" t="s">
        <v>180</v>
      </c>
      <c r="C44" s="397">
        <f>SUM(D44:G44)</f>
        <v>0</v>
      </c>
      <c r="D44" s="403">
        <v>0</v>
      </c>
      <c r="E44" s="489"/>
      <c r="F44" s="489"/>
      <c r="G44" s="490"/>
      <c r="H44" s="401">
        <f>SUM(I44:K44)</f>
        <v>0</v>
      </c>
      <c r="I44" s="398"/>
      <c r="J44" s="399"/>
      <c r="K44" s="399"/>
      <c r="L44" s="401">
        <f>SUM(M44:Z44)</f>
        <v>56.406620071458157</v>
      </c>
      <c r="M44" s="399"/>
      <c r="N44" s="399"/>
      <c r="O44" s="399"/>
      <c r="P44" s="400"/>
      <c r="Q44" s="489">
        <v>0.78297467608184257</v>
      </c>
      <c r="R44" s="489"/>
      <c r="S44" s="489">
        <v>0</v>
      </c>
      <c r="T44" s="489">
        <v>0.51305418882585374</v>
      </c>
      <c r="U44" s="489">
        <v>55.11059120655046</v>
      </c>
      <c r="V44" s="489">
        <v>0</v>
      </c>
      <c r="W44" s="489"/>
      <c r="X44" s="398"/>
      <c r="Y44" s="400"/>
      <c r="Z44" s="399"/>
      <c r="AA44" s="404">
        <v>21.060783312766997</v>
      </c>
      <c r="AB44" s="402">
        <f>SUM(AC44:AM44)</f>
        <v>0</v>
      </c>
      <c r="AC44" s="403"/>
      <c r="AD44" s="399"/>
      <c r="AE44" s="399"/>
      <c r="AF44" s="399"/>
      <c r="AG44" s="399"/>
      <c r="AH44" s="399"/>
      <c r="AI44" s="399"/>
      <c r="AJ44" s="399"/>
      <c r="AK44" s="398"/>
      <c r="AL44" s="400"/>
      <c r="AM44" s="399"/>
      <c r="AN44" s="404"/>
      <c r="AO44" s="404">
        <v>26.674428646612967</v>
      </c>
      <c r="AP44" s="402"/>
      <c r="AQ44" s="405">
        <f>C44+H44+L44+AA44+AB44+AN44+AO44+AP44</f>
        <v>104.14183203083812</v>
      </c>
    </row>
    <row r="45" spans="1:44" s="369" customFormat="1" ht="12.75" customHeight="1">
      <c r="A45" s="406" t="s">
        <v>145</v>
      </c>
      <c r="B45" s="407"/>
      <c r="C45" s="491">
        <f t="shared" ref="C45:AP45" si="17">SUM(C46:C55)</f>
        <v>0</v>
      </c>
      <c r="D45" s="492">
        <f t="shared" si="17"/>
        <v>0</v>
      </c>
      <c r="E45" s="492">
        <f t="shared" si="17"/>
        <v>0</v>
      </c>
      <c r="F45" s="493">
        <f t="shared" si="17"/>
        <v>0</v>
      </c>
      <c r="G45" s="493">
        <f t="shared" si="17"/>
        <v>0</v>
      </c>
      <c r="H45" s="494">
        <f t="shared" si="17"/>
        <v>0</v>
      </c>
      <c r="I45" s="495">
        <f t="shared" si="17"/>
        <v>0</v>
      </c>
      <c r="J45" s="492">
        <f t="shared" si="17"/>
        <v>0</v>
      </c>
      <c r="K45" s="492">
        <f t="shared" si="17"/>
        <v>0</v>
      </c>
      <c r="L45" s="494">
        <f t="shared" si="17"/>
        <v>5015.4482399609806</v>
      </c>
      <c r="M45" s="492">
        <f t="shared" si="17"/>
        <v>0</v>
      </c>
      <c r="N45" s="492">
        <f>SUM(N46:N55)</f>
        <v>0</v>
      </c>
      <c r="O45" s="492">
        <f t="shared" si="17"/>
        <v>0</v>
      </c>
      <c r="P45" s="492">
        <f t="shared" si="17"/>
        <v>773.96735156819454</v>
      </c>
      <c r="Q45" s="492">
        <f t="shared" si="17"/>
        <v>0</v>
      </c>
      <c r="R45" s="492">
        <f t="shared" si="17"/>
        <v>1115.6537766794397</v>
      </c>
      <c r="S45" s="492">
        <f t="shared" si="17"/>
        <v>0</v>
      </c>
      <c r="T45" s="492">
        <f t="shared" si="17"/>
        <v>1.6291650130548303</v>
      </c>
      <c r="U45" s="492">
        <f>SUM(U46:U55)</f>
        <v>3124.1979467002907</v>
      </c>
      <c r="V45" s="492">
        <f t="shared" si="17"/>
        <v>0</v>
      </c>
      <c r="W45" s="493">
        <f t="shared" si="17"/>
        <v>0</v>
      </c>
      <c r="X45" s="493">
        <f t="shared" si="17"/>
        <v>0</v>
      </c>
      <c r="Y45" s="493">
        <f t="shared" si="17"/>
        <v>0</v>
      </c>
      <c r="Z45" s="492">
        <f t="shared" si="17"/>
        <v>0</v>
      </c>
      <c r="AA45" s="494">
        <f t="shared" si="17"/>
        <v>17.419296662833837</v>
      </c>
      <c r="AB45" s="496">
        <f t="shared" si="17"/>
        <v>188.08547944814396</v>
      </c>
      <c r="AC45" s="497">
        <f t="shared" si="17"/>
        <v>0</v>
      </c>
      <c r="AD45" s="492">
        <f t="shared" si="17"/>
        <v>0</v>
      </c>
      <c r="AE45" s="492">
        <f t="shared" si="17"/>
        <v>0</v>
      </c>
      <c r="AF45" s="492">
        <f>SUM(AF46:AF55)</f>
        <v>0</v>
      </c>
      <c r="AG45" s="492">
        <f t="shared" si="17"/>
        <v>0</v>
      </c>
      <c r="AH45" s="492">
        <f t="shared" si="17"/>
        <v>0</v>
      </c>
      <c r="AI45" s="492">
        <f t="shared" si="17"/>
        <v>161.89653003302399</v>
      </c>
      <c r="AJ45" s="492">
        <f>SUM(AJ46:AJ55)</f>
        <v>26.188949415119993</v>
      </c>
      <c r="AK45" s="495">
        <f t="shared" si="17"/>
        <v>0</v>
      </c>
      <c r="AL45" s="493">
        <f>SUM(AL46:AL55)</f>
        <v>0</v>
      </c>
      <c r="AM45" s="492">
        <f t="shared" si="17"/>
        <v>0</v>
      </c>
      <c r="AN45" s="494">
        <f t="shared" si="17"/>
        <v>0</v>
      </c>
      <c r="AO45" s="494">
        <f t="shared" si="17"/>
        <v>6.7632020119395344</v>
      </c>
      <c r="AP45" s="496">
        <f t="shared" si="17"/>
        <v>0</v>
      </c>
      <c r="AQ45" s="498">
        <f t="shared" si="12"/>
        <v>5227.7162180838977</v>
      </c>
      <c r="AR45" s="319"/>
    </row>
    <row r="46" spans="1:44" ht="12.75" customHeight="1">
      <c r="A46" s="499" t="s">
        <v>146</v>
      </c>
      <c r="B46" s="384"/>
      <c r="C46" s="385">
        <f t="shared" ref="C46:C64" si="18">SUM(D46:G46)</f>
        <v>0</v>
      </c>
      <c r="D46" s="500"/>
      <c r="E46" s="433"/>
      <c r="F46" s="388"/>
      <c r="G46" s="388"/>
      <c r="H46" s="389">
        <f t="shared" ref="H46:H64" si="19">SUM(I46:K46)</f>
        <v>0</v>
      </c>
      <c r="I46" s="386"/>
      <c r="J46" s="387"/>
      <c r="K46" s="387"/>
      <c r="L46" s="389">
        <f t="shared" ref="L46:L64" si="20">SUM(M46:Z46)</f>
        <v>746.19030606813203</v>
      </c>
      <c r="M46" s="387"/>
      <c r="N46" s="387"/>
      <c r="O46" s="387"/>
      <c r="P46" s="387"/>
      <c r="Q46" s="387"/>
      <c r="R46" s="387"/>
      <c r="S46" s="387"/>
      <c r="T46" s="387"/>
      <c r="U46" s="387">
        <v>746.19030606813203</v>
      </c>
      <c r="V46" s="387"/>
      <c r="W46" s="388"/>
      <c r="X46" s="388"/>
      <c r="Y46" s="388"/>
      <c r="Z46" s="387"/>
      <c r="AA46" s="392">
        <v>0.40482290195599996</v>
      </c>
      <c r="AB46" s="390">
        <f t="shared" ref="AB46:AB56" si="21">SUM(AC46:AM46)</f>
        <v>40.335548786782844</v>
      </c>
      <c r="AC46" s="391"/>
      <c r="AD46" s="387"/>
      <c r="AE46" s="387"/>
      <c r="AF46" s="387"/>
      <c r="AG46" s="387"/>
      <c r="AH46" s="387"/>
      <c r="AI46" s="387">
        <v>40.335548786782844</v>
      </c>
      <c r="AJ46" s="387">
        <v>0</v>
      </c>
      <c r="AK46" s="386"/>
      <c r="AL46" s="388"/>
      <c r="AM46" s="387"/>
      <c r="AN46" s="389"/>
      <c r="AO46" s="392"/>
      <c r="AP46" s="390"/>
      <c r="AQ46" s="417">
        <f t="shared" si="12"/>
        <v>786.93067775687086</v>
      </c>
    </row>
    <row r="47" spans="1:44" ht="12.75" customHeight="1">
      <c r="A47" s="471" t="s">
        <v>147</v>
      </c>
      <c r="B47" s="501"/>
      <c r="C47" s="337">
        <f t="shared" si="18"/>
        <v>0</v>
      </c>
      <c r="D47" s="502"/>
      <c r="E47" s="503"/>
      <c r="F47" s="478"/>
      <c r="G47" s="478"/>
      <c r="H47" s="341">
        <f t="shared" si="19"/>
        <v>0</v>
      </c>
      <c r="I47" s="477"/>
      <c r="J47" s="394"/>
      <c r="K47" s="394"/>
      <c r="L47" s="476">
        <f t="shared" si="20"/>
        <v>257.13107946795884</v>
      </c>
      <c r="M47" s="394"/>
      <c r="N47" s="394"/>
      <c r="O47" s="394"/>
      <c r="P47" s="394"/>
      <c r="Q47" s="394"/>
      <c r="R47" s="394"/>
      <c r="S47" s="394"/>
      <c r="T47" s="394"/>
      <c r="U47" s="394">
        <v>257.13107946795884</v>
      </c>
      <c r="V47" s="394"/>
      <c r="W47" s="478"/>
      <c r="X47" s="478"/>
      <c r="Y47" s="478"/>
      <c r="Z47" s="394"/>
      <c r="AA47" s="486"/>
      <c r="AB47" s="479">
        <f t="shared" si="21"/>
        <v>13.899300374361877</v>
      </c>
      <c r="AC47" s="480"/>
      <c r="AD47" s="394"/>
      <c r="AE47" s="394"/>
      <c r="AF47" s="394"/>
      <c r="AG47" s="394"/>
      <c r="AH47" s="394"/>
      <c r="AI47" s="394">
        <v>13.899300374361877</v>
      </c>
      <c r="AJ47" s="394">
        <v>0</v>
      </c>
      <c r="AK47" s="477"/>
      <c r="AL47" s="478"/>
      <c r="AM47" s="394"/>
      <c r="AN47" s="476"/>
      <c r="AO47" s="486"/>
      <c r="AP47" s="479"/>
      <c r="AQ47" s="393">
        <f t="shared" si="12"/>
        <v>271.03037984232071</v>
      </c>
    </row>
    <row r="48" spans="1:44" ht="12.75" customHeight="1">
      <c r="A48" s="481" t="s">
        <v>148</v>
      </c>
      <c r="B48" s="336"/>
      <c r="C48" s="337">
        <f t="shared" si="18"/>
        <v>0</v>
      </c>
      <c r="D48" s="338"/>
      <c r="E48" s="348"/>
      <c r="F48" s="340"/>
      <c r="G48" s="340"/>
      <c r="H48" s="341">
        <f t="shared" si="19"/>
        <v>0</v>
      </c>
      <c r="I48" s="342"/>
      <c r="J48" s="343"/>
      <c r="K48" s="343"/>
      <c r="L48" s="341">
        <f t="shared" si="20"/>
        <v>1978.0272383391764</v>
      </c>
      <c r="M48" s="343"/>
      <c r="N48" s="343"/>
      <c r="O48" s="343"/>
      <c r="P48" s="343">
        <v>621.76336065702787</v>
      </c>
      <c r="Q48" s="343"/>
      <c r="R48" s="343"/>
      <c r="S48" s="343"/>
      <c r="T48" s="343">
        <v>1.6291650130548303</v>
      </c>
      <c r="U48" s="343">
        <v>1354.6347126690937</v>
      </c>
      <c r="V48" s="343"/>
      <c r="W48" s="340"/>
      <c r="X48" s="340"/>
      <c r="Y48" s="340"/>
      <c r="Z48" s="343"/>
      <c r="AA48" s="346"/>
      <c r="AB48" s="344">
        <f t="shared" si="21"/>
        <v>94.28435109236456</v>
      </c>
      <c r="AC48" s="345"/>
      <c r="AD48" s="343"/>
      <c r="AE48" s="343"/>
      <c r="AF48" s="343"/>
      <c r="AG48" s="343"/>
      <c r="AH48" s="343"/>
      <c r="AI48" s="343">
        <v>73.225200189272911</v>
      </c>
      <c r="AJ48" s="343">
        <v>21.059150903091648</v>
      </c>
      <c r="AK48" s="342"/>
      <c r="AL48" s="340"/>
      <c r="AM48" s="343"/>
      <c r="AN48" s="341"/>
      <c r="AO48" s="346">
        <v>2.331271905939535</v>
      </c>
      <c r="AP48" s="344"/>
      <c r="AQ48" s="347">
        <f t="shared" si="12"/>
        <v>2074.6428613374806</v>
      </c>
    </row>
    <row r="49" spans="1:44" ht="12.75" customHeight="1">
      <c r="A49" s="481" t="s">
        <v>149</v>
      </c>
      <c r="B49" s="336"/>
      <c r="C49" s="337">
        <f t="shared" si="18"/>
        <v>0</v>
      </c>
      <c r="D49" s="338"/>
      <c r="E49" s="348"/>
      <c r="F49" s="340"/>
      <c r="G49" s="340"/>
      <c r="H49" s="341">
        <f t="shared" si="19"/>
        <v>0</v>
      </c>
      <c r="I49" s="342"/>
      <c r="J49" s="343"/>
      <c r="K49" s="343"/>
      <c r="L49" s="341">
        <f t="shared" si="20"/>
        <v>130.28414956817164</v>
      </c>
      <c r="M49" s="343"/>
      <c r="N49" s="343"/>
      <c r="O49" s="343"/>
      <c r="P49" s="343">
        <v>4.1163279810499223</v>
      </c>
      <c r="Q49" s="343"/>
      <c r="R49" s="343"/>
      <c r="S49" s="343"/>
      <c r="T49" s="343"/>
      <c r="U49" s="343">
        <v>126.16782158712172</v>
      </c>
      <c r="V49" s="343"/>
      <c r="W49" s="340"/>
      <c r="X49" s="340"/>
      <c r="Y49" s="340"/>
      <c r="Z49" s="343"/>
      <c r="AA49" s="346"/>
      <c r="AB49" s="344">
        <f t="shared" si="21"/>
        <v>6.9594609879778737</v>
      </c>
      <c r="AC49" s="345"/>
      <c r="AD49" s="343"/>
      <c r="AE49" s="343"/>
      <c r="AF49" s="343"/>
      <c r="AG49" s="343"/>
      <c r="AH49" s="343"/>
      <c r="AI49" s="343">
        <v>6.8200407879391545</v>
      </c>
      <c r="AJ49" s="343">
        <v>0.1394202000387188</v>
      </c>
      <c r="AK49" s="342"/>
      <c r="AL49" s="340"/>
      <c r="AM49" s="343"/>
      <c r="AN49" s="341"/>
      <c r="AO49" s="346"/>
      <c r="AP49" s="344"/>
      <c r="AQ49" s="347">
        <f t="shared" si="12"/>
        <v>137.24361055614952</v>
      </c>
    </row>
    <row r="50" spans="1:44" ht="12.75" customHeight="1">
      <c r="A50" s="481" t="s">
        <v>150</v>
      </c>
      <c r="B50" s="336"/>
      <c r="C50" s="337">
        <f t="shared" si="18"/>
        <v>0</v>
      </c>
      <c r="D50" s="338"/>
      <c r="E50" s="348"/>
      <c r="F50" s="340"/>
      <c r="G50" s="340"/>
      <c r="H50" s="341">
        <f t="shared" si="19"/>
        <v>0</v>
      </c>
      <c r="I50" s="342"/>
      <c r="J50" s="343"/>
      <c r="K50" s="343"/>
      <c r="L50" s="341">
        <f t="shared" si="20"/>
        <v>39.810128252916314</v>
      </c>
      <c r="M50" s="343"/>
      <c r="N50" s="343"/>
      <c r="O50" s="343"/>
      <c r="P50" s="343"/>
      <c r="Q50" s="343"/>
      <c r="R50" s="504"/>
      <c r="S50" s="343"/>
      <c r="T50" s="343"/>
      <c r="U50" s="343">
        <v>39.810128252916314</v>
      </c>
      <c r="V50" s="343"/>
      <c r="W50" s="340"/>
      <c r="X50" s="340"/>
      <c r="Y50" s="340"/>
      <c r="Z50" s="343"/>
      <c r="AA50" s="346"/>
      <c r="AB50" s="344">
        <f t="shared" si="21"/>
        <v>0</v>
      </c>
      <c r="AC50" s="345"/>
      <c r="AD50" s="343"/>
      <c r="AE50" s="343"/>
      <c r="AF50" s="343"/>
      <c r="AG50" s="343"/>
      <c r="AH50" s="343"/>
      <c r="AI50" s="343">
        <v>0</v>
      </c>
      <c r="AJ50" s="343"/>
      <c r="AK50" s="342"/>
      <c r="AL50" s="340"/>
      <c r="AM50" s="343"/>
      <c r="AN50" s="341"/>
      <c r="AO50" s="346">
        <v>4.4319301059999994</v>
      </c>
      <c r="AP50" s="344"/>
      <c r="AQ50" s="347">
        <f t="shared" si="12"/>
        <v>44.24205835891631</v>
      </c>
    </row>
    <row r="51" spans="1:44" ht="12.75" customHeight="1">
      <c r="A51" s="481" t="s">
        <v>151</v>
      </c>
      <c r="B51" s="336"/>
      <c r="C51" s="337">
        <f t="shared" si="18"/>
        <v>0</v>
      </c>
      <c r="D51" s="338"/>
      <c r="E51" s="348"/>
      <c r="F51" s="340"/>
      <c r="G51" s="340"/>
      <c r="H51" s="341">
        <f t="shared" si="19"/>
        <v>0</v>
      </c>
      <c r="I51" s="342"/>
      <c r="J51" s="343"/>
      <c r="K51" s="343"/>
      <c r="L51" s="341">
        <f t="shared" si="20"/>
        <v>5.9928633675724274</v>
      </c>
      <c r="M51" s="343"/>
      <c r="N51" s="343"/>
      <c r="O51" s="343"/>
      <c r="P51" s="343">
        <v>0.74865555555555552</v>
      </c>
      <c r="Q51" s="343"/>
      <c r="R51" s="343">
        <v>5.2442078120168718</v>
      </c>
      <c r="S51" s="343"/>
      <c r="T51" s="343"/>
      <c r="U51" s="343"/>
      <c r="V51" s="343"/>
      <c r="W51" s="340"/>
      <c r="X51" s="340"/>
      <c r="Y51" s="340"/>
      <c r="Z51" s="343"/>
      <c r="AA51" s="346"/>
      <c r="AB51" s="344">
        <f t="shared" si="21"/>
        <v>0</v>
      </c>
      <c r="AC51" s="345"/>
      <c r="AD51" s="343"/>
      <c r="AE51" s="343"/>
      <c r="AF51" s="343"/>
      <c r="AG51" s="343"/>
      <c r="AH51" s="343"/>
      <c r="AI51" s="343"/>
      <c r="AJ51" s="343"/>
      <c r="AK51" s="342"/>
      <c r="AL51" s="340"/>
      <c r="AM51" s="343"/>
      <c r="AN51" s="341"/>
      <c r="AO51" s="346"/>
      <c r="AP51" s="344"/>
      <c r="AQ51" s="347">
        <f t="shared" si="12"/>
        <v>5.9928633675724274</v>
      </c>
    </row>
    <row r="52" spans="1:44" ht="12.75" customHeight="1">
      <c r="A52" s="481" t="s">
        <v>152</v>
      </c>
      <c r="B52" s="485"/>
      <c r="C52" s="505">
        <f t="shared" si="18"/>
        <v>0</v>
      </c>
      <c r="D52" s="504"/>
      <c r="E52" s="504"/>
      <c r="F52" s="506"/>
      <c r="G52" s="506"/>
      <c r="H52" s="507">
        <f t="shared" si="19"/>
        <v>0</v>
      </c>
      <c r="I52" s="508"/>
      <c r="J52" s="504"/>
      <c r="K52" s="504"/>
      <c r="L52" s="507">
        <f t="shared" si="20"/>
        <v>1110.4095688674229</v>
      </c>
      <c r="M52" s="504"/>
      <c r="N52" s="504"/>
      <c r="O52" s="504"/>
      <c r="P52" s="394"/>
      <c r="Q52" s="504"/>
      <c r="R52" s="504">
        <v>1110.4095688674229</v>
      </c>
      <c r="S52" s="504"/>
      <c r="T52" s="504"/>
      <c r="U52" s="504"/>
      <c r="V52" s="504"/>
      <c r="W52" s="506"/>
      <c r="X52" s="506"/>
      <c r="Y52" s="506"/>
      <c r="Z52" s="504"/>
      <c r="AA52" s="486"/>
      <c r="AB52" s="509">
        <f t="shared" si="21"/>
        <v>0</v>
      </c>
      <c r="AC52" s="510"/>
      <c r="AD52" s="504"/>
      <c r="AE52" s="504"/>
      <c r="AF52" s="504"/>
      <c r="AG52" s="504"/>
      <c r="AH52" s="504"/>
      <c r="AI52" s="504"/>
      <c r="AJ52" s="504"/>
      <c r="AK52" s="477"/>
      <c r="AL52" s="478"/>
      <c r="AM52" s="504"/>
      <c r="AN52" s="486"/>
      <c r="AO52" s="486"/>
      <c r="AP52" s="509"/>
      <c r="AQ52" s="511">
        <f t="shared" si="12"/>
        <v>1110.4095688674229</v>
      </c>
    </row>
    <row r="53" spans="1:44" ht="12.75" customHeight="1">
      <c r="A53" s="481" t="s">
        <v>153</v>
      </c>
      <c r="B53" s="485"/>
      <c r="C53" s="505">
        <f t="shared" si="18"/>
        <v>0</v>
      </c>
      <c r="D53" s="508"/>
      <c r="E53" s="504"/>
      <c r="F53" s="506"/>
      <c r="G53" s="506"/>
      <c r="H53" s="507">
        <f t="shared" si="19"/>
        <v>0</v>
      </c>
      <c r="I53" s="508"/>
      <c r="J53" s="504"/>
      <c r="K53" s="504"/>
      <c r="L53" s="507">
        <f t="shared" si="20"/>
        <v>232.2327018195154</v>
      </c>
      <c r="M53" s="504"/>
      <c r="N53" s="504"/>
      <c r="O53" s="504"/>
      <c r="P53" s="504">
        <v>2.9709189177470781</v>
      </c>
      <c r="Q53" s="504"/>
      <c r="R53" s="504"/>
      <c r="S53" s="504"/>
      <c r="T53" s="504"/>
      <c r="U53" s="504">
        <v>229.26178290176833</v>
      </c>
      <c r="V53" s="504"/>
      <c r="W53" s="506"/>
      <c r="X53" s="506"/>
      <c r="Y53" s="506"/>
      <c r="Z53" s="504"/>
      <c r="AA53" s="486"/>
      <c r="AB53" s="509">
        <f t="shared" si="21"/>
        <v>12.493442038711274</v>
      </c>
      <c r="AC53" s="510"/>
      <c r="AD53" s="504"/>
      <c r="AE53" s="504"/>
      <c r="AF53" s="504"/>
      <c r="AG53" s="504"/>
      <c r="AH53" s="504"/>
      <c r="AI53" s="343">
        <v>12.392816891318265</v>
      </c>
      <c r="AJ53" s="343">
        <v>0.10062514739300804</v>
      </c>
      <c r="AK53" s="504"/>
      <c r="AL53" s="504"/>
      <c r="AM53" s="504"/>
      <c r="AN53" s="486"/>
      <c r="AO53" s="346"/>
      <c r="AP53" s="509"/>
      <c r="AQ53" s="511">
        <f t="shared" si="12"/>
        <v>244.72614385822666</v>
      </c>
    </row>
    <row r="54" spans="1:44" ht="12.75" customHeight="1">
      <c r="A54" s="335" t="s">
        <v>154</v>
      </c>
      <c r="B54" s="336"/>
      <c r="C54" s="505">
        <f t="shared" si="18"/>
        <v>0</v>
      </c>
      <c r="D54" s="508"/>
      <c r="E54" s="504"/>
      <c r="F54" s="506"/>
      <c r="G54" s="506"/>
      <c r="H54" s="507">
        <f t="shared" si="19"/>
        <v>0</v>
      </c>
      <c r="I54" s="508"/>
      <c r="J54" s="504"/>
      <c r="K54" s="504"/>
      <c r="L54" s="507">
        <f t="shared" si="20"/>
        <v>89.371637180087745</v>
      </c>
      <c r="M54" s="504"/>
      <c r="N54" s="504"/>
      <c r="O54" s="504"/>
      <c r="P54" s="504"/>
      <c r="Q54" s="504"/>
      <c r="R54" s="504"/>
      <c r="S54" s="504"/>
      <c r="T54" s="504"/>
      <c r="U54" s="504">
        <v>89.371637180087745</v>
      </c>
      <c r="V54" s="504"/>
      <c r="W54" s="506"/>
      <c r="X54" s="506"/>
      <c r="Y54" s="506"/>
      <c r="Z54" s="504"/>
      <c r="AA54" s="443"/>
      <c r="AB54" s="509">
        <f t="shared" si="21"/>
        <v>0</v>
      </c>
      <c r="AC54" s="510"/>
      <c r="AD54" s="504"/>
      <c r="AE54" s="504"/>
      <c r="AF54" s="504"/>
      <c r="AG54" s="504"/>
      <c r="AH54" s="504"/>
      <c r="AI54" s="504"/>
      <c r="AJ54" s="504"/>
      <c r="AK54" s="504"/>
      <c r="AL54" s="504"/>
      <c r="AM54" s="504"/>
      <c r="AN54" s="443"/>
      <c r="AO54" s="486"/>
      <c r="AP54" s="509"/>
      <c r="AQ54" s="511">
        <f t="shared" si="12"/>
        <v>89.371637180087745</v>
      </c>
    </row>
    <row r="55" spans="1:44" ht="12.75" customHeight="1">
      <c r="A55" s="395" t="s">
        <v>155</v>
      </c>
      <c r="B55" s="396"/>
      <c r="C55" s="397">
        <f t="shared" si="18"/>
        <v>0</v>
      </c>
      <c r="D55" s="512"/>
      <c r="E55" s="513"/>
      <c r="F55" s="400"/>
      <c r="G55" s="400"/>
      <c r="H55" s="401">
        <f t="shared" si="19"/>
        <v>0</v>
      </c>
      <c r="I55" s="398"/>
      <c r="J55" s="399"/>
      <c r="K55" s="399"/>
      <c r="L55" s="401">
        <f t="shared" si="20"/>
        <v>425.99856703002627</v>
      </c>
      <c r="M55" s="399"/>
      <c r="N55" s="399"/>
      <c r="O55" s="399"/>
      <c r="P55" s="399">
        <v>144.36808845681409</v>
      </c>
      <c r="Q55" s="399"/>
      <c r="R55" s="399"/>
      <c r="S55" s="399">
        <v>0</v>
      </c>
      <c r="T55" s="399"/>
      <c r="U55" s="399">
        <v>281.63047857321214</v>
      </c>
      <c r="V55" s="399"/>
      <c r="W55" s="400"/>
      <c r="X55" s="400"/>
      <c r="Y55" s="400"/>
      <c r="Z55" s="399"/>
      <c r="AA55" s="404">
        <v>17.014473760877838</v>
      </c>
      <c r="AB55" s="402">
        <f t="shared" si="21"/>
        <v>20.113376167945553</v>
      </c>
      <c r="AC55" s="403"/>
      <c r="AD55" s="399"/>
      <c r="AE55" s="399"/>
      <c r="AF55" s="399"/>
      <c r="AG55" s="399"/>
      <c r="AH55" s="399"/>
      <c r="AI55" s="399">
        <v>15.223623003348935</v>
      </c>
      <c r="AJ55" s="399">
        <v>4.8897531645966188</v>
      </c>
      <c r="AK55" s="398"/>
      <c r="AL55" s="400"/>
      <c r="AM55" s="399"/>
      <c r="AN55" s="401"/>
      <c r="AO55" s="404"/>
      <c r="AP55" s="402"/>
      <c r="AQ55" s="405">
        <f t="shared" si="12"/>
        <v>463.12641695884963</v>
      </c>
    </row>
    <row r="56" spans="1:44" s="369" customFormat="1" ht="12.75" customHeight="1">
      <c r="A56" s="514" t="s">
        <v>156</v>
      </c>
      <c r="B56" s="515"/>
      <c r="C56" s="516">
        <f t="shared" si="18"/>
        <v>175.19788788571586</v>
      </c>
      <c r="D56" s="517">
        <v>59.479959049012372</v>
      </c>
      <c r="E56" s="339">
        <v>110.328690579282</v>
      </c>
      <c r="F56" s="518"/>
      <c r="G56" s="518">
        <v>5.3892382574214936</v>
      </c>
      <c r="H56" s="519">
        <f t="shared" si="19"/>
        <v>183.49320499999999</v>
      </c>
      <c r="I56" s="517"/>
      <c r="J56" s="415">
        <v>127.70399999999999</v>
      </c>
      <c r="K56" s="415">
        <v>55.789205000000003</v>
      </c>
      <c r="L56" s="519">
        <f t="shared" si="20"/>
        <v>1163.8264538078647</v>
      </c>
      <c r="M56" s="415"/>
      <c r="N56" s="415"/>
      <c r="O56" s="415"/>
      <c r="P56" s="415">
        <v>0</v>
      </c>
      <c r="Q56" s="415">
        <v>827.19084599258292</v>
      </c>
      <c r="R56" s="415"/>
      <c r="S56" s="415">
        <v>0</v>
      </c>
      <c r="T56" s="415">
        <v>50.020612917840218</v>
      </c>
      <c r="U56" s="415">
        <v>284.57118282950091</v>
      </c>
      <c r="V56" s="415">
        <v>2.0438120679405563</v>
      </c>
      <c r="W56" s="518"/>
      <c r="X56" s="518"/>
      <c r="Y56" s="518"/>
      <c r="Z56" s="415"/>
      <c r="AA56" s="519">
        <v>591.35700114828694</v>
      </c>
      <c r="AB56" s="520">
        <f t="shared" si="21"/>
        <v>72.569305097689167</v>
      </c>
      <c r="AC56" s="521"/>
      <c r="AD56" s="415"/>
      <c r="AE56" s="415">
        <v>25.079784293637037</v>
      </c>
      <c r="AF56" s="415"/>
      <c r="AG56" s="415"/>
      <c r="AH56" s="415"/>
      <c r="AI56" s="415"/>
      <c r="AJ56" s="415"/>
      <c r="AK56" s="517"/>
      <c r="AL56" s="518">
        <v>13.524083223013008</v>
      </c>
      <c r="AM56" s="415">
        <v>33.965437581039126</v>
      </c>
      <c r="AN56" s="519"/>
      <c r="AO56" s="519">
        <v>699.43373673658175</v>
      </c>
      <c r="AP56" s="520"/>
      <c r="AQ56" s="416">
        <f t="shared" si="12"/>
        <v>2885.877589676139</v>
      </c>
      <c r="AR56" s="319"/>
    </row>
    <row r="57" spans="1:44" s="369" customFormat="1" ht="12.75" customHeight="1">
      <c r="A57" s="514" t="s">
        <v>181</v>
      </c>
      <c r="B57" s="515"/>
      <c r="C57" s="516">
        <f>C58+C65</f>
        <v>0.53991879699248124</v>
      </c>
      <c r="D57" s="415">
        <f t="shared" ref="D57:AP57" si="22">D58+D65</f>
        <v>0.53991879699248124</v>
      </c>
      <c r="E57" s="415">
        <f t="shared" si="22"/>
        <v>0</v>
      </c>
      <c r="F57" s="518">
        <f t="shared" si="22"/>
        <v>0</v>
      </c>
      <c r="G57" s="518">
        <f t="shared" si="22"/>
        <v>0</v>
      </c>
      <c r="H57" s="519">
        <f t="shared" si="22"/>
        <v>0</v>
      </c>
      <c r="I57" s="517">
        <f t="shared" si="22"/>
        <v>0</v>
      </c>
      <c r="J57" s="517">
        <f t="shared" si="22"/>
        <v>0</v>
      </c>
      <c r="K57" s="517">
        <f t="shared" si="22"/>
        <v>0</v>
      </c>
      <c r="L57" s="519">
        <f t="shared" si="22"/>
        <v>264.97391472523577</v>
      </c>
      <c r="M57" s="415">
        <f t="shared" si="22"/>
        <v>0</v>
      </c>
      <c r="N57" s="415">
        <f t="shared" si="22"/>
        <v>0</v>
      </c>
      <c r="O57" s="415">
        <f t="shared" si="22"/>
        <v>0</v>
      </c>
      <c r="P57" s="415">
        <f t="shared" si="22"/>
        <v>0</v>
      </c>
      <c r="Q57" s="415">
        <f t="shared" si="22"/>
        <v>73.762565177515796</v>
      </c>
      <c r="R57" s="415">
        <f t="shared" si="22"/>
        <v>0</v>
      </c>
      <c r="S57" s="415">
        <f t="shared" si="22"/>
        <v>0.2093031229578676</v>
      </c>
      <c r="T57" s="415">
        <f t="shared" si="22"/>
        <v>71.366850891255126</v>
      </c>
      <c r="U57" s="415">
        <f t="shared" si="22"/>
        <v>119.63476519999348</v>
      </c>
      <c r="V57" s="415">
        <f t="shared" si="22"/>
        <v>4.3033351350530596E-4</v>
      </c>
      <c r="W57" s="518">
        <f t="shared" si="22"/>
        <v>0</v>
      </c>
      <c r="X57" s="518">
        <f t="shared" si="22"/>
        <v>0</v>
      </c>
      <c r="Y57" s="518">
        <f t="shared" si="22"/>
        <v>0</v>
      </c>
      <c r="Z57" s="517">
        <f t="shared" si="22"/>
        <v>0</v>
      </c>
      <c r="AA57" s="519">
        <f t="shared" si="22"/>
        <v>405.98376958095957</v>
      </c>
      <c r="AB57" s="520">
        <f t="shared" si="22"/>
        <v>38.795914914011171</v>
      </c>
      <c r="AC57" s="521">
        <f t="shared" si="22"/>
        <v>0</v>
      </c>
      <c r="AD57" s="415">
        <f t="shared" si="22"/>
        <v>0</v>
      </c>
      <c r="AE57" s="415">
        <f t="shared" si="22"/>
        <v>14.007063273767999</v>
      </c>
      <c r="AF57" s="415">
        <f t="shared" si="22"/>
        <v>0</v>
      </c>
      <c r="AG57" s="415">
        <f t="shared" si="22"/>
        <v>0</v>
      </c>
      <c r="AH57" s="415">
        <f t="shared" si="22"/>
        <v>8.2846066864105925</v>
      </c>
      <c r="AI57" s="415">
        <f t="shared" si="22"/>
        <v>0</v>
      </c>
      <c r="AJ57" s="415">
        <f t="shared" si="22"/>
        <v>0</v>
      </c>
      <c r="AK57" s="415">
        <f t="shared" si="22"/>
        <v>0</v>
      </c>
      <c r="AL57" s="415">
        <f t="shared" si="22"/>
        <v>0.16649466165720572</v>
      </c>
      <c r="AM57" s="517">
        <f t="shared" si="22"/>
        <v>16.337750292175372</v>
      </c>
      <c r="AN57" s="519">
        <f t="shared" si="22"/>
        <v>0</v>
      </c>
      <c r="AO57" s="519">
        <f t="shared" si="22"/>
        <v>1049.8430722325502</v>
      </c>
      <c r="AP57" s="520">
        <f t="shared" si="22"/>
        <v>0</v>
      </c>
      <c r="AQ57" s="522">
        <f t="shared" si="12"/>
        <v>1760.1365902497491</v>
      </c>
      <c r="AR57" s="319"/>
    </row>
    <row r="58" spans="1:44" s="369" customFormat="1" ht="12.75" customHeight="1">
      <c r="A58" s="514" t="s">
        <v>182</v>
      </c>
      <c r="B58" s="515"/>
      <c r="C58" s="516">
        <f t="shared" si="18"/>
        <v>0.53991879699248124</v>
      </c>
      <c r="D58" s="521">
        <v>0.53991879699248124</v>
      </c>
      <c r="E58" s="520">
        <v>0</v>
      </c>
      <c r="F58" s="520">
        <f>SUM(F59:F64)</f>
        <v>0</v>
      </c>
      <c r="G58" s="523">
        <v>0</v>
      </c>
      <c r="H58" s="519">
        <f t="shared" si="19"/>
        <v>0</v>
      </c>
      <c r="I58" s="517">
        <f>SUM(I59:I64)</f>
        <v>0</v>
      </c>
      <c r="J58" s="517">
        <f>SUM(J59:J64)</f>
        <v>0</v>
      </c>
      <c r="K58" s="517">
        <f>SUM(K59:K64)</f>
        <v>0</v>
      </c>
      <c r="L58" s="519">
        <f t="shared" si="20"/>
        <v>124.73371811171941</v>
      </c>
      <c r="M58" s="415">
        <f t="shared" ref="M58:AJ58" si="23">SUM(M59:M64)</f>
        <v>0</v>
      </c>
      <c r="N58" s="518">
        <f t="shared" si="23"/>
        <v>0</v>
      </c>
      <c r="O58" s="518">
        <f t="shared" si="23"/>
        <v>0</v>
      </c>
      <c r="P58" s="520">
        <f t="shared" si="23"/>
        <v>0</v>
      </c>
      <c r="Q58" s="520">
        <v>25.845127994811673</v>
      </c>
      <c r="R58" s="520">
        <f t="shared" si="23"/>
        <v>0</v>
      </c>
      <c r="S58" s="520">
        <v>0</v>
      </c>
      <c r="T58" s="520">
        <v>54.906062833138172</v>
      </c>
      <c r="U58" s="520">
        <v>43.982096950256064</v>
      </c>
      <c r="V58" s="520">
        <f t="shared" si="23"/>
        <v>4.3033351350530596E-4</v>
      </c>
      <c r="W58" s="520">
        <f t="shared" si="23"/>
        <v>0</v>
      </c>
      <c r="X58" s="520">
        <f t="shared" si="23"/>
        <v>0</v>
      </c>
      <c r="Y58" s="518">
        <f t="shared" si="23"/>
        <v>0</v>
      </c>
      <c r="Z58" s="517">
        <f t="shared" si="23"/>
        <v>0</v>
      </c>
      <c r="AA58" s="519">
        <v>209.90221509565404</v>
      </c>
      <c r="AB58" s="520">
        <f t="shared" ref="AB58:AB71" si="24">SUM(AC58:AM58)</f>
        <v>23.439051921590661</v>
      </c>
      <c r="AC58" s="521">
        <f t="shared" si="23"/>
        <v>0</v>
      </c>
      <c r="AD58" s="415">
        <f t="shared" si="23"/>
        <v>0</v>
      </c>
      <c r="AE58" s="415">
        <f t="shared" si="23"/>
        <v>4.0880392133580816</v>
      </c>
      <c r="AF58" s="415"/>
      <c r="AG58" s="415">
        <f t="shared" si="23"/>
        <v>0</v>
      </c>
      <c r="AH58" s="415">
        <f t="shared" si="23"/>
        <v>2.8467677544000001</v>
      </c>
      <c r="AI58" s="415">
        <f t="shared" si="23"/>
        <v>0</v>
      </c>
      <c r="AJ58" s="415">
        <f t="shared" si="23"/>
        <v>0</v>
      </c>
      <c r="AK58" s="415"/>
      <c r="AL58" s="415">
        <v>0.16649466165720572</v>
      </c>
      <c r="AM58" s="518">
        <v>16.337750292175372</v>
      </c>
      <c r="AN58" s="519">
        <f>SUM(AN59:AN64)</f>
        <v>0</v>
      </c>
      <c r="AO58" s="519">
        <v>704.96262707503888</v>
      </c>
      <c r="AP58" s="520">
        <f>SUM(AP59:AP64)</f>
        <v>0</v>
      </c>
      <c r="AQ58" s="522">
        <f t="shared" si="12"/>
        <v>1063.5775310009954</v>
      </c>
      <c r="AR58" s="319"/>
    </row>
    <row r="59" spans="1:44" s="369" customFormat="1" ht="12.75" customHeight="1">
      <c r="A59" s="524" t="s">
        <v>183</v>
      </c>
      <c r="B59" s="525" t="s">
        <v>184</v>
      </c>
      <c r="C59" s="385">
        <f t="shared" si="18"/>
        <v>9.9984962406015031E-3</v>
      </c>
      <c r="D59" s="526">
        <v>9.9984962406015031E-3</v>
      </c>
      <c r="E59" s="390"/>
      <c r="F59" s="390"/>
      <c r="G59" s="431"/>
      <c r="H59" s="389">
        <f t="shared" si="19"/>
        <v>0</v>
      </c>
      <c r="I59" s="500"/>
      <c r="J59" s="500"/>
      <c r="K59" s="500"/>
      <c r="L59" s="389">
        <f t="shared" si="20"/>
        <v>32.702021373912302</v>
      </c>
      <c r="M59" s="433"/>
      <c r="N59" s="527"/>
      <c r="O59" s="527"/>
      <c r="P59" s="390"/>
      <c r="Q59" s="528">
        <v>8.0363678922209427</v>
      </c>
      <c r="R59" s="390"/>
      <c r="S59" s="528">
        <v>0</v>
      </c>
      <c r="T59" s="528">
        <v>15.46208626067247</v>
      </c>
      <c r="U59" s="528">
        <v>9.2035672210188899</v>
      </c>
      <c r="V59" s="528">
        <v>0</v>
      </c>
      <c r="W59" s="390"/>
      <c r="X59" s="390"/>
      <c r="Y59" s="527"/>
      <c r="Z59" s="500"/>
      <c r="AA59" s="529">
        <v>58.732134087983702</v>
      </c>
      <c r="AB59" s="390">
        <f t="shared" si="24"/>
        <v>0.97647256277681327</v>
      </c>
      <c r="AC59" s="530"/>
      <c r="AD59" s="433"/>
      <c r="AE59" s="531">
        <v>0.97647256277681327</v>
      </c>
      <c r="AF59" s="531"/>
      <c r="AG59" s="531"/>
      <c r="AH59" s="531">
        <v>0</v>
      </c>
      <c r="AI59" s="531"/>
      <c r="AJ59" s="531"/>
      <c r="AK59" s="531"/>
      <c r="AL59" s="531">
        <v>0</v>
      </c>
      <c r="AM59" s="532">
        <v>0</v>
      </c>
      <c r="AN59" s="389"/>
      <c r="AO59" s="529">
        <v>234.22667882991774</v>
      </c>
      <c r="AP59" s="390"/>
      <c r="AQ59" s="533">
        <f t="shared" si="12"/>
        <v>326.64730535083118</v>
      </c>
      <c r="AR59" s="319"/>
    </row>
    <row r="60" spans="1:44" s="369" customFormat="1" ht="12.75" customHeight="1">
      <c r="A60" s="524" t="s">
        <v>185</v>
      </c>
      <c r="B60" s="525" t="s">
        <v>186</v>
      </c>
      <c r="C60" s="337">
        <f t="shared" si="18"/>
        <v>1.0998345864661654E-2</v>
      </c>
      <c r="D60" s="526">
        <v>1.0998345864661654E-2</v>
      </c>
      <c r="E60" s="344"/>
      <c r="F60" s="344"/>
      <c r="G60" s="534"/>
      <c r="H60" s="341">
        <f t="shared" si="19"/>
        <v>0</v>
      </c>
      <c r="I60" s="338"/>
      <c r="J60" s="338"/>
      <c r="K60" s="338"/>
      <c r="L60" s="341">
        <f t="shared" si="20"/>
        <v>24.285163756547337</v>
      </c>
      <c r="M60" s="348"/>
      <c r="N60" s="339"/>
      <c r="O60" s="339"/>
      <c r="P60" s="344"/>
      <c r="Q60" s="528">
        <v>5.3600410406553074</v>
      </c>
      <c r="R60" s="344"/>
      <c r="S60" s="528">
        <v>0</v>
      </c>
      <c r="T60" s="528">
        <v>5.5213264454917415</v>
      </c>
      <c r="U60" s="528">
        <v>13.403796270400289</v>
      </c>
      <c r="V60" s="528">
        <v>0</v>
      </c>
      <c r="W60" s="344"/>
      <c r="X60" s="344"/>
      <c r="Y60" s="339"/>
      <c r="Z60" s="338"/>
      <c r="AA60" s="529">
        <v>17.432900828985755</v>
      </c>
      <c r="AB60" s="344">
        <f t="shared" si="24"/>
        <v>5.1808232857824016E-2</v>
      </c>
      <c r="AC60" s="535"/>
      <c r="AD60" s="348"/>
      <c r="AE60" s="536">
        <v>5.1808232857824016E-2</v>
      </c>
      <c r="AF60" s="536"/>
      <c r="AG60" s="536"/>
      <c r="AH60" s="536">
        <v>0</v>
      </c>
      <c r="AI60" s="536"/>
      <c r="AJ60" s="536"/>
      <c r="AK60" s="536"/>
      <c r="AL60" s="536">
        <v>0</v>
      </c>
      <c r="AM60" s="537">
        <v>0</v>
      </c>
      <c r="AN60" s="341"/>
      <c r="AO60" s="529">
        <v>71.927981601964774</v>
      </c>
      <c r="AP60" s="344"/>
      <c r="AQ60" s="538">
        <f t="shared" si="12"/>
        <v>113.70885276622035</v>
      </c>
      <c r="AR60" s="319"/>
    </row>
    <row r="61" spans="1:44" s="369" customFormat="1" ht="12.75" customHeight="1">
      <c r="A61" s="524" t="s">
        <v>187</v>
      </c>
      <c r="B61" s="525" t="s">
        <v>188</v>
      </c>
      <c r="C61" s="337">
        <f t="shared" si="18"/>
        <v>0.48392721804511274</v>
      </c>
      <c r="D61" s="526">
        <v>0.48392721804511274</v>
      </c>
      <c r="E61" s="344"/>
      <c r="F61" s="344"/>
      <c r="G61" s="534"/>
      <c r="H61" s="341">
        <f t="shared" si="19"/>
        <v>0</v>
      </c>
      <c r="I61" s="338"/>
      <c r="J61" s="338"/>
      <c r="K61" s="338"/>
      <c r="L61" s="341">
        <f t="shared" si="20"/>
        <v>31.799886922866026</v>
      </c>
      <c r="M61" s="348"/>
      <c r="N61" s="339"/>
      <c r="O61" s="339"/>
      <c r="P61" s="344"/>
      <c r="Q61" s="528">
        <v>4.9843421608613943</v>
      </c>
      <c r="R61" s="344"/>
      <c r="S61" s="528">
        <v>0</v>
      </c>
      <c r="T61" s="528">
        <v>19.656159367280157</v>
      </c>
      <c r="U61" s="528">
        <v>7.1593853947244739</v>
      </c>
      <c r="V61" s="528">
        <v>0</v>
      </c>
      <c r="W61" s="344"/>
      <c r="X61" s="344"/>
      <c r="Y61" s="339"/>
      <c r="Z61" s="338"/>
      <c r="AA61" s="529">
        <v>37.921714088493339</v>
      </c>
      <c r="AB61" s="344">
        <f t="shared" si="24"/>
        <v>1.6297068031580728</v>
      </c>
      <c r="AC61" s="535"/>
      <c r="AD61" s="348"/>
      <c r="AE61" s="536">
        <v>1.6297068031580728</v>
      </c>
      <c r="AF61" s="536"/>
      <c r="AG61" s="536"/>
      <c r="AH61" s="536">
        <v>0</v>
      </c>
      <c r="AI61" s="536"/>
      <c r="AJ61" s="536"/>
      <c r="AK61" s="536"/>
      <c r="AL61" s="536">
        <v>0</v>
      </c>
      <c r="AM61" s="537">
        <v>0</v>
      </c>
      <c r="AN61" s="341"/>
      <c r="AO61" s="529">
        <v>90.521950441346107</v>
      </c>
      <c r="AP61" s="344"/>
      <c r="AQ61" s="538">
        <f t="shared" si="12"/>
        <v>162.35718547390866</v>
      </c>
      <c r="AR61" s="319"/>
    </row>
    <row r="62" spans="1:44" s="369" customFormat="1" ht="12.75" customHeight="1">
      <c r="A62" s="524" t="s">
        <v>189</v>
      </c>
      <c r="B62" s="525" t="s">
        <v>190</v>
      </c>
      <c r="C62" s="337">
        <f t="shared" si="18"/>
        <v>0</v>
      </c>
      <c r="D62" s="526">
        <v>0</v>
      </c>
      <c r="E62" s="344"/>
      <c r="F62" s="344"/>
      <c r="G62" s="534"/>
      <c r="H62" s="341">
        <f t="shared" si="19"/>
        <v>0</v>
      </c>
      <c r="I62" s="338"/>
      <c r="J62" s="338"/>
      <c r="K62" s="338"/>
      <c r="L62" s="341">
        <f t="shared" si="20"/>
        <v>5.4807090636471258</v>
      </c>
      <c r="M62" s="348"/>
      <c r="N62" s="339"/>
      <c r="O62" s="339"/>
      <c r="P62" s="344"/>
      <c r="Q62" s="528">
        <v>1.5618942193679572</v>
      </c>
      <c r="R62" s="344"/>
      <c r="S62" s="528">
        <v>0</v>
      </c>
      <c r="T62" s="528">
        <v>1.6783409066317541</v>
      </c>
      <c r="U62" s="528">
        <v>2.240473937647415</v>
      </c>
      <c r="V62" s="528">
        <v>0</v>
      </c>
      <c r="W62" s="344"/>
      <c r="X62" s="344"/>
      <c r="Y62" s="339"/>
      <c r="Z62" s="338"/>
      <c r="AA62" s="529">
        <v>9.9996353709967369</v>
      </c>
      <c r="AB62" s="344">
        <f t="shared" si="24"/>
        <v>2.9282914223987488E-2</v>
      </c>
      <c r="AC62" s="535"/>
      <c r="AD62" s="348"/>
      <c r="AE62" s="536">
        <v>2.9282914223987488E-2</v>
      </c>
      <c r="AF62" s="536"/>
      <c r="AG62" s="536"/>
      <c r="AH62" s="536">
        <v>0</v>
      </c>
      <c r="AI62" s="536"/>
      <c r="AJ62" s="536"/>
      <c r="AK62" s="536"/>
      <c r="AL62" s="536">
        <v>0</v>
      </c>
      <c r="AM62" s="537">
        <v>0</v>
      </c>
      <c r="AN62" s="341"/>
      <c r="AO62" s="529">
        <v>173.24475662557239</v>
      </c>
      <c r="AP62" s="344"/>
      <c r="AQ62" s="538">
        <f t="shared" si="12"/>
        <v>188.75438397444023</v>
      </c>
      <c r="AR62" s="319"/>
    </row>
    <row r="63" spans="1:44" s="369" customFormat="1" ht="12.75" customHeight="1">
      <c r="A63" s="524" t="s">
        <v>191</v>
      </c>
      <c r="B63" s="525" t="s">
        <v>192</v>
      </c>
      <c r="C63" s="337">
        <f t="shared" si="18"/>
        <v>3.4994736842105266E-2</v>
      </c>
      <c r="D63" s="539">
        <v>3.4994736842105266E-2</v>
      </c>
      <c r="E63" s="344"/>
      <c r="F63" s="344"/>
      <c r="G63" s="534"/>
      <c r="H63" s="341">
        <f t="shared" si="19"/>
        <v>0</v>
      </c>
      <c r="I63" s="338"/>
      <c r="J63" s="338"/>
      <c r="K63" s="338"/>
      <c r="L63" s="341">
        <f t="shared" si="20"/>
        <v>2.6063609952239282</v>
      </c>
      <c r="M63" s="348"/>
      <c r="N63" s="339"/>
      <c r="O63" s="339"/>
      <c r="P63" s="344"/>
      <c r="Q63" s="540">
        <v>0.92341719050470461</v>
      </c>
      <c r="R63" s="344"/>
      <c r="S63" s="540">
        <v>0</v>
      </c>
      <c r="T63" s="540">
        <v>0.18859095699961051</v>
      </c>
      <c r="U63" s="540">
        <v>1.4943528477196131</v>
      </c>
      <c r="V63" s="540">
        <v>0</v>
      </c>
      <c r="W63" s="344"/>
      <c r="X63" s="344"/>
      <c r="Y63" s="339"/>
      <c r="Z63" s="338"/>
      <c r="AA63" s="541">
        <v>15.653040947427847</v>
      </c>
      <c r="AB63" s="344">
        <f t="shared" si="24"/>
        <v>0</v>
      </c>
      <c r="AC63" s="535"/>
      <c r="AD63" s="348"/>
      <c r="AE63" s="536">
        <v>0</v>
      </c>
      <c r="AF63" s="536"/>
      <c r="AG63" s="536"/>
      <c r="AH63" s="536">
        <v>0</v>
      </c>
      <c r="AI63" s="536"/>
      <c r="AJ63" s="536"/>
      <c r="AK63" s="536"/>
      <c r="AL63" s="536">
        <v>0</v>
      </c>
      <c r="AM63" s="537">
        <v>0</v>
      </c>
      <c r="AN63" s="341"/>
      <c r="AO63" s="541">
        <v>38.716992003805622</v>
      </c>
      <c r="AP63" s="344"/>
      <c r="AQ63" s="538">
        <f t="shared" si="12"/>
        <v>57.011388683299501</v>
      </c>
      <c r="AR63" s="319"/>
    </row>
    <row r="64" spans="1:44" ht="12.75" customHeight="1">
      <c r="A64" s="542" t="s">
        <v>193</v>
      </c>
      <c r="B64" s="543"/>
      <c r="C64" s="397">
        <f t="shared" si="18"/>
        <v>0</v>
      </c>
      <c r="D64" s="539">
        <v>0</v>
      </c>
      <c r="E64" s="402"/>
      <c r="F64" s="402"/>
      <c r="G64" s="544"/>
      <c r="H64" s="401">
        <f t="shared" si="19"/>
        <v>0</v>
      </c>
      <c r="I64" s="512"/>
      <c r="J64" s="512"/>
      <c r="K64" s="512"/>
      <c r="L64" s="401">
        <f t="shared" si="20"/>
        <v>27.859575999522708</v>
      </c>
      <c r="M64" s="513"/>
      <c r="N64" s="545"/>
      <c r="O64" s="545"/>
      <c r="P64" s="402"/>
      <c r="Q64" s="540">
        <v>4.979065491201367</v>
      </c>
      <c r="R64" s="402"/>
      <c r="S64" s="540">
        <v>0</v>
      </c>
      <c r="T64" s="540">
        <v>12.399558896062443</v>
      </c>
      <c r="U64" s="540">
        <v>10.480521278745393</v>
      </c>
      <c r="V64" s="540">
        <v>4.3033351350530596E-4</v>
      </c>
      <c r="W64" s="402"/>
      <c r="X64" s="402"/>
      <c r="Y64" s="545"/>
      <c r="Z64" s="512"/>
      <c r="AA64" s="541">
        <v>70.162789771766697</v>
      </c>
      <c r="AB64" s="402">
        <f t="shared" si="24"/>
        <v>20.751781408573962</v>
      </c>
      <c r="AC64" s="546"/>
      <c r="AD64" s="513"/>
      <c r="AE64" s="547">
        <v>1.4007687003413845</v>
      </c>
      <c r="AF64" s="547"/>
      <c r="AG64" s="547"/>
      <c r="AH64" s="547">
        <v>2.8467677544000001</v>
      </c>
      <c r="AI64" s="547"/>
      <c r="AJ64" s="547"/>
      <c r="AK64" s="547"/>
      <c r="AL64" s="547">
        <v>0.16649466165720572</v>
      </c>
      <c r="AM64" s="548">
        <v>16.337750292175372</v>
      </c>
      <c r="AN64" s="401"/>
      <c r="AO64" s="541">
        <v>96.324267572432177</v>
      </c>
      <c r="AP64" s="402"/>
      <c r="AQ64" s="549">
        <f t="shared" si="12"/>
        <v>215.09841475229553</v>
      </c>
    </row>
    <row r="65" spans="1:44" ht="12.75" customHeight="1">
      <c r="A65" s="514" t="s">
        <v>194</v>
      </c>
      <c r="B65" s="515"/>
      <c r="C65" s="397">
        <f t="shared" ref="C65:C71" si="25">SUM(D65:G65)</f>
        <v>0</v>
      </c>
      <c r="D65" s="521">
        <f>SUM(D66:D69)</f>
        <v>0</v>
      </c>
      <c r="E65" s="489"/>
      <c r="F65" s="489"/>
      <c r="G65" s="490"/>
      <c r="H65" s="401">
        <f t="shared" ref="H65:H71" si="26">SUM(I65:K65)</f>
        <v>0</v>
      </c>
      <c r="I65" s="398"/>
      <c r="J65" s="399">
        <v>0</v>
      </c>
      <c r="K65" s="399">
        <v>0</v>
      </c>
      <c r="L65" s="401">
        <f t="shared" ref="L65:L71" si="27">SUM(M65:Z65)</f>
        <v>140.24019661351636</v>
      </c>
      <c r="M65" s="399"/>
      <c r="N65" s="400"/>
      <c r="O65" s="400"/>
      <c r="P65" s="489"/>
      <c r="Q65" s="520">
        <v>47.917437182704127</v>
      </c>
      <c r="R65" s="489"/>
      <c r="S65" s="520">
        <v>0.2093031229578676</v>
      </c>
      <c r="T65" s="520">
        <v>16.46078805811695</v>
      </c>
      <c r="U65" s="520">
        <v>75.652668249737417</v>
      </c>
      <c r="V65" s="520">
        <f>SUM(V66:V69)</f>
        <v>0</v>
      </c>
      <c r="W65" s="489"/>
      <c r="X65" s="489"/>
      <c r="Y65" s="400"/>
      <c r="Z65" s="399"/>
      <c r="AA65" s="519">
        <v>196.08155448530553</v>
      </c>
      <c r="AB65" s="402">
        <f t="shared" si="24"/>
        <v>15.35686299242051</v>
      </c>
      <c r="AC65" s="403"/>
      <c r="AD65" s="399"/>
      <c r="AE65" s="399">
        <f>SUM(AE66:AE69)</f>
        <v>9.9190240604099174</v>
      </c>
      <c r="AF65" s="399"/>
      <c r="AG65" s="399"/>
      <c r="AH65" s="399">
        <v>5.4378389320105924</v>
      </c>
      <c r="AI65" s="399"/>
      <c r="AJ65" s="399"/>
      <c r="AK65" s="399"/>
      <c r="AL65" s="399"/>
      <c r="AM65" s="400"/>
      <c r="AN65" s="401"/>
      <c r="AO65" s="519">
        <v>344.8804451575113</v>
      </c>
      <c r="AP65" s="402"/>
      <c r="AQ65" s="550">
        <f t="shared" si="12"/>
        <v>696.55905924875378</v>
      </c>
    </row>
    <row r="66" spans="1:44" ht="12.75" customHeight="1">
      <c r="A66" s="551" t="s">
        <v>195</v>
      </c>
      <c r="B66" s="552" t="s">
        <v>196</v>
      </c>
      <c r="C66" s="385">
        <f t="shared" si="25"/>
        <v>0</v>
      </c>
      <c r="D66" s="553">
        <v>0</v>
      </c>
      <c r="E66" s="434"/>
      <c r="F66" s="434"/>
      <c r="G66" s="554"/>
      <c r="H66" s="389">
        <f t="shared" si="26"/>
        <v>0</v>
      </c>
      <c r="I66" s="555"/>
      <c r="J66" s="387"/>
      <c r="K66" s="556"/>
      <c r="L66" s="389">
        <f t="shared" si="27"/>
        <v>10.907997094955878</v>
      </c>
      <c r="M66" s="555"/>
      <c r="N66" s="434"/>
      <c r="O66" s="388"/>
      <c r="P66" s="434"/>
      <c r="Q66" s="557">
        <v>0.25328014368129043</v>
      </c>
      <c r="R66" s="434"/>
      <c r="S66" s="557">
        <v>0.10188873959927777</v>
      </c>
      <c r="T66" s="557">
        <v>1.0769848361990337</v>
      </c>
      <c r="U66" s="557">
        <v>9.4758433754762752</v>
      </c>
      <c r="V66" s="557">
        <v>0</v>
      </c>
      <c r="W66" s="434"/>
      <c r="X66" s="434"/>
      <c r="Y66" s="388"/>
      <c r="Z66" s="387"/>
      <c r="AA66" s="558">
        <v>8.6198387123609539</v>
      </c>
      <c r="AB66" s="390">
        <f t="shared" si="24"/>
        <v>5.9424060694085306</v>
      </c>
      <c r="AC66" s="391"/>
      <c r="AD66" s="387"/>
      <c r="AE66" s="387">
        <v>0.50456713739793824</v>
      </c>
      <c r="AF66" s="387"/>
      <c r="AG66" s="387"/>
      <c r="AH66" s="387">
        <v>5.4378389320105924</v>
      </c>
      <c r="AI66" s="387"/>
      <c r="AJ66" s="387"/>
      <c r="AK66" s="387"/>
      <c r="AL66" s="387"/>
      <c r="AM66" s="388"/>
      <c r="AN66" s="389"/>
      <c r="AO66" s="558">
        <v>57.518469078212902</v>
      </c>
      <c r="AP66" s="390"/>
      <c r="AQ66" s="417">
        <f t="shared" si="12"/>
        <v>82.98871095493827</v>
      </c>
    </row>
    <row r="67" spans="1:44" ht="12.75" customHeight="1">
      <c r="A67" s="559" t="s">
        <v>197</v>
      </c>
      <c r="B67" s="560">
        <v>84</v>
      </c>
      <c r="C67" s="337">
        <f t="shared" si="25"/>
        <v>0</v>
      </c>
      <c r="D67" s="561">
        <v>0</v>
      </c>
      <c r="E67" s="483"/>
      <c r="F67" s="483"/>
      <c r="G67" s="484"/>
      <c r="H67" s="341">
        <f t="shared" si="26"/>
        <v>0</v>
      </c>
      <c r="I67" s="562"/>
      <c r="J67" s="343"/>
      <c r="K67" s="563"/>
      <c r="L67" s="341">
        <f t="shared" si="27"/>
        <v>60.059458241675117</v>
      </c>
      <c r="M67" s="562"/>
      <c r="N67" s="483"/>
      <c r="O67" s="340"/>
      <c r="P67" s="483"/>
      <c r="Q67" s="564">
        <v>11.993870137241107</v>
      </c>
      <c r="R67" s="483"/>
      <c r="S67" s="564">
        <v>6.5274894502527672E-2</v>
      </c>
      <c r="T67" s="564">
        <v>8.0358725388198824</v>
      </c>
      <c r="U67" s="564">
        <v>39.964440671111603</v>
      </c>
      <c r="V67" s="564">
        <v>0</v>
      </c>
      <c r="W67" s="483"/>
      <c r="X67" s="483"/>
      <c r="Y67" s="340"/>
      <c r="Z67" s="343"/>
      <c r="AA67" s="565">
        <v>67.567241827913762</v>
      </c>
      <c r="AB67" s="344">
        <f t="shared" si="24"/>
        <v>7.2373848770516771</v>
      </c>
      <c r="AC67" s="345"/>
      <c r="AD67" s="343"/>
      <c r="AE67" s="343">
        <v>7.2373848770516771</v>
      </c>
      <c r="AF67" s="343"/>
      <c r="AG67" s="343"/>
      <c r="AH67" s="343">
        <v>0</v>
      </c>
      <c r="AI67" s="343"/>
      <c r="AJ67" s="343"/>
      <c r="AK67" s="343"/>
      <c r="AL67" s="343"/>
      <c r="AM67" s="340"/>
      <c r="AN67" s="341"/>
      <c r="AO67" s="565">
        <v>158.91877495914031</v>
      </c>
      <c r="AP67" s="344"/>
      <c r="AQ67" s="347">
        <f t="shared" si="12"/>
        <v>293.78285990578087</v>
      </c>
    </row>
    <row r="68" spans="1:44" ht="12.75" customHeight="1">
      <c r="A68" s="524" t="s">
        <v>198</v>
      </c>
      <c r="B68" s="525">
        <v>85</v>
      </c>
      <c r="C68" s="337">
        <f t="shared" si="25"/>
        <v>0</v>
      </c>
      <c r="D68" s="561">
        <v>0</v>
      </c>
      <c r="E68" s="483"/>
      <c r="F68" s="483"/>
      <c r="G68" s="484"/>
      <c r="H68" s="341">
        <f t="shared" si="26"/>
        <v>0</v>
      </c>
      <c r="I68" s="562"/>
      <c r="J68" s="343"/>
      <c r="K68" s="563"/>
      <c r="L68" s="341">
        <f t="shared" si="27"/>
        <v>42.957809832677199</v>
      </c>
      <c r="M68" s="562"/>
      <c r="N68" s="483"/>
      <c r="O68" s="340"/>
      <c r="P68" s="483"/>
      <c r="Q68" s="564">
        <v>21.304026085392543</v>
      </c>
      <c r="R68" s="483"/>
      <c r="S68" s="564">
        <v>1.0483230683554681E-2</v>
      </c>
      <c r="T68" s="564">
        <v>4.666143552430615</v>
      </c>
      <c r="U68" s="564">
        <v>16.977156964170486</v>
      </c>
      <c r="V68" s="564">
        <v>0</v>
      </c>
      <c r="W68" s="483"/>
      <c r="X68" s="483"/>
      <c r="Y68" s="340"/>
      <c r="Z68" s="343"/>
      <c r="AA68" s="565">
        <v>55.053756999430689</v>
      </c>
      <c r="AB68" s="344">
        <f t="shared" si="24"/>
        <v>1.0553111779952415</v>
      </c>
      <c r="AC68" s="345"/>
      <c r="AD68" s="343"/>
      <c r="AE68" s="343">
        <v>1.0553111779952415</v>
      </c>
      <c r="AF68" s="343"/>
      <c r="AG68" s="343"/>
      <c r="AH68" s="343">
        <v>0</v>
      </c>
      <c r="AI68" s="343"/>
      <c r="AJ68" s="343"/>
      <c r="AK68" s="343"/>
      <c r="AL68" s="343"/>
      <c r="AM68" s="340"/>
      <c r="AN68" s="341"/>
      <c r="AO68" s="565">
        <v>76.394684288116821</v>
      </c>
      <c r="AP68" s="344"/>
      <c r="AQ68" s="347">
        <f t="shared" si="12"/>
        <v>175.46156229821995</v>
      </c>
    </row>
    <row r="69" spans="1:44" s="369" customFormat="1" ht="12.75" customHeight="1">
      <c r="A69" s="542" t="s">
        <v>199</v>
      </c>
      <c r="B69" s="543" t="s">
        <v>200</v>
      </c>
      <c r="C69" s="505">
        <f t="shared" si="25"/>
        <v>0</v>
      </c>
      <c r="D69" s="566">
        <v>0</v>
      </c>
      <c r="E69" s="489"/>
      <c r="F69" s="489"/>
      <c r="G69" s="490"/>
      <c r="H69" s="507">
        <f t="shared" si="26"/>
        <v>0</v>
      </c>
      <c r="I69" s="567"/>
      <c r="J69" s="399"/>
      <c r="K69" s="568"/>
      <c r="L69" s="507">
        <f t="shared" si="27"/>
        <v>26.314931444208163</v>
      </c>
      <c r="M69" s="567"/>
      <c r="N69" s="489"/>
      <c r="O69" s="400"/>
      <c r="P69" s="489"/>
      <c r="Q69" s="569">
        <v>14.366260816389191</v>
      </c>
      <c r="R69" s="489"/>
      <c r="S69" s="569">
        <v>3.165625817250748E-2</v>
      </c>
      <c r="T69" s="569">
        <v>2.6817871306674177</v>
      </c>
      <c r="U69" s="569">
        <v>9.2352272389790482</v>
      </c>
      <c r="V69" s="569">
        <v>0</v>
      </c>
      <c r="W69" s="489"/>
      <c r="X69" s="489"/>
      <c r="Y69" s="400"/>
      <c r="Z69" s="399"/>
      <c r="AA69" s="570">
        <v>64.840716945600107</v>
      </c>
      <c r="AB69" s="509">
        <f t="shared" si="24"/>
        <v>1.121760867965059</v>
      </c>
      <c r="AC69" s="510"/>
      <c r="AD69" s="504"/>
      <c r="AE69" s="504">
        <v>1.121760867965059</v>
      </c>
      <c r="AF69" s="504"/>
      <c r="AG69" s="504"/>
      <c r="AH69" s="504">
        <v>0</v>
      </c>
      <c r="AI69" s="504"/>
      <c r="AJ69" s="504"/>
      <c r="AK69" s="504"/>
      <c r="AL69" s="504"/>
      <c r="AM69" s="506"/>
      <c r="AN69" s="507"/>
      <c r="AO69" s="570">
        <v>52.048516832041287</v>
      </c>
      <c r="AP69" s="509"/>
      <c r="AQ69" s="511">
        <f t="shared" si="12"/>
        <v>144.32592608981463</v>
      </c>
      <c r="AR69" s="319"/>
    </row>
    <row r="70" spans="1:44" s="369" customFormat="1" ht="12.75" customHeight="1">
      <c r="A70" s="419" t="s">
        <v>157</v>
      </c>
      <c r="B70" s="420"/>
      <c r="C70" s="421">
        <f t="shared" si="25"/>
        <v>0</v>
      </c>
      <c r="D70" s="571">
        <v>0</v>
      </c>
      <c r="E70" s="572"/>
      <c r="F70" s="573"/>
      <c r="G70" s="573"/>
      <c r="H70" s="425">
        <f t="shared" si="26"/>
        <v>0</v>
      </c>
      <c r="I70" s="571"/>
      <c r="J70" s="572"/>
      <c r="K70" s="572"/>
      <c r="L70" s="425">
        <f t="shared" si="27"/>
        <v>175.46549158593075</v>
      </c>
      <c r="M70" s="572"/>
      <c r="N70" s="572"/>
      <c r="O70" s="572"/>
      <c r="P70" s="572">
        <v>0</v>
      </c>
      <c r="Q70" s="572">
        <v>0</v>
      </c>
      <c r="R70" s="572"/>
      <c r="S70" s="572"/>
      <c r="T70" s="574">
        <v>0</v>
      </c>
      <c r="U70" s="572">
        <v>175.46549158593075</v>
      </c>
      <c r="V70" s="387"/>
      <c r="W70" s="573"/>
      <c r="X70" s="573"/>
      <c r="Y70" s="573"/>
      <c r="Z70" s="572"/>
      <c r="AA70" s="425">
        <v>0</v>
      </c>
      <c r="AB70" s="426">
        <f t="shared" si="24"/>
        <v>0</v>
      </c>
      <c r="AC70" s="575"/>
      <c r="AD70" s="572"/>
      <c r="AE70" s="572"/>
      <c r="AF70" s="572"/>
      <c r="AG70" s="572"/>
      <c r="AH70" s="572"/>
      <c r="AI70" s="572"/>
      <c r="AJ70" s="572"/>
      <c r="AK70" s="571"/>
      <c r="AL70" s="573"/>
      <c r="AM70" s="572"/>
      <c r="AN70" s="425"/>
      <c r="AO70" s="425">
        <v>46.793657441418105</v>
      </c>
      <c r="AP70" s="426"/>
      <c r="AQ70" s="416">
        <f t="shared" si="12"/>
        <v>222.25914902734885</v>
      </c>
      <c r="AR70" s="319"/>
    </row>
    <row r="71" spans="1:44" s="369" customFormat="1" ht="12.75" customHeight="1" thickBot="1">
      <c r="A71" s="576" t="s">
        <v>158</v>
      </c>
      <c r="B71" s="396"/>
      <c r="C71" s="397">
        <f t="shared" si="25"/>
        <v>0</v>
      </c>
      <c r="D71" s="398"/>
      <c r="E71" s="399"/>
      <c r="F71" s="400"/>
      <c r="G71" s="400"/>
      <c r="H71" s="401">
        <f t="shared" si="26"/>
        <v>0</v>
      </c>
      <c r="I71" s="398"/>
      <c r="J71" s="399"/>
      <c r="K71" s="399"/>
      <c r="L71" s="401">
        <f t="shared" si="27"/>
        <v>23.527909786636457</v>
      </c>
      <c r="M71" s="399"/>
      <c r="N71" s="399"/>
      <c r="O71" s="399"/>
      <c r="P71" s="399"/>
      <c r="Q71" s="399"/>
      <c r="R71" s="399"/>
      <c r="S71" s="399"/>
      <c r="T71" s="399"/>
      <c r="U71" s="513">
        <v>23.527909786636457</v>
      </c>
      <c r="V71" s="399"/>
      <c r="W71" s="400"/>
      <c r="X71" s="400"/>
      <c r="Y71" s="400"/>
      <c r="Z71" s="399"/>
      <c r="AA71" s="401"/>
      <c r="AB71" s="402">
        <f t="shared" si="24"/>
        <v>0</v>
      </c>
      <c r="AC71" s="403"/>
      <c r="AD71" s="399"/>
      <c r="AE71" s="399"/>
      <c r="AF71" s="399"/>
      <c r="AG71" s="399"/>
      <c r="AH71" s="399"/>
      <c r="AI71" s="399"/>
      <c r="AJ71" s="399"/>
      <c r="AK71" s="398"/>
      <c r="AL71" s="400"/>
      <c r="AM71" s="399"/>
      <c r="AN71" s="401"/>
      <c r="AO71" s="404"/>
      <c r="AP71" s="402"/>
      <c r="AQ71" s="577">
        <f t="shared" si="12"/>
        <v>23.527909786636457</v>
      </c>
      <c r="AR71" s="319"/>
    </row>
    <row r="72" spans="1:44" ht="12.75" customHeight="1" thickBot="1">
      <c r="A72" s="448" t="s">
        <v>159</v>
      </c>
      <c r="B72" s="449"/>
      <c r="C72" s="450">
        <f t="shared" ref="C72:AP72" si="28">C26-C27-C29</f>
        <v>-9.1987956787581311</v>
      </c>
      <c r="D72" s="451">
        <f t="shared" si="28"/>
        <v>-6.9310768518362522</v>
      </c>
      <c r="E72" s="452">
        <f t="shared" si="28"/>
        <v>-2.6469882778086031</v>
      </c>
      <c r="F72" s="455">
        <f t="shared" si="28"/>
        <v>0</v>
      </c>
      <c r="G72" s="455">
        <f t="shared" si="28"/>
        <v>0.52433733288671913</v>
      </c>
      <c r="H72" s="453">
        <f t="shared" si="28"/>
        <v>8.0942833818653526E-4</v>
      </c>
      <c r="I72" s="451">
        <f t="shared" si="28"/>
        <v>2.0251833818818454E-4</v>
      </c>
      <c r="J72" s="452">
        <f t="shared" si="28"/>
        <v>0</v>
      </c>
      <c r="K72" s="452">
        <f t="shared" si="28"/>
        <v>6.0691000000190343E-4</v>
      </c>
      <c r="L72" s="453">
        <f t="shared" si="28"/>
        <v>-18.398747585058118</v>
      </c>
      <c r="M72" s="452">
        <f t="shared" si="28"/>
        <v>0</v>
      </c>
      <c r="N72" s="452">
        <f t="shared" si="28"/>
        <v>-0.93466239120118644</v>
      </c>
      <c r="O72" s="452">
        <f t="shared" si="28"/>
        <v>-2.9620090857373924</v>
      </c>
      <c r="P72" s="452">
        <f t="shared" si="28"/>
        <v>-36.421491823749989</v>
      </c>
      <c r="Q72" s="452">
        <f t="shared" si="28"/>
        <v>12.073866663040121</v>
      </c>
      <c r="R72" s="452">
        <f t="shared" si="28"/>
        <v>4.2521232268800304</v>
      </c>
      <c r="S72" s="452">
        <f t="shared" si="28"/>
        <v>6.6447056102567323</v>
      </c>
      <c r="T72" s="452">
        <f t="shared" si="28"/>
        <v>6.1164319481637506</v>
      </c>
      <c r="U72" s="452">
        <f t="shared" si="28"/>
        <v>-15.662102196444721</v>
      </c>
      <c r="V72" s="452">
        <f t="shared" si="28"/>
        <v>0.47626936567024813</v>
      </c>
      <c r="W72" s="455">
        <f t="shared" si="28"/>
        <v>8.0181210980662954</v>
      </c>
      <c r="X72" s="455">
        <f t="shared" si="28"/>
        <v>0</v>
      </c>
      <c r="Y72" s="455">
        <f t="shared" si="28"/>
        <v>0</v>
      </c>
      <c r="Z72" s="452">
        <f t="shared" si="28"/>
        <v>0</v>
      </c>
      <c r="AA72" s="453">
        <f t="shared" si="28"/>
        <v>-32.866921298701527</v>
      </c>
      <c r="AB72" s="454">
        <f t="shared" si="28"/>
        <v>-11.353391422104323</v>
      </c>
      <c r="AC72" s="578">
        <f t="shared" si="28"/>
        <v>0</v>
      </c>
      <c r="AD72" s="452">
        <f t="shared" si="28"/>
        <v>0</v>
      </c>
      <c r="AE72" s="452">
        <f t="shared" si="28"/>
        <v>0.2004347530799464</v>
      </c>
      <c r="AF72" s="452">
        <f t="shared" si="28"/>
        <v>0</v>
      </c>
      <c r="AG72" s="452">
        <f t="shared" si="28"/>
        <v>0</v>
      </c>
      <c r="AH72" s="452">
        <f t="shared" si="28"/>
        <v>0</v>
      </c>
      <c r="AI72" s="452">
        <f t="shared" si="28"/>
        <v>-12.276690386111994</v>
      </c>
      <c r="AJ72" s="452">
        <f t="shared" si="28"/>
        <v>0.72286421092800879</v>
      </c>
      <c r="AK72" s="451">
        <f t="shared" si="28"/>
        <v>0</v>
      </c>
      <c r="AL72" s="455">
        <f t="shared" si="28"/>
        <v>0</v>
      </c>
      <c r="AM72" s="452">
        <f t="shared" si="28"/>
        <v>0</v>
      </c>
      <c r="AN72" s="453">
        <f t="shared" si="28"/>
        <v>0</v>
      </c>
      <c r="AO72" s="453">
        <f t="shared" si="28"/>
        <v>-35.433208216268213</v>
      </c>
      <c r="AP72" s="454">
        <f t="shared" si="28"/>
        <v>0</v>
      </c>
      <c r="AQ72" s="456">
        <f t="shared" si="12"/>
        <v>-107.25025477255213</v>
      </c>
    </row>
    <row r="73" spans="1:44" s="369" customFormat="1" ht="15" customHeight="1">
      <c r="A73" s="579"/>
      <c r="B73" s="579"/>
      <c r="C73" s="579"/>
      <c r="D73" s="579"/>
      <c r="E73" s="579"/>
      <c r="F73" s="579"/>
      <c r="G73" s="579"/>
      <c r="H73" s="579"/>
      <c r="I73" s="579"/>
      <c r="J73" s="579"/>
      <c r="K73" s="579"/>
      <c r="L73" s="579"/>
      <c r="M73" s="579"/>
      <c r="N73" s="579"/>
      <c r="O73" s="579"/>
      <c r="P73" s="579"/>
      <c r="Q73" s="579"/>
      <c r="R73" s="579"/>
      <c r="S73" s="579"/>
      <c r="T73" s="579"/>
      <c r="U73" s="579"/>
      <c r="V73" s="579"/>
      <c r="W73" s="579"/>
      <c r="X73" s="579"/>
      <c r="Y73" s="579"/>
      <c r="Z73" s="579"/>
      <c r="AA73" s="579"/>
      <c r="AB73" s="579"/>
      <c r="AC73" s="579"/>
      <c r="AD73" s="579"/>
      <c r="AE73" s="579"/>
      <c r="AF73" s="579"/>
      <c r="AG73" s="579"/>
      <c r="AH73" s="579"/>
      <c r="AI73" s="579"/>
      <c r="AJ73" s="579"/>
      <c r="AK73" s="579"/>
      <c r="AL73" s="579"/>
      <c r="AM73" s="579"/>
      <c r="AN73" s="579"/>
      <c r="AO73" s="579"/>
      <c r="AP73" s="579"/>
      <c r="AQ73" s="579"/>
    </row>
    <row r="74" spans="1:44" ht="12.75" customHeight="1">
      <c r="A74" s="435" t="s">
        <v>201</v>
      </c>
      <c r="B74" s="413"/>
      <c r="F74" s="413"/>
      <c r="G74" s="413"/>
      <c r="I74" s="413"/>
      <c r="J74" s="413"/>
      <c r="K74" s="413"/>
      <c r="L74" s="580"/>
      <c r="M74" s="413"/>
      <c r="N74" s="413"/>
      <c r="O74" s="369"/>
      <c r="P74" s="369"/>
      <c r="Q74" s="413"/>
      <c r="R74" s="413"/>
      <c r="S74" s="413"/>
      <c r="T74" s="413"/>
      <c r="U74" s="413"/>
      <c r="V74" s="413"/>
      <c r="W74" s="406"/>
      <c r="X74" s="369"/>
      <c r="Y74" s="413"/>
      <c r="Z74" s="413"/>
      <c r="AA74" s="413"/>
      <c r="AB74" s="413"/>
      <c r="AC74" s="413"/>
      <c r="AD74" s="413"/>
      <c r="AE74" s="413"/>
      <c r="AF74" s="413"/>
      <c r="AG74" s="413"/>
      <c r="AH74" s="413"/>
      <c r="AI74" s="413"/>
      <c r="AJ74" s="413"/>
      <c r="AK74" s="413"/>
      <c r="AL74" s="413"/>
      <c r="AM74" s="413"/>
      <c r="AN74" s="413"/>
      <c r="AO74" s="413"/>
      <c r="AP74" s="413"/>
      <c r="AQ74" s="413"/>
    </row>
    <row r="75" spans="1:44" ht="12.75" customHeight="1">
      <c r="A75" s="581" t="s">
        <v>204</v>
      </c>
      <c r="B75" s="579"/>
      <c r="C75" s="579"/>
      <c r="D75" s="579"/>
      <c r="E75" s="579"/>
      <c r="F75" s="579"/>
      <c r="G75" s="579"/>
      <c r="H75" s="579"/>
      <c r="I75" s="579"/>
      <c r="J75" s="579"/>
      <c r="K75" s="579"/>
      <c r="L75" s="579"/>
      <c r="M75" s="579"/>
      <c r="N75" s="579"/>
      <c r="O75" s="579"/>
      <c r="P75" s="579"/>
      <c r="Q75" s="579"/>
      <c r="R75" s="579"/>
      <c r="S75" s="579"/>
      <c r="T75" s="579"/>
      <c r="U75" s="579"/>
      <c r="V75" s="579"/>
      <c r="W75" s="579"/>
      <c r="X75" s="579"/>
      <c r="Y75" s="579"/>
      <c r="Z75" s="579"/>
      <c r="AA75" s="579"/>
      <c r="AB75" s="579"/>
      <c r="AC75" s="579"/>
      <c r="AD75" s="579"/>
      <c r="AE75" s="579"/>
      <c r="AF75" s="579"/>
      <c r="AG75" s="579"/>
      <c r="AH75" s="579"/>
      <c r="AI75" s="579"/>
      <c r="AJ75" s="579"/>
      <c r="AK75" s="579"/>
      <c r="AL75" s="579"/>
      <c r="AM75" s="579"/>
      <c r="AN75" s="579"/>
      <c r="AO75" s="579"/>
      <c r="AP75" s="579"/>
      <c r="AQ75" s="579"/>
    </row>
    <row r="76" spans="1:44" ht="12.75" customHeight="1">
      <c r="A76" s="582" t="s">
        <v>205</v>
      </c>
      <c r="B76" s="583"/>
      <c r="C76" s="579"/>
      <c r="D76" s="579"/>
      <c r="E76" s="579"/>
      <c r="F76" s="579"/>
      <c r="G76" s="579"/>
      <c r="H76" s="579"/>
      <c r="I76" s="579"/>
      <c r="J76" s="579"/>
      <c r="K76" s="579"/>
      <c r="L76" s="579"/>
      <c r="M76" s="579"/>
      <c r="N76" s="579"/>
      <c r="O76" s="579"/>
      <c r="P76" s="579"/>
      <c r="Q76" s="579"/>
      <c r="R76" s="579"/>
      <c r="S76" s="579"/>
      <c r="T76" s="579"/>
      <c r="U76" s="579"/>
      <c r="V76" s="579"/>
      <c r="W76" s="579"/>
      <c r="X76" s="579"/>
      <c r="Y76" s="579"/>
      <c r="Z76" s="579"/>
      <c r="AA76" s="579"/>
      <c r="AB76" s="579"/>
      <c r="AC76" s="579"/>
      <c r="AD76" s="579"/>
      <c r="AE76" s="579"/>
      <c r="AF76" s="579"/>
      <c r="AG76" s="579"/>
      <c r="AH76" s="579"/>
      <c r="AI76" s="579"/>
      <c r="AJ76" s="579"/>
      <c r="AK76" s="579"/>
      <c r="AL76" s="579"/>
      <c r="AM76" s="579"/>
      <c r="AN76" s="579"/>
      <c r="AO76" s="579"/>
      <c r="AP76" s="579"/>
      <c r="AQ76" s="579"/>
    </row>
    <row r="77" spans="1:44" ht="12.75" customHeight="1">
      <c r="A77" s="584" t="s">
        <v>206</v>
      </c>
      <c r="B77" s="581"/>
      <c r="C77" s="579"/>
      <c r="D77" s="579"/>
      <c r="E77" s="579"/>
      <c r="F77" s="579"/>
      <c r="G77" s="579"/>
      <c r="H77" s="579"/>
      <c r="I77" s="579"/>
      <c r="J77" s="579"/>
      <c r="K77" s="579"/>
      <c r="L77" s="579"/>
      <c r="M77" s="579"/>
      <c r="N77" s="579"/>
      <c r="O77" s="579"/>
      <c r="P77" s="579"/>
      <c r="Q77" s="579"/>
      <c r="R77" s="579"/>
      <c r="S77" s="579"/>
      <c r="T77" s="579"/>
      <c r="U77" s="579"/>
      <c r="V77" s="579"/>
      <c r="W77" s="579"/>
      <c r="X77" s="579"/>
      <c r="Y77" s="579"/>
      <c r="Z77" s="579"/>
      <c r="AA77" s="579"/>
      <c r="AB77" s="579"/>
      <c r="AC77" s="579"/>
      <c r="AD77" s="579"/>
      <c r="AE77" s="579"/>
      <c r="AF77" s="579"/>
      <c r="AG77" s="579"/>
      <c r="AH77" s="579"/>
      <c r="AI77" s="579"/>
      <c r="AJ77" s="579"/>
      <c r="AK77" s="579"/>
      <c r="AL77" s="579"/>
      <c r="AM77" s="579"/>
      <c r="AN77" s="579"/>
      <c r="AO77" s="579"/>
      <c r="AP77" s="579"/>
      <c r="AQ77" s="579"/>
    </row>
    <row r="78" spans="1:44" ht="12.75" customHeight="1">
      <c r="A78" s="585" t="s">
        <v>207</v>
      </c>
      <c r="B78" s="581"/>
      <c r="C78" s="579"/>
      <c r="D78" s="579"/>
      <c r="E78" s="579"/>
      <c r="F78" s="579"/>
      <c r="G78" s="579"/>
      <c r="H78" s="579"/>
      <c r="I78" s="579"/>
      <c r="J78" s="579"/>
      <c r="K78" s="579"/>
      <c r="L78" s="579"/>
      <c r="M78" s="579"/>
      <c r="N78" s="579"/>
      <c r="O78" s="579"/>
      <c r="P78" s="579"/>
      <c r="Q78" s="579"/>
      <c r="R78" s="579"/>
      <c r="S78" s="579"/>
      <c r="T78" s="579"/>
      <c r="U78" s="579"/>
      <c r="V78" s="579"/>
      <c r="W78" s="579"/>
      <c r="X78" s="579"/>
      <c r="Y78" s="579"/>
      <c r="Z78" s="579"/>
      <c r="AA78" s="579"/>
      <c r="AB78" s="579"/>
      <c r="AC78" s="579"/>
      <c r="AD78" s="579"/>
      <c r="AE78" s="579"/>
      <c r="AF78" s="579"/>
      <c r="AG78" s="579"/>
      <c r="AH78" s="579"/>
      <c r="AI78" s="579"/>
      <c r="AJ78" s="579"/>
      <c r="AK78" s="579"/>
      <c r="AL78" s="579"/>
      <c r="AM78" s="579"/>
      <c r="AN78" s="579"/>
      <c r="AO78" s="579"/>
      <c r="AP78" s="579"/>
      <c r="AQ78" s="579"/>
    </row>
    <row r="79" spans="1:44" ht="12.75" customHeight="1">
      <c r="A79" s="586" t="s">
        <v>163</v>
      </c>
      <c r="B79" s="587"/>
      <c r="C79" s="587"/>
      <c r="D79" s="587"/>
      <c r="E79" s="588"/>
      <c r="F79" s="589"/>
      <c r="G79" s="589"/>
      <c r="H79" s="590"/>
      <c r="I79" s="589"/>
      <c r="J79" s="589"/>
      <c r="K79" s="589"/>
      <c r="S79" s="591"/>
      <c r="T79" s="592"/>
      <c r="U79" s="591"/>
      <c r="V79" s="591"/>
      <c r="Z79" s="589"/>
      <c r="AB79" s="593"/>
      <c r="AP79" s="593"/>
    </row>
    <row r="80" spans="1:44" ht="12.75" customHeight="1">
      <c r="A80" s="586" t="s">
        <v>164</v>
      </c>
      <c r="B80" s="587"/>
      <c r="C80" s="587"/>
      <c r="D80" s="587"/>
      <c r="E80" s="588"/>
      <c r="F80" s="589"/>
      <c r="G80" s="589"/>
      <c r="H80" s="590"/>
      <c r="I80" s="589"/>
      <c r="J80" s="589"/>
      <c r="K80" s="589"/>
      <c r="S80" s="591"/>
      <c r="T80" s="592"/>
      <c r="U80" s="591"/>
      <c r="V80" s="591"/>
      <c r="Z80" s="589"/>
      <c r="AB80" s="593"/>
      <c r="AP80" s="593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80" zoomScaleNormal="100" zoomScaleSheetLayoutView="80" workbookViewId="0">
      <pane xSplit="2" ySplit="1" topLeftCell="W15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K66" sqref="AK66"/>
    </sheetView>
  </sheetViews>
  <sheetFormatPr defaultRowHeight="12.75"/>
  <cols>
    <col min="1" max="1" width="38.140625" style="596" customWidth="1"/>
    <col min="2" max="2" width="13" style="595" bestFit="1" customWidth="1"/>
    <col min="3" max="4" width="7.5703125" style="413" bestFit="1" customWidth="1"/>
    <col min="5" max="5" width="9.140625" style="413"/>
    <col min="6" max="6" width="6.140625" style="439" customWidth="1"/>
    <col min="7" max="7" width="5.85546875" style="439" bestFit="1" customWidth="1"/>
    <col min="8" max="8" width="7.28515625" style="413" bestFit="1" customWidth="1"/>
    <col min="9" max="9" width="6.85546875" style="439" bestFit="1" customWidth="1"/>
    <col min="10" max="10" width="6" style="439" bestFit="1" customWidth="1"/>
    <col min="11" max="11" width="6.85546875" style="439" bestFit="1" customWidth="1"/>
    <col min="12" max="12" width="8.7109375" style="590" bestFit="1" customWidth="1"/>
    <col min="13" max="13" width="8.140625" style="589" bestFit="1" customWidth="1"/>
    <col min="14" max="14" width="8.140625" style="589" customWidth="1"/>
    <col min="15" max="15" width="5.28515625" style="589" customWidth="1"/>
    <col min="16" max="16" width="7.42578125" style="589" customWidth="1"/>
    <col min="17" max="17" width="7.42578125" style="589" bestFit="1" customWidth="1"/>
    <col min="18" max="18" width="8.140625" style="589" bestFit="1" customWidth="1"/>
    <col min="19" max="19" width="7.28515625" style="589" bestFit="1" customWidth="1"/>
    <col min="20" max="20" width="7.42578125" style="589" bestFit="1" customWidth="1"/>
    <col min="21" max="21" width="8.42578125" style="589" bestFit="1" customWidth="1"/>
    <col min="22" max="22" width="6.85546875" style="589" bestFit="1" customWidth="1"/>
    <col min="23" max="25" width="5.42578125" style="589" customWidth="1"/>
    <col min="26" max="26" width="5.42578125" style="439" customWidth="1"/>
    <col min="27" max="27" width="8.140625" style="590" bestFit="1" customWidth="1"/>
    <col min="28" max="28" width="8.28515625" style="590" bestFit="1" customWidth="1"/>
    <col min="29" max="33" width="5.5703125" style="589" customWidth="1"/>
    <col min="34" max="34" width="6" style="589" customWidth="1"/>
    <col min="35" max="36" width="7" style="589" customWidth="1"/>
    <col min="37" max="40" width="5.5703125" style="589" customWidth="1"/>
    <col min="41" max="41" width="8.7109375" style="590" bestFit="1" customWidth="1"/>
    <col min="42" max="42" width="4.42578125" style="590" bestFit="1" customWidth="1"/>
    <col min="43" max="43" width="9.28515625" style="589" bestFit="1" customWidth="1"/>
    <col min="44" max="16384" width="9.140625" style="595"/>
  </cols>
  <sheetData>
    <row r="1" spans="1:43" ht="105.75" customHeight="1" thickBot="1">
      <c r="A1" s="935" t="s">
        <v>213</v>
      </c>
      <c r="B1" s="832" t="s">
        <v>212</v>
      </c>
      <c r="C1" s="934" t="s">
        <v>60</v>
      </c>
      <c r="D1" s="933" t="s">
        <v>61</v>
      </c>
      <c r="E1" s="931" t="s">
        <v>62</v>
      </c>
      <c r="F1" s="930" t="s">
        <v>63</v>
      </c>
      <c r="G1" s="930" t="s">
        <v>64</v>
      </c>
      <c r="H1" s="929" t="s">
        <v>65</v>
      </c>
      <c r="I1" s="933" t="s">
        <v>66</v>
      </c>
      <c r="J1" s="931" t="s">
        <v>67</v>
      </c>
      <c r="K1" s="931" t="s">
        <v>68</v>
      </c>
      <c r="L1" s="929" t="s">
        <v>69</v>
      </c>
      <c r="M1" s="933" t="s">
        <v>70</v>
      </c>
      <c r="N1" s="931" t="s">
        <v>171</v>
      </c>
      <c r="O1" s="931" t="s">
        <v>71</v>
      </c>
      <c r="P1" s="931" t="s">
        <v>72</v>
      </c>
      <c r="Q1" s="931" t="s">
        <v>73</v>
      </c>
      <c r="R1" s="931" t="s">
        <v>74</v>
      </c>
      <c r="S1" s="931" t="s">
        <v>75</v>
      </c>
      <c r="T1" s="931" t="s">
        <v>76</v>
      </c>
      <c r="U1" s="931" t="s">
        <v>77</v>
      </c>
      <c r="V1" s="931" t="s">
        <v>78</v>
      </c>
      <c r="W1" s="930" t="s">
        <v>79</v>
      </c>
      <c r="X1" s="930" t="s">
        <v>80</v>
      </c>
      <c r="Y1" s="930" t="s">
        <v>81</v>
      </c>
      <c r="Z1" s="931" t="s">
        <v>82</v>
      </c>
      <c r="AA1" s="929" t="s">
        <v>83</v>
      </c>
      <c r="AB1" s="928" t="s">
        <v>84</v>
      </c>
      <c r="AC1" s="932" t="s">
        <v>85</v>
      </c>
      <c r="AD1" s="931" t="s">
        <v>86</v>
      </c>
      <c r="AE1" s="931" t="s">
        <v>172</v>
      </c>
      <c r="AF1" s="931" t="s">
        <v>173</v>
      </c>
      <c r="AG1" s="931" t="s">
        <v>87</v>
      </c>
      <c r="AH1" s="931" t="s">
        <v>88</v>
      </c>
      <c r="AI1" s="931" t="s">
        <v>174</v>
      </c>
      <c r="AJ1" s="931" t="s">
        <v>175</v>
      </c>
      <c r="AK1" s="931" t="s">
        <v>176</v>
      </c>
      <c r="AL1" s="930" t="s">
        <v>177</v>
      </c>
      <c r="AM1" s="930" t="s">
        <v>178</v>
      </c>
      <c r="AN1" s="929" t="s">
        <v>89</v>
      </c>
      <c r="AO1" s="929" t="s">
        <v>90</v>
      </c>
      <c r="AP1" s="928" t="s">
        <v>91</v>
      </c>
      <c r="AQ1" s="927" t="s">
        <v>92</v>
      </c>
    </row>
    <row r="2" spans="1:43" ht="12.75" customHeight="1">
      <c r="A2" s="926" t="s">
        <v>93</v>
      </c>
      <c r="B2" s="925"/>
      <c r="C2" s="924">
        <f>SUM(D2:G2)</f>
        <v>0</v>
      </c>
      <c r="D2" s="923">
        <v>0</v>
      </c>
      <c r="E2" s="922"/>
      <c r="F2" s="915"/>
      <c r="G2" s="915"/>
      <c r="H2" s="920">
        <f>SUM(I2:K2)</f>
        <v>127.70399999999999</v>
      </c>
      <c r="I2" s="917">
        <v>0</v>
      </c>
      <c r="J2" s="918">
        <v>127.70399999999999</v>
      </c>
      <c r="K2" s="918"/>
      <c r="L2" s="920">
        <f>SUM(M2:Z2)</f>
        <v>0</v>
      </c>
      <c r="M2" s="917"/>
      <c r="N2" s="921"/>
      <c r="O2" s="921"/>
      <c r="P2" s="921"/>
      <c r="Q2" s="921"/>
      <c r="R2" s="921"/>
      <c r="S2" s="921"/>
      <c r="T2" s="921"/>
      <c r="U2" s="921"/>
      <c r="V2" s="921"/>
      <c r="W2" s="915"/>
      <c r="X2" s="915"/>
      <c r="Y2" s="915"/>
      <c r="Z2" s="918"/>
      <c r="AA2" s="920">
        <v>1654.3924823476359</v>
      </c>
      <c r="AB2" s="913">
        <f>SUM(AC2:AM2)</f>
        <v>1610.1165785444848</v>
      </c>
      <c r="AC2" s="919">
        <v>80.208366922723997</v>
      </c>
      <c r="AD2" s="918">
        <v>993.25012277472592</v>
      </c>
      <c r="AE2" s="918">
        <v>219.96578567580383</v>
      </c>
      <c r="AF2" s="918">
        <v>144.97518876199405</v>
      </c>
      <c r="AG2" s="918">
        <v>28.899656228149642</v>
      </c>
      <c r="AH2" s="918">
        <v>25.619503987293015</v>
      </c>
      <c r="AI2" s="918">
        <v>37.158216478080007</v>
      </c>
      <c r="AJ2" s="918">
        <v>4.2536494817759998</v>
      </c>
      <c r="AK2" s="917">
        <v>4.6285652011099119</v>
      </c>
      <c r="AL2" s="916">
        <v>14.050659116324853</v>
      </c>
      <c r="AM2" s="915">
        <v>57.106863916503436</v>
      </c>
      <c r="AN2" s="914">
        <v>146.72404491084089</v>
      </c>
      <c r="AO2" s="914"/>
      <c r="AP2" s="913"/>
      <c r="AQ2" s="912">
        <f t="shared" ref="AQ2:AQ15" si="0">C2+H2+L2+AA2+AB2+AN2+AO2+AP2</f>
        <v>3538.9371058029615</v>
      </c>
    </row>
    <row r="3" spans="1:43" ht="12.75" customHeight="1">
      <c r="A3" s="739" t="s">
        <v>94</v>
      </c>
      <c r="B3" s="738"/>
      <c r="C3" s="889">
        <f>SUM(D3:G3)</f>
        <v>177.90169715513056</v>
      </c>
      <c r="D3" s="910">
        <v>120.05780047621663</v>
      </c>
      <c r="E3" s="911">
        <v>50.659149114233045</v>
      </c>
      <c r="F3" s="882"/>
      <c r="G3" s="882">
        <v>7.1847475646809</v>
      </c>
      <c r="H3" s="887">
        <f>SUM(I3:K3)</f>
        <v>0</v>
      </c>
      <c r="I3" s="884"/>
      <c r="J3" s="885"/>
      <c r="K3" s="885"/>
      <c r="L3" s="887">
        <f>SUM(M3:Z3)</f>
        <v>8317.6049115039605</v>
      </c>
      <c r="M3" s="884">
        <v>3172.5022326307999</v>
      </c>
      <c r="N3" s="885">
        <v>0</v>
      </c>
      <c r="O3" s="885">
        <v>0</v>
      </c>
      <c r="P3" s="885">
        <v>441.34726217777785</v>
      </c>
      <c r="Q3" s="885">
        <v>377.13460637216002</v>
      </c>
      <c r="R3" s="885">
        <v>1027.8236736410399</v>
      </c>
      <c r="S3" s="885">
        <v>169.7326181556497</v>
      </c>
      <c r="T3" s="885">
        <v>143.70103224882507</v>
      </c>
      <c r="U3" s="885">
        <v>2621.9421551492815</v>
      </c>
      <c r="V3" s="885">
        <v>120.76706002793861</v>
      </c>
      <c r="W3" s="882">
        <v>0</v>
      </c>
      <c r="X3" s="882">
        <v>193.55767813447775</v>
      </c>
      <c r="Y3" s="882">
        <v>1.5171601399712178</v>
      </c>
      <c r="Z3" s="885">
        <v>47.579432826039223</v>
      </c>
      <c r="AA3" s="887">
        <v>2907.4856696540478</v>
      </c>
      <c r="AB3" s="880">
        <f>SUM(AC3:AM3)</f>
        <v>176.52278853458401</v>
      </c>
      <c r="AC3" s="886"/>
      <c r="AD3" s="885"/>
      <c r="AE3" s="885">
        <v>39.470892706296006</v>
      </c>
      <c r="AF3" s="885"/>
      <c r="AG3" s="885"/>
      <c r="AH3" s="885"/>
      <c r="AI3" s="885">
        <v>121.459214065824</v>
      </c>
      <c r="AJ3" s="885">
        <v>15.592681762463998</v>
      </c>
      <c r="AK3" s="884"/>
      <c r="AL3" s="883"/>
      <c r="AM3" s="882"/>
      <c r="AN3" s="881"/>
      <c r="AO3" s="881">
        <v>151.45561480000001</v>
      </c>
      <c r="AP3" s="880"/>
      <c r="AQ3" s="879">
        <f t="shared" si="0"/>
        <v>11730.970681647723</v>
      </c>
    </row>
    <row r="4" spans="1:43" ht="12.75" customHeight="1">
      <c r="A4" s="739" t="s">
        <v>95</v>
      </c>
      <c r="B4" s="738"/>
      <c r="C4" s="889">
        <f>SUM(D4:G4)</f>
        <v>9.0634636839487985</v>
      </c>
      <c r="D4" s="910">
        <v>0</v>
      </c>
      <c r="E4" s="909">
        <v>8.6689819459999988</v>
      </c>
      <c r="F4" s="882"/>
      <c r="G4" s="882">
        <v>0.39448173794879998</v>
      </c>
      <c r="H4" s="887">
        <f>SUM(I4:K4)</f>
        <v>5.6650840000000002</v>
      </c>
      <c r="I4" s="884"/>
      <c r="J4" s="885"/>
      <c r="K4" s="885">
        <v>5.6650840000000002</v>
      </c>
      <c r="L4" s="887">
        <f>SUM(M4:Z4)</f>
        <v>1745.6469901503624</v>
      </c>
      <c r="M4" s="884">
        <v>203.14203525139999</v>
      </c>
      <c r="N4" s="885">
        <v>0</v>
      </c>
      <c r="O4" s="885"/>
      <c r="P4" s="885">
        <v>344.2324058555555</v>
      </c>
      <c r="Q4" s="885">
        <v>10.65323596064</v>
      </c>
      <c r="R4" s="885">
        <v>0</v>
      </c>
      <c r="S4" s="885">
        <v>805.00220575932201</v>
      </c>
      <c r="T4" s="885">
        <v>23.693008540208883</v>
      </c>
      <c r="U4" s="885">
        <v>250.84630548233304</v>
      </c>
      <c r="V4" s="885">
        <v>2.9503740176645019E-2</v>
      </c>
      <c r="W4" s="882">
        <v>95.404369672651924</v>
      </c>
      <c r="X4" s="882">
        <v>5.9765350582651875</v>
      </c>
      <c r="Y4" s="882">
        <v>1.4078657287789979E-2</v>
      </c>
      <c r="Z4" s="885">
        <v>6.6533061725214573</v>
      </c>
      <c r="AA4" s="887">
        <v>0</v>
      </c>
      <c r="AB4" s="880">
        <f>SUM(AC4:AM4)</f>
        <v>12.459351467231999</v>
      </c>
      <c r="AC4" s="886"/>
      <c r="AD4" s="885"/>
      <c r="AE4" s="885">
        <v>0</v>
      </c>
      <c r="AF4" s="885"/>
      <c r="AG4" s="885"/>
      <c r="AH4" s="885"/>
      <c r="AI4" s="885">
        <v>12.459351467231999</v>
      </c>
      <c r="AJ4" s="885">
        <v>0</v>
      </c>
      <c r="AK4" s="884"/>
      <c r="AL4" s="883"/>
      <c r="AM4" s="882"/>
      <c r="AN4" s="881"/>
      <c r="AO4" s="881">
        <v>164.51504245999999</v>
      </c>
      <c r="AP4" s="880"/>
      <c r="AQ4" s="879">
        <f t="shared" si="0"/>
        <v>1937.3499317615431</v>
      </c>
    </row>
    <row r="5" spans="1:43" ht="12.75" customHeight="1">
      <c r="A5" s="739" t="s">
        <v>96</v>
      </c>
      <c r="B5" s="738"/>
      <c r="C5" s="889">
        <f>SUM(D5:G5)</f>
        <v>0</v>
      </c>
      <c r="D5" s="910"/>
      <c r="E5" s="909"/>
      <c r="F5" s="882"/>
      <c r="G5" s="882"/>
      <c r="H5" s="887">
        <f>SUM(I5:K5)</f>
        <v>0</v>
      </c>
      <c r="I5" s="884"/>
      <c r="J5" s="885"/>
      <c r="K5" s="885"/>
      <c r="L5" s="887">
        <f>SUM(M5:Z5)</f>
        <v>154.96697482028239</v>
      </c>
      <c r="M5" s="884"/>
      <c r="N5" s="885"/>
      <c r="O5" s="885"/>
      <c r="P5" s="885"/>
      <c r="Q5" s="885"/>
      <c r="R5" s="885"/>
      <c r="S5" s="885">
        <v>10.364723131355934</v>
      </c>
      <c r="T5" s="885"/>
      <c r="U5" s="885">
        <v>144.60225168892646</v>
      </c>
      <c r="V5" s="885"/>
      <c r="W5" s="882"/>
      <c r="X5" s="882"/>
      <c r="Y5" s="882"/>
      <c r="Z5" s="885"/>
      <c r="AA5" s="887"/>
      <c r="AB5" s="880">
        <f>SUM(AC5:AM5)</f>
        <v>0</v>
      </c>
      <c r="AC5" s="886"/>
      <c r="AD5" s="885"/>
      <c r="AE5" s="885"/>
      <c r="AF5" s="885"/>
      <c r="AG5" s="885"/>
      <c r="AH5" s="885"/>
      <c r="AI5" s="885"/>
      <c r="AJ5" s="885"/>
      <c r="AK5" s="884"/>
      <c r="AL5" s="883"/>
      <c r="AM5" s="882"/>
      <c r="AN5" s="881"/>
      <c r="AO5" s="881"/>
      <c r="AP5" s="880"/>
      <c r="AQ5" s="879">
        <f t="shared" si="0"/>
        <v>154.96697482028239</v>
      </c>
    </row>
    <row r="6" spans="1:43" ht="12.75" customHeight="1" thickBot="1">
      <c r="A6" s="846" t="s">
        <v>97</v>
      </c>
      <c r="B6" s="845"/>
      <c r="C6" s="889">
        <f>SUM(D6:G6)</f>
        <v>207.77388436320965</v>
      </c>
      <c r="D6" s="908">
        <v>209.16909111570001</v>
      </c>
      <c r="E6" s="882">
        <v>-0.96640085119844543</v>
      </c>
      <c r="F6" s="838"/>
      <c r="G6" s="838">
        <v>-0.42880590129192003</v>
      </c>
      <c r="H6" s="836">
        <f>SUM(I6:K6)</f>
        <v>295.53180469315566</v>
      </c>
      <c r="I6" s="840">
        <v>288.83629383315565</v>
      </c>
      <c r="J6" s="840">
        <v>0</v>
      </c>
      <c r="K6" s="840">
        <v>6.6955108599999997</v>
      </c>
      <c r="L6" s="836">
        <f>SUM(M6:Z6)</f>
        <v>-182.63429511773668</v>
      </c>
      <c r="M6" s="884">
        <v>-67.58936669560002</v>
      </c>
      <c r="N6" s="885">
        <v>4.2156341015999974</v>
      </c>
      <c r="O6" s="885"/>
      <c r="P6" s="885">
        <v>-96.117885366666698</v>
      </c>
      <c r="Q6" s="885">
        <v>16.688286101760003</v>
      </c>
      <c r="R6" s="885">
        <v>-225.04359515519994</v>
      </c>
      <c r="S6" s="885">
        <v>-37.703638539830507</v>
      </c>
      <c r="T6" s="885">
        <v>7.9377671657441242</v>
      </c>
      <c r="U6" s="885">
        <v>182.3905546427726</v>
      </c>
      <c r="V6" s="885">
        <v>28.630400869396517</v>
      </c>
      <c r="W6" s="838">
        <v>3.9575477582872911</v>
      </c>
      <c r="X6" s="838">
        <v>0</v>
      </c>
      <c r="Y6" s="838">
        <v>0</v>
      </c>
      <c r="Z6" s="840">
        <v>0</v>
      </c>
      <c r="AA6" s="836">
        <v>0</v>
      </c>
      <c r="AB6" s="835">
        <f>SUM(AC6:AM6)</f>
        <v>-5.2357003918596003</v>
      </c>
      <c r="AC6" s="842"/>
      <c r="AD6" s="841"/>
      <c r="AE6" s="841">
        <v>-0.59495561337959979</v>
      </c>
      <c r="AF6" s="841"/>
      <c r="AG6" s="841"/>
      <c r="AH6" s="841"/>
      <c r="AI6" s="841">
        <v>-6.284147436864</v>
      </c>
      <c r="AJ6" s="841">
        <v>1.643402658384</v>
      </c>
      <c r="AK6" s="840"/>
      <c r="AL6" s="839"/>
      <c r="AM6" s="838"/>
      <c r="AN6" s="837"/>
      <c r="AO6" s="837"/>
      <c r="AP6" s="835"/>
      <c r="AQ6" s="834">
        <f t="shared" si="0"/>
        <v>315.43569354676902</v>
      </c>
    </row>
    <row r="7" spans="1:43" s="599" customFormat="1" ht="12.75" customHeight="1">
      <c r="A7" s="794" t="s">
        <v>98</v>
      </c>
      <c r="B7" s="793"/>
      <c r="C7" s="812">
        <f t="shared" ref="C7:AP7" si="1">C2+C3-C4-C5+C6</f>
        <v>376.61211783439137</v>
      </c>
      <c r="D7" s="806">
        <f t="shared" si="1"/>
        <v>329.22689159191663</v>
      </c>
      <c r="E7" s="810">
        <f t="shared" si="1"/>
        <v>41.0237663170346</v>
      </c>
      <c r="F7" s="810">
        <f t="shared" si="1"/>
        <v>0</v>
      </c>
      <c r="G7" s="810">
        <f t="shared" si="1"/>
        <v>6.3614599254401805</v>
      </c>
      <c r="H7" s="807">
        <f t="shared" si="1"/>
        <v>417.57072069315564</v>
      </c>
      <c r="I7" s="806">
        <f t="shared" si="1"/>
        <v>288.83629383315565</v>
      </c>
      <c r="J7" s="810">
        <f t="shared" si="1"/>
        <v>127.70399999999999</v>
      </c>
      <c r="K7" s="810">
        <f t="shared" si="1"/>
        <v>1.0304268599999995</v>
      </c>
      <c r="L7" s="807">
        <f t="shared" si="1"/>
        <v>6234.3566514155791</v>
      </c>
      <c r="M7" s="806">
        <f t="shared" si="1"/>
        <v>2901.7708306837999</v>
      </c>
      <c r="N7" s="810">
        <f t="shared" si="1"/>
        <v>4.2156341015999974</v>
      </c>
      <c r="O7" s="810">
        <f t="shared" si="1"/>
        <v>0</v>
      </c>
      <c r="P7" s="810">
        <f t="shared" si="1"/>
        <v>0.9969709555556534</v>
      </c>
      <c r="Q7" s="810">
        <f t="shared" si="1"/>
        <v>383.16965651328002</v>
      </c>
      <c r="R7" s="810">
        <f t="shared" si="1"/>
        <v>802.78007848584002</v>
      </c>
      <c r="S7" s="810">
        <f t="shared" si="1"/>
        <v>-683.33794927485883</v>
      </c>
      <c r="T7" s="810">
        <f t="shared" si="1"/>
        <v>127.94579087436031</v>
      </c>
      <c r="U7" s="810">
        <f t="shared" si="1"/>
        <v>2408.8841526207943</v>
      </c>
      <c r="V7" s="810">
        <f t="shared" si="1"/>
        <v>149.36795715715849</v>
      </c>
      <c r="W7" s="810">
        <f t="shared" si="1"/>
        <v>-91.446821914364634</v>
      </c>
      <c r="X7" s="810">
        <f t="shared" si="1"/>
        <v>187.58114307621256</v>
      </c>
      <c r="Y7" s="810">
        <f t="shared" si="1"/>
        <v>1.5030814826834278</v>
      </c>
      <c r="Z7" s="810">
        <f t="shared" si="1"/>
        <v>40.92612665351777</v>
      </c>
      <c r="AA7" s="807">
        <f t="shared" si="1"/>
        <v>4561.8781520016837</v>
      </c>
      <c r="AB7" s="807">
        <f t="shared" si="1"/>
        <v>1768.9443152199772</v>
      </c>
      <c r="AC7" s="806">
        <f t="shared" si="1"/>
        <v>80.208366922723997</v>
      </c>
      <c r="AD7" s="810">
        <f t="shared" si="1"/>
        <v>993.25012277472592</v>
      </c>
      <c r="AE7" s="810">
        <f t="shared" si="1"/>
        <v>258.84172276872022</v>
      </c>
      <c r="AF7" s="810">
        <f t="shared" si="1"/>
        <v>144.97518876199405</v>
      </c>
      <c r="AG7" s="810">
        <f t="shared" si="1"/>
        <v>28.899656228149642</v>
      </c>
      <c r="AH7" s="810">
        <f t="shared" si="1"/>
        <v>25.619503987293015</v>
      </c>
      <c r="AI7" s="810">
        <f t="shared" si="1"/>
        <v>139.87393163980798</v>
      </c>
      <c r="AJ7" s="810">
        <f t="shared" si="1"/>
        <v>21.489733902624</v>
      </c>
      <c r="AK7" s="809">
        <f t="shared" si="1"/>
        <v>4.6285652011099119</v>
      </c>
      <c r="AL7" s="806">
        <f t="shared" si="1"/>
        <v>14.050659116324853</v>
      </c>
      <c r="AM7" s="806">
        <f t="shared" si="1"/>
        <v>57.106863916503436</v>
      </c>
      <c r="AN7" s="807">
        <f t="shared" si="1"/>
        <v>146.72404491084089</v>
      </c>
      <c r="AO7" s="807">
        <f t="shared" si="1"/>
        <v>-13.059427659999983</v>
      </c>
      <c r="AP7" s="907">
        <f t="shared" si="1"/>
        <v>0</v>
      </c>
      <c r="AQ7" s="805">
        <f t="shared" si="0"/>
        <v>13493.026574415626</v>
      </c>
    </row>
    <row r="8" spans="1:43" s="599" customFormat="1" ht="12.75" customHeight="1" thickBot="1">
      <c r="A8" s="906" t="s">
        <v>99</v>
      </c>
      <c r="B8" s="905"/>
      <c r="C8" s="904">
        <f t="shared" ref="C8:AP8" si="2">C7-C27</f>
        <v>376.61211783439137</v>
      </c>
      <c r="D8" s="898">
        <f t="shared" si="2"/>
        <v>329.22689159191663</v>
      </c>
      <c r="E8" s="901">
        <f t="shared" si="2"/>
        <v>41.0237663170346</v>
      </c>
      <c r="F8" s="903">
        <f t="shared" si="2"/>
        <v>0</v>
      </c>
      <c r="G8" s="903">
        <f t="shared" si="2"/>
        <v>6.3614599254401805</v>
      </c>
      <c r="H8" s="899">
        <f t="shared" si="2"/>
        <v>417.57072069315564</v>
      </c>
      <c r="I8" s="898">
        <f t="shared" si="2"/>
        <v>288.83629383315565</v>
      </c>
      <c r="J8" s="901">
        <f t="shared" si="2"/>
        <v>127.70399999999999</v>
      </c>
      <c r="K8" s="901">
        <f t="shared" si="2"/>
        <v>1.0304268599999995</v>
      </c>
      <c r="L8" s="899">
        <f t="shared" si="2"/>
        <v>6004.3463002031658</v>
      </c>
      <c r="M8" s="898">
        <f t="shared" si="2"/>
        <v>2901.7708306837999</v>
      </c>
      <c r="N8" s="901">
        <f t="shared" si="2"/>
        <v>4.2156341015999974</v>
      </c>
      <c r="O8" s="901">
        <f t="shared" si="2"/>
        <v>0</v>
      </c>
      <c r="P8" s="901">
        <f t="shared" si="2"/>
        <v>0.9969709555556534</v>
      </c>
      <c r="Q8" s="901">
        <f t="shared" si="2"/>
        <v>383.16965651328002</v>
      </c>
      <c r="R8" s="901">
        <f t="shared" si="2"/>
        <v>802.78007848584002</v>
      </c>
      <c r="S8" s="901">
        <f t="shared" si="2"/>
        <v>-683.33794927485883</v>
      </c>
      <c r="T8" s="901">
        <f t="shared" si="2"/>
        <v>127.94579087436031</v>
      </c>
      <c r="U8" s="901">
        <f t="shared" si="2"/>
        <v>2408.8841526207943</v>
      </c>
      <c r="V8" s="901">
        <f t="shared" si="2"/>
        <v>149.36795715715849</v>
      </c>
      <c r="W8" s="903">
        <f t="shared" si="2"/>
        <v>-91.446821914364634</v>
      </c>
      <c r="X8" s="903">
        <f t="shared" si="2"/>
        <v>0</v>
      </c>
      <c r="Y8" s="903">
        <f t="shared" si="2"/>
        <v>0</v>
      </c>
      <c r="Z8" s="901">
        <f t="shared" si="2"/>
        <v>0</v>
      </c>
      <c r="AA8" s="899">
        <f t="shared" si="2"/>
        <v>4561.8781520016837</v>
      </c>
      <c r="AB8" s="902">
        <f t="shared" si="2"/>
        <v>1768.9443152199772</v>
      </c>
      <c r="AC8" s="898">
        <f t="shared" si="2"/>
        <v>80.208366922723997</v>
      </c>
      <c r="AD8" s="901">
        <f t="shared" si="2"/>
        <v>993.25012277472592</v>
      </c>
      <c r="AE8" s="901">
        <f t="shared" si="2"/>
        <v>258.84172276872022</v>
      </c>
      <c r="AF8" s="901">
        <f t="shared" si="2"/>
        <v>144.97518876199405</v>
      </c>
      <c r="AG8" s="901">
        <f t="shared" si="2"/>
        <v>28.899656228149642</v>
      </c>
      <c r="AH8" s="901">
        <f t="shared" si="2"/>
        <v>25.619503987293015</v>
      </c>
      <c r="AI8" s="901">
        <f t="shared" si="2"/>
        <v>139.87393163980798</v>
      </c>
      <c r="AJ8" s="901">
        <f t="shared" si="2"/>
        <v>21.489733902624</v>
      </c>
      <c r="AK8" s="900">
        <f t="shared" si="2"/>
        <v>4.6285652011099119</v>
      </c>
      <c r="AL8" s="898">
        <f t="shared" si="2"/>
        <v>14.050659116324853</v>
      </c>
      <c r="AM8" s="898">
        <f t="shared" si="2"/>
        <v>57.106863916503436</v>
      </c>
      <c r="AN8" s="899">
        <f t="shared" si="2"/>
        <v>146.72404491084089</v>
      </c>
      <c r="AO8" s="899">
        <f t="shared" si="2"/>
        <v>-13.059427659999983</v>
      </c>
      <c r="AP8" s="898">
        <f t="shared" si="2"/>
        <v>0</v>
      </c>
      <c r="AQ8" s="897">
        <f t="shared" si="0"/>
        <v>13263.016223203214</v>
      </c>
    </row>
    <row r="9" spans="1:43" s="599" customFormat="1" ht="12.75" customHeight="1">
      <c r="A9" s="794" t="s">
        <v>100</v>
      </c>
      <c r="B9" s="793"/>
      <c r="C9" s="812">
        <f t="shared" ref="C9:AP9" si="3">SUM(C10:C14)</f>
        <v>187.96128897265211</v>
      </c>
      <c r="D9" s="809">
        <f t="shared" si="3"/>
        <v>187.96128897265211</v>
      </c>
      <c r="E9" s="810">
        <f t="shared" si="3"/>
        <v>0</v>
      </c>
      <c r="F9" s="808">
        <f t="shared" si="3"/>
        <v>0</v>
      </c>
      <c r="G9" s="808">
        <f t="shared" si="3"/>
        <v>0</v>
      </c>
      <c r="H9" s="807">
        <f t="shared" si="3"/>
        <v>280.00586052289418</v>
      </c>
      <c r="I9" s="809">
        <f t="shared" si="3"/>
        <v>280.00586052289418</v>
      </c>
      <c r="J9" s="810">
        <f t="shared" si="3"/>
        <v>0</v>
      </c>
      <c r="K9" s="810">
        <f t="shared" si="3"/>
        <v>0</v>
      </c>
      <c r="L9" s="807">
        <f t="shared" si="3"/>
        <v>3048.2711489256285</v>
      </c>
      <c r="M9" s="810">
        <f t="shared" si="3"/>
        <v>2901.7708306837999</v>
      </c>
      <c r="N9" s="810">
        <f t="shared" si="3"/>
        <v>39.348421380785737</v>
      </c>
      <c r="O9" s="810">
        <f t="shared" si="3"/>
        <v>0</v>
      </c>
      <c r="P9" s="810">
        <f t="shared" si="3"/>
        <v>0</v>
      </c>
      <c r="Q9" s="810">
        <f t="shared" si="3"/>
        <v>0</v>
      </c>
      <c r="R9" s="810">
        <f t="shared" si="3"/>
        <v>0</v>
      </c>
      <c r="S9" s="810">
        <f t="shared" si="3"/>
        <v>95.284528897257388</v>
      </c>
      <c r="T9" s="810">
        <f t="shared" si="3"/>
        <v>0.43028177235839993</v>
      </c>
      <c r="U9" s="810">
        <f t="shared" si="3"/>
        <v>11.437086191427156</v>
      </c>
      <c r="V9" s="810">
        <f t="shared" si="3"/>
        <v>0</v>
      </c>
      <c r="W9" s="808">
        <f t="shared" si="3"/>
        <v>0</v>
      </c>
      <c r="X9" s="808">
        <f t="shared" si="3"/>
        <v>0</v>
      </c>
      <c r="Y9" s="808">
        <f t="shared" si="3"/>
        <v>0</v>
      </c>
      <c r="Z9" s="810">
        <f t="shared" si="3"/>
        <v>0</v>
      </c>
      <c r="AA9" s="807">
        <f t="shared" si="3"/>
        <v>2610.4804376181337</v>
      </c>
      <c r="AB9" s="806">
        <f t="shared" si="3"/>
        <v>237.33439802644062</v>
      </c>
      <c r="AC9" s="811">
        <f t="shared" si="3"/>
        <v>0</v>
      </c>
      <c r="AD9" s="810">
        <f t="shared" si="3"/>
        <v>0</v>
      </c>
      <c r="AE9" s="810">
        <f t="shared" si="3"/>
        <v>97.488187284489442</v>
      </c>
      <c r="AF9" s="810">
        <f t="shared" si="3"/>
        <v>101.61830092169394</v>
      </c>
      <c r="AG9" s="810">
        <f t="shared" si="3"/>
        <v>28.899656228149642</v>
      </c>
      <c r="AH9" s="810">
        <f t="shared" si="3"/>
        <v>9.3282535921076217</v>
      </c>
      <c r="AI9" s="810">
        <f t="shared" si="3"/>
        <v>0</v>
      </c>
      <c r="AJ9" s="810">
        <f t="shared" si="3"/>
        <v>0</v>
      </c>
      <c r="AK9" s="809">
        <f t="shared" si="3"/>
        <v>0</v>
      </c>
      <c r="AL9" s="806">
        <f t="shared" si="3"/>
        <v>0</v>
      </c>
      <c r="AM9" s="808">
        <f t="shared" si="3"/>
        <v>0</v>
      </c>
      <c r="AN9" s="807">
        <f t="shared" si="3"/>
        <v>93.128910481319267</v>
      </c>
      <c r="AO9" s="807">
        <f t="shared" si="3"/>
        <v>57.940724099999997</v>
      </c>
      <c r="AP9" s="806">
        <f t="shared" si="3"/>
        <v>0</v>
      </c>
      <c r="AQ9" s="896">
        <f t="shared" si="0"/>
        <v>6515.1227686470693</v>
      </c>
    </row>
    <row r="10" spans="1:43" ht="12.75" customHeight="1">
      <c r="A10" s="864" t="s">
        <v>101</v>
      </c>
      <c r="B10" s="713"/>
      <c r="C10" s="891">
        <f>SUM(D10:G10)</f>
        <v>187.96128897265211</v>
      </c>
      <c r="D10" s="857">
        <v>187.96128897265211</v>
      </c>
      <c r="E10" s="858"/>
      <c r="F10" s="855"/>
      <c r="G10" s="855"/>
      <c r="H10" s="853">
        <f>SUM(I10:K10)</f>
        <v>208.62191350617647</v>
      </c>
      <c r="I10" s="857">
        <v>208.62191350617647</v>
      </c>
      <c r="J10" s="858">
        <v>0</v>
      </c>
      <c r="K10" s="858"/>
      <c r="L10" s="853">
        <f>SUM(M10:Z10)</f>
        <v>106.72161508868454</v>
      </c>
      <c r="M10" s="858"/>
      <c r="N10" s="858"/>
      <c r="O10" s="858"/>
      <c r="P10" s="858"/>
      <c r="Q10" s="858"/>
      <c r="R10" s="858"/>
      <c r="S10" s="858">
        <v>95.284528897257388</v>
      </c>
      <c r="T10" s="858"/>
      <c r="U10" s="858">
        <v>11.437086191427156</v>
      </c>
      <c r="V10" s="858"/>
      <c r="W10" s="855"/>
      <c r="X10" s="855"/>
      <c r="Y10" s="855"/>
      <c r="Z10" s="858"/>
      <c r="AA10" s="853">
        <v>2290.6684276394058</v>
      </c>
      <c r="AB10" s="852">
        <f>SUM(AC10:AM10)</f>
        <v>224.95585242061873</v>
      </c>
      <c r="AC10" s="860"/>
      <c r="AD10" s="858"/>
      <c r="AE10" s="858">
        <v>94.437895270775158</v>
      </c>
      <c r="AF10" s="858">
        <v>101.61830092169394</v>
      </c>
      <c r="AG10" s="858">
        <v>28.899656228149642</v>
      </c>
      <c r="AH10" s="858"/>
      <c r="AI10" s="858"/>
      <c r="AJ10" s="858"/>
      <c r="AK10" s="857"/>
      <c r="AL10" s="856"/>
      <c r="AM10" s="855"/>
      <c r="AN10" s="854">
        <v>93.128910481319267</v>
      </c>
      <c r="AO10" s="853"/>
      <c r="AP10" s="852"/>
      <c r="AQ10" s="895">
        <f t="shared" si="0"/>
        <v>3112.0580081088565</v>
      </c>
    </row>
    <row r="11" spans="1:43" ht="12.75" customHeight="1">
      <c r="A11" s="739" t="s">
        <v>102</v>
      </c>
      <c r="B11" s="738"/>
      <c r="C11" s="889">
        <f>SUM(D11:G11)</f>
        <v>0</v>
      </c>
      <c r="D11" s="884">
        <v>0</v>
      </c>
      <c r="E11" s="885"/>
      <c r="F11" s="882"/>
      <c r="G11" s="882"/>
      <c r="H11" s="887">
        <f>SUM(I11:K11)</f>
        <v>5.7906996904019108</v>
      </c>
      <c r="I11" s="884">
        <v>5.7906996904019108</v>
      </c>
      <c r="J11" s="885"/>
      <c r="K11" s="885"/>
      <c r="L11" s="887">
        <f>SUM(M11:Z11)</f>
        <v>0.43028177235839993</v>
      </c>
      <c r="M11" s="885"/>
      <c r="N11" s="859"/>
      <c r="O11" s="859">
        <v>0</v>
      </c>
      <c r="P11" s="885"/>
      <c r="Q11" s="885"/>
      <c r="R11" s="885"/>
      <c r="S11" s="885">
        <v>0</v>
      </c>
      <c r="T11" s="885">
        <v>0.43028177235839993</v>
      </c>
      <c r="U11" s="885">
        <v>0</v>
      </c>
      <c r="V11" s="885"/>
      <c r="W11" s="882"/>
      <c r="X11" s="882"/>
      <c r="Y11" s="882"/>
      <c r="Z11" s="885"/>
      <c r="AA11" s="887">
        <v>276.52811295621609</v>
      </c>
      <c r="AB11" s="880">
        <f>SUM(AC11:AM11)</f>
        <v>12.378545605821907</v>
      </c>
      <c r="AC11" s="886"/>
      <c r="AD11" s="885"/>
      <c r="AE11" s="885">
        <v>3.0502920137142859</v>
      </c>
      <c r="AF11" s="885"/>
      <c r="AG11" s="885"/>
      <c r="AH11" s="885">
        <v>9.3282535921076217</v>
      </c>
      <c r="AI11" s="885"/>
      <c r="AJ11" s="885"/>
      <c r="AK11" s="884"/>
      <c r="AL11" s="883"/>
      <c r="AM11" s="882"/>
      <c r="AN11" s="881"/>
      <c r="AO11" s="881"/>
      <c r="AP11" s="880"/>
      <c r="AQ11" s="879">
        <f t="shared" si="0"/>
        <v>295.12764002479832</v>
      </c>
    </row>
    <row r="12" spans="1:43" ht="12.75" customHeight="1">
      <c r="A12" s="739" t="s">
        <v>103</v>
      </c>
      <c r="B12" s="738"/>
      <c r="C12" s="889"/>
      <c r="D12" s="884"/>
      <c r="E12" s="885"/>
      <c r="F12" s="882"/>
      <c r="G12" s="882"/>
      <c r="H12" s="887"/>
      <c r="I12" s="884"/>
      <c r="J12" s="885"/>
      <c r="K12" s="885"/>
      <c r="L12" s="887"/>
      <c r="M12" s="885"/>
      <c r="N12" s="859"/>
      <c r="O12" s="859"/>
      <c r="P12" s="885"/>
      <c r="Q12" s="885"/>
      <c r="R12" s="885"/>
      <c r="S12" s="885"/>
      <c r="T12" s="885"/>
      <c r="U12" s="885"/>
      <c r="V12" s="885"/>
      <c r="W12" s="882"/>
      <c r="X12" s="882"/>
      <c r="Y12" s="882"/>
      <c r="Z12" s="885"/>
      <c r="AA12" s="887"/>
      <c r="AB12" s="880"/>
      <c r="AC12" s="886"/>
      <c r="AD12" s="885"/>
      <c r="AE12" s="885"/>
      <c r="AF12" s="885"/>
      <c r="AG12" s="885"/>
      <c r="AH12" s="885"/>
      <c r="AI12" s="885"/>
      <c r="AJ12" s="885"/>
      <c r="AK12" s="884"/>
      <c r="AL12" s="883"/>
      <c r="AM12" s="882"/>
      <c r="AN12" s="881"/>
      <c r="AO12" s="881">
        <v>46.077264899999996</v>
      </c>
      <c r="AP12" s="880"/>
      <c r="AQ12" s="879">
        <f t="shared" si="0"/>
        <v>46.077264899999996</v>
      </c>
    </row>
    <row r="13" spans="1:43" ht="12.75" customHeight="1">
      <c r="A13" s="739" t="s">
        <v>104</v>
      </c>
      <c r="B13" s="738"/>
      <c r="C13" s="889">
        <f>SUM(D13:G13)</f>
        <v>0</v>
      </c>
      <c r="D13" s="884"/>
      <c r="E13" s="882"/>
      <c r="F13" s="882"/>
      <c r="G13" s="882"/>
      <c r="H13" s="887">
        <f>SUM(I13:K13)</f>
        <v>65.593247326315804</v>
      </c>
      <c r="I13" s="884">
        <v>65.593247326315804</v>
      </c>
      <c r="J13" s="885"/>
      <c r="K13" s="885"/>
      <c r="L13" s="887">
        <f>SUM(M13:Z13)</f>
        <v>0</v>
      </c>
      <c r="M13" s="885"/>
      <c r="N13" s="885"/>
      <c r="O13" s="885"/>
      <c r="P13" s="885"/>
      <c r="Q13" s="885"/>
      <c r="R13" s="885"/>
      <c r="S13" s="885"/>
      <c r="T13" s="885"/>
      <c r="U13" s="885"/>
      <c r="V13" s="885"/>
      <c r="W13" s="882"/>
      <c r="X13" s="882"/>
      <c r="Y13" s="882"/>
      <c r="Z13" s="885"/>
      <c r="AA13" s="887"/>
      <c r="AB13" s="880">
        <f>SUM(AC13:AM13)</f>
        <v>0</v>
      </c>
      <c r="AC13" s="886"/>
      <c r="AD13" s="885"/>
      <c r="AE13" s="885"/>
      <c r="AF13" s="885"/>
      <c r="AG13" s="885"/>
      <c r="AH13" s="885"/>
      <c r="AI13" s="885"/>
      <c r="AJ13" s="885"/>
      <c r="AK13" s="884"/>
      <c r="AL13" s="883"/>
      <c r="AM13" s="882"/>
      <c r="AN13" s="881"/>
      <c r="AO13" s="881"/>
      <c r="AP13" s="880"/>
      <c r="AQ13" s="879">
        <f t="shared" si="0"/>
        <v>65.593247326315804</v>
      </c>
    </row>
    <row r="14" spans="1:43" ht="12.75" customHeight="1">
      <c r="A14" s="727" t="s">
        <v>105</v>
      </c>
      <c r="B14" s="688"/>
      <c r="C14" s="878">
        <f>SUM(D14:G14)</f>
        <v>0</v>
      </c>
      <c r="D14" s="874"/>
      <c r="E14" s="875"/>
      <c r="F14" s="872"/>
      <c r="G14" s="872"/>
      <c r="H14" s="877">
        <f>SUM(I14:K14)</f>
        <v>0</v>
      </c>
      <c r="I14" s="874"/>
      <c r="J14" s="875"/>
      <c r="K14" s="875"/>
      <c r="L14" s="877">
        <f>SUM(M14:Z14)</f>
        <v>2941.1192520645855</v>
      </c>
      <c r="M14" s="875">
        <v>2901.7708306837999</v>
      </c>
      <c r="N14" s="875">
        <v>39.348421380785737</v>
      </c>
      <c r="O14" s="875"/>
      <c r="P14" s="875"/>
      <c r="Q14" s="875"/>
      <c r="R14" s="875"/>
      <c r="S14" s="875"/>
      <c r="T14" s="875"/>
      <c r="U14" s="875"/>
      <c r="V14" s="875"/>
      <c r="W14" s="872"/>
      <c r="X14" s="872"/>
      <c r="Y14" s="872"/>
      <c r="Z14" s="875"/>
      <c r="AA14" s="877">
        <v>43.283897022512029</v>
      </c>
      <c r="AB14" s="870">
        <f>SUM(AC14:AM14)</f>
        <v>0</v>
      </c>
      <c r="AC14" s="876"/>
      <c r="AD14" s="875"/>
      <c r="AE14" s="875"/>
      <c r="AF14" s="875"/>
      <c r="AG14" s="875"/>
      <c r="AH14" s="875"/>
      <c r="AI14" s="875"/>
      <c r="AJ14" s="875"/>
      <c r="AK14" s="874"/>
      <c r="AL14" s="873"/>
      <c r="AM14" s="872"/>
      <c r="AN14" s="871"/>
      <c r="AO14" s="871">
        <v>11.863459199999998</v>
      </c>
      <c r="AP14" s="870"/>
      <c r="AQ14" s="869">
        <f t="shared" si="0"/>
        <v>2996.2666082870974</v>
      </c>
    </row>
    <row r="15" spans="1:43" s="599" customFormat="1" ht="12.75" customHeight="1">
      <c r="A15" s="833" t="s">
        <v>106</v>
      </c>
      <c r="B15" s="832"/>
      <c r="C15" s="831">
        <f t="shared" ref="C15:AP15" si="4">SUM(C16:C20)</f>
        <v>0</v>
      </c>
      <c r="D15" s="830">
        <f t="shared" si="4"/>
        <v>0</v>
      </c>
      <c r="E15" s="829">
        <f t="shared" si="4"/>
        <v>0</v>
      </c>
      <c r="F15" s="893">
        <f t="shared" si="4"/>
        <v>0</v>
      </c>
      <c r="G15" s="893">
        <f t="shared" si="4"/>
        <v>0</v>
      </c>
      <c r="H15" s="822">
        <f t="shared" si="4"/>
        <v>62.313584960000007</v>
      </c>
      <c r="I15" s="830">
        <f t="shared" si="4"/>
        <v>0</v>
      </c>
      <c r="J15" s="829">
        <f t="shared" si="4"/>
        <v>0</v>
      </c>
      <c r="K15" s="829">
        <f t="shared" si="4"/>
        <v>62.313584960000007</v>
      </c>
      <c r="L15" s="822">
        <f t="shared" si="4"/>
        <v>2992.2669440998675</v>
      </c>
      <c r="M15" s="829">
        <f t="shared" si="4"/>
        <v>0</v>
      </c>
      <c r="N15" s="829">
        <f t="shared" si="4"/>
        <v>0</v>
      </c>
      <c r="O15" s="829">
        <f t="shared" si="4"/>
        <v>84.495308829318006</v>
      </c>
      <c r="P15" s="829">
        <f t="shared" si="4"/>
        <v>572.13670928888882</v>
      </c>
      <c r="Q15" s="829">
        <f t="shared" si="4"/>
        <v>292.80808059776007</v>
      </c>
      <c r="R15" s="829">
        <f t="shared" si="4"/>
        <v>0</v>
      </c>
      <c r="S15" s="829">
        <f t="shared" si="4"/>
        <v>811.56918787711868</v>
      </c>
      <c r="T15" s="829">
        <f t="shared" si="4"/>
        <v>58.857046748929513</v>
      </c>
      <c r="U15" s="829">
        <f t="shared" si="4"/>
        <v>1078.6036657440404</v>
      </c>
      <c r="V15" s="829">
        <f t="shared" si="4"/>
        <v>0</v>
      </c>
      <c r="W15" s="893">
        <f t="shared" si="4"/>
        <v>93.796945013812149</v>
      </c>
      <c r="X15" s="893">
        <f t="shared" si="4"/>
        <v>0</v>
      </c>
      <c r="Y15" s="893">
        <f t="shared" si="4"/>
        <v>0</v>
      </c>
      <c r="Z15" s="829">
        <f t="shared" si="4"/>
        <v>0</v>
      </c>
      <c r="AA15" s="822">
        <f t="shared" si="4"/>
        <v>0</v>
      </c>
      <c r="AB15" s="821">
        <f t="shared" si="4"/>
        <v>0</v>
      </c>
      <c r="AC15" s="828">
        <f t="shared" si="4"/>
        <v>0</v>
      </c>
      <c r="AD15" s="829">
        <f t="shared" si="4"/>
        <v>0</v>
      </c>
      <c r="AE15" s="829">
        <f t="shared" si="4"/>
        <v>0</v>
      </c>
      <c r="AF15" s="829">
        <f t="shared" si="4"/>
        <v>0</v>
      </c>
      <c r="AG15" s="829">
        <f t="shared" si="4"/>
        <v>0</v>
      </c>
      <c r="AH15" s="894">
        <f t="shared" si="4"/>
        <v>0</v>
      </c>
      <c r="AI15" s="829">
        <f t="shared" si="4"/>
        <v>0</v>
      </c>
      <c r="AJ15" s="829">
        <f t="shared" si="4"/>
        <v>0</v>
      </c>
      <c r="AK15" s="830">
        <f t="shared" si="4"/>
        <v>0</v>
      </c>
      <c r="AL15" s="821">
        <f t="shared" si="4"/>
        <v>0</v>
      </c>
      <c r="AM15" s="893">
        <f t="shared" si="4"/>
        <v>0</v>
      </c>
      <c r="AN15" s="822">
        <f t="shared" si="4"/>
        <v>0</v>
      </c>
      <c r="AO15" s="822">
        <f t="shared" si="4"/>
        <v>1698.2983985032706</v>
      </c>
      <c r="AP15" s="821">
        <f t="shared" si="4"/>
        <v>0</v>
      </c>
      <c r="AQ15" s="892">
        <f t="shared" si="0"/>
        <v>4752.8789275631379</v>
      </c>
    </row>
    <row r="16" spans="1:43" ht="12.75" customHeight="1">
      <c r="A16" s="864" t="s">
        <v>101</v>
      </c>
      <c r="B16" s="713"/>
      <c r="C16" s="891">
        <f>SUM(D16:G16)</f>
        <v>0</v>
      </c>
      <c r="D16" s="857"/>
      <c r="E16" s="858"/>
      <c r="F16" s="855"/>
      <c r="G16" s="855"/>
      <c r="H16" s="853">
        <f>SUM(I16:K16)</f>
        <v>0</v>
      </c>
      <c r="I16" s="857"/>
      <c r="J16" s="858"/>
      <c r="K16" s="858"/>
      <c r="L16" s="853">
        <f>SUM(M16:Z16)</f>
        <v>0</v>
      </c>
      <c r="M16" s="858"/>
      <c r="N16" s="858"/>
      <c r="O16" s="858"/>
      <c r="P16" s="858"/>
      <c r="Q16" s="858"/>
      <c r="R16" s="858"/>
      <c r="S16" s="858"/>
      <c r="T16" s="858"/>
      <c r="U16" s="858"/>
      <c r="V16" s="858"/>
      <c r="W16" s="855"/>
      <c r="X16" s="855"/>
      <c r="Y16" s="855"/>
      <c r="Z16" s="858"/>
      <c r="AA16" s="853"/>
      <c r="AB16" s="852">
        <f>SUM(AC16:AL16)</f>
        <v>0</v>
      </c>
      <c r="AC16" s="860"/>
      <c r="AD16" s="858"/>
      <c r="AE16" s="858"/>
      <c r="AF16" s="858"/>
      <c r="AG16" s="858"/>
      <c r="AH16" s="859"/>
      <c r="AI16" s="858"/>
      <c r="AJ16" s="858"/>
      <c r="AK16" s="857"/>
      <c r="AL16" s="856"/>
      <c r="AM16" s="855"/>
      <c r="AN16" s="854"/>
      <c r="AO16" s="854">
        <v>1492.5647685396975</v>
      </c>
      <c r="AP16" s="852"/>
      <c r="AQ16" s="851">
        <f>C16+H16+L16+AA16+AO16+AP16</f>
        <v>1492.5647685396975</v>
      </c>
    </row>
    <row r="17" spans="1:43" ht="12.75" customHeight="1">
      <c r="A17" s="739" t="s">
        <v>102</v>
      </c>
      <c r="B17" s="738"/>
      <c r="C17" s="889">
        <f>SUM(D17:G17)</f>
        <v>0</v>
      </c>
      <c r="D17" s="884"/>
      <c r="E17" s="885"/>
      <c r="F17" s="882"/>
      <c r="G17" s="882"/>
      <c r="H17" s="887">
        <f>SUM(I17:K17)</f>
        <v>0</v>
      </c>
      <c r="I17" s="884"/>
      <c r="J17" s="885"/>
      <c r="K17" s="885"/>
      <c r="L17" s="887">
        <f>SUM(M17:Z17)</f>
        <v>0</v>
      </c>
      <c r="M17" s="885"/>
      <c r="N17" s="885"/>
      <c r="O17" s="885"/>
      <c r="P17" s="885"/>
      <c r="Q17" s="885"/>
      <c r="R17" s="885"/>
      <c r="S17" s="885"/>
      <c r="T17" s="885"/>
      <c r="U17" s="885"/>
      <c r="V17" s="885"/>
      <c r="W17" s="882"/>
      <c r="X17" s="882"/>
      <c r="Y17" s="882"/>
      <c r="Z17" s="885"/>
      <c r="AA17" s="887"/>
      <c r="AB17" s="880">
        <f>SUM(AC17:AL17)</f>
        <v>0</v>
      </c>
      <c r="AC17" s="886"/>
      <c r="AD17" s="885"/>
      <c r="AE17" s="885"/>
      <c r="AF17" s="885"/>
      <c r="AG17" s="885"/>
      <c r="AH17" s="885"/>
      <c r="AI17" s="885"/>
      <c r="AJ17" s="885"/>
      <c r="AK17" s="884"/>
      <c r="AL17" s="883"/>
      <c r="AM17" s="882"/>
      <c r="AN17" s="881"/>
      <c r="AO17" s="890">
        <v>180.659271357237</v>
      </c>
      <c r="AP17" s="880"/>
      <c r="AQ17" s="879">
        <f>C17+H17+L17+AA17+AO17+AP17</f>
        <v>180.659271357237</v>
      </c>
    </row>
    <row r="18" spans="1:43" ht="12.75" customHeight="1">
      <c r="A18" s="739" t="s">
        <v>107</v>
      </c>
      <c r="B18" s="738"/>
      <c r="C18" s="889"/>
      <c r="D18" s="884"/>
      <c r="E18" s="885"/>
      <c r="F18" s="882"/>
      <c r="G18" s="882"/>
      <c r="H18" s="887"/>
      <c r="I18" s="884"/>
      <c r="J18" s="885"/>
      <c r="K18" s="885"/>
      <c r="L18" s="887"/>
      <c r="M18" s="885"/>
      <c r="N18" s="885"/>
      <c r="O18" s="885"/>
      <c r="P18" s="885"/>
      <c r="Q18" s="885"/>
      <c r="R18" s="885"/>
      <c r="S18" s="885"/>
      <c r="T18" s="885"/>
      <c r="U18" s="885"/>
      <c r="V18" s="885"/>
      <c r="W18" s="882"/>
      <c r="X18" s="882"/>
      <c r="Y18" s="882"/>
      <c r="Z18" s="885"/>
      <c r="AA18" s="887"/>
      <c r="AB18" s="880"/>
      <c r="AC18" s="886"/>
      <c r="AD18" s="885"/>
      <c r="AE18" s="885"/>
      <c r="AF18" s="885"/>
      <c r="AG18" s="885"/>
      <c r="AH18" s="885"/>
      <c r="AI18" s="885"/>
      <c r="AJ18" s="885"/>
      <c r="AK18" s="884"/>
      <c r="AL18" s="883"/>
      <c r="AM18" s="882"/>
      <c r="AN18" s="881"/>
      <c r="AO18" s="881">
        <v>25.074358606335995</v>
      </c>
      <c r="AP18" s="880"/>
      <c r="AQ18" s="879">
        <f>C18+H18+L18+AA18+AB18+AN18+AO18+AP18</f>
        <v>25.074358606335995</v>
      </c>
    </row>
    <row r="19" spans="1:43" ht="12.75" customHeight="1">
      <c r="A19" s="739" t="s">
        <v>104</v>
      </c>
      <c r="B19" s="738"/>
      <c r="C19" s="889"/>
      <c r="D19" s="888"/>
      <c r="E19" s="885"/>
      <c r="F19" s="882"/>
      <c r="G19" s="882"/>
      <c r="H19" s="887">
        <f>SUM(I19:K19)</f>
        <v>62.313584960000007</v>
      </c>
      <c r="I19" s="884"/>
      <c r="J19" s="885"/>
      <c r="K19" s="885">
        <v>62.313584960000007</v>
      </c>
      <c r="L19" s="887">
        <f>SUM(M19:Z19)</f>
        <v>0</v>
      </c>
      <c r="M19" s="885"/>
      <c r="N19" s="885"/>
      <c r="O19" s="885"/>
      <c r="P19" s="885"/>
      <c r="Q19" s="885"/>
      <c r="R19" s="885"/>
      <c r="S19" s="885"/>
      <c r="T19" s="885"/>
      <c r="U19" s="885"/>
      <c r="V19" s="885"/>
      <c r="W19" s="882"/>
      <c r="X19" s="882"/>
      <c r="Y19" s="882"/>
      <c r="Z19" s="885"/>
      <c r="AA19" s="887"/>
      <c r="AB19" s="880">
        <f>SUM(AC19:AL19)</f>
        <v>0</v>
      </c>
      <c r="AC19" s="886"/>
      <c r="AD19" s="885"/>
      <c r="AE19" s="885"/>
      <c r="AF19" s="885"/>
      <c r="AG19" s="885"/>
      <c r="AH19" s="885"/>
      <c r="AI19" s="885"/>
      <c r="AJ19" s="885"/>
      <c r="AK19" s="884"/>
      <c r="AL19" s="883"/>
      <c r="AM19" s="882"/>
      <c r="AN19" s="881"/>
      <c r="AO19" s="881"/>
      <c r="AP19" s="880"/>
      <c r="AQ19" s="879">
        <f>C19+H19+L19+AA19+AB19+AN19+AO19+AP19</f>
        <v>62.313584960000007</v>
      </c>
    </row>
    <row r="20" spans="1:43" ht="12.75" customHeight="1">
      <c r="A20" s="727" t="s">
        <v>108</v>
      </c>
      <c r="B20" s="688"/>
      <c r="C20" s="878"/>
      <c r="D20" s="874"/>
      <c r="E20" s="875"/>
      <c r="F20" s="872"/>
      <c r="G20" s="872"/>
      <c r="H20" s="877">
        <f>SUM(I20:K20)</f>
        <v>0</v>
      </c>
      <c r="I20" s="874"/>
      <c r="J20" s="875"/>
      <c r="K20" s="875"/>
      <c r="L20" s="877">
        <f>SUM(M20:Z20)</f>
        <v>2992.2669440998675</v>
      </c>
      <c r="M20" s="875"/>
      <c r="N20" s="875"/>
      <c r="O20" s="875">
        <v>84.495308829318006</v>
      </c>
      <c r="P20" s="875">
        <v>572.13670928888882</v>
      </c>
      <c r="Q20" s="875">
        <v>292.80808059776007</v>
      </c>
      <c r="R20" s="875">
        <v>0</v>
      </c>
      <c r="S20" s="875">
        <v>811.56918787711868</v>
      </c>
      <c r="T20" s="875">
        <v>58.857046748929513</v>
      </c>
      <c r="U20" s="875">
        <v>1078.6036657440404</v>
      </c>
      <c r="V20" s="875"/>
      <c r="W20" s="872">
        <v>93.796945013812149</v>
      </c>
      <c r="X20" s="872"/>
      <c r="Y20" s="872"/>
      <c r="Z20" s="875"/>
      <c r="AA20" s="877"/>
      <c r="AB20" s="870">
        <f>SUM(AC20:AL20)</f>
        <v>0</v>
      </c>
      <c r="AC20" s="876"/>
      <c r="AD20" s="875"/>
      <c r="AE20" s="875"/>
      <c r="AF20" s="875"/>
      <c r="AG20" s="875"/>
      <c r="AH20" s="875"/>
      <c r="AI20" s="875"/>
      <c r="AJ20" s="875"/>
      <c r="AK20" s="874"/>
      <c r="AL20" s="873"/>
      <c r="AM20" s="872"/>
      <c r="AN20" s="871"/>
      <c r="AO20" s="871"/>
      <c r="AP20" s="870"/>
      <c r="AQ20" s="869">
        <f>C20+H20+L20+AA20+AB20+AN20+AO20+AP20</f>
        <v>2992.2669440998675</v>
      </c>
    </row>
    <row r="21" spans="1:43" ht="12.75" customHeight="1">
      <c r="A21" s="700" t="s">
        <v>109</v>
      </c>
      <c r="B21" s="699"/>
      <c r="C21" s="868">
        <f>SUM(C22:C24)</f>
        <v>19.155558876106678</v>
      </c>
      <c r="D21" s="799">
        <f>SUM(D22:D24)</f>
        <v>-19.827099062399999</v>
      </c>
      <c r="E21" s="800">
        <f>SUM(E22:E24)</f>
        <v>38.982657938506676</v>
      </c>
      <c r="F21" s="798">
        <f>SUM(F22:F24)</f>
        <v>0</v>
      </c>
      <c r="G21" s="798">
        <f>SUM(G22:G24)</f>
        <v>0</v>
      </c>
      <c r="H21" s="866">
        <f>SUM(I21:K21)</f>
        <v>0</v>
      </c>
      <c r="I21" s="799">
        <f>SUM(I22:I24)</f>
        <v>0</v>
      </c>
      <c r="J21" s="800">
        <f>SUM(J22:J24)</f>
        <v>0</v>
      </c>
      <c r="K21" s="800">
        <f>SUM(K22:K24)</f>
        <v>0</v>
      </c>
      <c r="L21" s="866">
        <f>SUM(M21:Z21)</f>
        <v>-60.939829204231827</v>
      </c>
      <c r="M21" s="800">
        <f t="shared" ref="M21:AQ21" si="5">SUM(M22:M24)</f>
        <v>0</v>
      </c>
      <c r="N21" s="800">
        <f t="shared" si="5"/>
        <v>35.097727237018994</v>
      </c>
      <c r="O21" s="800">
        <f t="shared" si="5"/>
        <v>0</v>
      </c>
      <c r="P21" s="800">
        <f t="shared" si="5"/>
        <v>-13.674110888888944</v>
      </c>
      <c r="Q21" s="800">
        <f t="shared" si="5"/>
        <v>404.83171025024006</v>
      </c>
      <c r="R21" s="800">
        <f t="shared" si="5"/>
        <v>-403.94964040031999</v>
      </c>
      <c r="S21" s="800">
        <f t="shared" si="5"/>
        <v>-0.67111475508474583</v>
      </c>
      <c r="T21" s="800">
        <f t="shared" si="5"/>
        <v>0</v>
      </c>
      <c r="U21" s="800">
        <f t="shared" si="5"/>
        <v>-61.068805771090524</v>
      </c>
      <c r="V21" s="800">
        <f t="shared" si="5"/>
        <v>-19.155558876106678</v>
      </c>
      <c r="W21" s="798">
        <f t="shared" si="5"/>
        <v>-2.3500360000000002</v>
      </c>
      <c r="X21" s="798">
        <f t="shared" si="5"/>
        <v>0</v>
      </c>
      <c r="Y21" s="798">
        <f t="shared" si="5"/>
        <v>0</v>
      </c>
      <c r="Z21" s="800">
        <f t="shared" si="5"/>
        <v>0</v>
      </c>
      <c r="AA21" s="866">
        <f t="shared" si="5"/>
        <v>0</v>
      </c>
      <c r="AB21" s="865">
        <f t="shared" si="5"/>
        <v>-1078.0870548985599</v>
      </c>
      <c r="AC21" s="801">
        <f t="shared" si="5"/>
        <v>-80.208366922723997</v>
      </c>
      <c r="AD21" s="800">
        <f t="shared" si="5"/>
        <v>-993.25012277472592</v>
      </c>
      <c r="AE21" s="800">
        <f t="shared" si="5"/>
        <v>0</v>
      </c>
      <c r="AF21" s="800">
        <f t="shared" si="5"/>
        <v>0</v>
      </c>
      <c r="AG21" s="800">
        <f t="shared" si="5"/>
        <v>0</v>
      </c>
      <c r="AH21" s="867">
        <f t="shared" si="5"/>
        <v>0</v>
      </c>
      <c r="AI21" s="800">
        <f t="shared" si="5"/>
        <v>0</v>
      </c>
      <c r="AJ21" s="800">
        <f t="shared" si="5"/>
        <v>0</v>
      </c>
      <c r="AK21" s="799">
        <f t="shared" si="5"/>
        <v>-4.6285652011099119</v>
      </c>
      <c r="AL21" s="796">
        <f t="shared" si="5"/>
        <v>0</v>
      </c>
      <c r="AM21" s="798">
        <f t="shared" si="5"/>
        <v>0</v>
      </c>
      <c r="AN21" s="797">
        <f t="shared" si="5"/>
        <v>0</v>
      </c>
      <c r="AO21" s="866">
        <f t="shared" si="5"/>
        <v>1078.0870548985599</v>
      </c>
      <c r="AP21" s="865">
        <f t="shared" si="5"/>
        <v>0</v>
      </c>
      <c r="AQ21" s="795">
        <f t="shared" si="5"/>
        <v>-41.784270328125146</v>
      </c>
    </row>
    <row r="22" spans="1:43" ht="12.75" customHeight="1">
      <c r="A22" s="864" t="s">
        <v>110</v>
      </c>
      <c r="B22" s="713"/>
      <c r="C22" s="863"/>
      <c r="D22" s="862"/>
      <c r="E22" s="861"/>
      <c r="F22" s="855"/>
      <c r="G22" s="855"/>
      <c r="H22" s="853"/>
      <c r="I22" s="856"/>
      <c r="J22" s="858"/>
      <c r="K22" s="858"/>
      <c r="L22" s="853"/>
      <c r="M22" s="858"/>
      <c r="N22" s="858"/>
      <c r="O22" s="858"/>
      <c r="P22" s="858"/>
      <c r="Q22" s="858"/>
      <c r="R22" s="858"/>
      <c r="S22" s="858"/>
      <c r="T22" s="858"/>
      <c r="U22" s="858"/>
      <c r="V22" s="858"/>
      <c r="W22" s="855"/>
      <c r="X22" s="855"/>
      <c r="Y22" s="855"/>
      <c r="Z22" s="858"/>
      <c r="AA22" s="853"/>
      <c r="AB22" s="852">
        <f>SUM(AC22:AM22)</f>
        <v>-1078.0870548985599</v>
      </c>
      <c r="AC22" s="860">
        <f>-AC2</f>
        <v>-80.208366922723997</v>
      </c>
      <c r="AD22" s="858">
        <f>-AD2</f>
        <v>-993.25012277472592</v>
      </c>
      <c r="AE22" s="858"/>
      <c r="AF22" s="858"/>
      <c r="AG22" s="858"/>
      <c r="AH22" s="859"/>
      <c r="AI22" s="858"/>
      <c r="AJ22" s="858"/>
      <c r="AK22" s="857">
        <v>-4.6285652011099119</v>
      </c>
      <c r="AL22" s="856"/>
      <c r="AM22" s="855"/>
      <c r="AN22" s="854"/>
      <c r="AO22" s="853">
        <f>-(C22+H22+L22+AA22+AB22)</f>
        <v>1078.0870548985599</v>
      </c>
      <c r="AP22" s="852"/>
      <c r="AQ22" s="851">
        <f>C22+H22+L22+AA22+AB22+AN22+AO22+AP22</f>
        <v>0</v>
      </c>
    </row>
    <row r="23" spans="1:43" ht="12.75" customHeight="1">
      <c r="A23" s="850" t="s">
        <v>111</v>
      </c>
      <c r="B23" s="832"/>
      <c r="C23" s="849"/>
      <c r="D23" s="848"/>
      <c r="E23" s="829"/>
      <c r="F23" s="824"/>
      <c r="G23" s="824"/>
      <c r="H23" s="822"/>
      <c r="I23" s="825"/>
      <c r="J23" s="827"/>
      <c r="K23" s="827"/>
      <c r="L23" s="822"/>
      <c r="M23" s="827"/>
      <c r="N23" s="827"/>
      <c r="O23" s="827"/>
      <c r="P23" s="827"/>
      <c r="Q23" s="827"/>
      <c r="R23" s="827"/>
      <c r="S23" s="827"/>
      <c r="T23" s="827"/>
      <c r="U23" s="827"/>
      <c r="V23" s="827"/>
      <c r="W23" s="824"/>
      <c r="X23" s="824"/>
      <c r="Y23" s="824"/>
      <c r="Z23" s="827"/>
      <c r="AA23" s="822"/>
      <c r="AB23" s="821"/>
      <c r="AC23" s="847"/>
      <c r="AD23" s="827"/>
      <c r="AE23" s="827"/>
      <c r="AF23" s="827"/>
      <c r="AG23" s="827"/>
      <c r="AH23" s="827"/>
      <c r="AI23" s="827"/>
      <c r="AJ23" s="827"/>
      <c r="AK23" s="826"/>
      <c r="AL23" s="825"/>
      <c r="AM23" s="824"/>
      <c r="AN23" s="823"/>
      <c r="AO23" s="822"/>
      <c r="AP23" s="821"/>
      <c r="AQ23" s="820">
        <f>C23+H23+L23+AA23+AB23+AN23+AO23+AP23</f>
        <v>0</v>
      </c>
    </row>
    <row r="24" spans="1:43" ht="12.75" customHeight="1" thickBot="1">
      <c r="A24" s="846" t="s">
        <v>112</v>
      </c>
      <c r="B24" s="845"/>
      <c r="C24" s="844">
        <f>SUM(D24:G24)</f>
        <v>19.155558876106678</v>
      </c>
      <c r="D24" s="843">
        <v>-19.827099062399999</v>
      </c>
      <c r="E24" s="841">
        <f>-D24-V24</f>
        <v>38.982657938506676</v>
      </c>
      <c r="F24" s="838"/>
      <c r="G24" s="838"/>
      <c r="H24" s="836"/>
      <c r="I24" s="839"/>
      <c r="J24" s="841"/>
      <c r="K24" s="841"/>
      <c r="L24" s="836">
        <f>SUM(N24:Z24)</f>
        <v>-60.939829204231827</v>
      </c>
      <c r="M24" s="841"/>
      <c r="N24" s="841">
        <v>35.097727237018994</v>
      </c>
      <c r="O24" s="841"/>
      <c r="P24" s="841">
        <v>-13.674110888888944</v>
      </c>
      <c r="Q24" s="841">
        <v>404.83171025024006</v>
      </c>
      <c r="R24" s="841">
        <v>-403.94964040031999</v>
      </c>
      <c r="S24" s="841">
        <v>-0.67111475508474583</v>
      </c>
      <c r="T24" s="841"/>
      <c r="U24" s="841">
        <v>-61.068805771090524</v>
      </c>
      <c r="V24" s="838">
        <v>-19.155558876106678</v>
      </c>
      <c r="W24" s="838">
        <v>-2.3500360000000002</v>
      </c>
      <c r="X24" s="838"/>
      <c r="Y24" s="838"/>
      <c r="Z24" s="841"/>
      <c r="AA24" s="836"/>
      <c r="AB24" s="836">
        <f>SUM(AC24:AM24)</f>
        <v>0</v>
      </c>
      <c r="AC24" s="842"/>
      <c r="AD24" s="841"/>
      <c r="AE24" s="841"/>
      <c r="AF24" s="841"/>
      <c r="AG24" s="841"/>
      <c r="AH24" s="841"/>
      <c r="AI24" s="841"/>
      <c r="AJ24" s="841"/>
      <c r="AK24" s="840"/>
      <c r="AL24" s="839"/>
      <c r="AM24" s="838"/>
      <c r="AN24" s="837"/>
      <c r="AO24" s="836"/>
      <c r="AP24" s="835"/>
      <c r="AQ24" s="834">
        <f>C24+H24+L24+AA24+AB24+AN24+AO24+AP24</f>
        <v>-41.784270328125146</v>
      </c>
    </row>
    <row r="25" spans="1:43" ht="12.75" customHeight="1" thickBot="1">
      <c r="A25" s="833" t="s">
        <v>113</v>
      </c>
      <c r="B25" s="832"/>
      <c r="C25" s="831">
        <f>SUM(D25:G25)</f>
        <v>0</v>
      </c>
      <c r="D25" s="830"/>
      <c r="E25" s="829"/>
      <c r="F25" s="824"/>
      <c r="G25" s="824"/>
      <c r="H25" s="822">
        <f>SUM(I25:K25)</f>
        <v>9.048846725801786</v>
      </c>
      <c r="I25" s="824">
        <v>9.048846725801786</v>
      </c>
      <c r="J25" s="827"/>
      <c r="K25" s="827"/>
      <c r="L25" s="822">
        <f>SUM(O25:Z25)</f>
        <v>93.031060787230373</v>
      </c>
      <c r="M25" s="827"/>
      <c r="N25" s="827"/>
      <c r="O25" s="827">
        <v>87.69297625013786</v>
      </c>
      <c r="P25" s="827"/>
      <c r="Q25" s="827"/>
      <c r="R25" s="827"/>
      <c r="S25" s="827">
        <v>0</v>
      </c>
      <c r="T25" s="827">
        <v>4.1693256233877908E-3</v>
      </c>
      <c r="U25" s="827">
        <v>5.3339152114691144</v>
      </c>
      <c r="V25" s="827"/>
      <c r="W25" s="824"/>
      <c r="X25" s="824"/>
      <c r="Y25" s="824"/>
      <c r="Z25" s="827"/>
      <c r="AA25" s="822">
        <v>60.96626883535253</v>
      </c>
      <c r="AB25" s="821">
        <f>SUM(AC25:AI25)</f>
        <v>0</v>
      </c>
      <c r="AC25" s="828"/>
      <c r="AD25" s="827"/>
      <c r="AE25" s="827"/>
      <c r="AF25" s="827"/>
      <c r="AG25" s="827"/>
      <c r="AH25" s="827"/>
      <c r="AI25" s="827"/>
      <c r="AJ25" s="827"/>
      <c r="AK25" s="826"/>
      <c r="AL25" s="825"/>
      <c r="AM25" s="824"/>
      <c r="AN25" s="823"/>
      <c r="AO25" s="822">
        <v>264.07372728641479</v>
      </c>
      <c r="AP25" s="821"/>
      <c r="AQ25" s="820">
        <f>C25+H25+L25+AA25+AB25+AN25+AO25+AP25</f>
        <v>427.11990363479947</v>
      </c>
    </row>
    <row r="26" spans="1:43" s="599" customFormat="1" ht="12.75" customHeight="1" thickBot="1">
      <c r="A26" s="676" t="s">
        <v>114</v>
      </c>
      <c r="B26" s="675"/>
      <c r="C26" s="819">
        <f t="shared" ref="C26:AP26" si="6">C7-C9+C15+C21-C25</f>
        <v>207.80638773784594</v>
      </c>
      <c r="D26" s="818">
        <f t="shared" si="6"/>
        <v>121.43850355686452</v>
      </c>
      <c r="E26" s="817">
        <f t="shared" si="6"/>
        <v>80.006424255541276</v>
      </c>
      <c r="F26" s="817">
        <f t="shared" si="6"/>
        <v>0</v>
      </c>
      <c r="G26" s="817">
        <f t="shared" si="6"/>
        <v>6.3614599254401805</v>
      </c>
      <c r="H26" s="815">
        <f t="shared" si="6"/>
        <v>190.82959840445969</v>
      </c>
      <c r="I26" s="818">
        <f t="shared" si="6"/>
        <v>-0.21841341554031679</v>
      </c>
      <c r="J26" s="817">
        <f t="shared" si="6"/>
        <v>127.70399999999999</v>
      </c>
      <c r="K26" s="817">
        <f t="shared" si="6"/>
        <v>63.344011820000006</v>
      </c>
      <c r="L26" s="815">
        <f t="shared" si="6"/>
        <v>6024.3815565983559</v>
      </c>
      <c r="M26" s="817">
        <f t="shared" si="6"/>
        <v>0</v>
      </c>
      <c r="N26" s="817">
        <f t="shared" si="6"/>
        <v>-3.5060042166747962E-2</v>
      </c>
      <c r="O26" s="817">
        <f t="shared" si="6"/>
        <v>-3.1976674208198546</v>
      </c>
      <c r="P26" s="817">
        <f t="shared" si="6"/>
        <v>559.45956935555557</v>
      </c>
      <c r="Q26" s="817">
        <f t="shared" si="6"/>
        <v>1080.8094473612803</v>
      </c>
      <c r="R26" s="817">
        <f t="shared" si="6"/>
        <v>398.83043808552003</v>
      </c>
      <c r="S26" s="817">
        <f t="shared" si="6"/>
        <v>32.275594949917746</v>
      </c>
      <c r="T26" s="817">
        <f t="shared" si="6"/>
        <v>186.36838652530804</v>
      </c>
      <c r="U26" s="817">
        <f t="shared" si="6"/>
        <v>3409.6480111908481</v>
      </c>
      <c r="V26" s="817">
        <f t="shared" si="6"/>
        <v>130.2123982810518</v>
      </c>
      <c r="W26" s="817">
        <f t="shared" si="6"/>
        <v>8.7099447514837891E-5</v>
      </c>
      <c r="X26" s="817">
        <f t="shared" si="6"/>
        <v>187.58114307621256</v>
      </c>
      <c r="Y26" s="817">
        <f t="shared" si="6"/>
        <v>1.5030814826834278</v>
      </c>
      <c r="Z26" s="817">
        <f t="shared" si="6"/>
        <v>40.92612665351777</v>
      </c>
      <c r="AA26" s="815">
        <f t="shared" si="6"/>
        <v>1890.4314455481974</v>
      </c>
      <c r="AB26" s="814">
        <f t="shared" si="6"/>
        <v>453.52286229497668</v>
      </c>
      <c r="AC26" s="811">
        <f t="shared" si="6"/>
        <v>0</v>
      </c>
      <c r="AD26" s="810">
        <f t="shared" si="6"/>
        <v>0</v>
      </c>
      <c r="AE26" s="810">
        <f t="shared" si="6"/>
        <v>161.35353548423078</v>
      </c>
      <c r="AF26" s="810">
        <f t="shared" si="6"/>
        <v>43.356887840300104</v>
      </c>
      <c r="AG26" s="810">
        <f t="shared" si="6"/>
        <v>0</v>
      </c>
      <c r="AH26" s="810">
        <f t="shared" si="6"/>
        <v>16.291250395185394</v>
      </c>
      <c r="AI26" s="810">
        <f t="shared" si="6"/>
        <v>139.87393163980798</v>
      </c>
      <c r="AJ26" s="810">
        <f t="shared" si="6"/>
        <v>21.489733902624</v>
      </c>
      <c r="AK26" s="809">
        <f t="shared" si="6"/>
        <v>0</v>
      </c>
      <c r="AL26" s="806">
        <f t="shared" si="6"/>
        <v>14.050659116324853</v>
      </c>
      <c r="AM26" s="816">
        <f t="shared" si="6"/>
        <v>57.106863916503436</v>
      </c>
      <c r="AN26" s="815">
        <f t="shared" si="6"/>
        <v>53.595134429521622</v>
      </c>
      <c r="AO26" s="815">
        <f t="shared" si="6"/>
        <v>2441.3115743554158</v>
      </c>
      <c r="AP26" s="814">
        <f t="shared" si="6"/>
        <v>0</v>
      </c>
      <c r="AQ26" s="813">
        <f>C26+H26+L26+AA26+AB26+AN26+AO26+AP26</f>
        <v>11261.878559368772</v>
      </c>
    </row>
    <row r="27" spans="1:43" s="599" customFormat="1" ht="12.75" customHeight="1">
      <c r="A27" s="794" t="s">
        <v>115</v>
      </c>
      <c r="B27" s="793"/>
      <c r="C27" s="812">
        <f t="shared" ref="C27:V27" si="7">C28</f>
        <v>0</v>
      </c>
      <c r="D27" s="809">
        <f t="shared" si="7"/>
        <v>0</v>
      </c>
      <c r="E27" s="810">
        <f t="shared" si="7"/>
        <v>0</v>
      </c>
      <c r="F27" s="808">
        <f t="shared" si="7"/>
        <v>0</v>
      </c>
      <c r="G27" s="808">
        <f t="shared" si="7"/>
        <v>0</v>
      </c>
      <c r="H27" s="807">
        <f t="shared" si="7"/>
        <v>0</v>
      </c>
      <c r="I27" s="809">
        <f t="shared" si="7"/>
        <v>0</v>
      </c>
      <c r="J27" s="810">
        <f t="shared" si="7"/>
        <v>0</v>
      </c>
      <c r="K27" s="810">
        <f t="shared" si="7"/>
        <v>0</v>
      </c>
      <c r="L27" s="807">
        <f t="shared" si="7"/>
        <v>230.01035121241375</v>
      </c>
      <c r="M27" s="810">
        <f t="shared" si="7"/>
        <v>0</v>
      </c>
      <c r="N27" s="810">
        <f t="shared" si="7"/>
        <v>0</v>
      </c>
      <c r="O27" s="810">
        <f t="shared" si="7"/>
        <v>0</v>
      </c>
      <c r="P27" s="810">
        <f t="shared" si="7"/>
        <v>0</v>
      </c>
      <c r="Q27" s="810">
        <f t="shared" si="7"/>
        <v>0</v>
      </c>
      <c r="R27" s="810">
        <f t="shared" si="7"/>
        <v>0</v>
      </c>
      <c r="S27" s="810">
        <f t="shared" si="7"/>
        <v>0</v>
      </c>
      <c r="T27" s="810">
        <f t="shared" si="7"/>
        <v>0</v>
      </c>
      <c r="U27" s="810">
        <f t="shared" si="7"/>
        <v>0</v>
      </c>
      <c r="V27" s="810">
        <f t="shared" si="7"/>
        <v>0</v>
      </c>
      <c r="W27" s="808"/>
      <c r="X27" s="808">
        <f t="shared" ref="X27:AQ27" si="8">X28</f>
        <v>187.58114307621256</v>
      </c>
      <c r="Y27" s="808">
        <f t="shared" si="8"/>
        <v>1.5030814826834278</v>
      </c>
      <c r="Z27" s="810">
        <f t="shared" si="8"/>
        <v>40.92612665351777</v>
      </c>
      <c r="AA27" s="807">
        <f t="shared" si="8"/>
        <v>0</v>
      </c>
      <c r="AB27" s="806">
        <f t="shared" si="8"/>
        <v>0</v>
      </c>
      <c r="AC27" s="811">
        <f t="shared" si="8"/>
        <v>0</v>
      </c>
      <c r="AD27" s="810">
        <f t="shared" si="8"/>
        <v>0</v>
      </c>
      <c r="AE27" s="810">
        <f t="shared" si="8"/>
        <v>0</v>
      </c>
      <c r="AF27" s="810">
        <f t="shared" si="8"/>
        <v>0</v>
      </c>
      <c r="AG27" s="810">
        <f t="shared" si="8"/>
        <v>0</v>
      </c>
      <c r="AH27" s="810">
        <f t="shared" si="8"/>
        <v>0</v>
      </c>
      <c r="AI27" s="810">
        <f t="shared" si="8"/>
        <v>0</v>
      </c>
      <c r="AJ27" s="810">
        <f t="shared" si="8"/>
        <v>0</v>
      </c>
      <c r="AK27" s="809">
        <f t="shared" si="8"/>
        <v>0</v>
      </c>
      <c r="AL27" s="806">
        <f t="shared" si="8"/>
        <v>0</v>
      </c>
      <c r="AM27" s="808">
        <f t="shared" si="8"/>
        <v>0</v>
      </c>
      <c r="AN27" s="807">
        <f t="shared" si="8"/>
        <v>0</v>
      </c>
      <c r="AO27" s="807">
        <f t="shared" si="8"/>
        <v>0</v>
      </c>
      <c r="AP27" s="806">
        <f t="shared" si="8"/>
        <v>0</v>
      </c>
      <c r="AQ27" s="805">
        <f t="shared" si="8"/>
        <v>230.01035121241375</v>
      </c>
    </row>
    <row r="28" spans="1:43" ht="12.75" customHeight="1" thickBot="1">
      <c r="A28" s="804" t="s">
        <v>116</v>
      </c>
      <c r="B28" s="803"/>
      <c r="C28" s="802">
        <f>SUM(D28:G28)</f>
        <v>0</v>
      </c>
      <c r="D28" s="799"/>
      <c r="E28" s="800"/>
      <c r="F28" s="798"/>
      <c r="G28" s="798"/>
      <c r="H28" s="797">
        <f>SUM(I28:K28)</f>
        <v>0</v>
      </c>
      <c r="I28" s="799"/>
      <c r="J28" s="800"/>
      <c r="K28" s="800"/>
      <c r="L28" s="797">
        <f>SUM(M28:Z28)</f>
        <v>230.01035121241375</v>
      </c>
      <c r="M28" s="800"/>
      <c r="N28" s="800"/>
      <c r="O28" s="800"/>
      <c r="P28" s="800"/>
      <c r="Q28" s="800"/>
      <c r="R28" s="800"/>
      <c r="S28" s="800"/>
      <c r="T28" s="800"/>
      <c r="U28" s="800"/>
      <c r="V28" s="800"/>
      <c r="W28" s="798"/>
      <c r="X28" s="798">
        <f>X26</f>
        <v>187.58114307621256</v>
      </c>
      <c r="Y28" s="798">
        <f>Y26</f>
        <v>1.5030814826834278</v>
      </c>
      <c r="Z28" s="800">
        <f>Z26</f>
        <v>40.92612665351777</v>
      </c>
      <c r="AA28" s="797">
        <v>0</v>
      </c>
      <c r="AB28" s="796">
        <f>SUM(AC28:AI28)</f>
        <v>0</v>
      </c>
      <c r="AC28" s="801"/>
      <c r="AD28" s="800"/>
      <c r="AE28" s="800"/>
      <c r="AF28" s="800"/>
      <c r="AG28" s="800"/>
      <c r="AH28" s="800"/>
      <c r="AI28" s="800"/>
      <c r="AJ28" s="800"/>
      <c r="AK28" s="799"/>
      <c r="AL28" s="796"/>
      <c r="AM28" s="798"/>
      <c r="AN28" s="797"/>
      <c r="AO28" s="797"/>
      <c r="AP28" s="796"/>
      <c r="AQ28" s="795">
        <f>C28+H28+L28+AA28+AB28+AN28+AO28+AP28</f>
        <v>230.01035121241375</v>
      </c>
    </row>
    <row r="29" spans="1:43" s="599" customFormat="1" ht="12.75" customHeight="1" thickBot="1">
      <c r="A29" s="794" t="s">
        <v>117</v>
      </c>
      <c r="B29" s="793"/>
      <c r="C29" s="792"/>
      <c r="D29" s="790"/>
      <c r="E29" s="788"/>
      <c r="F29" s="791"/>
      <c r="G29" s="791"/>
      <c r="H29" s="787"/>
      <c r="I29" s="790"/>
      <c r="J29" s="790"/>
      <c r="K29" s="790"/>
      <c r="L29" s="787"/>
      <c r="M29" s="788"/>
      <c r="N29" s="788"/>
      <c r="O29" s="788"/>
      <c r="P29" s="788"/>
      <c r="Q29" s="788"/>
      <c r="R29" s="788"/>
      <c r="S29" s="788"/>
      <c r="T29" s="788"/>
      <c r="U29" s="788"/>
      <c r="V29" s="788"/>
      <c r="W29" s="791"/>
      <c r="X29" s="791"/>
      <c r="Y29" s="791"/>
      <c r="Z29" s="790"/>
      <c r="AA29" s="669"/>
      <c r="AB29" s="786"/>
      <c r="AC29" s="789"/>
      <c r="AD29" s="788"/>
      <c r="AE29" s="788"/>
      <c r="AF29" s="788"/>
      <c r="AG29" s="788"/>
      <c r="AH29" s="788"/>
      <c r="AI29" s="788"/>
      <c r="AJ29" s="788"/>
      <c r="AK29" s="786"/>
      <c r="AL29" s="786"/>
      <c r="AM29" s="786"/>
      <c r="AN29" s="786"/>
      <c r="AO29" s="787"/>
      <c r="AP29" s="786"/>
      <c r="AQ29" s="667"/>
    </row>
    <row r="30" spans="1:43" s="599" customFormat="1" ht="12.75" customHeight="1">
      <c r="A30" s="785" t="s">
        <v>118</v>
      </c>
      <c r="B30" s="784"/>
      <c r="C30" s="783"/>
      <c r="D30" s="779"/>
      <c r="E30" s="779"/>
      <c r="F30" s="781"/>
      <c r="G30" s="781"/>
      <c r="H30" s="778"/>
      <c r="I30" s="782"/>
      <c r="J30" s="779"/>
      <c r="K30" s="779"/>
      <c r="L30" s="778"/>
      <c r="M30" s="779"/>
      <c r="N30" s="779"/>
      <c r="O30" s="779"/>
      <c r="P30" s="779"/>
      <c r="Q30" s="779"/>
      <c r="R30" s="779"/>
      <c r="S30" s="779"/>
      <c r="T30" s="779"/>
      <c r="U30" s="779"/>
      <c r="V30" s="779"/>
      <c r="W30" s="781"/>
      <c r="X30" s="781"/>
      <c r="Y30" s="781"/>
      <c r="Z30" s="779"/>
      <c r="AA30" s="778"/>
      <c r="AB30" s="777"/>
      <c r="AC30" s="780"/>
      <c r="AD30" s="779"/>
      <c r="AE30" s="779"/>
      <c r="AF30" s="779"/>
      <c r="AG30" s="779"/>
      <c r="AH30" s="779"/>
      <c r="AI30" s="779"/>
      <c r="AJ30" s="779"/>
      <c r="AK30" s="777"/>
      <c r="AL30" s="777"/>
      <c r="AM30" s="779"/>
      <c r="AN30" s="778"/>
      <c r="AO30" s="778"/>
      <c r="AP30" s="777"/>
      <c r="AQ30" s="776"/>
    </row>
    <row r="31" spans="1:43" ht="12.75" customHeight="1">
      <c r="A31" s="766" t="s">
        <v>119</v>
      </c>
      <c r="B31" s="775" t="s">
        <v>120</v>
      </c>
      <c r="C31" s="764"/>
      <c r="D31" s="708"/>
      <c r="E31" s="708"/>
      <c r="F31" s="760"/>
      <c r="G31" s="760"/>
      <c r="H31" s="758"/>
      <c r="I31" s="761"/>
      <c r="J31" s="708"/>
      <c r="K31" s="708"/>
      <c r="L31" s="758"/>
      <c r="M31" s="708"/>
      <c r="N31" s="708"/>
      <c r="O31" s="708"/>
      <c r="P31" s="708"/>
      <c r="Q31" s="708"/>
      <c r="R31" s="708"/>
      <c r="S31" s="708"/>
      <c r="T31" s="708"/>
      <c r="U31" s="708"/>
      <c r="V31" s="708"/>
      <c r="W31" s="760"/>
      <c r="X31" s="760"/>
      <c r="Y31" s="760"/>
      <c r="Z31" s="708"/>
      <c r="AA31" s="705"/>
      <c r="AB31" s="757"/>
      <c r="AC31" s="759"/>
      <c r="AD31" s="708"/>
      <c r="AE31" s="708"/>
      <c r="AF31" s="708"/>
      <c r="AG31" s="708"/>
      <c r="AH31" s="708"/>
      <c r="AI31" s="708"/>
      <c r="AJ31" s="708"/>
      <c r="AK31" s="707"/>
      <c r="AL31" s="744"/>
      <c r="AM31" s="708"/>
      <c r="AN31" s="705"/>
      <c r="AO31" s="705"/>
      <c r="AP31" s="757"/>
      <c r="AQ31" s="756"/>
    </row>
    <row r="32" spans="1:43" ht="12.75" customHeight="1">
      <c r="A32" s="774" t="s">
        <v>121</v>
      </c>
      <c r="B32" s="773" t="s">
        <v>122</v>
      </c>
      <c r="C32" s="755"/>
      <c r="D32" s="708"/>
      <c r="E32" s="748"/>
      <c r="F32" s="751"/>
      <c r="G32" s="751"/>
      <c r="H32" s="747"/>
      <c r="I32" s="752"/>
      <c r="J32" s="748"/>
      <c r="K32" s="748"/>
      <c r="L32" s="747"/>
      <c r="M32" s="748"/>
      <c r="N32" s="748"/>
      <c r="O32" s="748"/>
      <c r="P32" s="708"/>
      <c r="Q32" s="708"/>
      <c r="R32" s="748"/>
      <c r="S32" s="708"/>
      <c r="T32" s="708"/>
      <c r="U32" s="708"/>
      <c r="V32" s="708"/>
      <c r="W32" s="751"/>
      <c r="X32" s="751"/>
      <c r="Y32" s="751"/>
      <c r="Z32" s="748"/>
      <c r="AA32" s="740"/>
      <c r="AB32" s="746"/>
      <c r="AC32" s="750"/>
      <c r="AD32" s="748"/>
      <c r="AE32" s="748"/>
      <c r="AF32" s="748"/>
      <c r="AG32" s="748"/>
      <c r="AH32" s="708"/>
      <c r="AI32" s="748"/>
      <c r="AJ32" s="748"/>
      <c r="AK32" s="749"/>
      <c r="AL32" s="749"/>
      <c r="AM32" s="748"/>
      <c r="AN32" s="740"/>
      <c r="AO32" s="740"/>
      <c r="AP32" s="746"/>
      <c r="AQ32" s="745"/>
    </row>
    <row r="33" spans="1:43" ht="12.75" customHeight="1">
      <c r="A33" s="742" t="s">
        <v>123</v>
      </c>
      <c r="B33" s="741" t="s">
        <v>124</v>
      </c>
      <c r="C33" s="755"/>
      <c r="D33" s="708"/>
      <c r="E33" s="748"/>
      <c r="F33" s="751"/>
      <c r="G33" s="751"/>
      <c r="H33" s="747"/>
      <c r="I33" s="752"/>
      <c r="J33" s="748"/>
      <c r="K33" s="748"/>
      <c r="L33" s="747"/>
      <c r="M33" s="748"/>
      <c r="N33" s="748"/>
      <c r="O33" s="748"/>
      <c r="P33" s="708"/>
      <c r="Q33" s="708"/>
      <c r="R33" s="748"/>
      <c r="S33" s="708"/>
      <c r="T33" s="708"/>
      <c r="U33" s="708"/>
      <c r="V33" s="708"/>
      <c r="W33" s="751"/>
      <c r="X33" s="751"/>
      <c r="Y33" s="751"/>
      <c r="Z33" s="748"/>
      <c r="AA33" s="740"/>
      <c r="AB33" s="746"/>
      <c r="AC33" s="750"/>
      <c r="AD33" s="748"/>
      <c r="AE33" s="748"/>
      <c r="AF33" s="748"/>
      <c r="AG33" s="748"/>
      <c r="AH33" s="708"/>
      <c r="AI33" s="748"/>
      <c r="AJ33" s="748"/>
      <c r="AK33" s="749"/>
      <c r="AL33" s="749"/>
      <c r="AM33" s="748"/>
      <c r="AN33" s="740"/>
      <c r="AO33" s="740"/>
      <c r="AP33" s="746"/>
      <c r="AQ33" s="745"/>
    </row>
    <row r="34" spans="1:43" ht="12.75" customHeight="1">
      <c r="A34" s="742" t="s">
        <v>125</v>
      </c>
      <c r="B34" s="741" t="s">
        <v>126</v>
      </c>
      <c r="C34" s="755"/>
      <c r="D34" s="708"/>
      <c r="E34" s="748"/>
      <c r="F34" s="751"/>
      <c r="G34" s="751"/>
      <c r="H34" s="747"/>
      <c r="I34" s="752"/>
      <c r="J34" s="748"/>
      <c r="K34" s="748"/>
      <c r="L34" s="747"/>
      <c r="M34" s="748"/>
      <c r="N34" s="748"/>
      <c r="O34" s="748"/>
      <c r="P34" s="708"/>
      <c r="Q34" s="708"/>
      <c r="R34" s="748"/>
      <c r="S34" s="708"/>
      <c r="T34" s="708"/>
      <c r="U34" s="708"/>
      <c r="V34" s="708"/>
      <c r="W34" s="751"/>
      <c r="X34" s="751"/>
      <c r="Y34" s="751"/>
      <c r="Z34" s="748"/>
      <c r="AA34" s="740"/>
      <c r="AB34" s="746"/>
      <c r="AC34" s="750"/>
      <c r="AD34" s="748"/>
      <c r="AE34" s="748"/>
      <c r="AF34" s="748"/>
      <c r="AG34" s="748"/>
      <c r="AH34" s="708"/>
      <c r="AI34" s="748"/>
      <c r="AJ34" s="748"/>
      <c r="AK34" s="749"/>
      <c r="AL34" s="749"/>
      <c r="AM34" s="748"/>
      <c r="AN34" s="740"/>
      <c r="AO34" s="740"/>
      <c r="AP34" s="746"/>
      <c r="AQ34" s="745"/>
    </row>
    <row r="35" spans="1:43" ht="12.75" customHeight="1">
      <c r="A35" s="742" t="s">
        <v>127</v>
      </c>
      <c r="B35" s="741" t="s">
        <v>128</v>
      </c>
      <c r="C35" s="755"/>
      <c r="D35" s="708"/>
      <c r="E35" s="748"/>
      <c r="F35" s="751"/>
      <c r="G35" s="751"/>
      <c r="H35" s="747"/>
      <c r="I35" s="752"/>
      <c r="J35" s="748"/>
      <c r="K35" s="748"/>
      <c r="L35" s="747"/>
      <c r="M35" s="748"/>
      <c r="N35" s="748"/>
      <c r="O35" s="748"/>
      <c r="P35" s="708"/>
      <c r="Q35" s="708"/>
      <c r="R35" s="748"/>
      <c r="S35" s="708"/>
      <c r="T35" s="708"/>
      <c r="U35" s="708"/>
      <c r="V35" s="708"/>
      <c r="W35" s="751"/>
      <c r="X35" s="751"/>
      <c r="Y35" s="751"/>
      <c r="Z35" s="748"/>
      <c r="AA35" s="740"/>
      <c r="AB35" s="746"/>
      <c r="AC35" s="750"/>
      <c r="AD35" s="748"/>
      <c r="AE35" s="748"/>
      <c r="AF35" s="748"/>
      <c r="AG35" s="748"/>
      <c r="AH35" s="708"/>
      <c r="AI35" s="748"/>
      <c r="AJ35" s="748"/>
      <c r="AK35" s="749"/>
      <c r="AL35" s="749"/>
      <c r="AM35" s="748"/>
      <c r="AN35" s="740"/>
      <c r="AO35" s="740"/>
      <c r="AP35" s="746"/>
      <c r="AQ35" s="745"/>
    </row>
    <row r="36" spans="1:43" ht="12.75" customHeight="1">
      <c r="A36" s="742" t="s">
        <v>129</v>
      </c>
      <c r="B36" s="741" t="s">
        <v>130</v>
      </c>
      <c r="C36" s="755"/>
      <c r="D36" s="708"/>
      <c r="E36" s="748"/>
      <c r="F36" s="751"/>
      <c r="G36" s="751"/>
      <c r="H36" s="747"/>
      <c r="I36" s="752"/>
      <c r="J36" s="748"/>
      <c r="K36" s="748"/>
      <c r="L36" s="747"/>
      <c r="M36" s="748"/>
      <c r="N36" s="748"/>
      <c r="O36" s="748"/>
      <c r="P36" s="708"/>
      <c r="Q36" s="708"/>
      <c r="R36" s="748"/>
      <c r="S36" s="708"/>
      <c r="T36" s="708"/>
      <c r="U36" s="708"/>
      <c r="V36" s="708"/>
      <c r="W36" s="751"/>
      <c r="X36" s="751"/>
      <c r="Y36" s="751"/>
      <c r="Z36" s="748"/>
      <c r="AA36" s="730"/>
      <c r="AB36" s="746"/>
      <c r="AC36" s="750"/>
      <c r="AD36" s="748"/>
      <c r="AE36" s="748"/>
      <c r="AF36" s="748"/>
      <c r="AG36" s="748"/>
      <c r="AH36" s="708"/>
      <c r="AI36" s="748"/>
      <c r="AJ36" s="748"/>
      <c r="AK36" s="744"/>
      <c r="AL36" s="744"/>
      <c r="AM36" s="748"/>
      <c r="AN36" s="730"/>
      <c r="AO36" s="730"/>
      <c r="AP36" s="746"/>
      <c r="AQ36" s="745"/>
    </row>
    <row r="37" spans="1:43" ht="12.75" customHeight="1">
      <c r="A37" s="742" t="s">
        <v>131</v>
      </c>
      <c r="B37" s="741" t="s">
        <v>132</v>
      </c>
      <c r="C37" s="755"/>
      <c r="D37" s="708"/>
      <c r="E37" s="748"/>
      <c r="F37" s="751"/>
      <c r="G37" s="751"/>
      <c r="H37" s="747"/>
      <c r="I37" s="752"/>
      <c r="J37" s="748"/>
      <c r="K37" s="748"/>
      <c r="L37" s="747"/>
      <c r="M37" s="748"/>
      <c r="N37" s="748"/>
      <c r="O37" s="748"/>
      <c r="P37" s="708"/>
      <c r="Q37" s="708"/>
      <c r="R37" s="748"/>
      <c r="S37" s="708"/>
      <c r="T37" s="708"/>
      <c r="U37" s="708"/>
      <c r="V37" s="708"/>
      <c r="W37" s="751"/>
      <c r="X37" s="751"/>
      <c r="Y37" s="751"/>
      <c r="Z37" s="748"/>
      <c r="AA37" s="740"/>
      <c r="AB37" s="746"/>
      <c r="AC37" s="750"/>
      <c r="AD37" s="748"/>
      <c r="AE37" s="748"/>
      <c r="AF37" s="748"/>
      <c r="AG37" s="748"/>
      <c r="AH37" s="708"/>
      <c r="AI37" s="748"/>
      <c r="AJ37" s="748"/>
      <c r="AK37" s="749"/>
      <c r="AL37" s="749"/>
      <c r="AM37" s="748"/>
      <c r="AN37" s="740"/>
      <c r="AO37" s="740"/>
      <c r="AP37" s="746"/>
      <c r="AQ37" s="745"/>
    </row>
    <row r="38" spans="1:43" ht="12.75" customHeight="1">
      <c r="A38" s="742" t="s">
        <v>133</v>
      </c>
      <c r="B38" s="741" t="s">
        <v>134</v>
      </c>
      <c r="C38" s="755"/>
      <c r="D38" s="752"/>
      <c r="E38" s="748"/>
      <c r="F38" s="751"/>
      <c r="G38" s="751"/>
      <c r="H38" s="747"/>
      <c r="I38" s="752"/>
      <c r="J38" s="748"/>
      <c r="K38" s="748"/>
      <c r="L38" s="747"/>
      <c r="M38" s="748"/>
      <c r="N38" s="748"/>
      <c r="O38" s="748"/>
      <c r="P38" s="708"/>
      <c r="Q38" s="752"/>
      <c r="R38" s="748"/>
      <c r="S38" s="752"/>
      <c r="T38" s="752"/>
      <c r="U38" s="752"/>
      <c r="V38" s="752"/>
      <c r="W38" s="751"/>
      <c r="X38" s="751"/>
      <c r="Y38" s="751"/>
      <c r="Z38" s="748"/>
      <c r="AA38" s="740"/>
      <c r="AB38" s="746"/>
      <c r="AC38" s="750"/>
      <c r="AD38" s="748"/>
      <c r="AE38" s="748"/>
      <c r="AF38" s="748"/>
      <c r="AG38" s="748"/>
      <c r="AH38" s="708"/>
      <c r="AI38" s="748"/>
      <c r="AJ38" s="748"/>
      <c r="AK38" s="749"/>
      <c r="AL38" s="749"/>
      <c r="AM38" s="748"/>
      <c r="AN38" s="740"/>
      <c r="AO38" s="740"/>
      <c r="AP38" s="746"/>
      <c r="AQ38" s="745"/>
    </row>
    <row r="39" spans="1:43" ht="12.75" customHeight="1">
      <c r="A39" s="742" t="s">
        <v>135</v>
      </c>
      <c r="B39" s="741" t="s">
        <v>136</v>
      </c>
      <c r="C39" s="755"/>
      <c r="D39" s="708"/>
      <c r="E39" s="748"/>
      <c r="F39" s="751"/>
      <c r="G39" s="751"/>
      <c r="H39" s="747"/>
      <c r="I39" s="752"/>
      <c r="J39" s="748"/>
      <c r="K39" s="748"/>
      <c r="L39" s="747"/>
      <c r="M39" s="748"/>
      <c r="N39" s="748"/>
      <c r="O39" s="748"/>
      <c r="P39" s="708"/>
      <c r="Q39" s="708"/>
      <c r="R39" s="748"/>
      <c r="S39" s="708"/>
      <c r="T39" s="708"/>
      <c r="U39" s="708"/>
      <c r="V39" s="708"/>
      <c r="W39" s="751"/>
      <c r="X39" s="751"/>
      <c r="Y39" s="751"/>
      <c r="Z39" s="748"/>
      <c r="AA39" s="740"/>
      <c r="AB39" s="746"/>
      <c r="AC39" s="750"/>
      <c r="AD39" s="748"/>
      <c r="AE39" s="748"/>
      <c r="AF39" s="748"/>
      <c r="AG39" s="748"/>
      <c r="AH39" s="708"/>
      <c r="AI39" s="748"/>
      <c r="AJ39" s="748"/>
      <c r="AK39" s="749"/>
      <c r="AL39" s="749"/>
      <c r="AM39" s="748"/>
      <c r="AN39" s="740"/>
      <c r="AO39" s="740"/>
      <c r="AP39" s="746"/>
      <c r="AQ39" s="745"/>
    </row>
    <row r="40" spans="1:43" ht="12.75" customHeight="1">
      <c r="A40" s="742" t="s">
        <v>137</v>
      </c>
      <c r="B40" s="741" t="s">
        <v>138</v>
      </c>
      <c r="C40" s="755"/>
      <c r="D40" s="708"/>
      <c r="E40" s="748"/>
      <c r="F40" s="751"/>
      <c r="G40" s="751"/>
      <c r="H40" s="747"/>
      <c r="I40" s="752"/>
      <c r="J40" s="748"/>
      <c r="K40" s="748"/>
      <c r="L40" s="747"/>
      <c r="M40" s="748"/>
      <c r="N40" s="748"/>
      <c r="O40" s="748"/>
      <c r="P40" s="708"/>
      <c r="Q40" s="708"/>
      <c r="R40" s="748"/>
      <c r="S40" s="708"/>
      <c r="T40" s="708"/>
      <c r="U40" s="708"/>
      <c r="V40" s="708"/>
      <c r="W40" s="751"/>
      <c r="X40" s="751"/>
      <c r="Y40" s="751"/>
      <c r="Z40" s="748"/>
      <c r="AA40" s="740"/>
      <c r="AB40" s="746"/>
      <c r="AC40" s="750"/>
      <c r="AD40" s="748"/>
      <c r="AE40" s="748"/>
      <c r="AF40" s="748"/>
      <c r="AG40" s="748"/>
      <c r="AH40" s="708"/>
      <c r="AI40" s="748"/>
      <c r="AJ40" s="748"/>
      <c r="AK40" s="749"/>
      <c r="AL40" s="749"/>
      <c r="AM40" s="748"/>
      <c r="AN40" s="740"/>
      <c r="AO40" s="740"/>
      <c r="AP40" s="746"/>
      <c r="AQ40" s="745"/>
    </row>
    <row r="41" spans="1:43" ht="12.75" customHeight="1">
      <c r="A41" s="742" t="s">
        <v>139</v>
      </c>
      <c r="B41" s="741" t="s">
        <v>140</v>
      </c>
      <c r="C41" s="755"/>
      <c r="D41" s="708"/>
      <c r="E41" s="748"/>
      <c r="F41" s="751"/>
      <c r="G41" s="751"/>
      <c r="H41" s="747"/>
      <c r="I41" s="752"/>
      <c r="J41" s="748"/>
      <c r="K41" s="748"/>
      <c r="L41" s="747"/>
      <c r="M41" s="748"/>
      <c r="N41" s="748"/>
      <c r="O41" s="748"/>
      <c r="P41" s="708"/>
      <c r="Q41" s="708"/>
      <c r="R41" s="748"/>
      <c r="S41" s="708"/>
      <c r="T41" s="708"/>
      <c r="U41" s="708"/>
      <c r="V41" s="708"/>
      <c r="W41" s="751"/>
      <c r="X41" s="751"/>
      <c r="Y41" s="751"/>
      <c r="Z41" s="748"/>
      <c r="AA41" s="730"/>
      <c r="AB41" s="746"/>
      <c r="AC41" s="750"/>
      <c r="AD41" s="748"/>
      <c r="AE41" s="748"/>
      <c r="AF41" s="748"/>
      <c r="AG41" s="748"/>
      <c r="AH41" s="708"/>
      <c r="AI41" s="748"/>
      <c r="AJ41" s="748"/>
      <c r="AK41" s="744"/>
      <c r="AL41" s="744"/>
      <c r="AM41" s="748"/>
      <c r="AN41" s="730"/>
      <c r="AO41" s="730"/>
      <c r="AP41" s="746"/>
      <c r="AQ41" s="745"/>
    </row>
    <row r="42" spans="1:43" ht="12.75" customHeight="1">
      <c r="A42" s="742" t="s">
        <v>141</v>
      </c>
      <c r="B42" s="741" t="s">
        <v>142</v>
      </c>
      <c r="C42" s="755"/>
      <c r="D42" s="708"/>
      <c r="E42" s="748"/>
      <c r="F42" s="751"/>
      <c r="G42" s="751"/>
      <c r="H42" s="747"/>
      <c r="I42" s="752"/>
      <c r="J42" s="748"/>
      <c r="K42" s="748"/>
      <c r="L42" s="747"/>
      <c r="M42" s="748"/>
      <c r="N42" s="748"/>
      <c r="O42" s="748"/>
      <c r="P42" s="708"/>
      <c r="Q42" s="708"/>
      <c r="R42" s="748"/>
      <c r="S42" s="708"/>
      <c r="T42" s="708"/>
      <c r="U42" s="708"/>
      <c r="V42" s="708"/>
      <c r="W42" s="751"/>
      <c r="X42" s="751"/>
      <c r="Y42" s="751"/>
      <c r="Z42" s="748"/>
      <c r="AA42" s="731"/>
      <c r="AB42" s="746"/>
      <c r="AC42" s="750"/>
      <c r="AD42" s="748"/>
      <c r="AE42" s="748"/>
      <c r="AF42" s="748"/>
      <c r="AG42" s="748"/>
      <c r="AH42" s="708"/>
      <c r="AI42" s="748"/>
      <c r="AJ42" s="748"/>
      <c r="AK42" s="743"/>
      <c r="AL42" s="743"/>
      <c r="AM42" s="748"/>
      <c r="AN42" s="731"/>
      <c r="AO42" s="731"/>
      <c r="AP42" s="746"/>
      <c r="AQ42" s="745"/>
    </row>
    <row r="43" spans="1:43" ht="12.75" customHeight="1">
      <c r="A43" s="742" t="s">
        <v>143</v>
      </c>
      <c r="B43" s="741" t="s">
        <v>144</v>
      </c>
      <c r="C43" s="755"/>
      <c r="D43" s="708"/>
      <c r="E43" s="748"/>
      <c r="F43" s="751"/>
      <c r="G43" s="751"/>
      <c r="H43" s="747"/>
      <c r="I43" s="752"/>
      <c r="J43" s="748"/>
      <c r="K43" s="748"/>
      <c r="L43" s="747"/>
      <c r="M43" s="748"/>
      <c r="N43" s="748"/>
      <c r="O43" s="748"/>
      <c r="P43" s="708"/>
      <c r="Q43" s="708"/>
      <c r="R43" s="748"/>
      <c r="S43" s="708"/>
      <c r="T43" s="708"/>
      <c r="U43" s="708"/>
      <c r="V43" s="708"/>
      <c r="W43" s="751"/>
      <c r="X43" s="751"/>
      <c r="Y43" s="751"/>
      <c r="Z43" s="748"/>
      <c r="AA43" s="731"/>
      <c r="AB43" s="746"/>
      <c r="AC43" s="750"/>
      <c r="AD43" s="748"/>
      <c r="AE43" s="748"/>
      <c r="AF43" s="748"/>
      <c r="AG43" s="748"/>
      <c r="AH43" s="708"/>
      <c r="AI43" s="748"/>
      <c r="AJ43" s="748"/>
      <c r="AK43" s="743"/>
      <c r="AL43" s="743"/>
      <c r="AM43" s="748"/>
      <c r="AN43" s="731"/>
      <c r="AO43" s="731"/>
      <c r="AP43" s="746"/>
      <c r="AQ43" s="745"/>
    </row>
    <row r="44" spans="1:43" ht="12.75" customHeight="1">
      <c r="A44" s="772" t="s">
        <v>179</v>
      </c>
      <c r="B44" s="771" t="s">
        <v>180</v>
      </c>
      <c r="C44" s="737"/>
      <c r="D44" s="732"/>
      <c r="E44" s="732"/>
      <c r="F44" s="734"/>
      <c r="G44" s="734"/>
      <c r="H44" s="735"/>
      <c r="I44" s="736"/>
      <c r="J44" s="732"/>
      <c r="K44" s="732"/>
      <c r="L44" s="735"/>
      <c r="M44" s="732"/>
      <c r="N44" s="732"/>
      <c r="O44" s="732"/>
      <c r="P44" s="708"/>
      <c r="Q44" s="732"/>
      <c r="R44" s="732"/>
      <c r="S44" s="732"/>
      <c r="T44" s="732"/>
      <c r="U44" s="732"/>
      <c r="V44" s="732"/>
      <c r="W44" s="734"/>
      <c r="X44" s="734"/>
      <c r="Y44" s="734"/>
      <c r="Z44" s="732"/>
      <c r="AA44" s="679"/>
      <c r="AB44" s="729"/>
      <c r="AC44" s="733"/>
      <c r="AD44" s="732"/>
      <c r="AE44" s="732"/>
      <c r="AF44" s="732"/>
      <c r="AG44" s="732"/>
      <c r="AH44" s="770"/>
      <c r="AI44" s="732"/>
      <c r="AJ44" s="732"/>
      <c r="AK44" s="682"/>
      <c r="AL44" s="769"/>
      <c r="AM44" s="732"/>
      <c r="AN44" s="679"/>
      <c r="AO44" s="679"/>
      <c r="AP44" s="729"/>
      <c r="AQ44" s="728"/>
    </row>
    <row r="45" spans="1:43" s="599" customFormat="1" ht="12.75" customHeight="1">
      <c r="A45" s="714" t="s">
        <v>145</v>
      </c>
      <c r="B45" s="713"/>
      <c r="C45" s="712"/>
      <c r="D45" s="768"/>
      <c r="E45" s="767"/>
      <c r="F45" s="710"/>
      <c r="G45" s="710"/>
      <c r="H45" s="706"/>
      <c r="I45" s="711"/>
      <c r="J45" s="696"/>
      <c r="K45" s="696"/>
      <c r="L45" s="706"/>
      <c r="M45" s="696"/>
      <c r="N45" s="696"/>
      <c r="O45" s="696"/>
      <c r="P45" s="696"/>
      <c r="Q45" s="696"/>
      <c r="R45" s="696"/>
      <c r="S45" s="696"/>
      <c r="T45" s="696"/>
      <c r="U45" s="696"/>
      <c r="V45" s="696"/>
      <c r="W45" s="710"/>
      <c r="X45" s="710"/>
      <c r="Y45" s="710"/>
      <c r="Z45" s="696"/>
      <c r="AA45" s="706"/>
      <c r="AB45" s="704"/>
      <c r="AC45" s="709"/>
      <c r="AD45" s="696"/>
      <c r="AE45" s="696"/>
      <c r="AF45" s="696"/>
      <c r="AG45" s="696"/>
      <c r="AH45" s="696"/>
      <c r="AI45" s="696"/>
      <c r="AJ45" s="696"/>
      <c r="AK45" s="707"/>
      <c r="AL45" s="707"/>
      <c r="AM45" s="696"/>
      <c r="AN45" s="706"/>
      <c r="AO45" s="705"/>
      <c r="AP45" s="704"/>
      <c r="AQ45" s="703"/>
    </row>
    <row r="46" spans="1:43" ht="12.75" customHeight="1">
      <c r="A46" s="766" t="s">
        <v>146</v>
      </c>
      <c r="B46" s="765"/>
      <c r="C46" s="764"/>
      <c r="D46" s="763"/>
      <c r="E46" s="762"/>
      <c r="F46" s="760"/>
      <c r="G46" s="760"/>
      <c r="H46" s="758"/>
      <c r="I46" s="761"/>
      <c r="J46" s="708"/>
      <c r="K46" s="708"/>
      <c r="L46" s="758"/>
      <c r="M46" s="708"/>
      <c r="N46" s="708"/>
      <c r="O46" s="708"/>
      <c r="P46" s="708"/>
      <c r="Q46" s="708"/>
      <c r="R46" s="708"/>
      <c r="S46" s="708"/>
      <c r="T46" s="708"/>
      <c r="U46" s="708"/>
      <c r="V46" s="708"/>
      <c r="W46" s="760"/>
      <c r="X46" s="760"/>
      <c r="Y46" s="760"/>
      <c r="Z46" s="708"/>
      <c r="AA46" s="758"/>
      <c r="AB46" s="757"/>
      <c r="AC46" s="759"/>
      <c r="AD46" s="708"/>
      <c r="AE46" s="708"/>
      <c r="AF46" s="708"/>
      <c r="AG46" s="708"/>
      <c r="AH46" s="708"/>
      <c r="AI46" s="708"/>
      <c r="AJ46" s="708"/>
      <c r="AK46" s="744"/>
      <c r="AL46" s="744"/>
      <c r="AM46" s="708"/>
      <c r="AN46" s="758"/>
      <c r="AO46" s="730"/>
      <c r="AP46" s="757"/>
      <c r="AQ46" s="756"/>
    </row>
    <row r="47" spans="1:43" ht="12.75" customHeight="1">
      <c r="A47" s="742" t="s">
        <v>147</v>
      </c>
      <c r="B47" s="738"/>
      <c r="C47" s="755"/>
      <c r="D47" s="754"/>
      <c r="E47" s="753"/>
      <c r="F47" s="751"/>
      <c r="G47" s="751"/>
      <c r="H47" s="747"/>
      <c r="I47" s="752"/>
      <c r="J47" s="748"/>
      <c r="K47" s="748"/>
      <c r="L47" s="747"/>
      <c r="M47" s="748"/>
      <c r="N47" s="748"/>
      <c r="O47" s="748"/>
      <c r="P47" s="748"/>
      <c r="Q47" s="748"/>
      <c r="R47" s="748"/>
      <c r="S47" s="748"/>
      <c r="T47" s="748"/>
      <c r="U47" s="748"/>
      <c r="V47" s="748"/>
      <c r="W47" s="751"/>
      <c r="X47" s="751"/>
      <c r="Y47" s="751"/>
      <c r="Z47" s="748"/>
      <c r="AA47" s="747"/>
      <c r="AB47" s="746"/>
      <c r="AC47" s="750"/>
      <c r="AD47" s="748"/>
      <c r="AE47" s="748"/>
      <c r="AF47" s="748"/>
      <c r="AG47" s="748"/>
      <c r="AH47" s="748"/>
      <c r="AI47" s="748"/>
      <c r="AJ47" s="748"/>
      <c r="AK47" s="749"/>
      <c r="AL47" s="749"/>
      <c r="AM47" s="748"/>
      <c r="AN47" s="747"/>
      <c r="AO47" s="740"/>
      <c r="AP47" s="746"/>
      <c r="AQ47" s="745"/>
    </row>
    <row r="48" spans="1:43" ht="12.75" customHeight="1">
      <c r="A48" s="742" t="s">
        <v>148</v>
      </c>
      <c r="B48" s="738"/>
      <c r="C48" s="755"/>
      <c r="D48" s="754"/>
      <c r="E48" s="753"/>
      <c r="F48" s="751"/>
      <c r="G48" s="751"/>
      <c r="H48" s="747"/>
      <c r="I48" s="752"/>
      <c r="J48" s="748"/>
      <c r="K48" s="748"/>
      <c r="L48" s="747"/>
      <c r="M48" s="748"/>
      <c r="N48" s="748"/>
      <c r="O48" s="748"/>
      <c r="P48" s="748"/>
      <c r="Q48" s="748"/>
      <c r="R48" s="748"/>
      <c r="S48" s="748"/>
      <c r="T48" s="748"/>
      <c r="U48" s="748"/>
      <c r="V48" s="748"/>
      <c r="W48" s="751"/>
      <c r="X48" s="751"/>
      <c r="Y48" s="751"/>
      <c r="Z48" s="748"/>
      <c r="AA48" s="747"/>
      <c r="AB48" s="746"/>
      <c r="AC48" s="750"/>
      <c r="AD48" s="748"/>
      <c r="AE48" s="748"/>
      <c r="AF48" s="748"/>
      <c r="AG48" s="748"/>
      <c r="AH48" s="748"/>
      <c r="AI48" s="748"/>
      <c r="AJ48" s="748"/>
      <c r="AK48" s="749"/>
      <c r="AL48" s="749"/>
      <c r="AM48" s="748"/>
      <c r="AN48" s="747"/>
      <c r="AO48" s="740"/>
      <c r="AP48" s="746"/>
      <c r="AQ48" s="745"/>
    </row>
    <row r="49" spans="1:43" ht="12.75" customHeight="1">
      <c r="A49" s="742" t="s">
        <v>149</v>
      </c>
      <c r="B49" s="738"/>
      <c r="C49" s="755"/>
      <c r="D49" s="754"/>
      <c r="E49" s="753"/>
      <c r="F49" s="751"/>
      <c r="G49" s="751"/>
      <c r="H49" s="747"/>
      <c r="I49" s="752"/>
      <c r="J49" s="748"/>
      <c r="K49" s="748"/>
      <c r="L49" s="747"/>
      <c r="M49" s="748"/>
      <c r="N49" s="748"/>
      <c r="O49" s="748"/>
      <c r="P49" s="748"/>
      <c r="Q49" s="748"/>
      <c r="R49" s="748"/>
      <c r="S49" s="748"/>
      <c r="T49" s="748"/>
      <c r="U49" s="748"/>
      <c r="V49" s="748"/>
      <c r="W49" s="751"/>
      <c r="X49" s="751"/>
      <c r="Y49" s="751"/>
      <c r="Z49" s="748"/>
      <c r="AA49" s="747"/>
      <c r="AB49" s="746"/>
      <c r="AC49" s="750"/>
      <c r="AD49" s="748"/>
      <c r="AE49" s="748"/>
      <c r="AF49" s="748"/>
      <c r="AG49" s="748"/>
      <c r="AH49" s="748"/>
      <c r="AI49" s="748"/>
      <c r="AJ49" s="748"/>
      <c r="AK49" s="749"/>
      <c r="AL49" s="749"/>
      <c r="AM49" s="748"/>
      <c r="AN49" s="747"/>
      <c r="AO49" s="740"/>
      <c r="AP49" s="746"/>
      <c r="AQ49" s="745"/>
    </row>
    <row r="50" spans="1:43" ht="12.75" customHeight="1">
      <c r="A50" s="742" t="s">
        <v>150</v>
      </c>
      <c r="B50" s="738"/>
      <c r="C50" s="755"/>
      <c r="D50" s="754"/>
      <c r="E50" s="753"/>
      <c r="F50" s="751"/>
      <c r="G50" s="751"/>
      <c r="H50" s="747"/>
      <c r="I50" s="752"/>
      <c r="J50" s="748"/>
      <c r="K50" s="748"/>
      <c r="L50" s="747"/>
      <c r="M50" s="748"/>
      <c r="N50" s="748"/>
      <c r="O50" s="748"/>
      <c r="P50" s="748"/>
      <c r="Q50" s="748"/>
      <c r="R50" s="748"/>
      <c r="S50" s="748"/>
      <c r="T50" s="748"/>
      <c r="U50" s="748"/>
      <c r="V50" s="748"/>
      <c r="W50" s="751"/>
      <c r="X50" s="751"/>
      <c r="Y50" s="751"/>
      <c r="Z50" s="748"/>
      <c r="AA50" s="747"/>
      <c r="AB50" s="746"/>
      <c r="AC50" s="750"/>
      <c r="AD50" s="748"/>
      <c r="AE50" s="748"/>
      <c r="AF50" s="748"/>
      <c r="AG50" s="748"/>
      <c r="AH50" s="748"/>
      <c r="AI50" s="748"/>
      <c r="AJ50" s="748"/>
      <c r="AK50" s="749"/>
      <c r="AL50" s="749"/>
      <c r="AM50" s="748"/>
      <c r="AN50" s="747"/>
      <c r="AO50" s="740"/>
      <c r="AP50" s="746"/>
      <c r="AQ50" s="745"/>
    </row>
    <row r="51" spans="1:43" ht="12.75" customHeight="1">
      <c r="A51" s="742" t="s">
        <v>151</v>
      </c>
      <c r="B51" s="741"/>
      <c r="C51" s="737"/>
      <c r="D51" s="732"/>
      <c r="E51" s="732"/>
      <c r="F51" s="734"/>
      <c r="G51" s="734"/>
      <c r="H51" s="735"/>
      <c r="I51" s="736"/>
      <c r="J51" s="732"/>
      <c r="K51" s="732"/>
      <c r="L51" s="735"/>
      <c r="M51" s="732"/>
      <c r="N51" s="732"/>
      <c r="O51" s="732"/>
      <c r="P51" s="708"/>
      <c r="Q51" s="732"/>
      <c r="R51" s="732"/>
      <c r="S51" s="732"/>
      <c r="T51" s="732"/>
      <c r="U51" s="732"/>
      <c r="V51" s="732"/>
      <c r="W51" s="734"/>
      <c r="X51" s="734"/>
      <c r="Y51" s="734"/>
      <c r="Z51" s="732"/>
      <c r="AA51" s="730"/>
      <c r="AB51" s="729"/>
      <c r="AC51" s="733"/>
      <c r="AD51" s="732"/>
      <c r="AE51" s="732"/>
      <c r="AF51" s="732"/>
      <c r="AG51" s="732"/>
      <c r="AH51" s="732"/>
      <c r="AI51" s="732"/>
      <c r="AJ51" s="732"/>
      <c r="AK51" s="744"/>
      <c r="AL51" s="743"/>
      <c r="AM51" s="732"/>
      <c r="AN51" s="730"/>
      <c r="AO51" s="730"/>
      <c r="AP51" s="729"/>
      <c r="AQ51" s="728"/>
    </row>
    <row r="52" spans="1:43" ht="12.75" customHeight="1">
      <c r="A52" s="742" t="s">
        <v>152</v>
      </c>
      <c r="B52" s="741"/>
      <c r="C52" s="737"/>
      <c r="D52" s="736"/>
      <c r="E52" s="732"/>
      <c r="F52" s="734"/>
      <c r="G52" s="734"/>
      <c r="H52" s="735"/>
      <c r="I52" s="736"/>
      <c r="J52" s="732"/>
      <c r="K52" s="732"/>
      <c r="L52" s="735"/>
      <c r="M52" s="732"/>
      <c r="N52" s="732"/>
      <c r="O52" s="732"/>
      <c r="P52" s="732"/>
      <c r="Q52" s="732"/>
      <c r="R52" s="732"/>
      <c r="S52" s="732"/>
      <c r="T52" s="732"/>
      <c r="U52" s="732"/>
      <c r="V52" s="732"/>
      <c r="W52" s="734"/>
      <c r="X52" s="734"/>
      <c r="Y52" s="734"/>
      <c r="Z52" s="732"/>
      <c r="AA52" s="730"/>
      <c r="AB52" s="729"/>
      <c r="AC52" s="733"/>
      <c r="AD52" s="732"/>
      <c r="AE52" s="732"/>
      <c r="AF52" s="732"/>
      <c r="AG52" s="732"/>
      <c r="AH52" s="732"/>
      <c r="AI52" s="732"/>
      <c r="AJ52" s="732"/>
      <c r="AK52" s="732"/>
      <c r="AL52" s="732"/>
      <c r="AM52" s="732"/>
      <c r="AN52" s="730"/>
      <c r="AO52" s="740"/>
      <c r="AP52" s="729"/>
      <c r="AQ52" s="728"/>
    </row>
    <row r="53" spans="1:43" ht="12.75" customHeight="1">
      <c r="A53" s="739" t="s">
        <v>153</v>
      </c>
      <c r="B53" s="738"/>
      <c r="C53" s="737"/>
      <c r="D53" s="736"/>
      <c r="E53" s="732"/>
      <c r="F53" s="734"/>
      <c r="G53" s="734"/>
      <c r="H53" s="735"/>
      <c r="I53" s="736"/>
      <c r="J53" s="732"/>
      <c r="K53" s="732"/>
      <c r="L53" s="735"/>
      <c r="M53" s="732"/>
      <c r="N53" s="732"/>
      <c r="O53" s="732"/>
      <c r="P53" s="732"/>
      <c r="Q53" s="732"/>
      <c r="R53" s="732"/>
      <c r="S53" s="732"/>
      <c r="T53" s="732"/>
      <c r="U53" s="732"/>
      <c r="V53" s="732"/>
      <c r="W53" s="734"/>
      <c r="X53" s="734"/>
      <c r="Y53" s="734"/>
      <c r="Z53" s="732"/>
      <c r="AA53" s="731"/>
      <c r="AB53" s="729"/>
      <c r="AC53" s="733"/>
      <c r="AD53" s="732"/>
      <c r="AE53" s="732"/>
      <c r="AF53" s="732"/>
      <c r="AG53" s="732"/>
      <c r="AH53" s="732"/>
      <c r="AI53" s="732"/>
      <c r="AJ53" s="732"/>
      <c r="AK53" s="732"/>
      <c r="AL53" s="732"/>
      <c r="AM53" s="732"/>
      <c r="AN53" s="731"/>
      <c r="AO53" s="730"/>
      <c r="AP53" s="729"/>
      <c r="AQ53" s="728"/>
    </row>
    <row r="54" spans="1:43" ht="12.75" customHeight="1">
      <c r="A54" s="727" t="s">
        <v>154</v>
      </c>
      <c r="B54" s="688"/>
      <c r="C54" s="687"/>
      <c r="D54" s="726"/>
      <c r="E54" s="685"/>
      <c r="F54" s="684"/>
      <c r="G54" s="684"/>
      <c r="H54" s="680"/>
      <c r="I54" s="686"/>
      <c r="J54" s="681"/>
      <c r="K54" s="681"/>
      <c r="L54" s="680"/>
      <c r="M54" s="681"/>
      <c r="N54" s="681"/>
      <c r="O54" s="681"/>
      <c r="P54" s="681"/>
      <c r="Q54" s="681"/>
      <c r="R54" s="681"/>
      <c r="S54" s="681"/>
      <c r="T54" s="681"/>
      <c r="U54" s="681"/>
      <c r="V54" s="681"/>
      <c r="W54" s="684"/>
      <c r="X54" s="684"/>
      <c r="Y54" s="684"/>
      <c r="Z54" s="681"/>
      <c r="AA54" s="680"/>
      <c r="AB54" s="678"/>
      <c r="AC54" s="683"/>
      <c r="AD54" s="681"/>
      <c r="AE54" s="681"/>
      <c r="AF54" s="681"/>
      <c r="AG54" s="681"/>
      <c r="AH54" s="681"/>
      <c r="AI54" s="681"/>
      <c r="AJ54" s="681"/>
      <c r="AK54" s="682"/>
      <c r="AL54" s="682"/>
      <c r="AM54" s="681"/>
      <c r="AN54" s="680"/>
      <c r="AO54" s="679"/>
      <c r="AP54" s="678"/>
      <c r="AQ54" s="701"/>
    </row>
    <row r="55" spans="1:43" ht="12.75" customHeight="1">
      <c r="A55" s="724" t="s">
        <v>155</v>
      </c>
      <c r="B55" s="723"/>
      <c r="C55" s="722"/>
      <c r="D55" s="718"/>
      <c r="E55" s="725"/>
      <c r="F55" s="721"/>
      <c r="G55" s="721"/>
      <c r="H55" s="717"/>
      <c r="I55" s="718"/>
      <c r="J55" s="719"/>
      <c r="K55" s="719"/>
      <c r="L55" s="717"/>
      <c r="M55" s="719"/>
      <c r="N55" s="719"/>
      <c r="O55" s="719"/>
      <c r="P55" s="719"/>
      <c r="Q55" s="719"/>
      <c r="R55" s="719"/>
      <c r="S55" s="719"/>
      <c r="T55" s="719"/>
      <c r="U55" s="719"/>
      <c r="V55" s="719"/>
      <c r="W55" s="721"/>
      <c r="X55" s="721"/>
      <c r="Y55" s="721"/>
      <c r="Z55" s="719"/>
      <c r="AA55" s="717"/>
      <c r="AB55" s="716"/>
      <c r="AC55" s="720"/>
      <c r="AD55" s="719"/>
      <c r="AE55" s="719"/>
      <c r="AF55" s="719"/>
      <c r="AG55" s="719"/>
      <c r="AH55" s="719"/>
      <c r="AI55" s="719"/>
      <c r="AJ55" s="719"/>
      <c r="AK55" s="716"/>
      <c r="AL55" s="716"/>
      <c r="AM55" s="719"/>
      <c r="AN55" s="717"/>
      <c r="AO55" s="717"/>
      <c r="AP55" s="716"/>
      <c r="AQ55" s="690"/>
    </row>
    <row r="56" spans="1:43" s="599" customFormat="1" ht="12.75" customHeight="1">
      <c r="A56" s="724" t="s">
        <v>156</v>
      </c>
      <c r="B56" s="723"/>
      <c r="C56" s="722"/>
      <c r="D56" s="719"/>
      <c r="E56" s="719"/>
      <c r="F56" s="721"/>
      <c r="G56" s="721"/>
      <c r="H56" s="717"/>
      <c r="I56" s="718"/>
      <c r="J56" s="718"/>
      <c r="K56" s="718"/>
      <c r="L56" s="717"/>
      <c r="M56" s="719"/>
      <c r="N56" s="719"/>
      <c r="O56" s="719"/>
      <c r="P56" s="719"/>
      <c r="Q56" s="719"/>
      <c r="R56" s="719"/>
      <c r="S56" s="719"/>
      <c r="T56" s="719"/>
      <c r="U56" s="719"/>
      <c r="V56" s="719"/>
      <c r="W56" s="721"/>
      <c r="X56" s="721"/>
      <c r="Y56" s="721"/>
      <c r="Z56" s="718"/>
      <c r="AA56" s="717"/>
      <c r="AB56" s="716"/>
      <c r="AC56" s="720"/>
      <c r="AD56" s="719"/>
      <c r="AE56" s="719"/>
      <c r="AF56" s="719"/>
      <c r="AG56" s="719"/>
      <c r="AH56" s="719"/>
      <c r="AI56" s="719"/>
      <c r="AJ56" s="719"/>
      <c r="AK56" s="719"/>
      <c r="AL56" s="718"/>
      <c r="AM56" s="718"/>
      <c r="AN56" s="717"/>
      <c r="AO56" s="717"/>
      <c r="AP56" s="716"/>
      <c r="AQ56" s="715"/>
    </row>
    <row r="57" spans="1:43" s="599" customFormat="1" ht="12.75" customHeight="1">
      <c r="A57" s="714" t="s">
        <v>211</v>
      </c>
      <c r="B57" s="713"/>
      <c r="C57" s="712"/>
      <c r="D57" s="711"/>
      <c r="E57" s="696"/>
      <c r="F57" s="710"/>
      <c r="G57" s="710"/>
      <c r="H57" s="706"/>
      <c r="I57" s="711"/>
      <c r="J57" s="696"/>
      <c r="K57" s="696"/>
      <c r="L57" s="706"/>
      <c r="M57" s="696"/>
      <c r="N57" s="696"/>
      <c r="O57" s="696"/>
      <c r="P57" s="696"/>
      <c r="Q57" s="696"/>
      <c r="R57" s="696"/>
      <c r="S57" s="696"/>
      <c r="T57" s="696"/>
      <c r="U57" s="696"/>
      <c r="V57" s="696"/>
      <c r="W57" s="710"/>
      <c r="X57" s="710"/>
      <c r="Y57" s="710"/>
      <c r="Z57" s="696"/>
      <c r="AA57" s="706"/>
      <c r="AB57" s="704"/>
      <c r="AC57" s="709"/>
      <c r="AD57" s="696"/>
      <c r="AE57" s="696"/>
      <c r="AF57" s="696"/>
      <c r="AG57" s="696"/>
      <c r="AH57" s="708"/>
      <c r="AI57" s="696"/>
      <c r="AJ57" s="696"/>
      <c r="AK57" s="707"/>
      <c r="AL57" s="707"/>
      <c r="AM57" s="696"/>
      <c r="AN57" s="706"/>
      <c r="AO57" s="705"/>
      <c r="AP57" s="704"/>
      <c r="AQ57" s="703"/>
    </row>
    <row r="58" spans="1:43" s="599" customFormat="1" ht="12.75" customHeight="1">
      <c r="A58" s="702" t="s">
        <v>183</v>
      </c>
      <c r="B58" s="688" t="s">
        <v>184</v>
      </c>
      <c r="C58" s="687"/>
      <c r="D58" s="686"/>
      <c r="E58" s="681"/>
      <c r="F58" s="684"/>
      <c r="G58" s="684"/>
      <c r="H58" s="680"/>
      <c r="I58" s="686"/>
      <c r="J58" s="681"/>
      <c r="K58" s="681"/>
      <c r="L58" s="680"/>
      <c r="M58" s="681"/>
      <c r="N58" s="681"/>
      <c r="O58" s="681"/>
      <c r="P58" s="681"/>
      <c r="Q58" s="681"/>
      <c r="R58" s="681"/>
      <c r="S58" s="681"/>
      <c r="T58" s="681"/>
      <c r="U58" s="681"/>
      <c r="V58" s="681"/>
      <c r="W58" s="684"/>
      <c r="X58" s="684"/>
      <c r="Y58" s="684"/>
      <c r="Z58" s="681"/>
      <c r="AA58" s="680"/>
      <c r="AB58" s="678"/>
      <c r="AC58" s="683"/>
      <c r="AD58" s="681"/>
      <c r="AE58" s="681"/>
      <c r="AF58" s="681"/>
      <c r="AG58" s="681"/>
      <c r="AH58" s="681"/>
      <c r="AI58" s="681"/>
      <c r="AJ58" s="681"/>
      <c r="AK58" s="682"/>
      <c r="AL58" s="682"/>
      <c r="AM58" s="681"/>
      <c r="AN58" s="680"/>
      <c r="AO58" s="679"/>
      <c r="AP58" s="678"/>
      <c r="AQ58" s="701"/>
    </row>
    <row r="59" spans="1:43" s="599" customFormat="1" ht="12.75" customHeight="1">
      <c r="A59" s="700" t="s">
        <v>185</v>
      </c>
      <c r="B59" s="699" t="s">
        <v>186</v>
      </c>
      <c r="C59" s="698"/>
      <c r="D59" s="697"/>
      <c r="E59" s="693"/>
      <c r="F59" s="695"/>
      <c r="G59" s="695"/>
      <c r="H59" s="692"/>
      <c r="I59" s="697"/>
      <c r="J59" s="693"/>
      <c r="K59" s="693"/>
      <c r="L59" s="692"/>
      <c r="M59" s="693"/>
      <c r="N59" s="693"/>
      <c r="O59" s="693"/>
      <c r="P59" s="693"/>
      <c r="Q59" s="693"/>
      <c r="R59" s="693"/>
      <c r="S59" s="693"/>
      <c r="T59" s="693"/>
      <c r="U59" s="693"/>
      <c r="V59" s="696"/>
      <c r="W59" s="695"/>
      <c r="X59" s="695"/>
      <c r="Y59" s="695"/>
      <c r="Z59" s="693"/>
      <c r="AA59" s="692"/>
      <c r="AB59" s="691"/>
      <c r="AC59" s="694"/>
      <c r="AD59" s="693"/>
      <c r="AE59" s="693"/>
      <c r="AF59" s="693"/>
      <c r="AG59" s="693"/>
      <c r="AH59" s="693"/>
      <c r="AI59" s="693"/>
      <c r="AJ59" s="693"/>
      <c r="AK59" s="691"/>
      <c r="AL59" s="691"/>
      <c r="AM59" s="693"/>
      <c r="AN59" s="692"/>
      <c r="AO59" s="692"/>
      <c r="AP59" s="691"/>
      <c r="AQ59" s="690"/>
    </row>
    <row r="60" spans="1:43" s="599" customFormat="1" ht="12.75" customHeight="1" thickBot="1">
      <c r="A60" s="689" t="s">
        <v>187</v>
      </c>
      <c r="B60" s="688" t="s">
        <v>188</v>
      </c>
      <c r="C60" s="687"/>
      <c r="D60" s="686"/>
      <c r="E60" s="681"/>
      <c r="F60" s="684"/>
      <c r="G60" s="684"/>
      <c r="H60" s="680"/>
      <c r="I60" s="686"/>
      <c r="J60" s="681"/>
      <c r="K60" s="681"/>
      <c r="L60" s="680"/>
      <c r="M60" s="681"/>
      <c r="N60" s="681"/>
      <c r="O60" s="681"/>
      <c r="P60" s="681"/>
      <c r="Q60" s="681"/>
      <c r="R60" s="681"/>
      <c r="S60" s="681"/>
      <c r="T60" s="681"/>
      <c r="U60" s="685"/>
      <c r="V60" s="681"/>
      <c r="W60" s="684"/>
      <c r="X60" s="684"/>
      <c r="Y60" s="684"/>
      <c r="Z60" s="681"/>
      <c r="AA60" s="680"/>
      <c r="AB60" s="678"/>
      <c r="AC60" s="683"/>
      <c r="AD60" s="681"/>
      <c r="AE60" s="681"/>
      <c r="AF60" s="681"/>
      <c r="AG60" s="681"/>
      <c r="AH60" s="681"/>
      <c r="AI60" s="681"/>
      <c r="AJ60" s="681"/>
      <c r="AK60" s="682"/>
      <c r="AL60" s="682"/>
      <c r="AM60" s="681"/>
      <c r="AN60" s="680"/>
      <c r="AO60" s="679"/>
      <c r="AP60" s="678"/>
      <c r="AQ60" s="677"/>
    </row>
    <row r="61" spans="1:43" s="599" customFormat="1" ht="12.75" customHeight="1" thickBot="1">
      <c r="A61" s="676" t="s">
        <v>189</v>
      </c>
      <c r="B61" s="675" t="s">
        <v>190</v>
      </c>
      <c r="C61" s="674"/>
      <c r="D61" s="673"/>
      <c r="E61" s="670"/>
      <c r="F61" s="672"/>
      <c r="G61" s="672"/>
      <c r="H61" s="669"/>
      <c r="I61" s="673"/>
      <c r="J61" s="670"/>
      <c r="K61" s="670"/>
      <c r="L61" s="669"/>
      <c r="M61" s="670"/>
      <c r="N61" s="670"/>
      <c r="O61" s="670"/>
      <c r="P61" s="670"/>
      <c r="Q61" s="670"/>
      <c r="R61" s="670"/>
      <c r="S61" s="670"/>
      <c r="T61" s="670"/>
      <c r="U61" s="670"/>
      <c r="V61" s="670"/>
      <c r="W61" s="672"/>
      <c r="X61" s="672"/>
      <c r="Y61" s="672"/>
      <c r="Z61" s="670"/>
      <c r="AA61" s="669"/>
      <c r="AB61" s="668"/>
      <c r="AC61" s="671"/>
      <c r="AD61" s="670"/>
      <c r="AE61" s="670"/>
      <c r="AF61" s="670"/>
      <c r="AG61" s="670"/>
      <c r="AH61" s="670"/>
      <c r="AI61" s="670"/>
      <c r="AJ61" s="670"/>
      <c r="AK61" s="668"/>
      <c r="AL61" s="668"/>
      <c r="AM61" s="670"/>
      <c r="AN61" s="669"/>
      <c r="AO61" s="669"/>
      <c r="AP61" s="668"/>
      <c r="AQ61" s="667"/>
    </row>
    <row r="62" spans="1:43" s="599" customFormat="1" ht="12.75" customHeight="1">
      <c r="A62" s="656" t="s">
        <v>191</v>
      </c>
      <c r="B62" s="656" t="s">
        <v>192</v>
      </c>
      <c r="C62" s="656"/>
      <c r="D62" s="656"/>
      <c r="E62" s="656"/>
      <c r="F62" s="656"/>
      <c r="G62" s="656"/>
      <c r="H62" s="656"/>
      <c r="I62" s="656"/>
      <c r="J62" s="656"/>
      <c r="K62" s="656"/>
      <c r="L62" s="656"/>
      <c r="M62" s="656"/>
      <c r="N62" s="656"/>
      <c r="O62" s="656"/>
      <c r="P62" s="656"/>
      <c r="Q62" s="656"/>
      <c r="R62" s="656"/>
      <c r="S62" s="656"/>
      <c r="T62" s="656"/>
      <c r="U62" s="656"/>
      <c r="V62" s="656"/>
      <c r="W62" s="656"/>
      <c r="X62" s="656"/>
      <c r="Y62" s="656"/>
      <c r="Z62" s="656"/>
      <c r="AA62" s="656"/>
      <c r="AB62" s="656"/>
      <c r="AC62" s="656"/>
      <c r="AD62" s="656"/>
      <c r="AE62" s="656"/>
      <c r="AF62" s="656"/>
      <c r="AG62" s="656"/>
      <c r="AH62" s="656"/>
      <c r="AI62" s="656"/>
      <c r="AJ62" s="656"/>
      <c r="AK62" s="656"/>
      <c r="AL62" s="656"/>
      <c r="AM62" s="656"/>
      <c r="AN62" s="656"/>
      <c r="AO62" s="656"/>
      <c r="AP62" s="656"/>
      <c r="AQ62" s="656"/>
    </row>
    <row r="63" spans="1:43" s="599" customFormat="1" ht="12.75" customHeight="1">
      <c r="A63" s="666" t="s">
        <v>193</v>
      </c>
      <c r="B63" s="661"/>
      <c r="C63" s="661"/>
      <c r="D63" s="661"/>
      <c r="E63" s="661"/>
      <c r="F63" s="661"/>
      <c r="G63" s="661"/>
      <c r="H63" s="661"/>
      <c r="I63" s="661"/>
      <c r="J63" s="661"/>
      <c r="K63" s="661"/>
      <c r="L63" s="665"/>
      <c r="M63" s="661"/>
      <c r="N63" s="661"/>
      <c r="O63" s="663"/>
      <c r="P63" s="663"/>
      <c r="Q63" s="661"/>
      <c r="R63" s="661"/>
      <c r="S63" s="661"/>
      <c r="T63" s="661"/>
      <c r="U63" s="661"/>
      <c r="V63" s="661"/>
      <c r="W63" s="664"/>
      <c r="X63" s="663"/>
      <c r="Y63" s="661"/>
      <c r="Z63" s="661"/>
      <c r="AA63" s="661"/>
      <c r="AB63" s="661"/>
      <c r="AC63" s="661"/>
      <c r="AD63" s="661"/>
      <c r="AE63" s="661"/>
      <c r="AF63" s="661"/>
      <c r="AG63" s="656"/>
      <c r="AH63" s="661"/>
      <c r="AI63" s="661"/>
      <c r="AJ63" s="661"/>
      <c r="AK63" s="661"/>
      <c r="AL63" s="661"/>
      <c r="AM63" s="661"/>
      <c r="AN63" s="661"/>
      <c r="AO63" s="661"/>
      <c r="AP63" s="661"/>
      <c r="AQ63" s="661"/>
    </row>
    <row r="64" spans="1:43" ht="12.75" customHeight="1">
      <c r="A64" s="662" t="s">
        <v>210</v>
      </c>
      <c r="B64" s="656"/>
      <c r="C64" s="656"/>
      <c r="D64" s="656"/>
      <c r="E64" s="656"/>
      <c r="F64" s="656"/>
      <c r="G64" s="656"/>
      <c r="H64" s="656"/>
      <c r="I64" s="656"/>
      <c r="J64" s="656"/>
      <c r="K64" s="656"/>
      <c r="L64" s="656"/>
      <c r="M64" s="656"/>
      <c r="N64" s="656"/>
      <c r="O64" s="656"/>
      <c r="P64" s="656"/>
      <c r="Q64" s="656"/>
      <c r="R64" s="656"/>
      <c r="S64" s="656"/>
      <c r="T64" s="656"/>
      <c r="U64" s="656"/>
      <c r="V64" s="656"/>
      <c r="W64" s="656"/>
      <c r="X64" s="656"/>
      <c r="Y64" s="656"/>
      <c r="Z64" s="656"/>
      <c r="AA64" s="656"/>
      <c r="AB64" s="656"/>
      <c r="AC64" s="656"/>
      <c r="AD64" s="656"/>
      <c r="AE64" s="656"/>
      <c r="AF64" s="656"/>
      <c r="AG64" s="661"/>
      <c r="AH64" s="656"/>
      <c r="AI64" s="656"/>
      <c r="AJ64" s="656"/>
      <c r="AK64" s="656"/>
      <c r="AL64" s="656"/>
      <c r="AM64" s="656"/>
      <c r="AN64" s="656"/>
      <c r="AO64" s="656"/>
      <c r="AP64" s="656"/>
      <c r="AQ64" s="656"/>
    </row>
    <row r="65" spans="1:43" ht="12.75" customHeight="1">
      <c r="A65" s="660" t="s">
        <v>195</v>
      </c>
      <c r="B65" s="659" t="s">
        <v>196</v>
      </c>
      <c r="C65" s="656"/>
      <c r="D65" s="656"/>
      <c r="E65" s="656"/>
      <c r="F65" s="656"/>
      <c r="G65" s="656"/>
      <c r="H65" s="656"/>
      <c r="I65" s="656"/>
      <c r="J65" s="656"/>
      <c r="K65" s="656"/>
      <c r="L65" s="656"/>
      <c r="M65" s="656"/>
      <c r="N65" s="656"/>
      <c r="O65" s="656"/>
      <c r="P65" s="656"/>
      <c r="Q65" s="656"/>
      <c r="R65" s="656"/>
      <c r="S65" s="656"/>
      <c r="T65" s="656"/>
      <c r="U65" s="656"/>
      <c r="V65" s="656"/>
      <c r="W65" s="656"/>
      <c r="X65" s="656"/>
      <c r="Y65" s="656"/>
      <c r="Z65" s="656"/>
      <c r="AA65" s="656"/>
      <c r="AB65" s="656"/>
      <c r="AC65" s="656"/>
      <c r="AD65" s="656"/>
      <c r="AE65" s="656"/>
      <c r="AF65" s="656"/>
      <c r="AG65" s="656"/>
      <c r="AH65" s="656"/>
      <c r="AI65" s="656"/>
      <c r="AJ65" s="656"/>
      <c r="AK65" s="656"/>
      <c r="AL65" s="656"/>
      <c r="AM65" s="656"/>
      <c r="AN65" s="656"/>
      <c r="AO65" s="656"/>
      <c r="AP65" s="656"/>
      <c r="AQ65" s="656"/>
    </row>
    <row r="66" spans="1:43" ht="12.75" customHeight="1">
      <c r="A66" s="658" t="s">
        <v>197</v>
      </c>
      <c r="B66" s="657">
        <v>84</v>
      </c>
      <c r="C66" s="656"/>
      <c r="D66" s="656"/>
      <c r="E66" s="656"/>
      <c r="F66" s="656"/>
      <c r="G66" s="656"/>
      <c r="H66" s="656"/>
      <c r="I66" s="656"/>
      <c r="J66" s="656"/>
      <c r="K66" s="656"/>
      <c r="L66" s="656"/>
      <c r="M66" s="656"/>
      <c r="N66" s="656"/>
      <c r="O66" s="656"/>
      <c r="P66" s="656"/>
      <c r="Q66" s="656"/>
      <c r="R66" s="656"/>
      <c r="S66" s="656"/>
      <c r="T66" s="656"/>
      <c r="U66" s="656"/>
      <c r="V66" s="656"/>
      <c r="W66" s="656"/>
      <c r="X66" s="656"/>
      <c r="Y66" s="656"/>
      <c r="Z66" s="656"/>
      <c r="AA66" s="656"/>
      <c r="AB66" s="656"/>
      <c r="AC66" s="656"/>
      <c r="AD66" s="656"/>
      <c r="AE66" s="656"/>
      <c r="AF66" s="656"/>
      <c r="AG66" s="656"/>
      <c r="AH66" s="656"/>
      <c r="AI66" s="656"/>
      <c r="AJ66" s="656"/>
      <c r="AK66" s="656"/>
      <c r="AL66" s="656"/>
      <c r="AM66" s="656"/>
      <c r="AN66" s="656"/>
      <c r="AO66" s="656"/>
      <c r="AP66" s="656"/>
      <c r="AQ66" s="656"/>
    </row>
    <row r="67" spans="1:43" ht="12.75" customHeight="1">
      <c r="A67" s="655" t="s">
        <v>198</v>
      </c>
      <c r="B67" s="654">
        <v>85</v>
      </c>
      <c r="C67" s="653"/>
      <c r="D67" s="651"/>
      <c r="E67" s="647"/>
      <c r="F67" s="648"/>
      <c r="G67" s="652"/>
      <c r="H67" s="646"/>
      <c r="I67" s="651"/>
      <c r="J67" s="647"/>
      <c r="K67" s="652"/>
      <c r="L67" s="646"/>
      <c r="M67" s="651"/>
      <c r="N67" s="649"/>
      <c r="O67" s="647"/>
      <c r="P67" s="647"/>
      <c r="Q67" s="647"/>
      <c r="R67" s="647"/>
      <c r="S67" s="647"/>
      <c r="T67" s="647"/>
      <c r="U67" s="647"/>
      <c r="V67" s="647"/>
      <c r="W67" s="648"/>
      <c r="X67" s="648"/>
      <c r="Y67" s="648"/>
      <c r="Z67" s="647"/>
      <c r="AA67" s="646"/>
      <c r="AB67" s="644"/>
      <c r="AC67" s="650"/>
      <c r="AD67" s="647"/>
      <c r="AE67" s="647"/>
      <c r="AF67" s="647"/>
      <c r="AG67" s="647"/>
      <c r="AH67" s="647"/>
      <c r="AI67" s="647"/>
      <c r="AJ67" s="647"/>
      <c r="AK67" s="649"/>
      <c r="AL67" s="648"/>
      <c r="AM67" s="647"/>
      <c r="AN67" s="646"/>
      <c r="AO67" s="645"/>
      <c r="AP67" s="644"/>
      <c r="AQ67" s="643"/>
    </row>
    <row r="68" spans="1:43" ht="12.75" customHeight="1">
      <c r="A68" s="642" t="s">
        <v>199</v>
      </c>
      <c r="B68" s="641" t="s">
        <v>200</v>
      </c>
      <c r="C68" s="640"/>
      <c r="D68" s="638"/>
      <c r="E68" s="615"/>
      <c r="F68" s="616"/>
      <c r="G68" s="639"/>
      <c r="H68" s="633"/>
      <c r="I68" s="638"/>
      <c r="J68" s="615"/>
      <c r="K68" s="639"/>
      <c r="L68" s="633"/>
      <c r="M68" s="638"/>
      <c r="N68" s="617"/>
      <c r="O68" s="615"/>
      <c r="P68" s="615"/>
      <c r="Q68" s="615"/>
      <c r="R68" s="615"/>
      <c r="S68" s="615"/>
      <c r="T68" s="615"/>
      <c r="U68" s="615"/>
      <c r="V68" s="615"/>
      <c r="W68" s="616"/>
      <c r="X68" s="616"/>
      <c r="Y68" s="616"/>
      <c r="Z68" s="615"/>
      <c r="AA68" s="614"/>
      <c r="AB68" s="631"/>
      <c r="AC68" s="637"/>
      <c r="AD68" s="634"/>
      <c r="AE68" s="634"/>
      <c r="AF68" s="634"/>
      <c r="AG68" s="634"/>
      <c r="AH68" s="634"/>
      <c r="AI68" s="634"/>
      <c r="AJ68" s="634"/>
      <c r="AK68" s="636"/>
      <c r="AL68" s="635"/>
      <c r="AM68" s="634"/>
      <c r="AN68" s="633"/>
      <c r="AO68" s="632"/>
      <c r="AP68" s="631"/>
      <c r="AQ68" s="630"/>
    </row>
    <row r="69" spans="1:43" s="599" customFormat="1" ht="12.75" customHeight="1">
      <c r="A69" s="419" t="s">
        <v>157</v>
      </c>
      <c r="B69" s="420"/>
      <c r="C69" s="629"/>
      <c r="D69" s="626"/>
      <c r="E69" s="624"/>
      <c r="F69" s="625"/>
      <c r="G69" s="625"/>
      <c r="H69" s="623"/>
      <c r="I69" s="626"/>
      <c r="J69" s="624"/>
      <c r="K69" s="624"/>
      <c r="L69" s="623"/>
      <c r="M69" s="624"/>
      <c r="N69" s="624"/>
      <c r="O69" s="624"/>
      <c r="P69" s="624"/>
      <c r="Q69" s="624"/>
      <c r="R69" s="624"/>
      <c r="S69" s="624"/>
      <c r="T69" s="624"/>
      <c r="U69" s="624"/>
      <c r="V69" s="628"/>
      <c r="W69" s="625"/>
      <c r="X69" s="625"/>
      <c r="Y69" s="625"/>
      <c r="Z69" s="624"/>
      <c r="AA69" s="623"/>
      <c r="AB69" s="622"/>
      <c r="AC69" s="627"/>
      <c r="AD69" s="624"/>
      <c r="AE69" s="624"/>
      <c r="AF69" s="624"/>
      <c r="AG69" s="624"/>
      <c r="AH69" s="624"/>
      <c r="AI69" s="624"/>
      <c r="AJ69" s="624"/>
      <c r="AK69" s="626"/>
      <c r="AL69" s="625"/>
      <c r="AM69" s="624"/>
      <c r="AN69" s="623"/>
      <c r="AO69" s="623"/>
      <c r="AP69" s="622"/>
      <c r="AQ69" s="621"/>
    </row>
    <row r="70" spans="1:43" s="599" customFormat="1" ht="12.75" customHeight="1" thickBot="1">
      <c r="A70" s="576" t="s">
        <v>158</v>
      </c>
      <c r="B70" s="396"/>
      <c r="C70" s="620"/>
      <c r="D70" s="617"/>
      <c r="E70" s="615"/>
      <c r="F70" s="616"/>
      <c r="G70" s="616"/>
      <c r="H70" s="614"/>
      <c r="I70" s="617"/>
      <c r="J70" s="615"/>
      <c r="K70" s="615"/>
      <c r="L70" s="614"/>
      <c r="M70" s="615"/>
      <c r="N70" s="615"/>
      <c r="O70" s="615"/>
      <c r="P70" s="615"/>
      <c r="Q70" s="615"/>
      <c r="R70" s="615"/>
      <c r="S70" s="615"/>
      <c r="T70" s="615"/>
      <c r="U70" s="619"/>
      <c r="V70" s="615"/>
      <c r="W70" s="616"/>
      <c r="X70" s="616"/>
      <c r="Y70" s="616"/>
      <c r="Z70" s="615"/>
      <c r="AA70" s="614"/>
      <c r="AB70" s="612"/>
      <c r="AC70" s="618"/>
      <c r="AD70" s="615"/>
      <c r="AE70" s="615"/>
      <c r="AF70" s="615"/>
      <c r="AG70" s="615"/>
      <c r="AH70" s="615"/>
      <c r="AI70" s="615"/>
      <c r="AJ70" s="615"/>
      <c r="AK70" s="617"/>
      <c r="AL70" s="616"/>
      <c r="AM70" s="615"/>
      <c r="AN70" s="614"/>
      <c r="AO70" s="613"/>
      <c r="AP70" s="612"/>
      <c r="AQ70" s="611"/>
    </row>
    <row r="71" spans="1:43" s="599" customFormat="1" ht="12.75" customHeight="1" thickBot="1">
      <c r="A71" s="448" t="s">
        <v>159</v>
      </c>
      <c r="B71" s="449"/>
      <c r="C71" s="610"/>
      <c r="D71" s="608"/>
      <c r="E71" s="606"/>
      <c r="F71" s="607"/>
      <c r="G71" s="607"/>
      <c r="H71" s="605"/>
      <c r="I71" s="608"/>
      <c r="J71" s="606"/>
      <c r="K71" s="606"/>
      <c r="L71" s="605"/>
      <c r="M71" s="606"/>
      <c r="N71" s="606"/>
      <c r="O71" s="606"/>
      <c r="P71" s="606"/>
      <c r="Q71" s="606"/>
      <c r="R71" s="606"/>
      <c r="S71" s="606"/>
      <c r="T71" s="606"/>
      <c r="U71" s="606"/>
      <c r="V71" s="606"/>
      <c r="W71" s="607"/>
      <c r="X71" s="607"/>
      <c r="Y71" s="607"/>
      <c r="Z71" s="606"/>
      <c r="AA71" s="605"/>
      <c r="AB71" s="604"/>
      <c r="AC71" s="609"/>
      <c r="AD71" s="606"/>
      <c r="AE71" s="606"/>
      <c r="AF71" s="606"/>
      <c r="AG71" s="606"/>
      <c r="AH71" s="606"/>
      <c r="AI71" s="606"/>
      <c r="AJ71" s="606"/>
      <c r="AK71" s="608"/>
      <c r="AL71" s="607"/>
      <c r="AM71" s="606"/>
      <c r="AN71" s="605"/>
      <c r="AO71" s="605"/>
      <c r="AP71" s="604"/>
      <c r="AQ71" s="603"/>
    </row>
    <row r="72" spans="1:43" ht="12.75" customHeight="1">
      <c r="A72" s="597"/>
      <c r="B72" s="597"/>
      <c r="C72" s="597"/>
      <c r="D72" s="597"/>
      <c r="E72" s="597"/>
      <c r="F72" s="597"/>
      <c r="G72" s="597"/>
      <c r="H72" s="597"/>
      <c r="I72" s="597"/>
      <c r="J72" s="597"/>
      <c r="K72" s="597"/>
      <c r="L72" s="597"/>
      <c r="M72" s="597"/>
      <c r="N72" s="597"/>
      <c r="O72" s="597"/>
      <c r="P72" s="597"/>
      <c r="Q72" s="597"/>
      <c r="R72" s="597"/>
      <c r="S72" s="597"/>
      <c r="T72" s="597"/>
      <c r="U72" s="597"/>
      <c r="V72" s="597"/>
      <c r="W72" s="597"/>
      <c r="X72" s="597"/>
      <c r="Y72" s="597"/>
      <c r="Z72" s="597"/>
      <c r="AA72" s="597"/>
      <c r="AB72" s="597"/>
      <c r="AC72" s="597"/>
      <c r="AD72" s="597"/>
      <c r="AE72" s="597"/>
      <c r="AF72" s="597"/>
      <c r="AG72" s="597"/>
      <c r="AH72" s="597"/>
      <c r="AI72" s="597"/>
      <c r="AJ72" s="597"/>
      <c r="AK72" s="602"/>
      <c r="AL72" s="601"/>
      <c r="AM72" s="597"/>
      <c r="AN72" s="597"/>
      <c r="AO72" s="597"/>
      <c r="AP72" s="597"/>
      <c r="AQ72" s="597"/>
    </row>
    <row r="73" spans="1:43" s="599" customFormat="1" ht="15" customHeight="1">
      <c r="A73" s="435"/>
      <c r="B73" s="413"/>
      <c r="C73" s="413"/>
      <c r="D73" s="413"/>
      <c r="E73" s="413"/>
      <c r="F73" s="413"/>
      <c r="G73" s="413"/>
      <c r="H73" s="413"/>
      <c r="I73" s="413"/>
      <c r="J73" s="413"/>
      <c r="K73" s="413"/>
      <c r="L73" s="600"/>
      <c r="M73" s="413"/>
      <c r="N73" s="413"/>
      <c r="Q73" s="413"/>
      <c r="R73" s="413"/>
      <c r="S73" s="413"/>
      <c r="T73" s="413"/>
      <c r="U73" s="413"/>
      <c r="V73" s="413"/>
      <c r="W73" s="406"/>
      <c r="Y73" s="413"/>
      <c r="Z73" s="413"/>
      <c r="AA73" s="413"/>
      <c r="AB73" s="413"/>
      <c r="AC73" s="413"/>
      <c r="AD73" s="413"/>
      <c r="AE73" s="413"/>
      <c r="AF73" s="413"/>
      <c r="AG73" s="413"/>
      <c r="AH73" s="413"/>
      <c r="AI73" s="413"/>
      <c r="AJ73" s="413"/>
      <c r="AK73" s="413"/>
      <c r="AL73" s="413"/>
      <c r="AM73" s="413"/>
      <c r="AN73" s="413"/>
      <c r="AO73" s="413"/>
      <c r="AP73" s="413"/>
      <c r="AQ73" s="413"/>
    </row>
    <row r="74" spans="1:43" ht="12.75" customHeight="1">
      <c r="A74" s="581" t="s">
        <v>209</v>
      </c>
      <c r="B74" s="597"/>
      <c r="C74" s="597"/>
      <c r="D74" s="597"/>
      <c r="E74" s="597"/>
      <c r="F74" s="597"/>
      <c r="G74" s="597"/>
      <c r="H74" s="597"/>
      <c r="I74" s="597"/>
      <c r="J74" s="597"/>
      <c r="K74" s="597"/>
      <c r="L74" s="597"/>
      <c r="M74" s="597"/>
      <c r="N74" s="597"/>
      <c r="O74" s="597"/>
      <c r="P74" s="597"/>
      <c r="Q74" s="597"/>
      <c r="R74" s="597"/>
      <c r="S74" s="597"/>
      <c r="T74" s="597"/>
      <c r="U74" s="597"/>
      <c r="V74" s="597"/>
      <c r="W74" s="597"/>
      <c r="X74" s="597"/>
      <c r="Y74" s="597"/>
      <c r="Z74" s="597"/>
      <c r="AA74" s="597"/>
      <c r="AB74" s="597"/>
      <c r="AC74" s="597"/>
      <c r="AD74" s="597"/>
      <c r="AE74" s="597"/>
      <c r="AF74" s="597"/>
      <c r="AG74" s="597"/>
      <c r="AH74" s="597"/>
      <c r="AI74" s="597"/>
      <c r="AJ74" s="597"/>
      <c r="AK74" s="597"/>
      <c r="AL74" s="597"/>
      <c r="AM74" s="597"/>
      <c r="AN74" s="597"/>
      <c r="AO74" s="597"/>
      <c r="AP74" s="597"/>
      <c r="AQ74" s="597"/>
    </row>
    <row r="75" spans="1:43" ht="12.75" customHeight="1">
      <c r="A75" s="582" t="s">
        <v>208</v>
      </c>
      <c r="B75" s="583"/>
      <c r="C75" s="597"/>
      <c r="D75" s="597"/>
      <c r="E75" s="597"/>
      <c r="F75" s="597"/>
      <c r="G75" s="597"/>
      <c r="H75" s="597"/>
      <c r="I75" s="597"/>
      <c r="J75" s="597"/>
      <c r="K75" s="597"/>
      <c r="L75" s="597"/>
      <c r="M75" s="597"/>
      <c r="N75" s="597"/>
      <c r="O75" s="597"/>
      <c r="P75" s="597"/>
      <c r="Q75" s="597"/>
      <c r="R75" s="597"/>
      <c r="S75" s="597"/>
      <c r="T75" s="597"/>
      <c r="U75" s="597"/>
      <c r="V75" s="597"/>
      <c r="W75" s="597"/>
      <c r="X75" s="597"/>
      <c r="Y75" s="597"/>
      <c r="Z75" s="597"/>
      <c r="AA75" s="597"/>
      <c r="AB75" s="597"/>
      <c r="AC75" s="597"/>
      <c r="AD75" s="597"/>
      <c r="AE75" s="597"/>
      <c r="AF75" s="597"/>
      <c r="AG75" s="597"/>
      <c r="AH75" s="597"/>
      <c r="AI75" s="597"/>
      <c r="AJ75" s="597"/>
      <c r="AK75" s="597"/>
      <c r="AL75" s="597"/>
      <c r="AM75" s="597"/>
      <c r="AN75" s="597"/>
      <c r="AO75" s="597"/>
      <c r="AP75" s="597"/>
      <c r="AQ75" s="597"/>
    </row>
    <row r="76" spans="1:43" ht="12.75" customHeight="1">
      <c r="A76" s="598" t="s">
        <v>163</v>
      </c>
      <c r="B76" s="581"/>
      <c r="C76" s="597"/>
      <c r="D76" s="597"/>
      <c r="E76" s="597"/>
      <c r="F76" s="597"/>
      <c r="G76" s="597"/>
      <c r="H76" s="597"/>
      <c r="I76" s="597"/>
      <c r="J76" s="597"/>
      <c r="K76" s="597"/>
      <c r="L76" s="597"/>
      <c r="M76" s="597"/>
      <c r="N76" s="597"/>
      <c r="O76" s="597"/>
      <c r="P76" s="597"/>
      <c r="Q76" s="597"/>
      <c r="R76" s="597"/>
      <c r="S76" s="597"/>
      <c r="T76" s="597"/>
      <c r="U76" s="597"/>
      <c r="V76" s="597"/>
      <c r="W76" s="597"/>
      <c r="X76" s="597"/>
      <c r="Y76" s="597"/>
      <c r="Z76" s="597"/>
      <c r="AA76" s="597"/>
      <c r="AB76" s="597"/>
      <c r="AC76" s="597"/>
      <c r="AD76" s="597"/>
      <c r="AE76" s="597"/>
      <c r="AF76" s="597"/>
      <c r="AG76" s="597"/>
      <c r="AH76" s="597"/>
      <c r="AI76" s="597"/>
      <c r="AJ76" s="597"/>
      <c r="AK76" s="597"/>
      <c r="AL76" s="597"/>
      <c r="AM76" s="597"/>
      <c r="AN76" s="597"/>
      <c r="AO76" s="597"/>
      <c r="AP76" s="597"/>
      <c r="AQ76" s="597"/>
    </row>
    <row r="78" spans="1:43">
      <c r="L78" s="589"/>
    </row>
    <row r="79" spans="1:43">
      <c r="L79" s="589"/>
    </row>
    <row r="80" spans="1:43">
      <c r="L80" s="589"/>
    </row>
    <row r="81" spans="1:43">
      <c r="L81" s="589"/>
    </row>
    <row r="82" spans="1:43">
      <c r="L82" s="589"/>
    </row>
    <row r="84" spans="1:43" s="439" customFormat="1">
      <c r="A84" s="596"/>
      <c r="B84" s="595"/>
      <c r="C84" s="413"/>
      <c r="D84" s="413"/>
      <c r="E84" s="413"/>
      <c r="H84" s="413"/>
      <c r="L84" s="589"/>
      <c r="M84" s="589"/>
      <c r="N84" s="589"/>
      <c r="O84" s="589"/>
      <c r="P84" s="589"/>
      <c r="Q84" s="591"/>
      <c r="R84" s="589"/>
      <c r="S84" s="589"/>
      <c r="T84" s="589"/>
      <c r="U84" s="589"/>
      <c r="V84" s="589"/>
      <c r="W84" s="589"/>
      <c r="X84" s="589"/>
      <c r="Y84" s="591"/>
      <c r="AA84" s="590"/>
      <c r="AB84" s="590"/>
      <c r="AC84" s="589"/>
      <c r="AD84" s="589"/>
      <c r="AE84" s="589"/>
      <c r="AF84" s="589"/>
      <c r="AG84" s="589"/>
      <c r="AH84" s="589"/>
      <c r="AI84" s="589"/>
      <c r="AJ84" s="589"/>
      <c r="AK84" s="589"/>
      <c r="AL84" s="589"/>
      <c r="AM84" s="589"/>
      <c r="AN84" s="589"/>
      <c r="AO84" s="590"/>
      <c r="AP84" s="590"/>
      <c r="AQ84" s="589"/>
    </row>
    <row r="85" spans="1:43" s="439" customFormat="1">
      <c r="A85" s="596"/>
      <c r="B85" s="595"/>
      <c r="C85" s="413"/>
      <c r="D85" s="413"/>
      <c r="E85" s="413"/>
      <c r="H85" s="413"/>
      <c r="L85" s="589"/>
      <c r="M85" s="589"/>
      <c r="N85" s="589"/>
      <c r="O85" s="589"/>
      <c r="P85" s="589"/>
      <c r="Q85" s="589"/>
      <c r="R85" s="589"/>
      <c r="S85" s="589"/>
      <c r="T85" s="589"/>
      <c r="U85" s="589"/>
      <c r="V85" s="589"/>
      <c r="W85" s="589"/>
      <c r="X85" s="589"/>
      <c r="Y85" s="589"/>
      <c r="AA85" s="590"/>
      <c r="AB85" s="590"/>
      <c r="AC85" s="589"/>
      <c r="AD85" s="589"/>
      <c r="AE85" s="589"/>
      <c r="AF85" s="589"/>
      <c r="AG85" s="589"/>
      <c r="AH85" s="589"/>
      <c r="AI85" s="589"/>
      <c r="AJ85" s="589"/>
      <c r="AK85" s="589"/>
      <c r="AL85" s="589"/>
      <c r="AM85" s="589"/>
      <c r="AN85" s="589"/>
      <c r="AO85" s="590"/>
      <c r="AP85" s="590"/>
      <c r="AQ85" s="589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C9" sqref="C9"/>
    </sheetView>
  </sheetViews>
  <sheetFormatPr defaultColWidth="9.140625" defaultRowHeight="15"/>
  <cols>
    <col min="1" max="16384" width="9.140625" style="23"/>
  </cols>
  <sheetData>
    <row r="1" spans="1:3">
      <c r="A1" s="22" t="s">
        <v>167</v>
      </c>
    </row>
    <row r="2" spans="1:3">
      <c r="A2" s="23" t="s">
        <v>168</v>
      </c>
      <c r="B2" s="23">
        <v>4.1868000000000002E-2</v>
      </c>
      <c r="C2" s="2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4</vt:i4>
      </vt:variant>
    </vt:vector>
  </HeadingPairs>
  <TitlesOfParts>
    <vt:vector size="16" baseType="lpstr">
      <vt:lpstr>Regions</vt:lpstr>
      <vt:lpstr>PWR</vt:lpstr>
      <vt:lpstr>SRV</vt:lpstr>
      <vt:lpstr>TRA</vt:lpstr>
      <vt:lpstr>SYS-emi_single</vt:lpstr>
      <vt:lpstr>SYS-emi_multi</vt:lpstr>
      <vt:lpstr>emi_config</vt:lpstr>
      <vt:lpstr>New vehicle sales</vt:lpstr>
      <vt:lpstr>EB2018</vt:lpstr>
      <vt:lpstr>EB2019</vt:lpstr>
      <vt:lpstr>EB2020</vt:lpstr>
      <vt:lpstr>Conversions</vt:lpstr>
      <vt:lpstr>'EB2019'!Print_Area</vt:lpstr>
      <vt:lpstr>'EB2020'!Print_Area</vt:lpstr>
      <vt:lpstr>'EB2019'!Print_Titles</vt:lpstr>
      <vt:lpstr>'EB2020'!Print_Titles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2021-11-09T20:38:42Z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1493275165557</vt:r8>
  </property>
</Properties>
</file>